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drawings/drawing6.xml" ContentType="application/vnd.openxmlformats-officedocument.drawingml.chartshapes+xml"/>
  <Override PartName="/xl/drawings/drawing9.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charts/chart10.xml" ContentType="application/vnd.openxmlformats-officedocument.drawingml.chart+xml"/>
  <Override PartName="/xl/charts/colors9.xml" ContentType="application/vnd.ms-office.chartcolorstyle+xml"/>
  <Override PartName="/xl/charts/style9.xml" ContentType="application/vnd.ms-office.chartstyle+xml"/>
  <Override PartName="/xl/charts/chart9.xml" ContentType="application/vnd.openxmlformats-officedocument.drawingml.chart+xml"/>
  <Override PartName="/xl/charts/style10.xml" ContentType="application/vnd.ms-office.chartstyle+xml"/>
  <Override PartName="/xl/charts/colors10.xml" ContentType="application/vnd.ms-office.chartcolorstyle+xml"/>
  <Override PartName="/xl/worksheets/sheet3.xml" ContentType="application/vnd.openxmlformats-officedocument.spreadsheetml.worksheet+xml"/>
  <Override PartName="/xl/worksheets/sheet2.xml" ContentType="application/vnd.openxmlformats-officedocument.spreadsheetml.worksheet+xml"/>
  <Override PartName="/xl/charts/colors8.xml" ContentType="application/vnd.ms-office.chartcolorstyle+xml"/>
  <Override PartName="/xl/charts/style8.xml" ContentType="application/vnd.ms-office.chartstyle+xml"/>
  <Override PartName="/xl/charts/chart8.xml" ContentType="application/vnd.openxmlformats-officedocument.drawingml.chart+xml"/>
  <Override PartName="/xl/worksheets/sheet1.xml" ContentType="application/vnd.openxmlformats-officedocument.spreadsheetml.worksheet+xml"/>
  <Override PartName="/xl/worksheets/sheet4.xml" ContentType="application/vnd.openxmlformats-officedocument.spreadsheetml.worksheet+xml"/>
  <Override PartName="/xl/charts/colors6.xml" ContentType="application/vnd.ms-office.chartcolorstyle+xml"/>
  <Override PartName="/xl/charts/style6.xml" ContentType="application/vnd.ms-office.chartstyle+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olors1.xml" ContentType="application/vnd.ms-office.chartcolorstyle+xml"/>
  <Override PartName="/xl/charts/style1.xml" ContentType="application/vnd.ms-office.chartstyle+xml"/>
  <Override PartName="/xl/drawings/drawing2.xml" ContentType="application/vnd.openxmlformats-officedocument.drawing+xml"/>
  <Override PartName="/xl/charts/colors2.xml" ContentType="application/vnd.ms-office.chartcolorstyle+xml"/>
  <Override PartName="/xl/charts/style2.xml" ContentType="application/vnd.ms-office.chartstyle+xml"/>
  <Override PartName="/xl/charts/chart2.xml" ContentType="application/vnd.openxmlformats-officedocument.drawingml.chart+xml"/>
  <Override PartName="/xl/drawings/drawing3.xml" ContentType="application/vnd.openxmlformats-officedocument.drawing+xml"/>
  <Override PartName="/xl/charts/chart1.xml" ContentType="application/vnd.openxmlformats-officedocument.drawingml.chart+xml"/>
  <Override PartName="/xl/drawings/drawing1.xml" ContentType="application/vnd.openxmlformats-officedocument.drawing+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4.xml" ContentType="application/vnd.openxmlformats-officedocument.spreadsheetml.worksheet+xml"/>
  <Override PartName="/xl/drawings/drawing4.xml" ContentType="application/vnd.openxmlformats-officedocument.drawing+xml"/>
  <Override PartName="/xl/charts/style3.xml" ContentType="application/vnd.ms-office.chartstyle+xml"/>
  <Override PartName="/xl/charts/colors3.xml" ContentType="application/vnd.ms-office.chartcolorstyle+xml"/>
  <Override PartName="/xl/charts/colors4.xml" ContentType="application/vnd.ms-office.chartcolorstyle+xml"/>
  <Override PartName="/xl/charts/style4.xml" ContentType="application/vnd.ms-office.chartstyle+xml"/>
  <Override PartName="/xl/drawings/drawing5.xml" ContentType="application/vnd.openxmlformats-officedocument.drawing+xml"/>
  <Override PartName="/xl/charts/chart4.xml" ContentType="application/vnd.openxmlformats-officedocument.drawingml.chart+xml"/>
  <Override PartName="/xl/charts/chart3.xml" ContentType="application/vnd.openxmlformats-officedocument.drawingml.chart+xml"/>
  <Override PartName="/xl/charts/chart5.xml" ContentType="application/vnd.openxmlformats-officedocument.drawingml.chart+xml"/>
  <Override PartName="/xl/drawings/drawing8.xml" ContentType="application/vnd.openxmlformats-officedocument.drawing+xml"/>
  <Override PartName="/xl/worksheets/sheet5.xml" ContentType="application/vnd.openxmlformats-officedocument.spreadsheetml.worksheet+xml"/>
  <Override PartName="/xl/drawings/drawing7.xml" ContentType="application/vnd.openxmlformats-officedocument.drawing+xml"/>
  <Override PartName="/xl/charts/colors5.xml" ContentType="application/vnd.ms-office.chartcolorstyle+xml"/>
  <Override PartName="/xl/charts/style5.xml" ContentType="application/vnd.ms-office.chartstyle+xml"/>
  <Override PartName="/xl/calcChain.xml" ContentType="application/vnd.openxmlformats-officedocument.spreadsheetml.calcChain+xml"/>
  <Override PartName="/xl/ctrlProps/ctrlProp1.xml" ContentType="application/vnd.ms-excel.controlproperties+xml"/>
  <Override PartName="/xl/comments1.xml" ContentType="application/vnd.openxmlformats-officedocument.spreadsheetml.comments+xml"/>
  <Override PartName="/xl/comments3.xml" ContentType="application/vnd.openxmlformats-officedocument.spreadsheetml.comments+xml"/>
  <Override PartName="/xl/comments5.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omments6.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C:\Users\arthur\Desktop\"/>
    </mc:Choice>
  </mc:AlternateContent>
  <bookViews>
    <workbookView xWindow="0" yWindow="0" windowWidth="28800" windowHeight="13005" tabRatio="620"/>
  </bookViews>
  <sheets>
    <sheet name="Entrées" sheetId="3" r:id="rId1"/>
    <sheet name="MINERGIE" sheetId="33254" state="hidden" r:id="rId2"/>
    <sheet name="Justificatif" sheetId="1027" r:id="rId3"/>
    <sheet name="Eté" sheetId="33255" state="hidden" r:id="rId4"/>
    <sheet name="Aperçu" sheetId="33257" state="hidden" r:id="rId5"/>
    <sheet name="MOP" sheetId="33253" state="hidden" r:id="rId6"/>
    <sheet name="Solaire_BE" sheetId="33262" state="hidden" r:id="rId7"/>
    <sheet name="Aperçu_BE" sheetId="33261" state="hidden" r:id="rId8"/>
    <sheet name="Standardwerte" sheetId="83" state="hidden" r:id="rId9"/>
    <sheet name="PVopti" sheetId="33258" state="hidden" r:id="rId10"/>
    <sheet name="Log" sheetId="8194" state="hidden" r:id="rId11"/>
    <sheet name="Construction" sheetId="33259" state="hidden" r:id="rId12"/>
    <sheet name="Uebersetzung" sheetId="1" state="hidden" r:id="rId13"/>
    <sheet name="Oeko" sheetId="33260" state="hidden" r:id="rId14"/>
  </sheets>
  <definedNames>
    <definedName name="_a0">Standardwerte!$AH$94</definedName>
    <definedName name="_a0WP">Standardwerte!$AH$90</definedName>
    <definedName name="_a10">Standardwerte!$AH$96</definedName>
    <definedName name="_a10WP">Standardwerte!$AH$92</definedName>
    <definedName name="_a5">Standardwerte!$AH$95</definedName>
    <definedName name="_a5WP">Standardwerte!$AH$91</definedName>
    <definedName name="_b0">Standardwerte!$AI$94</definedName>
    <definedName name="_b0WP">Standardwerte!$AI$90</definedName>
    <definedName name="_b10">Standardwerte!$AI$96</definedName>
    <definedName name="_b10WP">Standardwerte!$AI$92</definedName>
    <definedName name="_b5">Standardwerte!$AI$95</definedName>
    <definedName name="_b5WP">Standardwerte!$AI$91</definedName>
    <definedName name="_EBF1">Standardwerte!$K$5</definedName>
    <definedName name="_EBF2">Standardwerte!$M$5</definedName>
    <definedName name="_EBF3">Standardwerte!$O$5</definedName>
    <definedName name="_EBF4">Standardwerte!$Q$5</definedName>
    <definedName name="_gew1">Justificatif!$R$8</definedName>
    <definedName name="_gew2">Justificatif!$R$12</definedName>
    <definedName name="_gew3">Justificatif!$R$16</definedName>
    <definedName name="_gew4">Justificatif!$R$20</definedName>
    <definedName name="_gew5">Justificatif!$F$51</definedName>
    <definedName name="_LER1">Standardwerte!$BU$35</definedName>
    <definedName name="_LER2">Standardwerte!$BU$36</definedName>
    <definedName name="_LER3">Standardwerte!$BU$37</definedName>
    <definedName name="_LER4">Standardwerte!$BU$38</definedName>
    <definedName name="_neu1">MINERGIE!$O$22</definedName>
    <definedName name="_neu2">MINERGIE!$P$22</definedName>
    <definedName name="_neu3">MINERGIE!$Q$22</definedName>
    <definedName name="_neu4">MINERGIE!$R$22</definedName>
    <definedName name="_Neubau">Standardwerte!$AI$23:$AI$25</definedName>
    <definedName name="_nL1">Standardwerte!$N$23</definedName>
    <definedName name="_nL2">Standardwerte!$R$23</definedName>
    <definedName name="_nL3">Standardwerte!$N$27</definedName>
    <definedName name="_nL4">Standardwerte!$R$27</definedName>
    <definedName name="_nL50">Standardwerte!$BU$59</definedName>
    <definedName name="_Qe1">Entrées!$F$83</definedName>
    <definedName name="_Qe2">Entrées!$G$83</definedName>
    <definedName name="_Qe3">Entrées!$H$83</definedName>
    <definedName name="_Qe4">Entrées!$I$83</definedName>
    <definedName name="_Qel1">Entrées!$F$82</definedName>
    <definedName name="_Qel2">Entrées!$G$82</definedName>
    <definedName name="_Qel3">Entrées!$H$82</definedName>
    <definedName name="_Qel4">Entrées!$I$82</definedName>
    <definedName name="_qh1">Entrées!$F$89</definedName>
    <definedName name="_qh2">Entrées!$G$89</definedName>
    <definedName name="_qh3">Entrées!$H$89</definedName>
    <definedName name="_qh4">Entrées!$I$89</definedName>
    <definedName name="_qhs1">Entrées!$F$90</definedName>
    <definedName name="_qhs2">Entrées!$G$90</definedName>
    <definedName name="_qhs3">Entrées!$H$90</definedName>
    <definedName name="_qhs4">Entrées!$I$90</definedName>
    <definedName name="_qw1">Justificatif!$G$35</definedName>
    <definedName name="_qw2">Justificatif!$H$35</definedName>
    <definedName name="_qw3">Justificatif!$I$35</definedName>
    <definedName name="_qw4">Justificatif!$J$35</definedName>
    <definedName name="_SIA2009">Standardwerte!$AK$64</definedName>
    <definedName name="_typ1">Standardwerte!$V$55</definedName>
    <definedName name="_typ2">Standardwerte!$V$56</definedName>
    <definedName name="_typ3">Standardwerte!$V$57</definedName>
    <definedName name="_typ4">Standardwerte!$V$58</definedName>
    <definedName name="_vo">Standardwerte!$U$3</definedName>
    <definedName name="_Vth1">Entrées!$F$45</definedName>
    <definedName name="_Vth2">Entrées!$G$45</definedName>
    <definedName name="_Vth3">Entrées!$H$45</definedName>
    <definedName name="_Vth4">Entrées!$I$45</definedName>
    <definedName name="_WRG1">Entrées!$F$93</definedName>
    <definedName name="_WRG2">Entrées!$G$93</definedName>
    <definedName name="_WRG3">Entrées!$H$93</definedName>
    <definedName name="_WRG4">Entrées!$I$93</definedName>
    <definedName name="_WW1">Standardwerte!$J$101</definedName>
    <definedName name="_WW2">Standardwerte!$K$101</definedName>
    <definedName name="_WW3">Standardwerte!$L$101</definedName>
    <definedName name="_WW4">Standardwerte!$M$101</definedName>
    <definedName name="_x0">Standardwerte!$AG$94</definedName>
    <definedName name="_x0WP">Standardwerte!$AG$90</definedName>
    <definedName name="_x10">Standardwerte!$AG$96</definedName>
    <definedName name="_x10WP">Standardwerte!$AG$92</definedName>
    <definedName name="_x5">Standardwerte!$AG$95</definedName>
    <definedName name="_x5WP">Standardwerte!$AG$91</definedName>
    <definedName name="abgabe1">Standardwerte!$AG$23</definedName>
    <definedName name="abgabe2">Standardwerte!$AG$24</definedName>
    <definedName name="abgabe3">Standardwerte!$AG$25</definedName>
    <definedName name="abgabe4">Standardwerte!$AG$26</definedName>
    <definedName name="AbluftWP">Entrées!$K$85</definedName>
    <definedName name="ACDC1">Standardwerte!$N$25</definedName>
    <definedName name="ACDC2">Standardwerte!$R$25</definedName>
    <definedName name="ACDC3">Standardwerte!$N$29</definedName>
    <definedName name="ACDC4">Standardwerte!$R$29</definedName>
    <definedName name="AEBF">Entrées!$K$92</definedName>
    <definedName name="AEBF1">Entrées!$F$92</definedName>
    <definedName name="AEBF2">Entrées!$G$92</definedName>
    <definedName name="AEBF3">Entrées!$H$92</definedName>
    <definedName name="AEBF4">Entrées!$I$92</definedName>
    <definedName name="AlleZonenNeu">Construction!$N$15</definedName>
    <definedName name="alpensued">Standardwerte!$D$241</definedName>
    <definedName name="alpin">Standardwerte!$D$242</definedName>
    <definedName name="Anetto_AEBF1">Standardwerte!$BV$55</definedName>
    <definedName name="Anetto_AEBF2">Standardwerte!$BV$56</definedName>
    <definedName name="Anetto_AEBF3">Standardwerte!$BV$57</definedName>
    <definedName name="Anetto_AEBF4">Standardwerte!$BV$58</definedName>
    <definedName name="Anteil_WP">MINERGIE!$AI$62</definedName>
    <definedName name="auswahl1">Standardwerte!$AZ$6</definedName>
    <definedName name="auswahl10">Standardwerte!$AZ$15</definedName>
    <definedName name="auswahl2">Standardwerte!$AZ$7</definedName>
    <definedName name="auswahl3">Standardwerte!$AZ$8</definedName>
    <definedName name="auswahl4">Standardwerte!$AZ$9</definedName>
    <definedName name="auswahl5">Standardwerte!$AZ$10</definedName>
    <definedName name="auswahl6">Standardwerte!$AZ$11</definedName>
    <definedName name="auswahl7">Standardwerte!$AZ$12</definedName>
    <definedName name="auswahl8">Standardwerte!$AZ$13</definedName>
    <definedName name="auswahl9">Standardwerte!$AZ$14</definedName>
    <definedName name="BadMisch">Standardwerte!$S$4</definedName>
    <definedName name="behördlicher_Nachweis">Nachweistyp</definedName>
    <definedName name="bern">Standardwerte!$AL$64</definedName>
    <definedName name="beta">Standardwerte!$BT$59</definedName>
    <definedName name="beta1">Standardwerte!$BT$55</definedName>
    <definedName name="beta2">Standardwerte!$BT$56</definedName>
    <definedName name="beta3">Standardwerte!$BT$57</definedName>
    <definedName name="beta4">Standardwerte!$BT$58</definedName>
    <definedName name="BioSolar">Standardwerte!$AE$61</definedName>
    <definedName name="Bueronutzung">Standardwerte!$S$1</definedName>
    <definedName name="C_Bat">MINERGIE!$AI$68</definedName>
    <definedName name="CO2_erdwaermesonde">Construction!$AB$21</definedName>
    <definedName name="CO2_PV">Construction!$AB$29</definedName>
    <definedName name="DeckungsgradHeizung">Justificatif!$J$27</definedName>
    <definedName name="DeckungsgradWW">Justificatif!$L$27</definedName>
    <definedName name="_xlnm.Print_Area" localSheetId="4">Aperçu!$A$1:$K$70</definedName>
    <definedName name="_xlnm.Print_Area" localSheetId="7">Aperçu_BE!$A$1:$K$70</definedName>
    <definedName name="_xlnm.Print_Area" localSheetId="11">Construction!$A$2:$I$49</definedName>
    <definedName name="_xlnm.Print_Area" localSheetId="0">Entrées!$A$1:$K$62</definedName>
    <definedName name="_xlnm.Print_Area" localSheetId="3">Eté!$A$1:$M$52</definedName>
    <definedName name="_xlnm.Print_Area" localSheetId="2">Justificatif!$A$1:$L$84</definedName>
    <definedName name="_xlnm.Print_Area" localSheetId="1">MINERGIE!$A$1:$K$73</definedName>
    <definedName name="_xlnm.Print_Area" localSheetId="6">Solaire_BE!$A$1:$K$38</definedName>
    <definedName name="_xlnm.Print_Area" localSheetId="8">Standardwerte!$A$1:$Z$77</definedName>
    <definedName name="e_1">Standardwerte!$AV$27</definedName>
    <definedName name="e_2">Standardwerte!$AV$28</definedName>
    <definedName name="e_3">Standardwerte!$AV$29</definedName>
    <definedName name="e_4">Standardwerte!$AV$30</definedName>
    <definedName name="E_Qk">Entrées!$K$84</definedName>
    <definedName name="E_Qk1">Entrées!$F$84</definedName>
    <definedName name="E_Qk11">Entrées!$F$79</definedName>
    <definedName name="E_Qk2">Entrées!$G$84</definedName>
    <definedName name="E_Qk22">Entrées!$G$79</definedName>
    <definedName name="E_Qk3">Entrées!$H$84</definedName>
    <definedName name="E_Qk33">Entrées!$H$79</definedName>
    <definedName name="E_Qk4">Entrées!$I$84</definedName>
    <definedName name="E_Qk44">Entrées!$I$79</definedName>
    <definedName name="EBF">Entrées!$K$19</definedName>
    <definedName name="ebf_1">Construction!$K$11</definedName>
    <definedName name="ebf_2">Construction!$L$11</definedName>
    <definedName name="ebf_3">Construction!$M$11</definedName>
    <definedName name="ebf_4">Construction!$N$11</definedName>
    <definedName name="EBF_MUKEN">Justificatif!$T$2</definedName>
    <definedName name="EBF_neu">MINERGIE!$Z$67</definedName>
    <definedName name="EBF_wohnen_neu">Solaire_BE!$K$40</definedName>
    <definedName name="EBF_wohnen_neu1">Solaire_BE!$F$40</definedName>
    <definedName name="EBF_wohnen_neu2">Solaire_BE!$G$40</definedName>
    <definedName name="EBF_wohnen_neu3">Solaire_BE!$H$40</definedName>
    <definedName name="EBF_wohnen_neu4">Solaire_BE!$I$40</definedName>
    <definedName name="EBF_Zweckneubau">MINERGIE!$S$80</definedName>
    <definedName name="EBFo">Entrées!$K$91</definedName>
    <definedName name="EBFo1">Standardwerte!$K$6</definedName>
    <definedName name="EBFo2">Standardwerte!$M$6</definedName>
    <definedName name="EBFo3">Standardwerte!$O$6</definedName>
    <definedName name="EBFo4">Standardwerte!$Q$6</definedName>
    <definedName name="ECAC1">Standardwerte!$T$52:$T$53</definedName>
    <definedName name="ECAC2">Standardwerte!$U$52:$U$53</definedName>
    <definedName name="ECAC3">Standardwerte!$V$52:$V$53</definedName>
    <definedName name="ECAC4">Standardwerte!$W$52:$W$53</definedName>
    <definedName name="EFH">Standardwerte!$BR$3</definedName>
    <definedName name="Einheit">Standardwerte!$Z$48:$Z$49</definedName>
    <definedName name="Einheiten">Standardwerte!$Z$50</definedName>
    <definedName name="Einwirkseiten1">Standardwerte!$AX$27</definedName>
    <definedName name="Einwirkseiten2">Standardwerte!$AX$28</definedName>
    <definedName name="Einwirkseiten3">Standardwerte!$AX$29</definedName>
    <definedName name="Einwirkseiten4">Standardwerte!$AX$30</definedName>
    <definedName name="einzel1">Standardwerte!$BG$12</definedName>
    <definedName name="Einzelanwendung">Standardwerte!$BV$5</definedName>
    <definedName name="En_Standard">Construction!$AI$31</definedName>
    <definedName name="EndenergieA">Justificatif!$O$8</definedName>
    <definedName name="EndenergieB">Justificatif!$O$12</definedName>
    <definedName name="EndenergieC">Justificatif!$O$16</definedName>
    <definedName name="EndenergieD">Justificatif!$O$20</definedName>
    <definedName name="EndenergieE">Justificatif!$U$48</definedName>
    <definedName name="Erzeugung">Standardwerte!$T$108:$T$155</definedName>
    <definedName name="f_fr_PV">MINERGIE!$AI$67</definedName>
    <definedName name="F_s1">Entrées!$F$25</definedName>
    <definedName name="F_s2">Entrées!$G$25</definedName>
    <definedName name="F_s3">Entrées!$H$25</definedName>
    <definedName name="F_s4">Entrées!$I$25</definedName>
    <definedName name="FaktorPE_TH_ECO_N">Oeko!$C$766</definedName>
    <definedName name="Fehler_Neuzertifizierung">Standardwerte!$BH$26</definedName>
    <definedName name="Fehler1">Standardwerte!$AF$40</definedName>
    <definedName name="Fehler2">Standardwerte!$AF$41</definedName>
    <definedName name="Fehler3">Standardwerte!$AF$42</definedName>
    <definedName name="FehlerLüftung1">Standardwerte!$R$65</definedName>
    <definedName name="FehlerLüftung2">Standardwerte!$S$50</definedName>
    <definedName name="FehlerLüftung3">Standardwerte!$T$59</definedName>
    <definedName name="flaeche_pro_kW_PV">Oeko!$G$711</definedName>
    <definedName name="Gebäudekategorie">Standardwerte!$I$9:$I$21</definedName>
    <definedName name="GebKat1">Construction!$K$9</definedName>
    <definedName name="GebKat2">Construction!$L$9</definedName>
    <definedName name="GebKat3">Construction!$M$9</definedName>
    <definedName name="GebKat4">Construction!$N$9</definedName>
    <definedName name="Gebuehr">Standardwerte!$BL$6</definedName>
    <definedName name="GF_1">Construction!$F$23</definedName>
    <definedName name="Grau">Standardwerte!$BR$72</definedName>
    <definedName name="Grau_Grenz">Standardwerte!$BS$77</definedName>
    <definedName name="GrenzwertMINERGIE">Standardwerte!$J$78</definedName>
    <definedName name="GWPE1unbeh">Oeko!$C$756</definedName>
    <definedName name="GWPE2unbeh">Oeko!$C$757</definedName>
    <definedName name="GWPEerdsonde1">Oeko!$C$748</definedName>
    <definedName name="GWPEerdsonde2">Oeko!$C$749</definedName>
    <definedName name="GWPEpv">Oeko!$C$746</definedName>
    <definedName name="GWTH1unbeh">Oeko!$C$758</definedName>
    <definedName name="GWTH2unbeh">Oeko!$C$759</definedName>
    <definedName name="GWTHerdsonde1">Oeko!$C$752</definedName>
    <definedName name="GWTHerdsonde2">Oeko!$C$753</definedName>
    <definedName name="GWTHpv">Oeko!$C$750</definedName>
    <definedName name="hlicht1">Entrées!$F$26</definedName>
    <definedName name="hlicht2">Entrées!$G$26</definedName>
    <definedName name="hlicht3">Entrées!$H$26</definedName>
    <definedName name="hlicht4">Entrées!$I$26</definedName>
    <definedName name="Hoehe">Entrées!$E$13</definedName>
    <definedName name="Industrienutzung">Standardwerte!$S$22</definedName>
    <definedName name="JaNein">Standardwerte!$AA$48:$AA$49</definedName>
    <definedName name="Kanton">Standardwerte!$BB$33</definedName>
    <definedName name="Kanton1">Standardwerte!$BC$4:$BC$32</definedName>
    <definedName name="Kategorie0">Oeko!$Q$11</definedName>
    <definedName name="Kategorie1">Standardwerte!$L$24</definedName>
    <definedName name="Kategorie2">Standardwerte!$P$24</definedName>
    <definedName name="Kategorie3">Standardwerte!$L$28</definedName>
    <definedName name="Kategorie4">Standardwerte!$P$28</definedName>
    <definedName name="KategorieEFH">MINERGIE!$O$108</definedName>
    <definedName name="Kleinanlagen1">Standardwerte!$AG$39:$AG$41</definedName>
    <definedName name="Kleinanlagen2">Standardwerte!$AI$39:$AI$41</definedName>
    <definedName name="Kleinanlagen3">Standardwerte!$AK$39:$AK$41</definedName>
    <definedName name="Kleinanlagen4">Standardwerte!$AM$39:$AM$41</definedName>
    <definedName name="Klima">Standardwerte!$B$4</definedName>
    <definedName name="klima1">Standardwerte!$J$54</definedName>
    <definedName name="klima2">Standardwerte!$J$55</definedName>
    <definedName name="klima3">Standardwerte!$J$56</definedName>
    <definedName name="klima4">Standardwerte!$J$57</definedName>
    <definedName name="Klimastation">Standardwerte!$A$7:$A$47</definedName>
    <definedName name="Komfort1">Standardwerte!$T$92</definedName>
    <definedName name="Komfort2">Standardwerte!$T$93</definedName>
    <definedName name="Komfort3">Standardwerte!$T$94</definedName>
    <definedName name="Komfort4">Standardwerte!$T$95</definedName>
    <definedName name="Kompensation_PV">Standardwerte!$BR$76</definedName>
    <definedName name="Laenge_Erdsonde">Construction!$AD$21</definedName>
    <definedName name="Lebensdauer_erdwaermesonde">Construction!$AC$21</definedName>
    <definedName name="Lebensdauer_PV">Construction!$AC$29</definedName>
    <definedName name="LER_Reduktion1">Standardwerte!$BZ$40</definedName>
    <definedName name="LER_Reduktion2">Standardwerte!$CA$40</definedName>
    <definedName name="LER_Reduktion3">Standardwerte!$CB$40</definedName>
    <definedName name="LER_Reduktion4">Standardwerte!$CC$40</definedName>
    <definedName name="LER_Text0">Standardwerte!$BW$44</definedName>
    <definedName name="LER_Text1">Standardwerte!$BW$45</definedName>
    <definedName name="LER_Text2">Standardwerte!$BW$46</definedName>
    <definedName name="LER_Text3">Standardwerte!$BW$47</definedName>
    <definedName name="LER_Text4">Standardwerte!$BW$48</definedName>
    <definedName name="LER_Text5">Standardwerte!$BW$49</definedName>
    <definedName name="LER_Text6">Standardwerte!$BW$50</definedName>
    <definedName name="LER_Text7">Standardwerte!$BW$50</definedName>
    <definedName name="Luftheizung">Standardwerte!$BW$28</definedName>
    <definedName name="Lüftung1">Standardwerte!$Q$35</definedName>
    <definedName name="Lüftung2">Standardwerte!$Q$36</definedName>
    <definedName name="Lüftung3">Standardwerte!$Q$37</definedName>
    <definedName name="Lüftung4">Standardwerte!$Q$38</definedName>
    <definedName name="Lüftungstyp">Standardwerte!$O$35:$O$43</definedName>
    <definedName name="Lüftungstyp1">Standardwerte!$P$68:$P$78</definedName>
    <definedName name="Lüftungstyp2">Standardwerte!$Q$68:$Q$78</definedName>
    <definedName name="Lüftungstyp3">Standardwerte!$R$68:$R$78</definedName>
    <definedName name="Lüftungstyp4">Standardwerte!$S$68:$S$78</definedName>
    <definedName name="mehr1">Standardwerte!$BH$12</definedName>
    <definedName name="Mehrfachanwendung">Standardwerte!$BV$6</definedName>
    <definedName name="Mieter1">MINERGIE!$O$53</definedName>
    <definedName name="Mieter2">MINERGIE!$P$53</definedName>
    <definedName name="Mieter3">MINERGIE!$Q$53</definedName>
    <definedName name="Mieter4">MINERGIE!$R$53</definedName>
    <definedName name="mineco">Standardwerte!$BF$33</definedName>
    <definedName name="MINERGIE_Wert">Justificatif!$I$58</definedName>
    <definedName name="minergiea">Standardwerte!$BM$33</definedName>
    <definedName name="minergiep">Standardwerte!$BM$28</definedName>
    <definedName name="Mischnutzung">Solaire_BE!$K$42</definedName>
    <definedName name="MUKEN">Justificatif!$Q$2</definedName>
    <definedName name="mx_basiswert_neubau">Oeko!$AN$9:$AQ$20</definedName>
    <definedName name="mx_matrixbezeichnungen">Oeko!$C$4:$N$10</definedName>
    <definedName name="mx_matrixbezeichnungen_c_speicherung">Oeko!$C$14:$N$20</definedName>
    <definedName name="mx_spannweite">Oeko!$AJ$13:$AL$19</definedName>
    <definedName name="MxEcoGWPE_N">Oeko!$B$719:$D$730</definedName>
    <definedName name="MxEcoGWTH_N">Oeko!$B$733:$D$744</definedName>
    <definedName name="Nachweistyp">Standardwerte!$AJ$55:$AJ$62</definedName>
    <definedName name="Nachzertifizierung">Standardwerte!$BH$24</definedName>
    <definedName name="Neubau">Standardwerte!$Q$39</definedName>
    <definedName name="Neubau1">Standardwerte!$Q$43</definedName>
    <definedName name="Neubau2">Standardwerte!$Q$44</definedName>
    <definedName name="Neubau3">Standardwerte!$Q$45</definedName>
    <definedName name="Neubau4">Standardwerte!$Q$46</definedName>
    <definedName name="nL50_1">Standardwerte!$BU$55</definedName>
    <definedName name="nL50_2">Standardwerte!$BU$56</definedName>
    <definedName name="nL50_3">Standardwerte!$BU$57</definedName>
    <definedName name="nL50_4">Standardwerte!$BU$58</definedName>
    <definedName name="NRE_erdwaermesonde">Construction!$AA$21</definedName>
    <definedName name="NRE_PV">Construction!$AA$29</definedName>
    <definedName name="nurBadnutzung">Standardwerte!$Q$1</definedName>
    <definedName name="Nutzung1">Standardwerte!$L$24</definedName>
    <definedName name="Oekostrom">Standardwerte!$BG$33</definedName>
    <definedName name="Primaer1">Standardwerte!$Q$97</definedName>
    <definedName name="Primaer2">Standardwerte!$Q$98</definedName>
    <definedName name="Primaer3">Standardwerte!$Q$99</definedName>
    <definedName name="Primaer4">Standardwerte!$Q$100</definedName>
    <definedName name="Primaeranf">Standardwerte!$O$101</definedName>
    <definedName name="Primaeranf1">Standardwerte!$O$97</definedName>
    <definedName name="Primaeranf2">Standardwerte!$O$98</definedName>
    <definedName name="Primaeranf3">Standardwerte!$O$99</definedName>
    <definedName name="Primaeranf4">Standardwerte!$O$100</definedName>
    <definedName name="Primaeranforderung">Standardwerte!$J$64</definedName>
    <definedName name="Projekt1">Entrées!$C$7</definedName>
    <definedName name="Projekt2">Entrées!$H$7</definedName>
    <definedName name="Projekt3">Entrées!$J$7</definedName>
    <definedName name="Projekt4">Entrées!$C$8</definedName>
    <definedName name="PVflaeche">Construction!$AG$28</definedName>
    <definedName name="Qe">Entrées!$K$83</definedName>
    <definedName name="Qe_vollständig">Entrées!$J$83</definedName>
    <definedName name="qh">Justificatif!$W$2</definedName>
    <definedName name="qh_vollständig">Entrées!$J$89</definedName>
    <definedName name="qhmax">Standardwerte!$BS$59</definedName>
    <definedName name="qhmax1">Standardwerte!$BS$55</definedName>
    <definedName name="qhmax2">Standardwerte!$BS$56</definedName>
    <definedName name="qhmax3">Standardwerte!$BS$57</definedName>
    <definedName name="qhmax4">Standardwerte!$BS$58</definedName>
    <definedName name="qhs">Standardwerte!$N$2</definedName>
    <definedName name="qhs_vollständig">Entrées!$J$90</definedName>
    <definedName name="qw">Justificatif!$L$35</definedName>
    <definedName name="Raum1">Entrées!$F$32</definedName>
    <definedName name="Raum2">Entrées!$G$32</definedName>
    <definedName name="Raum3">Entrées!$H$32</definedName>
    <definedName name="Raum4">Entrées!$I$32</definedName>
    <definedName name="Reduktion">Standardwerte!$BV$4</definedName>
    <definedName name="Reduktionsfaktor_CO2_Beton">Construction!$AE$4</definedName>
    <definedName name="REFH">Standardwerte!$BV$3</definedName>
    <definedName name="Sanierung">Standardwerte!$J$60</definedName>
    <definedName name="Schulnutzung">Standardwerte!$S$2</definedName>
    <definedName name="solar_erfüllt">Solaire_BE!$K$57</definedName>
    <definedName name="Solarpflicht">Solaire_BE!$K$44</definedName>
    <definedName name="Standardlüftung">Standardwerte!$I$6</definedName>
    <definedName name="Standardlüftung1">Standardwerte!$J$27</definedName>
    <definedName name="Standardlüftung2">Standardwerte!$J$28</definedName>
    <definedName name="Standardlüftung3">Standardwerte!$J$29</definedName>
    <definedName name="Standardlüftung4">Standardwerte!$J$30</definedName>
    <definedName name="Steigungsfaktor_Einlagen_EPnren">Construction!$AC$35</definedName>
    <definedName name="Steigungsfaktor_Einlagen_MGHG">Construction!$AD$35</definedName>
    <definedName name="StrombedarfE">Justificatif!$U$47</definedName>
    <definedName name="summe_ebf">Construction!$O$11</definedName>
    <definedName name="tab_eingriffstiefe_ausbau">Oeko!$BE$7:$BE$19</definedName>
    <definedName name="tab_eingriffstiefe_baulich">Oeko!$AY$7:$AY$19</definedName>
    <definedName name="tab_eingriffstiefe_technik">Oeko!$AT$8:$AT$10</definedName>
    <definedName name="tab_hgt">Oeko!$E$659:$G$698</definedName>
    <definedName name="tab_ug">Oeko!$Z$13:$AA$17</definedName>
    <definedName name="Thetaea">Standardwerte!$F$4</definedName>
    <definedName name="THG_andere">Standardwerte!$AP$105</definedName>
    <definedName name="THG_PV">Standardwerte!$AP$141</definedName>
    <definedName name="THG_Scope1">Justificatif!$AF$2</definedName>
    <definedName name="THG_Strom">Standardwerte!$AP$104</definedName>
    <definedName name="VEBFo1">Standardwerte!$S$35</definedName>
    <definedName name="VEBFo2">Standardwerte!$S$36</definedName>
    <definedName name="VEBFo3">Standardwerte!$S$37</definedName>
    <definedName name="VEBFo4">Standardwerte!$S$38</definedName>
    <definedName name="Verkaufsnutzung">Standardwerte!$S$3</definedName>
    <definedName name="vo">Standardwerte!$P$51</definedName>
    <definedName name="VSup1">Standardwerte!$R$35</definedName>
    <definedName name="VSup2">Standardwerte!$R$36</definedName>
    <definedName name="VSup3">Standardwerte!$R$37</definedName>
    <definedName name="VSup4">Standardwerte!$R$38</definedName>
    <definedName name="Vth">Entrées!$K$45</definedName>
    <definedName name="vx">Standardwerte!$P$50</definedName>
    <definedName name="WaermebedarfA">Justificatif!$N$8</definedName>
    <definedName name="WaermebedarfB">Justificatif!$N$12</definedName>
    <definedName name="WaermebedarfC">Justificatif!$N$16</definedName>
    <definedName name="WaermebedarfD">Justificatif!$N$20</definedName>
    <definedName name="WaermebedarfE">Justificatif!$N$24</definedName>
    <definedName name="Waermepumpe">Entrées!$K$75</definedName>
    <definedName name="Warmwasser">Standardwerte!$N$103</definedName>
    <definedName name="WirkungsgradA">Justificatif!$I$8</definedName>
    <definedName name="WirkungsgradB">Justificatif!$I$12</definedName>
    <definedName name="WirkungsgradC">Justificatif!$I$16</definedName>
    <definedName name="WirkungsgradD">Justificatif!$I$20</definedName>
    <definedName name="WirkungsgradE">Justificatif!$V$27</definedName>
    <definedName name="wkk">Justificatif!$Q$29</definedName>
    <definedName name="wohnen1">MINERGIE!$O$31</definedName>
    <definedName name="wohnen2">MINERGIE!$P$31</definedName>
    <definedName name="wohnen3">MINERGIE!$Q$31</definedName>
    <definedName name="wohnen4">MINERGIE!$R$31</definedName>
    <definedName name="wohnnutzung">Standardwerte!$BT$3</definedName>
    <definedName name="wohnstrom">MINERGIE!#REF!</definedName>
    <definedName name="Wohnstrommodell">MINERGIE!$Z$81</definedName>
    <definedName name="WRG">Entrées!$K$93</definedName>
    <definedName name="WRG_1">Standardwerte!$T$46:$T$50</definedName>
    <definedName name="WRG_2">Standardwerte!$U$46:$U$50</definedName>
    <definedName name="WRG_3">Standardwerte!$V$46:$V$50</definedName>
    <definedName name="WRG_4">Standardwerte!$W$46:$W$50</definedName>
    <definedName name="WRG0">Entrées!$K$74</definedName>
    <definedName name="WRGtyp1">Standardwerte!$T$55</definedName>
    <definedName name="WRGtyp2">Standardwerte!$T$56</definedName>
    <definedName name="WRGtyp3">Standardwerte!$T$57</definedName>
    <definedName name="WRGtyp4">Standardwerte!$T$58</definedName>
    <definedName name="ww_1">Standardwerte!$J$99:$J$100</definedName>
    <definedName name="ww_2">Standardwerte!$K$99:$K$100</definedName>
    <definedName name="ww_3">Standardwerte!$L$99:$L$100</definedName>
    <definedName name="ww_4">Standardwerte!$M$99:$M$100</definedName>
    <definedName name="ww_erneuerbar">Justificatif!$AC$2</definedName>
    <definedName name="ww_erneuerbar_BE">Justificatif!$AC$3</definedName>
    <definedName name="WWBonus">Standardwerte!$R$6</definedName>
    <definedName name="WWBonus1">Standardwerte!$L$26</definedName>
    <definedName name="WWBonus2">Standardwerte!$P$26</definedName>
    <definedName name="WWBonus3">Standardwerte!$L$30</definedName>
    <definedName name="WWBonus4">Standardwerte!$P$30</definedName>
    <definedName name="WWMIN1">Standardwerte!$N$26</definedName>
    <definedName name="WWMIN2">Standardwerte!$R$26</definedName>
    <definedName name="WWMIN3">Standardwerte!$N$30</definedName>
    <definedName name="WWMIN4">Standardwerte!$R$30</definedName>
    <definedName name="WWSoll">Standardwerte!$S$5</definedName>
    <definedName name="Zertifikat1">Standardwerte!$BO$35</definedName>
    <definedName name="Zertifikat2">Standardwerte!$BO$36</definedName>
    <definedName name="Zertifikat3">Standardwerte!$BO$37</definedName>
    <definedName name="Zertifikat4">Standardwerte!$BO$38</definedName>
    <definedName name="Zone1">Standardwerte!$J$113:$J$117</definedName>
    <definedName name="Zone2">Standardwerte!$K$113:$K$117</definedName>
    <definedName name="Zone3">Standardwerte!$L$113:$L$117</definedName>
    <definedName name="Zone4">Standardwerte!$M$113:$M$117</definedName>
    <definedName name="Zonen">Entrées!$K$64</definedName>
    <definedName name="Zonen_vollständig">Standardwerte!$N$3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33262" l="1"/>
  <c r="K53" i="33262"/>
  <c r="B38" i="33262"/>
  <c r="C20" i="33262"/>
  <c r="K19" i="33262"/>
  <c r="H19" i="33262"/>
  <c r="C19" i="33262"/>
  <c r="H4" i="1" l="1"/>
  <c r="B70" i="33261" l="1"/>
  <c r="N84" i="33261"/>
  <c r="C22" i="33261"/>
  <c r="K21" i="33261"/>
  <c r="H21" i="33261"/>
  <c r="C21" i="33261"/>
  <c r="H118" i="33254" l="1"/>
  <c r="J117" i="33254"/>
  <c r="H117" i="33254"/>
  <c r="E117" i="33254"/>
  <c r="I76" i="33254"/>
  <c r="AI22" i="33259" l="1"/>
  <c r="AL44" i="1027" l="1"/>
  <c r="AL43" i="1027"/>
  <c r="AL40" i="1027"/>
  <c r="AL39" i="1027"/>
  <c r="AL25" i="1027"/>
  <c r="AJ6" i="33259" l="1"/>
  <c r="K9" i="33259"/>
  <c r="L9" i="33259"/>
  <c r="M9" i="33259"/>
  <c r="N9" i="33259"/>
  <c r="K12" i="33259"/>
  <c r="L12" i="33259"/>
  <c r="M12" i="33259"/>
  <c r="N12" i="33259"/>
  <c r="O12" i="33259"/>
  <c r="K13" i="33259" l="1"/>
  <c r="L13" i="33259"/>
  <c r="M13" i="33259"/>
  <c r="N13" i="33259"/>
  <c r="AC35" i="33259" l="1"/>
  <c r="AD35" i="33259"/>
  <c r="F19" i="33259" l="1"/>
  <c r="E698" i="33260" l="1"/>
  <c r="E697" i="33260"/>
  <c r="E696" i="33260"/>
  <c r="E695" i="33260"/>
  <c r="E694" i="33260"/>
  <c r="E693" i="33260"/>
  <c r="E692" i="33260"/>
  <c r="E691" i="33260"/>
  <c r="E690" i="33260"/>
  <c r="E689" i="33260"/>
  <c r="E688" i="33260"/>
  <c r="E687" i="33260"/>
  <c r="E686" i="33260"/>
  <c r="E685" i="33260"/>
  <c r="E684" i="33260"/>
  <c r="E683" i="33260"/>
  <c r="E682" i="33260"/>
  <c r="E681" i="33260"/>
  <c r="E680" i="33260"/>
  <c r="E679" i="33260"/>
  <c r="E678" i="33260"/>
  <c r="E677" i="33260"/>
  <c r="E676" i="33260"/>
  <c r="E675" i="33260"/>
  <c r="E674" i="33260"/>
  <c r="E673" i="33260"/>
  <c r="E672" i="33260"/>
  <c r="E671" i="33260"/>
  <c r="E670" i="33260"/>
  <c r="E669" i="33260"/>
  <c r="E668" i="33260"/>
  <c r="E667" i="33260"/>
  <c r="E666" i="33260"/>
  <c r="E665" i="33260"/>
  <c r="E664" i="33260"/>
  <c r="E663" i="33260"/>
  <c r="E662" i="33260"/>
  <c r="E661" i="33260"/>
  <c r="E660" i="33260"/>
  <c r="E659" i="33260"/>
  <c r="F18" i="33259"/>
  <c r="F17" i="33259"/>
  <c r="F16" i="33259"/>
  <c r="F15" i="33259"/>
  <c r="F10" i="33259"/>
  <c r="F14" i="33259"/>
  <c r="AH11" i="33259" l="1"/>
  <c r="AH9" i="33259"/>
  <c r="A46" i="33259"/>
  <c r="A45" i="33259"/>
  <c r="G9" i="33259"/>
  <c r="F9" i="33259"/>
  <c r="I9" i="33259"/>
  <c r="H9" i="33259"/>
  <c r="C764" i="33260"/>
  <c r="C753" i="33260"/>
  <c r="C752" i="33260"/>
  <c r="G710" i="33260"/>
  <c r="G711" i="33260" s="1"/>
  <c r="AG28" i="33259" s="1"/>
  <c r="AF636" i="33260"/>
  <c r="AF635" i="33260"/>
  <c r="AF634" i="33260"/>
  <c r="AF633" i="33260"/>
  <c r="AF632" i="33260"/>
  <c r="AF631" i="33260"/>
  <c r="AF630" i="33260"/>
  <c r="AF629" i="33260"/>
  <c r="AF628" i="33260"/>
  <c r="AF627" i="33260"/>
  <c r="AF626" i="33260"/>
  <c r="AF625" i="33260"/>
  <c r="R19" i="33260"/>
  <c r="T8" i="33260" s="1"/>
  <c r="Q19" i="33260"/>
  <c r="E651" i="33260" s="1"/>
  <c r="Q18" i="33260"/>
  <c r="S651" i="33260" l="1"/>
  <c r="S650" i="33260"/>
  <c r="E650" i="33260"/>
  <c r="A703" i="33253" l="1"/>
  <c r="A704" i="33253" s="1"/>
  <c r="A701" i="33253"/>
  <c r="A702" i="33253" s="1"/>
  <c r="A699" i="33253"/>
  <c r="A700" i="33253" s="1"/>
  <c r="A697" i="33253"/>
  <c r="A289" i="33253"/>
  <c r="A290" i="33253" s="1"/>
  <c r="A281" i="33253"/>
  <c r="A287" i="33253"/>
  <c r="A288" i="33253" s="1"/>
  <c r="A285" i="33253"/>
  <c r="A286" i="33253" s="1"/>
  <c r="A283" i="33253"/>
  <c r="AI83" i="83" l="1"/>
  <c r="AI82" i="83"/>
  <c r="AI81" i="83"/>
  <c r="AI80" i="83"/>
  <c r="AI79" i="83"/>
  <c r="AI78" i="83"/>
  <c r="AI76" i="83"/>
  <c r="AI75" i="83"/>
  <c r="AI74" i="83"/>
  <c r="AI73" i="83"/>
  <c r="AI72" i="83"/>
  <c r="AI77" i="83"/>
  <c r="A691" i="33253" l="1"/>
  <c r="A692" i="33253" s="1"/>
  <c r="A689" i="33253"/>
  <c r="A690" i="33253" s="1"/>
  <c r="A687" i="33253"/>
  <c r="A688" i="33253" s="1"/>
  <c r="A685" i="33253"/>
  <c r="A686" i="33253" s="1"/>
  <c r="A684" i="33253"/>
  <c r="A682" i="33253"/>
  <c r="A683" i="33253" s="1"/>
  <c r="A680" i="33253"/>
  <c r="A681" i="33253" s="1"/>
  <c r="A678" i="33253"/>
  <c r="A679" i="33253" s="1"/>
  <c r="A676" i="33253"/>
  <c r="A677" i="33253" s="1"/>
  <c r="A674" i="33253"/>
  <c r="A675" i="33253" s="1"/>
  <c r="A672" i="33253"/>
  <c r="A673" i="33253" s="1"/>
  <c r="A670" i="33253"/>
  <c r="A671" i="33253" s="1"/>
  <c r="A668" i="33253"/>
  <c r="A669" i="33253" s="1"/>
  <c r="A666" i="33253"/>
  <c r="A667" i="33253" s="1"/>
  <c r="A664" i="33253"/>
  <c r="A663" i="33253"/>
  <c r="A662" i="33253"/>
  <c r="A661" i="33253"/>
  <c r="A660" i="33253"/>
  <c r="A659" i="33253"/>
  <c r="A657" i="33253"/>
  <c r="A658" i="33253" s="1"/>
  <c r="A655" i="33253"/>
  <c r="A656" i="33253" s="1"/>
  <c r="A653" i="33253"/>
  <c r="A651" i="33253"/>
  <c r="A649" i="33253"/>
  <c r="A650" i="33253" s="1"/>
  <c r="A647" i="33253"/>
  <c r="A648" i="33253" s="1"/>
  <c r="A645" i="33253"/>
  <c r="A646" i="33253" s="1"/>
  <c r="A643" i="33253"/>
  <c r="A638" i="33253"/>
  <c r="A637" i="33253"/>
  <c r="A636" i="33253"/>
  <c r="A635" i="33253"/>
  <c r="Q38" i="83" l="1"/>
  <c r="S64" i="83" s="1"/>
  <c r="Q37" i="83"/>
  <c r="V49" i="83" s="1"/>
  <c r="B51" i="83"/>
  <c r="D242" i="83" s="1"/>
  <c r="T57" i="83"/>
  <c r="N63" i="83" s="1"/>
  <c r="H93" i="3" s="1"/>
  <c r="H24" i="33254"/>
  <c r="AN14" i="1027"/>
  <c r="AN22" i="1027"/>
  <c r="AN18" i="1027"/>
  <c r="Z50" i="83"/>
  <c r="F89" i="3" s="1"/>
  <c r="A109" i="33253" s="1"/>
  <c r="AN21" i="1027"/>
  <c r="AN17" i="1027"/>
  <c r="AN9" i="1027"/>
  <c r="F92" i="3"/>
  <c r="A117" i="33253" s="1"/>
  <c r="F24" i="33254"/>
  <c r="H92" i="3"/>
  <c r="A119" i="33253" s="1"/>
  <c r="AH62" i="33254"/>
  <c r="I92" i="3"/>
  <c r="A120" i="33253" s="1"/>
  <c r="I24" i="33254"/>
  <c r="G92" i="3"/>
  <c r="A118" i="33253" s="1"/>
  <c r="G24" i="33254"/>
  <c r="X43" i="83"/>
  <c r="W43" i="83"/>
  <c r="O35" i="83"/>
  <c r="T58" i="83"/>
  <c r="M64" i="83" s="1"/>
  <c r="X44" i="83"/>
  <c r="X45" i="83"/>
  <c r="W45" i="83"/>
  <c r="V45" i="83"/>
  <c r="U45" i="83"/>
  <c r="W44" i="83"/>
  <c r="V44" i="83"/>
  <c r="U44" i="83"/>
  <c r="U38" i="83"/>
  <c r="AI23" i="83"/>
  <c r="X34" i="83"/>
  <c r="W34" i="83"/>
  <c r="V34" i="83"/>
  <c r="U34" i="83"/>
  <c r="X33" i="83"/>
  <c r="W33" i="83"/>
  <c r="V33" i="83"/>
  <c r="U33" i="83"/>
  <c r="P68" i="83"/>
  <c r="A4" i="33253"/>
  <c r="A201" i="83"/>
  <c r="A202" i="83"/>
  <c r="A203" i="83"/>
  <c r="A204" i="83"/>
  <c r="A205" i="83"/>
  <c r="A206" i="83"/>
  <c r="A207" i="83"/>
  <c r="A208" i="83"/>
  <c r="A209" i="83"/>
  <c r="A210" i="83"/>
  <c r="A211" i="83"/>
  <c r="A212" i="83"/>
  <c r="A213" i="83"/>
  <c r="A214" i="83"/>
  <c r="A215" i="83"/>
  <c r="A216" i="83"/>
  <c r="A217" i="83"/>
  <c r="A218" i="83"/>
  <c r="A219" i="83"/>
  <c r="A220" i="83"/>
  <c r="A221" i="83"/>
  <c r="A222" i="83"/>
  <c r="A223" i="83"/>
  <c r="A224" i="83"/>
  <c r="A225" i="83"/>
  <c r="A226" i="83"/>
  <c r="A227" i="83"/>
  <c r="A228" i="83"/>
  <c r="A229" i="83"/>
  <c r="A230" i="83"/>
  <c r="A231" i="83"/>
  <c r="A232" i="83"/>
  <c r="A233" i="83"/>
  <c r="A234" i="83"/>
  <c r="A235" i="83"/>
  <c r="A236" i="83"/>
  <c r="A237" i="83"/>
  <c r="A238" i="83"/>
  <c r="A239" i="83"/>
  <c r="A240" i="83"/>
  <c r="B199" i="83"/>
  <c r="J210" i="83" s="1"/>
  <c r="A411" i="33253"/>
  <c r="A412" i="33253" s="1"/>
  <c r="A409" i="33253"/>
  <c r="A407" i="33253"/>
  <c r="A408" i="33253" s="1"/>
  <c r="A405" i="33253"/>
  <c r="A406" i="33253" s="1"/>
  <c r="A419" i="33253"/>
  <c r="A420" i="33253" s="1"/>
  <c r="A417" i="33253"/>
  <c r="A418" i="33253" s="1"/>
  <c r="A415" i="33253"/>
  <c r="A416" i="33253" s="1"/>
  <c r="A413" i="33253"/>
  <c r="A414" i="33253" s="1"/>
  <c r="A622" i="33253"/>
  <c r="A623" i="33253" s="1"/>
  <c r="A620" i="33253"/>
  <c r="A621" i="33253" s="1"/>
  <c r="A618" i="33253"/>
  <c r="A616" i="33253"/>
  <c r="A617" i="33253" s="1"/>
  <c r="A427" i="33253"/>
  <c r="A428" i="33253" s="1"/>
  <c r="A425" i="33253"/>
  <c r="A426" i="33253" s="1"/>
  <c r="A423" i="33253"/>
  <c r="A424" i="33253" s="1"/>
  <c r="A421" i="33253"/>
  <c r="A422" i="33253" s="1"/>
  <c r="A608" i="33253"/>
  <c r="A609" i="33253" s="1"/>
  <c r="A610" i="33253"/>
  <c r="A611" i="33253" s="1"/>
  <c r="A606" i="33253"/>
  <c r="A607" i="33253" s="1"/>
  <c r="A604" i="33253"/>
  <c r="A605" i="33253" s="1"/>
  <c r="A445" i="33253"/>
  <c r="A443" i="33253"/>
  <c r="A444" i="33253" s="1"/>
  <c r="A441" i="33253"/>
  <c r="A442" i="33253" s="1"/>
  <c r="A439" i="33253"/>
  <c r="A440" i="33253" s="1"/>
  <c r="A437" i="33253"/>
  <c r="A438" i="33253" s="1"/>
  <c r="A460" i="33253"/>
  <c r="A461" i="33253" s="1"/>
  <c r="A458" i="33253"/>
  <c r="A456" i="33253"/>
  <c r="A457" i="33253" s="1"/>
  <c r="A454" i="33253"/>
  <c r="A455" i="33253" s="1"/>
  <c r="A452" i="33253"/>
  <c r="A453" i="33253" s="1"/>
  <c r="A450" i="33253"/>
  <c r="A451" i="33253" s="1"/>
  <c r="A448" i="33253"/>
  <c r="A449" i="33253" s="1"/>
  <c r="A446" i="33253"/>
  <c r="A447" i="33253" s="1"/>
  <c r="B7" i="33255"/>
  <c r="L204" i="83"/>
  <c r="M204" i="83"/>
  <c r="N204" i="83"/>
  <c r="K204" i="83"/>
  <c r="J204" i="83"/>
  <c r="A200" i="83"/>
  <c r="T108" i="83"/>
  <c r="AK155" i="83"/>
  <c r="AK154" i="83"/>
  <c r="A2" i="33253"/>
  <c r="D12" i="33258"/>
  <c r="E12" i="33258"/>
  <c r="E11" i="33258"/>
  <c r="D11" i="33258"/>
  <c r="D10" i="33258"/>
  <c r="E10" i="33258"/>
  <c r="E9" i="33258"/>
  <c r="D9" i="33258"/>
  <c r="E13" i="33258"/>
  <c r="D13" i="33258"/>
  <c r="G5" i="33258"/>
  <c r="D5" i="33258"/>
  <c r="C5" i="33258"/>
  <c r="D4" i="33258"/>
  <c r="C4" i="33258"/>
  <c r="C13" i="33258"/>
  <c r="N39" i="33257"/>
  <c r="A602" i="33253"/>
  <c r="A549" i="33253"/>
  <c r="A550" i="33253" s="1"/>
  <c r="A547" i="33253"/>
  <c r="A548" i="33253" s="1"/>
  <c r="A545" i="33253"/>
  <c r="A543" i="33253"/>
  <c r="Y145" i="83"/>
  <c r="Y146" i="83"/>
  <c r="Y147" i="83"/>
  <c r="Y148" i="83"/>
  <c r="Y149" i="83"/>
  <c r="Y144" i="83"/>
  <c r="AT9" i="83"/>
  <c r="AR9" i="83"/>
  <c r="AQ9" i="83"/>
  <c r="AP9" i="83"/>
  <c r="AO9" i="83"/>
  <c r="AN9" i="83"/>
  <c r="AM9" i="83"/>
  <c r="AL9" i="83"/>
  <c r="AK9" i="83"/>
  <c r="AJ9" i="83"/>
  <c r="AI9" i="83"/>
  <c r="AH9" i="83"/>
  <c r="AF9" i="83"/>
  <c r="BA9" i="83"/>
  <c r="AH22" i="33254"/>
  <c r="AH23" i="33254"/>
  <c r="AH24" i="33254"/>
  <c r="AN10" i="1027"/>
  <c r="AN13" i="1027"/>
  <c r="AN25" i="1027"/>
  <c r="AN27" i="1027"/>
  <c r="U40" i="83"/>
  <c r="X40" i="83"/>
  <c r="W40" i="83"/>
  <c r="V40" i="83"/>
  <c r="X39" i="83"/>
  <c r="W39" i="83"/>
  <c r="A504" i="33253"/>
  <c r="A505" i="33253" s="1"/>
  <c r="A502" i="33253"/>
  <c r="A503" i="33253" s="1"/>
  <c r="A500" i="33253"/>
  <c r="A501" i="33253" s="1"/>
  <c r="A498" i="33253"/>
  <c r="F4" i="1"/>
  <c r="AK43" i="1027"/>
  <c r="AP105" i="83"/>
  <c r="AK27" i="1027"/>
  <c r="AP104" i="83"/>
  <c r="AK39" i="1027"/>
  <c r="AK34" i="1027"/>
  <c r="AK44" i="1027"/>
  <c r="AK40" i="1027"/>
  <c r="AK25" i="1027"/>
  <c r="AZ160" i="83"/>
  <c r="BA160" i="83"/>
  <c r="BB160" i="83"/>
  <c r="AZ161" i="83"/>
  <c r="BA161" i="83"/>
  <c r="BB161" i="83"/>
  <c r="AZ162" i="83"/>
  <c r="BA162" i="83"/>
  <c r="BB162" i="83"/>
  <c r="AZ163" i="83"/>
  <c r="BA163" i="83"/>
  <c r="BB163" i="83"/>
  <c r="AZ164" i="83"/>
  <c r="BA164" i="83"/>
  <c r="BB164" i="83"/>
  <c r="BC160" i="83"/>
  <c r="BC161" i="83"/>
  <c r="BC162" i="83"/>
  <c r="BC163" i="83"/>
  <c r="BC164" i="83"/>
  <c r="A1" i="33253"/>
  <c r="A496" i="33253"/>
  <c r="A494" i="33253"/>
  <c r="A493" i="33253"/>
  <c r="A490" i="33253"/>
  <c r="A489" i="33253"/>
  <c r="A488" i="33253"/>
  <c r="A459" i="33253"/>
  <c r="A410" i="33253"/>
  <c r="A395" i="33253"/>
  <c r="A396" i="33253" s="1"/>
  <c r="A393" i="33253"/>
  <c r="A394" i="33253" s="1"/>
  <c r="A391" i="33253"/>
  <c r="A392" i="33253" s="1"/>
  <c r="A389" i="33253"/>
  <c r="A390" i="33253" s="1"/>
  <c r="A388" i="33253"/>
  <c r="A386" i="33253"/>
  <c r="A387" i="33253" s="1"/>
  <c r="A384" i="33253"/>
  <c r="A385" i="33253" s="1"/>
  <c r="A382" i="33253"/>
  <c r="A383" i="33253" s="1"/>
  <c r="A380" i="33253"/>
  <c r="A381" i="33253" s="1"/>
  <c r="A376" i="33253"/>
  <c r="A377" i="33253" s="1"/>
  <c r="A374" i="33253"/>
  <c r="A375" i="33253" s="1"/>
  <c r="A370" i="33253"/>
  <c r="A371" i="33253" s="1"/>
  <c r="A368" i="33253"/>
  <c r="A369" i="33253" s="1"/>
  <c r="A366" i="33253"/>
  <c r="A367" i="33253" s="1"/>
  <c r="A362" i="33253"/>
  <c r="A363" i="33253" s="1"/>
  <c r="A358" i="33253"/>
  <c r="A359" i="33253" s="1"/>
  <c r="A354" i="33253"/>
  <c r="A355" i="33253" s="1"/>
  <c r="A357" i="33253"/>
  <c r="A350" i="33253"/>
  <c r="A344" i="33253"/>
  <c r="A342" i="33253"/>
  <c r="A341" i="33253"/>
  <c r="A329" i="33253"/>
  <c r="A330" i="33253" s="1"/>
  <c r="A327" i="33253"/>
  <c r="A328" i="33253" s="1"/>
  <c r="A325" i="33253"/>
  <c r="A326" i="33253" s="1"/>
  <c r="A323" i="33253"/>
  <c r="A324" i="33253" s="1"/>
  <c r="A321" i="33253"/>
  <c r="A322" i="33253" s="1"/>
  <c r="A319" i="33253"/>
  <c r="A320" i="33253" s="1"/>
  <c r="A317" i="33253"/>
  <c r="A318" i="33253" s="1"/>
  <c r="A315" i="33253"/>
  <c r="A316" i="33253" s="1"/>
  <c r="A313" i="33253"/>
  <c r="A314" i="33253" s="1"/>
  <c r="A311" i="33253"/>
  <c r="A312" i="33253" s="1"/>
  <c r="A309" i="33253"/>
  <c r="A310" i="33253" s="1"/>
  <c r="A307" i="33253"/>
  <c r="A308" i="33253" s="1"/>
  <c r="A305" i="33253"/>
  <c r="A306" i="33253" s="1"/>
  <c r="A303" i="33253"/>
  <c r="A301" i="33253"/>
  <c r="A302" i="33253" s="1"/>
  <c r="A299" i="33253"/>
  <c r="A282" i="33253"/>
  <c r="A279" i="33253"/>
  <c r="A280" i="33253" s="1"/>
  <c r="A277" i="33253"/>
  <c r="A278" i="33253" s="1"/>
  <c r="A275" i="33253"/>
  <c r="A267" i="33253"/>
  <c r="A273" i="33253"/>
  <c r="A274" i="33253" s="1"/>
  <c r="A271" i="33253"/>
  <c r="A272" i="33253" s="1"/>
  <c r="A269" i="33253"/>
  <c r="A270" i="33253" s="1"/>
  <c r="A265" i="33253"/>
  <c r="A266" i="33253" s="1"/>
  <c r="A263" i="33253"/>
  <c r="A264" i="33253" s="1"/>
  <c r="A261" i="33253"/>
  <c r="A262" i="33253" s="1"/>
  <c r="A259" i="33253"/>
  <c r="A257" i="33253"/>
  <c r="A258" i="33253" s="1"/>
  <c r="A255" i="33253"/>
  <c r="A256" i="33253" s="1"/>
  <c r="A253" i="33253"/>
  <c r="A254" i="33253" s="1"/>
  <c r="A251" i="33253"/>
  <c r="A249" i="33253"/>
  <c r="A247" i="33253"/>
  <c r="A248" i="33253" s="1"/>
  <c r="A245" i="33253"/>
  <c r="A243" i="33253"/>
  <c r="A229" i="33253"/>
  <c r="A230" i="33253" s="1"/>
  <c r="A227" i="33253"/>
  <c r="A228" i="33253" s="1"/>
  <c r="A225" i="33253"/>
  <c r="A226" i="33253" s="1"/>
  <c r="A223" i="33253"/>
  <c r="A224" i="33253" s="1"/>
  <c r="A137" i="33253"/>
  <c r="A138" i="33253"/>
  <c r="A139" i="33253"/>
  <c r="A140" i="33253"/>
  <c r="A141" i="33253"/>
  <c r="A142" i="33253"/>
  <c r="A143" i="33253"/>
  <c r="A144" i="33253"/>
  <c r="A77" i="33253"/>
  <c r="K64" i="33254"/>
  <c r="A356" i="33253"/>
  <c r="F15" i="33254"/>
  <c r="K21" i="33257"/>
  <c r="H21" i="33257"/>
  <c r="B70" i="33257"/>
  <c r="C21" i="33257"/>
  <c r="AJ53" i="83"/>
  <c r="G117" i="33254"/>
  <c r="A343" i="33253" s="1"/>
  <c r="E24" i="3"/>
  <c r="B47" i="3"/>
  <c r="G15" i="33254"/>
  <c r="H15" i="33254"/>
  <c r="I15" i="33254"/>
  <c r="M137" i="83"/>
  <c r="I13" i="33254"/>
  <c r="I12" i="33254"/>
  <c r="F12" i="33254"/>
  <c r="F13" i="33254"/>
  <c r="I18" i="33262" s="1"/>
  <c r="J8" i="33254"/>
  <c r="J7" i="33254"/>
  <c r="H7" i="33254"/>
  <c r="C7" i="33254"/>
  <c r="B73" i="33254"/>
  <c r="B161" i="83"/>
  <c r="C161" i="83"/>
  <c r="D161" i="83"/>
  <c r="E161" i="83"/>
  <c r="F161" i="83"/>
  <c r="G161" i="83"/>
  <c r="B162" i="83"/>
  <c r="C162" i="83"/>
  <c r="D162" i="83"/>
  <c r="E162" i="83"/>
  <c r="F162" i="83"/>
  <c r="G162" i="83"/>
  <c r="B163" i="83"/>
  <c r="C163" i="83"/>
  <c r="D163" i="83"/>
  <c r="E163" i="83"/>
  <c r="F163" i="83"/>
  <c r="G163" i="83"/>
  <c r="B164" i="83"/>
  <c r="C164" i="83"/>
  <c r="D164" i="83"/>
  <c r="E164" i="83"/>
  <c r="F164" i="83"/>
  <c r="G164" i="83"/>
  <c r="B165" i="83"/>
  <c r="C165" i="83"/>
  <c r="D165" i="83"/>
  <c r="E165" i="83"/>
  <c r="F165" i="83"/>
  <c r="G165" i="83"/>
  <c r="B166" i="83"/>
  <c r="C166" i="83"/>
  <c r="D166" i="83"/>
  <c r="E166" i="83"/>
  <c r="F166" i="83"/>
  <c r="G166" i="83"/>
  <c r="B167" i="83"/>
  <c r="C167" i="83"/>
  <c r="D167" i="83"/>
  <c r="E167" i="83"/>
  <c r="F167" i="83"/>
  <c r="G167" i="83"/>
  <c r="B168" i="83"/>
  <c r="C168" i="83"/>
  <c r="D168" i="83"/>
  <c r="E168" i="83"/>
  <c r="F168" i="83"/>
  <c r="G168" i="83"/>
  <c r="B169" i="83"/>
  <c r="C169" i="83"/>
  <c r="D169" i="83"/>
  <c r="E169" i="83"/>
  <c r="F169" i="83"/>
  <c r="G169" i="83"/>
  <c r="B170" i="83"/>
  <c r="C170" i="83"/>
  <c r="D170" i="83"/>
  <c r="E170" i="83"/>
  <c r="F170" i="83"/>
  <c r="G170" i="83"/>
  <c r="B171" i="83"/>
  <c r="C171" i="83"/>
  <c r="D171" i="83"/>
  <c r="E171" i="83"/>
  <c r="F171" i="83"/>
  <c r="G171" i="83"/>
  <c r="B172" i="83"/>
  <c r="C172" i="83"/>
  <c r="D172" i="83"/>
  <c r="E172" i="83"/>
  <c r="F172" i="83"/>
  <c r="G172" i="83"/>
  <c r="B173" i="83"/>
  <c r="C173" i="83"/>
  <c r="D173" i="83"/>
  <c r="E173" i="83"/>
  <c r="F173" i="83"/>
  <c r="G173" i="83"/>
  <c r="B174" i="83"/>
  <c r="C174" i="83"/>
  <c r="D174" i="83"/>
  <c r="E174" i="83"/>
  <c r="F174" i="83"/>
  <c r="G174" i="83"/>
  <c r="B175" i="83"/>
  <c r="C175" i="83"/>
  <c r="D175" i="83"/>
  <c r="E175" i="83"/>
  <c r="F175" i="83"/>
  <c r="G175" i="83"/>
  <c r="B176" i="83"/>
  <c r="C176" i="83"/>
  <c r="D176" i="83"/>
  <c r="E176" i="83"/>
  <c r="F176" i="83"/>
  <c r="G176" i="83"/>
  <c r="B177" i="83"/>
  <c r="C177" i="83"/>
  <c r="D177" i="83"/>
  <c r="E177" i="83"/>
  <c r="F177" i="83"/>
  <c r="G177" i="83"/>
  <c r="B178" i="83"/>
  <c r="C178" i="83"/>
  <c r="D178" i="83"/>
  <c r="E178" i="83"/>
  <c r="F178" i="83"/>
  <c r="G178" i="83"/>
  <c r="B179" i="83"/>
  <c r="C179" i="83"/>
  <c r="D179" i="83"/>
  <c r="E179" i="83"/>
  <c r="F179" i="83"/>
  <c r="G179" i="83"/>
  <c r="B180" i="83"/>
  <c r="C180" i="83"/>
  <c r="D180" i="83"/>
  <c r="E180" i="83"/>
  <c r="F180" i="83"/>
  <c r="G180" i="83"/>
  <c r="B181" i="83"/>
  <c r="C181" i="83"/>
  <c r="D181" i="83"/>
  <c r="E181" i="83"/>
  <c r="F181" i="83"/>
  <c r="G181" i="83"/>
  <c r="B182" i="83"/>
  <c r="C182" i="83"/>
  <c r="D182" i="83"/>
  <c r="E182" i="83"/>
  <c r="F182" i="83"/>
  <c r="G182" i="83"/>
  <c r="B183" i="83"/>
  <c r="C183" i="83"/>
  <c r="D183" i="83"/>
  <c r="E183" i="83"/>
  <c r="F183" i="83"/>
  <c r="G183" i="83"/>
  <c r="B184" i="83"/>
  <c r="C184" i="83"/>
  <c r="D184" i="83"/>
  <c r="E184" i="83"/>
  <c r="F184" i="83"/>
  <c r="G184" i="83"/>
  <c r="B185" i="83"/>
  <c r="C185" i="83"/>
  <c r="D185" i="83"/>
  <c r="E185" i="83"/>
  <c r="F185" i="83"/>
  <c r="G185" i="83"/>
  <c r="B186" i="83"/>
  <c r="C186" i="83"/>
  <c r="D186" i="83"/>
  <c r="E186" i="83"/>
  <c r="F186" i="83"/>
  <c r="G186" i="83"/>
  <c r="C160" i="83"/>
  <c r="D160" i="83"/>
  <c r="E160" i="83"/>
  <c r="F160" i="83"/>
  <c r="G160" i="83"/>
  <c r="J161" i="83"/>
  <c r="K161" i="83"/>
  <c r="L161" i="83"/>
  <c r="M161" i="83"/>
  <c r="N161" i="83"/>
  <c r="O161" i="83"/>
  <c r="J162" i="83"/>
  <c r="K162" i="83"/>
  <c r="L162" i="83"/>
  <c r="M162" i="83"/>
  <c r="N162" i="83"/>
  <c r="O162" i="83"/>
  <c r="J163" i="83"/>
  <c r="K163" i="83"/>
  <c r="L163" i="83"/>
  <c r="M163" i="83"/>
  <c r="N163" i="83"/>
  <c r="O163" i="83"/>
  <c r="J164" i="83"/>
  <c r="K164" i="83"/>
  <c r="L164" i="83"/>
  <c r="M164" i="83"/>
  <c r="N164" i="83"/>
  <c r="O164" i="83"/>
  <c r="J165" i="83"/>
  <c r="K165" i="83"/>
  <c r="L165" i="83"/>
  <c r="M165" i="83"/>
  <c r="N165" i="83"/>
  <c r="O165" i="83"/>
  <c r="J166" i="83"/>
  <c r="K166" i="83"/>
  <c r="L166" i="83"/>
  <c r="M166" i="83"/>
  <c r="N166" i="83"/>
  <c r="O166" i="83"/>
  <c r="J167" i="83"/>
  <c r="K167" i="83"/>
  <c r="L167" i="83"/>
  <c r="M167" i="83"/>
  <c r="N167" i="83"/>
  <c r="O167" i="83"/>
  <c r="J168" i="83"/>
  <c r="K168" i="83"/>
  <c r="L168" i="83"/>
  <c r="M168" i="83"/>
  <c r="N168" i="83"/>
  <c r="O168" i="83"/>
  <c r="J169" i="83"/>
  <c r="K169" i="83"/>
  <c r="L169" i="83"/>
  <c r="M169" i="83"/>
  <c r="N169" i="83"/>
  <c r="O169" i="83"/>
  <c r="J170" i="83"/>
  <c r="K170" i="83"/>
  <c r="L170" i="83"/>
  <c r="M170" i="83"/>
  <c r="N170" i="83"/>
  <c r="O170" i="83"/>
  <c r="J171" i="83"/>
  <c r="K171" i="83"/>
  <c r="L171" i="83"/>
  <c r="M171" i="83"/>
  <c r="N171" i="83"/>
  <c r="O171" i="83"/>
  <c r="J172" i="83"/>
  <c r="K172" i="83"/>
  <c r="L172" i="83"/>
  <c r="M172" i="83"/>
  <c r="N172" i="83"/>
  <c r="O172" i="83"/>
  <c r="J173" i="83"/>
  <c r="K173" i="83"/>
  <c r="L173" i="83"/>
  <c r="M173" i="83"/>
  <c r="N173" i="83"/>
  <c r="O173" i="83"/>
  <c r="J174" i="83"/>
  <c r="K174" i="83"/>
  <c r="L174" i="83"/>
  <c r="M174" i="83"/>
  <c r="N174" i="83"/>
  <c r="O174" i="83"/>
  <c r="J175" i="83"/>
  <c r="K175" i="83"/>
  <c r="L175" i="83"/>
  <c r="M175" i="83"/>
  <c r="N175" i="83"/>
  <c r="O175" i="83"/>
  <c r="J176" i="83"/>
  <c r="K176" i="83"/>
  <c r="L176" i="83"/>
  <c r="M176" i="83"/>
  <c r="N176" i="83"/>
  <c r="O176" i="83"/>
  <c r="J177" i="83"/>
  <c r="K177" i="83"/>
  <c r="L177" i="83"/>
  <c r="M177" i="83"/>
  <c r="N177" i="83"/>
  <c r="O177" i="83"/>
  <c r="J178" i="83"/>
  <c r="K178" i="83"/>
  <c r="L178" i="83"/>
  <c r="M178" i="83"/>
  <c r="N178" i="83"/>
  <c r="O178" i="83"/>
  <c r="J179" i="83"/>
  <c r="K179" i="83"/>
  <c r="L179" i="83"/>
  <c r="M179" i="83"/>
  <c r="N179" i="83"/>
  <c r="O179" i="83"/>
  <c r="J180" i="83"/>
  <c r="K180" i="83"/>
  <c r="L180" i="83"/>
  <c r="M180" i="83"/>
  <c r="N180" i="83"/>
  <c r="O180" i="83"/>
  <c r="J181" i="83"/>
  <c r="K181" i="83"/>
  <c r="L181" i="83"/>
  <c r="M181" i="83"/>
  <c r="N181" i="83"/>
  <c r="O181" i="83"/>
  <c r="J182" i="83"/>
  <c r="K182" i="83"/>
  <c r="L182" i="83"/>
  <c r="M182" i="83"/>
  <c r="N182" i="83"/>
  <c r="O182" i="83"/>
  <c r="J183" i="83"/>
  <c r="K183" i="83"/>
  <c r="L183" i="83"/>
  <c r="M183" i="83"/>
  <c r="N183" i="83"/>
  <c r="O183" i="83"/>
  <c r="J184" i="83"/>
  <c r="K184" i="83"/>
  <c r="L184" i="83"/>
  <c r="M184" i="83"/>
  <c r="N184" i="83"/>
  <c r="O184" i="83"/>
  <c r="J185" i="83"/>
  <c r="K185" i="83"/>
  <c r="L185" i="83"/>
  <c r="M185" i="83"/>
  <c r="N185" i="83"/>
  <c r="O185" i="83"/>
  <c r="J186" i="83"/>
  <c r="K186" i="83"/>
  <c r="L186" i="83"/>
  <c r="M186" i="83"/>
  <c r="N186" i="83"/>
  <c r="O186" i="83"/>
  <c r="K160" i="83"/>
  <c r="L160" i="83"/>
  <c r="M160" i="83"/>
  <c r="N160" i="83"/>
  <c r="O160" i="83"/>
  <c r="R161" i="83"/>
  <c r="S161" i="83"/>
  <c r="T161" i="83"/>
  <c r="U161" i="83"/>
  <c r="V161" i="83"/>
  <c r="W161" i="83"/>
  <c r="R162" i="83"/>
  <c r="S162" i="83"/>
  <c r="T162" i="83"/>
  <c r="U162" i="83"/>
  <c r="V162" i="83"/>
  <c r="W162" i="83"/>
  <c r="R163" i="83"/>
  <c r="S163" i="83"/>
  <c r="T163" i="83"/>
  <c r="U163" i="83"/>
  <c r="V163" i="83"/>
  <c r="W163" i="83"/>
  <c r="R164" i="83"/>
  <c r="S164" i="83"/>
  <c r="T164" i="83"/>
  <c r="U164" i="83"/>
  <c r="V164" i="83"/>
  <c r="W164" i="83"/>
  <c r="R165" i="83"/>
  <c r="S165" i="83"/>
  <c r="T165" i="83"/>
  <c r="U165" i="83"/>
  <c r="V165" i="83"/>
  <c r="W165" i="83"/>
  <c r="R166" i="83"/>
  <c r="S166" i="83"/>
  <c r="T166" i="83"/>
  <c r="U166" i="83"/>
  <c r="V166" i="83"/>
  <c r="W166" i="83"/>
  <c r="R167" i="83"/>
  <c r="S167" i="83"/>
  <c r="T167" i="83"/>
  <c r="U167" i="83"/>
  <c r="V167" i="83"/>
  <c r="W167" i="83"/>
  <c r="R168" i="83"/>
  <c r="S168" i="83"/>
  <c r="T168" i="83"/>
  <c r="U168" i="83"/>
  <c r="V168" i="83"/>
  <c r="W168" i="83"/>
  <c r="R169" i="83"/>
  <c r="S169" i="83"/>
  <c r="T169" i="83"/>
  <c r="U169" i="83"/>
  <c r="V169" i="83"/>
  <c r="W169" i="83"/>
  <c r="R170" i="83"/>
  <c r="S170" i="83"/>
  <c r="T170" i="83"/>
  <c r="U170" i="83"/>
  <c r="V170" i="83"/>
  <c r="W170" i="83"/>
  <c r="R171" i="83"/>
  <c r="S171" i="83"/>
  <c r="T171" i="83"/>
  <c r="U171" i="83"/>
  <c r="V171" i="83"/>
  <c r="W171" i="83"/>
  <c r="R172" i="83"/>
  <c r="S172" i="83"/>
  <c r="T172" i="83"/>
  <c r="U172" i="83"/>
  <c r="V172" i="83"/>
  <c r="W172" i="83"/>
  <c r="R173" i="83"/>
  <c r="S173" i="83"/>
  <c r="T173" i="83"/>
  <c r="U173" i="83"/>
  <c r="V173" i="83"/>
  <c r="W173" i="83"/>
  <c r="R174" i="83"/>
  <c r="S174" i="83"/>
  <c r="T174" i="83"/>
  <c r="U174" i="83"/>
  <c r="V174" i="83"/>
  <c r="W174" i="83"/>
  <c r="R175" i="83"/>
  <c r="S175" i="83"/>
  <c r="T175" i="83"/>
  <c r="U175" i="83"/>
  <c r="V175" i="83"/>
  <c r="W175" i="83"/>
  <c r="R176" i="83"/>
  <c r="S176" i="83"/>
  <c r="T176" i="83"/>
  <c r="U176" i="83"/>
  <c r="V176" i="83"/>
  <c r="W176" i="83"/>
  <c r="R177" i="83"/>
  <c r="S177" i="83"/>
  <c r="T177" i="83"/>
  <c r="U177" i="83"/>
  <c r="V177" i="83"/>
  <c r="W177" i="83"/>
  <c r="R178" i="83"/>
  <c r="S178" i="83"/>
  <c r="T178" i="83"/>
  <c r="U178" i="83"/>
  <c r="V178" i="83"/>
  <c r="W178" i="83"/>
  <c r="R179" i="83"/>
  <c r="S179" i="83"/>
  <c r="T179" i="83"/>
  <c r="U179" i="83"/>
  <c r="V179" i="83"/>
  <c r="W179" i="83"/>
  <c r="R180" i="83"/>
  <c r="S180" i="83"/>
  <c r="T180" i="83"/>
  <c r="U180" i="83"/>
  <c r="V180" i="83"/>
  <c r="W180" i="83"/>
  <c r="R181" i="83"/>
  <c r="S181" i="83"/>
  <c r="T181" i="83"/>
  <c r="U181" i="83"/>
  <c r="V181" i="83"/>
  <c r="W181" i="83"/>
  <c r="R182" i="83"/>
  <c r="S182" i="83"/>
  <c r="T182" i="83"/>
  <c r="U182" i="83"/>
  <c r="V182" i="83"/>
  <c r="W182" i="83"/>
  <c r="R183" i="83"/>
  <c r="S183" i="83"/>
  <c r="T183" i="83"/>
  <c r="U183" i="83"/>
  <c r="V183" i="83"/>
  <c r="W183" i="83"/>
  <c r="R184" i="83"/>
  <c r="S184" i="83"/>
  <c r="T184" i="83"/>
  <c r="U184" i="83"/>
  <c r="V184" i="83"/>
  <c r="W184" i="83"/>
  <c r="R185" i="83"/>
  <c r="S185" i="83"/>
  <c r="T185" i="83"/>
  <c r="U185" i="83"/>
  <c r="V185" i="83"/>
  <c r="W185" i="83"/>
  <c r="R186" i="83"/>
  <c r="S186" i="83"/>
  <c r="T186" i="83"/>
  <c r="U186" i="83"/>
  <c r="V186" i="83"/>
  <c r="W186" i="83"/>
  <c r="S160" i="83"/>
  <c r="T160" i="83"/>
  <c r="U160" i="83"/>
  <c r="V160" i="83"/>
  <c r="W160" i="83"/>
  <c r="Z161" i="83"/>
  <c r="AA161" i="83"/>
  <c r="AB161" i="83"/>
  <c r="AC161" i="83"/>
  <c r="AD161" i="83"/>
  <c r="AE161" i="83"/>
  <c r="Z162" i="83"/>
  <c r="AA162" i="83"/>
  <c r="AB162" i="83"/>
  <c r="AC162" i="83"/>
  <c r="AD162" i="83"/>
  <c r="AE162" i="83"/>
  <c r="Z163" i="83"/>
  <c r="AA163" i="83"/>
  <c r="AB163" i="83"/>
  <c r="AC163" i="83"/>
  <c r="AD163" i="83"/>
  <c r="AE163" i="83"/>
  <c r="Z164" i="83"/>
  <c r="AA164" i="83"/>
  <c r="AB164" i="83"/>
  <c r="AC164" i="83"/>
  <c r="AD164" i="83"/>
  <c r="AE164" i="83"/>
  <c r="Z165" i="83"/>
  <c r="AA165" i="83"/>
  <c r="AB165" i="83"/>
  <c r="AC165" i="83"/>
  <c r="AD165" i="83"/>
  <c r="AE165" i="83"/>
  <c r="Z166" i="83"/>
  <c r="AA166" i="83"/>
  <c r="AB166" i="83"/>
  <c r="AC166" i="83"/>
  <c r="AD166" i="83"/>
  <c r="AE166" i="83"/>
  <c r="Z167" i="83"/>
  <c r="AA167" i="83"/>
  <c r="AB167" i="83"/>
  <c r="AC167" i="83"/>
  <c r="AD167" i="83"/>
  <c r="AE167" i="83"/>
  <c r="Z168" i="83"/>
  <c r="AA168" i="83"/>
  <c r="AB168" i="83"/>
  <c r="AC168" i="83"/>
  <c r="AD168" i="83"/>
  <c r="AE168" i="83"/>
  <c r="Z169" i="83"/>
  <c r="AA169" i="83"/>
  <c r="AB169" i="83"/>
  <c r="AC169" i="83"/>
  <c r="AD169" i="83"/>
  <c r="AE169" i="83"/>
  <c r="Z170" i="83"/>
  <c r="AA170" i="83"/>
  <c r="AB170" i="83"/>
  <c r="AC170" i="83"/>
  <c r="AD170" i="83"/>
  <c r="AE170" i="83"/>
  <c r="Z171" i="83"/>
  <c r="AA171" i="83"/>
  <c r="AB171" i="83"/>
  <c r="AC171" i="83"/>
  <c r="AD171" i="83"/>
  <c r="AE171" i="83"/>
  <c r="Z172" i="83"/>
  <c r="AA172" i="83"/>
  <c r="AB172" i="83"/>
  <c r="AC172" i="83"/>
  <c r="AD172" i="83"/>
  <c r="AE172" i="83"/>
  <c r="Z173" i="83"/>
  <c r="AA173" i="83"/>
  <c r="AB173" i="83"/>
  <c r="AC173" i="83"/>
  <c r="AD173" i="83"/>
  <c r="AE173" i="83"/>
  <c r="Z174" i="83"/>
  <c r="AA174" i="83"/>
  <c r="AB174" i="83"/>
  <c r="AC174" i="83"/>
  <c r="AD174" i="83"/>
  <c r="AE174" i="83"/>
  <c r="Z175" i="83"/>
  <c r="AA175" i="83"/>
  <c r="AB175" i="83"/>
  <c r="AC175" i="83"/>
  <c r="AD175" i="83"/>
  <c r="AE175" i="83"/>
  <c r="Z176" i="83"/>
  <c r="AA176" i="83"/>
  <c r="AB176" i="83"/>
  <c r="AC176" i="83"/>
  <c r="AD176" i="83"/>
  <c r="AE176" i="83"/>
  <c r="Z177" i="83"/>
  <c r="AA177" i="83"/>
  <c r="AB177" i="83"/>
  <c r="AC177" i="83"/>
  <c r="AD177" i="83"/>
  <c r="AE177" i="83"/>
  <c r="Z178" i="83"/>
  <c r="AA178" i="83"/>
  <c r="AB178" i="83"/>
  <c r="AC178" i="83"/>
  <c r="AD178" i="83"/>
  <c r="AE178" i="83"/>
  <c r="Z179" i="83"/>
  <c r="AA179" i="83"/>
  <c r="AB179" i="83"/>
  <c r="AC179" i="83"/>
  <c r="AD179" i="83"/>
  <c r="AE179" i="83"/>
  <c r="Z180" i="83"/>
  <c r="AA180" i="83"/>
  <c r="AB180" i="83"/>
  <c r="AC180" i="83"/>
  <c r="AD180" i="83"/>
  <c r="AE180" i="83"/>
  <c r="Z181" i="83"/>
  <c r="AA181" i="83"/>
  <c r="AB181" i="83"/>
  <c r="AC181" i="83"/>
  <c r="AD181" i="83"/>
  <c r="AE181" i="83"/>
  <c r="Z182" i="83"/>
  <c r="AA182" i="83"/>
  <c r="AB182" i="83"/>
  <c r="AC182" i="83"/>
  <c r="AD182" i="83"/>
  <c r="AE182" i="83"/>
  <c r="Z183" i="83"/>
  <c r="AA183" i="83"/>
  <c r="AB183" i="83"/>
  <c r="AC183" i="83"/>
  <c r="AD183" i="83"/>
  <c r="AE183" i="83"/>
  <c r="Z184" i="83"/>
  <c r="AA184" i="83"/>
  <c r="AB184" i="83"/>
  <c r="AC184" i="83"/>
  <c r="AD184" i="83"/>
  <c r="AE184" i="83"/>
  <c r="Z185" i="83"/>
  <c r="AA185" i="83"/>
  <c r="AB185" i="83"/>
  <c r="AC185" i="83"/>
  <c r="AD185" i="83"/>
  <c r="AE185" i="83"/>
  <c r="Z186" i="83"/>
  <c r="AA186" i="83"/>
  <c r="AB186" i="83"/>
  <c r="AC186" i="83"/>
  <c r="AD186" i="83"/>
  <c r="AE186" i="83"/>
  <c r="AA160" i="83"/>
  <c r="AB160" i="83"/>
  <c r="AC160" i="83"/>
  <c r="AD160" i="83"/>
  <c r="AE160" i="83"/>
  <c r="AH161" i="83"/>
  <c r="AI161" i="83"/>
  <c r="AJ161" i="83"/>
  <c r="AK161" i="83"/>
  <c r="AL161" i="83"/>
  <c r="AM161" i="83"/>
  <c r="AH162" i="83"/>
  <c r="AI162" i="83"/>
  <c r="AJ162" i="83"/>
  <c r="AK162" i="83"/>
  <c r="AL162" i="83"/>
  <c r="AM162" i="83"/>
  <c r="AH163" i="83"/>
  <c r="AI163" i="83"/>
  <c r="AJ163" i="83"/>
  <c r="AK163" i="83"/>
  <c r="AL163" i="83"/>
  <c r="AM163" i="83"/>
  <c r="AH164" i="83"/>
  <c r="AI164" i="83"/>
  <c r="AJ164" i="83"/>
  <c r="AK164" i="83"/>
  <c r="AL164" i="83"/>
  <c r="AM164" i="83"/>
  <c r="AH165" i="83"/>
  <c r="AI165" i="83"/>
  <c r="AJ165" i="83"/>
  <c r="AK165" i="83"/>
  <c r="AL165" i="83"/>
  <c r="AM165" i="83"/>
  <c r="AH166" i="83"/>
  <c r="AI166" i="83"/>
  <c r="AJ166" i="83"/>
  <c r="AK166" i="83"/>
  <c r="AL166" i="83"/>
  <c r="AM166" i="83"/>
  <c r="AH167" i="83"/>
  <c r="AI167" i="83"/>
  <c r="AJ167" i="83"/>
  <c r="AK167" i="83"/>
  <c r="AL167" i="83"/>
  <c r="AM167" i="83"/>
  <c r="AH168" i="83"/>
  <c r="AI168" i="83"/>
  <c r="AJ168" i="83"/>
  <c r="AK168" i="83"/>
  <c r="AL168" i="83"/>
  <c r="AM168" i="83"/>
  <c r="AH169" i="83"/>
  <c r="AI169" i="83"/>
  <c r="AJ169" i="83"/>
  <c r="AK169" i="83"/>
  <c r="AL169" i="83"/>
  <c r="AM169" i="83"/>
  <c r="AH170" i="83"/>
  <c r="AI170" i="83"/>
  <c r="AJ170" i="83"/>
  <c r="AK170" i="83"/>
  <c r="AL170" i="83"/>
  <c r="AM170" i="83"/>
  <c r="AH171" i="83"/>
  <c r="AI171" i="83"/>
  <c r="AJ171" i="83"/>
  <c r="AK171" i="83"/>
  <c r="AL171" i="83"/>
  <c r="AM171" i="83"/>
  <c r="AH172" i="83"/>
  <c r="AI172" i="83"/>
  <c r="AJ172" i="83"/>
  <c r="AK172" i="83"/>
  <c r="AL172" i="83"/>
  <c r="AM172" i="83"/>
  <c r="AH173" i="83"/>
  <c r="AI173" i="83"/>
  <c r="AJ173" i="83"/>
  <c r="AK173" i="83"/>
  <c r="AL173" i="83"/>
  <c r="AM173" i="83"/>
  <c r="AH174" i="83"/>
  <c r="AI174" i="83"/>
  <c r="AJ174" i="83"/>
  <c r="AK174" i="83"/>
  <c r="AL174" i="83"/>
  <c r="AM174" i="83"/>
  <c r="AH175" i="83"/>
  <c r="AI175" i="83"/>
  <c r="AJ175" i="83"/>
  <c r="AK175" i="83"/>
  <c r="AL175" i="83"/>
  <c r="AM175" i="83"/>
  <c r="AH176" i="83"/>
  <c r="AI176" i="83"/>
  <c r="AJ176" i="83"/>
  <c r="AK176" i="83"/>
  <c r="AL176" i="83"/>
  <c r="AM176" i="83"/>
  <c r="AH177" i="83"/>
  <c r="AI177" i="83"/>
  <c r="AJ177" i="83"/>
  <c r="AK177" i="83"/>
  <c r="AL177" i="83"/>
  <c r="AM177" i="83"/>
  <c r="AH178" i="83"/>
  <c r="AI178" i="83"/>
  <c r="AJ178" i="83"/>
  <c r="AK178" i="83"/>
  <c r="AL178" i="83"/>
  <c r="AM178" i="83"/>
  <c r="AH179" i="83"/>
  <c r="AI179" i="83"/>
  <c r="AJ179" i="83"/>
  <c r="AK179" i="83"/>
  <c r="AL179" i="83"/>
  <c r="AM179" i="83"/>
  <c r="AH180" i="83"/>
  <c r="AI180" i="83"/>
  <c r="AJ180" i="83"/>
  <c r="AK180" i="83"/>
  <c r="AL180" i="83"/>
  <c r="AM180" i="83"/>
  <c r="AH181" i="83"/>
  <c r="AI181" i="83"/>
  <c r="AJ181" i="83"/>
  <c r="AK181" i="83"/>
  <c r="AL181" i="83"/>
  <c r="AM181" i="83"/>
  <c r="AH182" i="83"/>
  <c r="AI182" i="83"/>
  <c r="AJ182" i="83"/>
  <c r="AK182" i="83"/>
  <c r="AL182" i="83"/>
  <c r="AM182" i="83"/>
  <c r="AH183" i="83"/>
  <c r="AI183" i="83"/>
  <c r="AJ183" i="83"/>
  <c r="AK183" i="83"/>
  <c r="AL183" i="83"/>
  <c r="AM183" i="83"/>
  <c r="AH184" i="83"/>
  <c r="AI184" i="83"/>
  <c r="AJ184" i="83"/>
  <c r="AK184" i="83"/>
  <c r="AL184" i="83"/>
  <c r="AM184" i="83"/>
  <c r="AH185" i="83"/>
  <c r="AI185" i="83"/>
  <c r="AJ185" i="83"/>
  <c r="AK185" i="83"/>
  <c r="AL185" i="83"/>
  <c r="AM185" i="83"/>
  <c r="AH186" i="83"/>
  <c r="AI186" i="83"/>
  <c r="AJ186" i="83"/>
  <c r="AK186" i="83"/>
  <c r="AL186" i="83"/>
  <c r="AM186" i="83"/>
  <c r="AI160" i="83"/>
  <c r="AJ160" i="83"/>
  <c r="AK160" i="83"/>
  <c r="AL160" i="83"/>
  <c r="AM160" i="83"/>
  <c r="AP161" i="83"/>
  <c r="AQ161" i="83"/>
  <c r="AR161" i="83"/>
  <c r="AS161" i="83"/>
  <c r="AT161" i="83"/>
  <c r="AU161" i="83"/>
  <c r="AP162" i="83"/>
  <c r="AQ162" i="83"/>
  <c r="AR162" i="83"/>
  <c r="AS162" i="83"/>
  <c r="AT162" i="83"/>
  <c r="AU162" i="83"/>
  <c r="AP163" i="83"/>
  <c r="AQ163" i="83"/>
  <c r="AR163" i="83"/>
  <c r="AS163" i="83"/>
  <c r="AT163" i="83"/>
  <c r="AU163" i="83"/>
  <c r="AP164" i="83"/>
  <c r="AQ164" i="83"/>
  <c r="AR164" i="83"/>
  <c r="AS164" i="83"/>
  <c r="AT164" i="83"/>
  <c r="AU164" i="83"/>
  <c r="AP165" i="83"/>
  <c r="AQ165" i="83"/>
  <c r="AR165" i="83"/>
  <c r="AS165" i="83"/>
  <c r="AT165" i="83"/>
  <c r="AU165" i="83"/>
  <c r="AP166" i="83"/>
  <c r="AQ166" i="83"/>
  <c r="AR166" i="83"/>
  <c r="AS166" i="83"/>
  <c r="AT166" i="83"/>
  <c r="AU166" i="83"/>
  <c r="AP167" i="83"/>
  <c r="AQ167" i="83"/>
  <c r="AR167" i="83"/>
  <c r="AS167" i="83"/>
  <c r="AT167" i="83"/>
  <c r="AU167" i="83"/>
  <c r="AP168" i="83"/>
  <c r="AQ168" i="83"/>
  <c r="AR168" i="83"/>
  <c r="AS168" i="83"/>
  <c r="AT168" i="83"/>
  <c r="AU168" i="83"/>
  <c r="AP169" i="83"/>
  <c r="AQ169" i="83"/>
  <c r="AR169" i="83"/>
  <c r="AS169" i="83"/>
  <c r="AT169" i="83"/>
  <c r="AU169" i="83"/>
  <c r="AP170" i="83"/>
  <c r="AQ170" i="83"/>
  <c r="AR170" i="83"/>
  <c r="AS170" i="83"/>
  <c r="AT170" i="83"/>
  <c r="AU170" i="83"/>
  <c r="AP171" i="83"/>
  <c r="AQ171" i="83"/>
  <c r="AR171" i="83"/>
  <c r="AS171" i="83"/>
  <c r="AT171" i="83"/>
  <c r="AU171" i="83"/>
  <c r="AP172" i="83"/>
  <c r="AQ172" i="83"/>
  <c r="AR172" i="83"/>
  <c r="AS172" i="83"/>
  <c r="AT172" i="83"/>
  <c r="AU172" i="83"/>
  <c r="AP173" i="83"/>
  <c r="AQ173" i="83"/>
  <c r="AR173" i="83"/>
  <c r="AS173" i="83"/>
  <c r="AT173" i="83"/>
  <c r="AU173" i="83"/>
  <c r="AP174" i="83"/>
  <c r="AQ174" i="83"/>
  <c r="AR174" i="83"/>
  <c r="AS174" i="83"/>
  <c r="AT174" i="83"/>
  <c r="AU174" i="83"/>
  <c r="AP175" i="83"/>
  <c r="AQ175" i="83"/>
  <c r="AR175" i="83"/>
  <c r="AS175" i="83"/>
  <c r="AT175" i="83"/>
  <c r="AU175" i="83"/>
  <c r="AP176" i="83"/>
  <c r="AQ176" i="83"/>
  <c r="AR176" i="83"/>
  <c r="AS176" i="83"/>
  <c r="AT176" i="83"/>
  <c r="AU176" i="83"/>
  <c r="AP177" i="83"/>
  <c r="AQ177" i="83"/>
  <c r="AR177" i="83"/>
  <c r="AS177" i="83"/>
  <c r="AT177" i="83"/>
  <c r="AU177" i="83"/>
  <c r="AP178" i="83"/>
  <c r="AQ178" i="83"/>
  <c r="AR178" i="83"/>
  <c r="AS178" i="83"/>
  <c r="AT178" i="83"/>
  <c r="AU178" i="83"/>
  <c r="AP179" i="83"/>
  <c r="AQ179" i="83"/>
  <c r="AR179" i="83"/>
  <c r="AS179" i="83"/>
  <c r="AT179" i="83"/>
  <c r="AU179" i="83"/>
  <c r="AP180" i="83"/>
  <c r="AQ180" i="83"/>
  <c r="AR180" i="83"/>
  <c r="AS180" i="83"/>
  <c r="AT180" i="83"/>
  <c r="AU180" i="83"/>
  <c r="AP181" i="83"/>
  <c r="AQ181" i="83"/>
  <c r="AR181" i="83"/>
  <c r="AS181" i="83"/>
  <c r="AT181" i="83"/>
  <c r="AU181" i="83"/>
  <c r="AP182" i="83"/>
  <c r="AQ182" i="83"/>
  <c r="AR182" i="83"/>
  <c r="AS182" i="83"/>
  <c r="AT182" i="83"/>
  <c r="AU182" i="83"/>
  <c r="AP183" i="83"/>
  <c r="AQ183" i="83"/>
  <c r="AR183" i="83"/>
  <c r="AS183" i="83"/>
  <c r="AT183" i="83"/>
  <c r="AU183" i="83"/>
  <c r="AP184" i="83"/>
  <c r="AQ184" i="83"/>
  <c r="AR184" i="83"/>
  <c r="AS184" i="83"/>
  <c r="AT184" i="83"/>
  <c r="AU184" i="83"/>
  <c r="AP185" i="83"/>
  <c r="AQ185" i="83"/>
  <c r="AR185" i="83"/>
  <c r="AS185" i="83"/>
  <c r="AT185" i="83"/>
  <c r="AU185" i="83"/>
  <c r="AP186" i="83"/>
  <c r="AQ186" i="83"/>
  <c r="AR186" i="83"/>
  <c r="AS186" i="83"/>
  <c r="AT186" i="83"/>
  <c r="AU186" i="83"/>
  <c r="AQ160" i="83"/>
  <c r="AR160" i="83"/>
  <c r="AS160" i="83"/>
  <c r="AT160" i="83"/>
  <c r="AU160" i="83"/>
  <c r="AX161" i="83"/>
  <c r="AY161" i="83"/>
  <c r="AX162" i="83"/>
  <c r="AY162" i="83"/>
  <c r="AX163" i="83"/>
  <c r="AY163" i="83"/>
  <c r="AX164" i="83"/>
  <c r="AY164" i="83"/>
  <c r="AX165" i="83"/>
  <c r="AY165" i="83"/>
  <c r="AZ165" i="83"/>
  <c r="BA165" i="83"/>
  <c r="BB165" i="83"/>
  <c r="BC165" i="83"/>
  <c r="AX166" i="83"/>
  <c r="AY166" i="83"/>
  <c r="AZ166" i="83"/>
  <c r="BA166" i="83"/>
  <c r="BB166" i="83"/>
  <c r="BC166" i="83"/>
  <c r="AX167" i="83"/>
  <c r="AY167" i="83"/>
  <c r="AZ167" i="83"/>
  <c r="BA167" i="83"/>
  <c r="BB167" i="83"/>
  <c r="BC167" i="83"/>
  <c r="AX168" i="83"/>
  <c r="AY168" i="83"/>
  <c r="AZ168" i="83"/>
  <c r="BA168" i="83"/>
  <c r="BB168" i="83"/>
  <c r="BC168" i="83"/>
  <c r="AX169" i="83"/>
  <c r="AY169" i="83"/>
  <c r="AZ169" i="83"/>
  <c r="BA169" i="83"/>
  <c r="BB169" i="83"/>
  <c r="BC169" i="83"/>
  <c r="AX170" i="83"/>
  <c r="AY170" i="83"/>
  <c r="AZ170" i="83"/>
  <c r="BA170" i="83"/>
  <c r="BB170" i="83"/>
  <c r="BC170" i="83"/>
  <c r="AX171" i="83"/>
  <c r="AY171" i="83"/>
  <c r="AZ171" i="83"/>
  <c r="BA171" i="83"/>
  <c r="BB171" i="83"/>
  <c r="BC171" i="83"/>
  <c r="AX172" i="83"/>
  <c r="AY172" i="83"/>
  <c r="AZ172" i="83"/>
  <c r="BA172" i="83"/>
  <c r="BB172" i="83"/>
  <c r="BC172" i="83"/>
  <c r="AX173" i="83"/>
  <c r="AY173" i="83"/>
  <c r="AZ173" i="83"/>
  <c r="BA173" i="83"/>
  <c r="BB173" i="83"/>
  <c r="BC173" i="83"/>
  <c r="AX174" i="83"/>
  <c r="AY174" i="83"/>
  <c r="AZ174" i="83"/>
  <c r="BA174" i="83"/>
  <c r="BB174" i="83"/>
  <c r="BC174" i="83"/>
  <c r="AX175" i="83"/>
  <c r="AY175" i="83"/>
  <c r="AZ175" i="83"/>
  <c r="BA175" i="83"/>
  <c r="BB175" i="83"/>
  <c r="BC175" i="83"/>
  <c r="AX176" i="83"/>
  <c r="AY176" i="83"/>
  <c r="AZ176" i="83"/>
  <c r="BA176" i="83"/>
  <c r="BB176" i="83"/>
  <c r="BC176" i="83"/>
  <c r="AX177" i="83"/>
  <c r="AY177" i="83"/>
  <c r="AZ177" i="83"/>
  <c r="BA177" i="83"/>
  <c r="BB177" i="83"/>
  <c r="BC177" i="83"/>
  <c r="AX178" i="83"/>
  <c r="AY178" i="83"/>
  <c r="AZ178" i="83"/>
  <c r="BA178" i="83"/>
  <c r="BB178" i="83"/>
  <c r="BC178" i="83"/>
  <c r="AX179" i="83"/>
  <c r="AY179" i="83"/>
  <c r="AZ179" i="83"/>
  <c r="BA179" i="83"/>
  <c r="BB179" i="83"/>
  <c r="BC179" i="83"/>
  <c r="AX180" i="83"/>
  <c r="AY180" i="83"/>
  <c r="AZ180" i="83"/>
  <c r="BA180" i="83"/>
  <c r="BB180" i="83"/>
  <c r="BC180" i="83"/>
  <c r="AX181" i="83"/>
  <c r="AY181" i="83"/>
  <c r="AZ181" i="83"/>
  <c r="BA181" i="83"/>
  <c r="BB181" i="83"/>
  <c r="BC181" i="83"/>
  <c r="AX182" i="83"/>
  <c r="AY182" i="83"/>
  <c r="AZ182" i="83"/>
  <c r="BA182" i="83"/>
  <c r="BB182" i="83"/>
  <c r="BC182" i="83"/>
  <c r="AX183" i="83"/>
  <c r="AY183" i="83"/>
  <c r="AZ183" i="83"/>
  <c r="BA183" i="83"/>
  <c r="BB183" i="83"/>
  <c r="BC183" i="83"/>
  <c r="AX184" i="83"/>
  <c r="AY184" i="83"/>
  <c r="AZ184" i="83"/>
  <c r="BA184" i="83"/>
  <c r="BB184" i="83"/>
  <c r="BC184" i="83"/>
  <c r="AX185" i="83"/>
  <c r="AY185" i="83"/>
  <c r="AZ185" i="83"/>
  <c r="BA185" i="83"/>
  <c r="BB185" i="83"/>
  <c r="BC185" i="83"/>
  <c r="AX186" i="83"/>
  <c r="AY186" i="83"/>
  <c r="AZ186" i="83"/>
  <c r="BA186" i="83"/>
  <c r="BB186" i="83"/>
  <c r="BC186" i="83"/>
  <c r="AY160" i="83"/>
  <c r="BF161" i="83"/>
  <c r="BG161" i="83"/>
  <c r="BH161" i="83"/>
  <c r="BI161" i="83"/>
  <c r="BJ161" i="83"/>
  <c r="BK161" i="83"/>
  <c r="BF162" i="83"/>
  <c r="BG162" i="83"/>
  <c r="BH162" i="83"/>
  <c r="BI162" i="83"/>
  <c r="BJ162" i="83"/>
  <c r="BK162" i="83"/>
  <c r="BF163" i="83"/>
  <c r="BG163" i="83"/>
  <c r="BH163" i="83"/>
  <c r="BI163" i="83"/>
  <c r="BJ163" i="83"/>
  <c r="BK163" i="83"/>
  <c r="BF164" i="83"/>
  <c r="BG164" i="83"/>
  <c r="BH164" i="83"/>
  <c r="BI164" i="83"/>
  <c r="BJ164" i="83"/>
  <c r="BK164" i="83"/>
  <c r="BF165" i="83"/>
  <c r="BG165" i="83"/>
  <c r="BH165" i="83"/>
  <c r="BI165" i="83"/>
  <c r="BJ165" i="83"/>
  <c r="BK165" i="83"/>
  <c r="BF166" i="83"/>
  <c r="BG166" i="83"/>
  <c r="BH166" i="83"/>
  <c r="BI166" i="83"/>
  <c r="BJ166" i="83"/>
  <c r="BK166" i="83"/>
  <c r="BF167" i="83"/>
  <c r="BG167" i="83"/>
  <c r="BH167" i="83"/>
  <c r="BI167" i="83"/>
  <c r="BJ167" i="83"/>
  <c r="BK167" i="83"/>
  <c r="BF168" i="83"/>
  <c r="BG168" i="83"/>
  <c r="BH168" i="83"/>
  <c r="BI168" i="83"/>
  <c r="BJ168" i="83"/>
  <c r="BK168" i="83"/>
  <c r="BF169" i="83"/>
  <c r="BG169" i="83"/>
  <c r="BH169" i="83"/>
  <c r="BI169" i="83"/>
  <c r="BJ169" i="83"/>
  <c r="BK169" i="83"/>
  <c r="BF170" i="83"/>
  <c r="BG170" i="83"/>
  <c r="BH170" i="83"/>
  <c r="BI170" i="83"/>
  <c r="BJ170" i="83"/>
  <c r="BK170" i="83"/>
  <c r="BF171" i="83"/>
  <c r="BG171" i="83"/>
  <c r="BH171" i="83"/>
  <c r="BI171" i="83"/>
  <c r="BJ171" i="83"/>
  <c r="BK171" i="83"/>
  <c r="BF172" i="83"/>
  <c r="BG172" i="83"/>
  <c r="BH172" i="83"/>
  <c r="BI172" i="83"/>
  <c r="BJ172" i="83"/>
  <c r="BK172" i="83"/>
  <c r="BF173" i="83"/>
  <c r="BG173" i="83"/>
  <c r="BH173" i="83"/>
  <c r="BI173" i="83"/>
  <c r="BJ173" i="83"/>
  <c r="BK173" i="83"/>
  <c r="BF174" i="83"/>
  <c r="BG174" i="83"/>
  <c r="BH174" i="83"/>
  <c r="BI174" i="83"/>
  <c r="BJ174" i="83"/>
  <c r="BK174" i="83"/>
  <c r="BF175" i="83"/>
  <c r="BG175" i="83"/>
  <c r="BH175" i="83"/>
  <c r="BI175" i="83"/>
  <c r="BJ175" i="83"/>
  <c r="BK175" i="83"/>
  <c r="BF176" i="83"/>
  <c r="BG176" i="83"/>
  <c r="BH176" i="83"/>
  <c r="BI176" i="83"/>
  <c r="BJ176" i="83"/>
  <c r="BK176" i="83"/>
  <c r="BF177" i="83"/>
  <c r="BG177" i="83"/>
  <c r="BH177" i="83"/>
  <c r="BI177" i="83"/>
  <c r="BJ177" i="83"/>
  <c r="BK177" i="83"/>
  <c r="BF178" i="83"/>
  <c r="BG178" i="83"/>
  <c r="BH178" i="83"/>
  <c r="BI178" i="83"/>
  <c r="BJ178" i="83"/>
  <c r="BK178" i="83"/>
  <c r="BF179" i="83"/>
  <c r="BG179" i="83"/>
  <c r="BH179" i="83"/>
  <c r="BI179" i="83"/>
  <c r="BJ179" i="83"/>
  <c r="BK179" i="83"/>
  <c r="BF180" i="83"/>
  <c r="BG180" i="83"/>
  <c r="BH180" i="83"/>
  <c r="BI180" i="83"/>
  <c r="BJ180" i="83"/>
  <c r="BK180" i="83"/>
  <c r="BF181" i="83"/>
  <c r="BG181" i="83"/>
  <c r="BH181" i="83"/>
  <c r="BI181" i="83"/>
  <c r="BJ181" i="83"/>
  <c r="BK181" i="83"/>
  <c r="BF182" i="83"/>
  <c r="BG182" i="83"/>
  <c r="BH182" i="83"/>
  <c r="BI182" i="83"/>
  <c r="BJ182" i="83"/>
  <c r="BK182" i="83"/>
  <c r="BF183" i="83"/>
  <c r="BG183" i="83"/>
  <c r="BH183" i="83"/>
  <c r="BI183" i="83"/>
  <c r="BJ183" i="83"/>
  <c r="BK183" i="83"/>
  <c r="BF184" i="83"/>
  <c r="BG184" i="83"/>
  <c r="BH184" i="83"/>
  <c r="BI184" i="83"/>
  <c r="BJ184" i="83"/>
  <c r="BK184" i="83"/>
  <c r="BF185" i="83"/>
  <c r="BG185" i="83"/>
  <c r="BH185" i="83"/>
  <c r="BI185" i="83"/>
  <c r="BJ185" i="83"/>
  <c r="BK185" i="83"/>
  <c r="BF186" i="83"/>
  <c r="BG186" i="83"/>
  <c r="BH186" i="83"/>
  <c r="BI186" i="83"/>
  <c r="BJ186" i="83"/>
  <c r="BK186" i="83"/>
  <c r="BG160" i="83"/>
  <c r="BH160" i="83"/>
  <c r="BI160" i="83"/>
  <c r="BJ160" i="83"/>
  <c r="BK160" i="83"/>
  <c r="BN161" i="83"/>
  <c r="BO161" i="83"/>
  <c r="BP161" i="83"/>
  <c r="BQ161" i="83"/>
  <c r="BR161" i="83"/>
  <c r="BS161" i="83"/>
  <c r="BN162" i="83"/>
  <c r="BO162" i="83"/>
  <c r="BP162" i="83"/>
  <c r="BQ162" i="83"/>
  <c r="BR162" i="83"/>
  <c r="BS162" i="83"/>
  <c r="BN163" i="83"/>
  <c r="BO163" i="83"/>
  <c r="BP163" i="83"/>
  <c r="BQ163" i="83"/>
  <c r="BR163" i="83"/>
  <c r="BS163" i="83"/>
  <c r="BN164" i="83"/>
  <c r="BO164" i="83"/>
  <c r="BP164" i="83"/>
  <c r="BQ164" i="83"/>
  <c r="BR164" i="83"/>
  <c r="BS164" i="83"/>
  <c r="BN165" i="83"/>
  <c r="BO165" i="83"/>
  <c r="BP165" i="83"/>
  <c r="BQ165" i="83"/>
  <c r="BR165" i="83"/>
  <c r="BS165" i="83"/>
  <c r="BN166" i="83"/>
  <c r="BO166" i="83"/>
  <c r="BP166" i="83"/>
  <c r="BQ166" i="83"/>
  <c r="BR166" i="83"/>
  <c r="BS166" i="83"/>
  <c r="BN167" i="83"/>
  <c r="BO167" i="83"/>
  <c r="BP167" i="83"/>
  <c r="BQ167" i="83"/>
  <c r="BR167" i="83"/>
  <c r="BS167" i="83"/>
  <c r="BN168" i="83"/>
  <c r="BO168" i="83"/>
  <c r="BP168" i="83"/>
  <c r="BQ168" i="83"/>
  <c r="BR168" i="83"/>
  <c r="BS168" i="83"/>
  <c r="BN169" i="83"/>
  <c r="BO169" i="83"/>
  <c r="BP169" i="83"/>
  <c r="BQ169" i="83"/>
  <c r="BR169" i="83"/>
  <c r="BS169" i="83"/>
  <c r="BN170" i="83"/>
  <c r="BO170" i="83"/>
  <c r="BP170" i="83"/>
  <c r="BQ170" i="83"/>
  <c r="BR170" i="83"/>
  <c r="BS170" i="83"/>
  <c r="BN171" i="83"/>
  <c r="BO171" i="83"/>
  <c r="BP171" i="83"/>
  <c r="BQ171" i="83"/>
  <c r="BR171" i="83"/>
  <c r="BS171" i="83"/>
  <c r="BN172" i="83"/>
  <c r="BO172" i="83"/>
  <c r="BP172" i="83"/>
  <c r="BQ172" i="83"/>
  <c r="BR172" i="83"/>
  <c r="BS172" i="83"/>
  <c r="BN173" i="83"/>
  <c r="BO173" i="83"/>
  <c r="BP173" i="83"/>
  <c r="BQ173" i="83"/>
  <c r="BR173" i="83"/>
  <c r="BS173" i="83"/>
  <c r="BN174" i="83"/>
  <c r="BO174" i="83"/>
  <c r="BP174" i="83"/>
  <c r="BQ174" i="83"/>
  <c r="BR174" i="83"/>
  <c r="BS174" i="83"/>
  <c r="BN175" i="83"/>
  <c r="BO175" i="83"/>
  <c r="BP175" i="83"/>
  <c r="BQ175" i="83"/>
  <c r="BR175" i="83"/>
  <c r="BS175" i="83"/>
  <c r="BN176" i="83"/>
  <c r="BO176" i="83"/>
  <c r="BP176" i="83"/>
  <c r="BQ176" i="83"/>
  <c r="BR176" i="83"/>
  <c r="BS176" i="83"/>
  <c r="BN177" i="83"/>
  <c r="BO177" i="83"/>
  <c r="BP177" i="83"/>
  <c r="BQ177" i="83"/>
  <c r="BR177" i="83"/>
  <c r="BS177" i="83"/>
  <c r="BN178" i="83"/>
  <c r="BO178" i="83"/>
  <c r="BP178" i="83"/>
  <c r="BQ178" i="83"/>
  <c r="BR178" i="83"/>
  <c r="BS178" i="83"/>
  <c r="BN179" i="83"/>
  <c r="BO179" i="83"/>
  <c r="BP179" i="83"/>
  <c r="BQ179" i="83"/>
  <c r="BR179" i="83"/>
  <c r="BS179" i="83"/>
  <c r="BN180" i="83"/>
  <c r="BO180" i="83"/>
  <c r="BP180" i="83"/>
  <c r="BQ180" i="83"/>
  <c r="BR180" i="83"/>
  <c r="BS180" i="83"/>
  <c r="BN181" i="83"/>
  <c r="BO181" i="83"/>
  <c r="BP181" i="83"/>
  <c r="BQ181" i="83"/>
  <c r="BR181" i="83"/>
  <c r="BS181" i="83"/>
  <c r="BN182" i="83"/>
  <c r="BO182" i="83"/>
  <c r="BP182" i="83"/>
  <c r="BQ182" i="83"/>
  <c r="BR182" i="83"/>
  <c r="BS182" i="83"/>
  <c r="BN183" i="83"/>
  <c r="BO183" i="83"/>
  <c r="BP183" i="83"/>
  <c r="BQ183" i="83"/>
  <c r="BR183" i="83"/>
  <c r="BS183" i="83"/>
  <c r="BN184" i="83"/>
  <c r="BO184" i="83"/>
  <c r="BP184" i="83"/>
  <c r="BQ184" i="83"/>
  <c r="BR184" i="83"/>
  <c r="BS184" i="83"/>
  <c r="BN185" i="83"/>
  <c r="BO185" i="83"/>
  <c r="BP185" i="83"/>
  <c r="BQ185" i="83"/>
  <c r="BR185" i="83"/>
  <c r="BS185" i="83"/>
  <c r="BN186" i="83"/>
  <c r="BO186" i="83"/>
  <c r="BP186" i="83"/>
  <c r="BQ186" i="83"/>
  <c r="BR186" i="83"/>
  <c r="BS186" i="83"/>
  <c r="BO160" i="83"/>
  <c r="BP160" i="83"/>
  <c r="BQ160" i="83"/>
  <c r="BR160" i="83"/>
  <c r="BS160" i="83"/>
  <c r="BV161" i="83"/>
  <c r="BW161" i="83"/>
  <c r="BX161" i="83"/>
  <c r="BY161" i="83"/>
  <c r="BZ161" i="83"/>
  <c r="CA161" i="83"/>
  <c r="BV162" i="83"/>
  <c r="BW162" i="83"/>
  <c r="BX162" i="83"/>
  <c r="BY162" i="83"/>
  <c r="BZ162" i="83"/>
  <c r="CA162" i="83"/>
  <c r="BV163" i="83"/>
  <c r="BW163" i="83"/>
  <c r="BX163" i="83"/>
  <c r="BY163" i="83"/>
  <c r="BZ163" i="83"/>
  <c r="CA163" i="83"/>
  <c r="BV164" i="83"/>
  <c r="BW164" i="83"/>
  <c r="BX164" i="83"/>
  <c r="BY164" i="83"/>
  <c r="BZ164" i="83"/>
  <c r="CA164" i="83"/>
  <c r="BV165" i="83"/>
  <c r="BW165" i="83"/>
  <c r="BX165" i="83"/>
  <c r="BY165" i="83"/>
  <c r="BZ165" i="83"/>
  <c r="CA165" i="83"/>
  <c r="BV166" i="83"/>
  <c r="BW166" i="83"/>
  <c r="BX166" i="83"/>
  <c r="BY166" i="83"/>
  <c r="BZ166" i="83"/>
  <c r="CA166" i="83"/>
  <c r="BV167" i="83"/>
  <c r="BW167" i="83"/>
  <c r="BX167" i="83"/>
  <c r="BY167" i="83"/>
  <c r="BZ167" i="83"/>
  <c r="CA167" i="83"/>
  <c r="BV168" i="83"/>
  <c r="BW168" i="83"/>
  <c r="BX168" i="83"/>
  <c r="BY168" i="83"/>
  <c r="BZ168" i="83"/>
  <c r="CA168" i="83"/>
  <c r="BV169" i="83"/>
  <c r="BW169" i="83"/>
  <c r="BX169" i="83"/>
  <c r="BY169" i="83"/>
  <c r="BZ169" i="83"/>
  <c r="CA169" i="83"/>
  <c r="BV170" i="83"/>
  <c r="BW170" i="83"/>
  <c r="BX170" i="83"/>
  <c r="BY170" i="83"/>
  <c r="BZ170" i="83"/>
  <c r="CA170" i="83"/>
  <c r="BV171" i="83"/>
  <c r="BW171" i="83"/>
  <c r="BX171" i="83"/>
  <c r="BY171" i="83"/>
  <c r="BZ171" i="83"/>
  <c r="CA171" i="83"/>
  <c r="BV172" i="83"/>
  <c r="BW172" i="83"/>
  <c r="BX172" i="83"/>
  <c r="BY172" i="83"/>
  <c r="BZ172" i="83"/>
  <c r="CA172" i="83"/>
  <c r="BV173" i="83"/>
  <c r="BW173" i="83"/>
  <c r="BX173" i="83"/>
  <c r="BY173" i="83"/>
  <c r="BZ173" i="83"/>
  <c r="CA173" i="83"/>
  <c r="BV174" i="83"/>
  <c r="BW174" i="83"/>
  <c r="BX174" i="83"/>
  <c r="BY174" i="83"/>
  <c r="BZ174" i="83"/>
  <c r="CA174" i="83"/>
  <c r="BV175" i="83"/>
  <c r="BW175" i="83"/>
  <c r="BX175" i="83"/>
  <c r="BY175" i="83"/>
  <c r="BZ175" i="83"/>
  <c r="CA175" i="83"/>
  <c r="BV176" i="83"/>
  <c r="BW176" i="83"/>
  <c r="BX176" i="83"/>
  <c r="BY176" i="83"/>
  <c r="BZ176" i="83"/>
  <c r="CA176" i="83"/>
  <c r="BV177" i="83"/>
  <c r="BW177" i="83"/>
  <c r="BX177" i="83"/>
  <c r="BY177" i="83"/>
  <c r="BZ177" i="83"/>
  <c r="CA177" i="83"/>
  <c r="BV178" i="83"/>
  <c r="BW178" i="83"/>
  <c r="BX178" i="83"/>
  <c r="BY178" i="83"/>
  <c r="BZ178" i="83"/>
  <c r="CA178" i="83"/>
  <c r="BV179" i="83"/>
  <c r="BW179" i="83"/>
  <c r="BX179" i="83"/>
  <c r="BY179" i="83"/>
  <c r="BZ179" i="83"/>
  <c r="CA179" i="83"/>
  <c r="BV180" i="83"/>
  <c r="BW180" i="83"/>
  <c r="BX180" i="83"/>
  <c r="BY180" i="83"/>
  <c r="BZ180" i="83"/>
  <c r="CA180" i="83"/>
  <c r="BV181" i="83"/>
  <c r="BW181" i="83"/>
  <c r="BX181" i="83"/>
  <c r="BY181" i="83"/>
  <c r="BZ181" i="83"/>
  <c r="CA181" i="83"/>
  <c r="BV182" i="83"/>
  <c r="BW182" i="83"/>
  <c r="BX182" i="83"/>
  <c r="BY182" i="83"/>
  <c r="BZ182" i="83"/>
  <c r="CA182" i="83"/>
  <c r="BV183" i="83"/>
  <c r="BW183" i="83"/>
  <c r="BX183" i="83"/>
  <c r="BY183" i="83"/>
  <c r="BZ183" i="83"/>
  <c r="CA183" i="83"/>
  <c r="BV184" i="83"/>
  <c r="BW184" i="83"/>
  <c r="BX184" i="83"/>
  <c r="BY184" i="83"/>
  <c r="BZ184" i="83"/>
  <c r="CA184" i="83"/>
  <c r="BV185" i="83"/>
  <c r="BW185" i="83"/>
  <c r="BX185" i="83"/>
  <c r="BY185" i="83"/>
  <c r="BZ185" i="83"/>
  <c r="CA185" i="83"/>
  <c r="BV186" i="83"/>
  <c r="BW186" i="83"/>
  <c r="BX186" i="83"/>
  <c r="BY186" i="83"/>
  <c r="BZ186" i="83"/>
  <c r="CA186" i="83"/>
  <c r="BW160" i="83"/>
  <c r="BX160" i="83"/>
  <c r="BY160" i="83"/>
  <c r="BZ160" i="83"/>
  <c r="CA160" i="83"/>
  <c r="CD161" i="83"/>
  <c r="CE161" i="83"/>
  <c r="CF161" i="83"/>
  <c r="CG161" i="83"/>
  <c r="CH161" i="83"/>
  <c r="CI161" i="83"/>
  <c r="CD162" i="83"/>
  <c r="CE162" i="83"/>
  <c r="CF162" i="83"/>
  <c r="CG162" i="83"/>
  <c r="CH162" i="83"/>
  <c r="CI162" i="83"/>
  <c r="CD163" i="83"/>
  <c r="CE163" i="83"/>
  <c r="CF163" i="83"/>
  <c r="CG163" i="83"/>
  <c r="CH163" i="83"/>
  <c r="CI163" i="83"/>
  <c r="CD164" i="83"/>
  <c r="CE164" i="83"/>
  <c r="CF164" i="83"/>
  <c r="CG164" i="83"/>
  <c r="CH164" i="83"/>
  <c r="CI164" i="83"/>
  <c r="CD165" i="83"/>
  <c r="CE165" i="83"/>
  <c r="CF165" i="83"/>
  <c r="CG165" i="83"/>
  <c r="CH165" i="83"/>
  <c r="CI165" i="83"/>
  <c r="CD166" i="83"/>
  <c r="CE166" i="83"/>
  <c r="CF166" i="83"/>
  <c r="CG166" i="83"/>
  <c r="CH166" i="83"/>
  <c r="CI166" i="83"/>
  <c r="CD167" i="83"/>
  <c r="CE167" i="83"/>
  <c r="CF167" i="83"/>
  <c r="CG167" i="83"/>
  <c r="CH167" i="83"/>
  <c r="CI167" i="83"/>
  <c r="CD168" i="83"/>
  <c r="CE168" i="83"/>
  <c r="CF168" i="83"/>
  <c r="CG168" i="83"/>
  <c r="CH168" i="83"/>
  <c r="CI168" i="83"/>
  <c r="CD169" i="83"/>
  <c r="CE169" i="83"/>
  <c r="CF169" i="83"/>
  <c r="CG169" i="83"/>
  <c r="CH169" i="83"/>
  <c r="CI169" i="83"/>
  <c r="CD170" i="83"/>
  <c r="CE170" i="83"/>
  <c r="CF170" i="83"/>
  <c r="CG170" i="83"/>
  <c r="CH170" i="83"/>
  <c r="CI170" i="83"/>
  <c r="CD171" i="83"/>
  <c r="CE171" i="83"/>
  <c r="CF171" i="83"/>
  <c r="CG171" i="83"/>
  <c r="CH171" i="83"/>
  <c r="CI171" i="83"/>
  <c r="CD172" i="83"/>
  <c r="CE172" i="83"/>
  <c r="CF172" i="83"/>
  <c r="CG172" i="83"/>
  <c r="CH172" i="83"/>
  <c r="CI172" i="83"/>
  <c r="CD173" i="83"/>
  <c r="CE173" i="83"/>
  <c r="CF173" i="83"/>
  <c r="CG173" i="83"/>
  <c r="CH173" i="83"/>
  <c r="CI173" i="83"/>
  <c r="CD174" i="83"/>
  <c r="CE174" i="83"/>
  <c r="CF174" i="83"/>
  <c r="CG174" i="83"/>
  <c r="CH174" i="83"/>
  <c r="CI174" i="83"/>
  <c r="CD175" i="83"/>
  <c r="CE175" i="83"/>
  <c r="CF175" i="83"/>
  <c r="CG175" i="83"/>
  <c r="CH175" i="83"/>
  <c r="CI175" i="83"/>
  <c r="CD176" i="83"/>
  <c r="CE176" i="83"/>
  <c r="CF176" i="83"/>
  <c r="CG176" i="83"/>
  <c r="CH176" i="83"/>
  <c r="CI176" i="83"/>
  <c r="CD177" i="83"/>
  <c r="CE177" i="83"/>
  <c r="CF177" i="83"/>
  <c r="CG177" i="83"/>
  <c r="CH177" i="83"/>
  <c r="CI177" i="83"/>
  <c r="CD178" i="83"/>
  <c r="CE178" i="83"/>
  <c r="CF178" i="83"/>
  <c r="CG178" i="83"/>
  <c r="CH178" i="83"/>
  <c r="CI178" i="83"/>
  <c r="CD179" i="83"/>
  <c r="CE179" i="83"/>
  <c r="CF179" i="83"/>
  <c r="CG179" i="83"/>
  <c r="CH179" i="83"/>
  <c r="CI179" i="83"/>
  <c r="CD180" i="83"/>
  <c r="CE180" i="83"/>
  <c r="CF180" i="83"/>
  <c r="CG180" i="83"/>
  <c r="CH180" i="83"/>
  <c r="CI180" i="83"/>
  <c r="CD181" i="83"/>
  <c r="CE181" i="83"/>
  <c r="CF181" i="83"/>
  <c r="CG181" i="83"/>
  <c r="CH181" i="83"/>
  <c r="CI181" i="83"/>
  <c r="CD182" i="83"/>
  <c r="CE182" i="83"/>
  <c r="CF182" i="83"/>
  <c r="CG182" i="83"/>
  <c r="CH182" i="83"/>
  <c r="CI182" i="83"/>
  <c r="CD183" i="83"/>
  <c r="CE183" i="83"/>
  <c r="CF183" i="83"/>
  <c r="CG183" i="83"/>
  <c r="CH183" i="83"/>
  <c r="CI183" i="83"/>
  <c r="CD184" i="83"/>
  <c r="CE184" i="83"/>
  <c r="CF184" i="83"/>
  <c r="CG184" i="83"/>
  <c r="CH184" i="83"/>
  <c r="CI184" i="83"/>
  <c r="CD185" i="83"/>
  <c r="CE185" i="83"/>
  <c r="CF185" i="83"/>
  <c r="CG185" i="83"/>
  <c r="CH185" i="83"/>
  <c r="CI185" i="83"/>
  <c r="CD186" i="83"/>
  <c r="CE186" i="83"/>
  <c r="CF186" i="83"/>
  <c r="CG186" i="83"/>
  <c r="CH186" i="83"/>
  <c r="CI186" i="83"/>
  <c r="CE160" i="83"/>
  <c r="CF160" i="83"/>
  <c r="CG160" i="83"/>
  <c r="CH160" i="83"/>
  <c r="CI160" i="83"/>
  <c r="CL161" i="83"/>
  <c r="CM161" i="83"/>
  <c r="CN161" i="83"/>
  <c r="CO161" i="83"/>
  <c r="CP161" i="83"/>
  <c r="CQ161" i="83"/>
  <c r="CL162" i="83"/>
  <c r="CM162" i="83"/>
  <c r="CN162" i="83"/>
  <c r="CO162" i="83"/>
  <c r="CP162" i="83"/>
  <c r="CQ162" i="83"/>
  <c r="CL163" i="83"/>
  <c r="CM163" i="83"/>
  <c r="CN163" i="83"/>
  <c r="CO163" i="83"/>
  <c r="CP163" i="83"/>
  <c r="CQ163" i="83"/>
  <c r="CL164" i="83"/>
  <c r="CM164" i="83"/>
  <c r="CN164" i="83"/>
  <c r="CO164" i="83"/>
  <c r="CP164" i="83"/>
  <c r="CQ164" i="83"/>
  <c r="CL165" i="83"/>
  <c r="CM165" i="83"/>
  <c r="CN165" i="83"/>
  <c r="CO165" i="83"/>
  <c r="CP165" i="83"/>
  <c r="CQ165" i="83"/>
  <c r="CL166" i="83"/>
  <c r="CM166" i="83"/>
  <c r="CN166" i="83"/>
  <c r="CO166" i="83"/>
  <c r="CP166" i="83"/>
  <c r="CQ166" i="83"/>
  <c r="CL167" i="83"/>
  <c r="CM167" i="83"/>
  <c r="CN167" i="83"/>
  <c r="CO167" i="83"/>
  <c r="CP167" i="83"/>
  <c r="CQ167" i="83"/>
  <c r="CL168" i="83"/>
  <c r="CM168" i="83"/>
  <c r="CN168" i="83"/>
  <c r="CO168" i="83"/>
  <c r="CP168" i="83"/>
  <c r="CQ168" i="83"/>
  <c r="CL169" i="83"/>
  <c r="CM169" i="83"/>
  <c r="CN169" i="83"/>
  <c r="CO169" i="83"/>
  <c r="CP169" i="83"/>
  <c r="CQ169" i="83"/>
  <c r="CL170" i="83"/>
  <c r="CM170" i="83"/>
  <c r="CN170" i="83"/>
  <c r="CO170" i="83"/>
  <c r="CP170" i="83"/>
  <c r="CQ170" i="83"/>
  <c r="CL171" i="83"/>
  <c r="CM171" i="83"/>
  <c r="CN171" i="83"/>
  <c r="CO171" i="83"/>
  <c r="CP171" i="83"/>
  <c r="CQ171" i="83"/>
  <c r="CL172" i="83"/>
  <c r="CM172" i="83"/>
  <c r="CN172" i="83"/>
  <c r="CO172" i="83"/>
  <c r="CP172" i="83"/>
  <c r="CQ172" i="83"/>
  <c r="CL173" i="83"/>
  <c r="CM173" i="83"/>
  <c r="CN173" i="83"/>
  <c r="CO173" i="83"/>
  <c r="CP173" i="83"/>
  <c r="CQ173" i="83"/>
  <c r="CL174" i="83"/>
  <c r="CM174" i="83"/>
  <c r="CN174" i="83"/>
  <c r="CO174" i="83"/>
  <c r="CP174" i="83"/>
  <c r="CQ174" i="83"/>
  <c r="CL175" i="83"/>
  <c r="CM175" i="83"/>
  <c r="CN175" i="83"/>
  <c r="CO175" i="83"/>
  <c r="CP175" i="83"/>
  <c r="CQ175" i="83"/>
  <c r="CL176" i="83"/>
  <c r="CM176" i="83"/>
  <c r="CN176" i="83"/>
  <c r="CO176" i="83"/>
  <c r="CP176" i="83"/>
  <c r="CQ176" i="83"/>
  <c r="CL177" i="83"/>
  <c r="CM177" i="83"/>
  <c r="CN177" i="83"/>
  <c r="CO177" i="83"/>
  <c r="CP177" i="83"/>
  <c r="CQ177" i="83"/>
  <c r="CL178" i="83"/>
  <c r="CM178" i="83"/>
  <c r="CN178" i="83"/>
  <c r="CO178" i="83"/>
  <c r="CP178" i="83"/>
  <c r="CQ178" i="83"/>
  <c r="CL179" i="83"/>
  <c r="CM179" i="83"/>
  <c r="CN179" i="83"/>
  <c r="CO179" i="83"/>
  <c r="CP179" i="83"/>
  <c r="CQ179" i="83"/>
  <c r="CL180" i="83"/>
  <c r="CM180" i="83"/>
  <c r="CN180" i="83"/>
  <c r="CO180" i="83"/>
  <c r="CP180" i="83"/>
  <c r="CQ180" i="83"/>
  <c r="CL181" i="83"/>
  <c r="CM181" i="83"/>
  <c r="CN181" i="83"/>
  <c r="CO181" i="83"/>
  <c r="CP181" i="83"/>
  <c r="CQ181" i="83"/>
  <c r="CL182" i="83"/>
  <c r="CM182" i="83"/>
  <c r="CN182" i="83"/>
  <c r="CO182" i="83"/>
  <c r="CP182" i="83"/>
  <c r="CQ182" i="83"/>
  <c r="CL183" i="83"/>
  <c r="CM183" i="83"/>
  <c r="CN183" i="83"/>
  <c r="CO183" i="83"/>
  <c r="CP183" i="83"/>
  <c r="CQ183" i="83"/>
  <c r="CL184" i="83"/>
  <c r="CM184" i="83"/>
  <c r="CN184" i="83"/>
  <c r="CO184" i="83"/>
  <c r="CP184" i="83"/>
  <c r="CQ184" i="83"/>
  <c r="CL185" i="83"/>
  <c r="CM185" i="83"/>
  <c r="CN185" i="83"/>
  <c r="CO185" i="83"/>
  <c r="CP185" i="83"/>
  <c r="CQ185" i="83"/>
  <c r="CL186" i="83"/>
  <c r="CM186" i="83"/>
  <c r="CN186" i="83"/>
  <c r="CO186" i="83"/>
  <c r="CP186" i="83"/>
  <c r="CQ186" i="83"/>
  <c r="CM160" i="83"/>
  <c r="CN160" i="83"/>
  <c r="CO160" i="83"/>
  <c r="CP160" i="83"/>
  <c r="CQ160" i="83"/>
  <c r="CL160" i="83"/>
  <c r="CD160" i="83"/>
  <c r="BV160" i="83"/>
  <c r="BN160" i="83"/>
  <c r="BF160" i="83"/>
  <c r="AX160" i="83"/>
  <c r="AP160" i="83"/>
  <c r="AH160" i="83"/>
  <c r="Z160" i="83"/>
  <c r="R160" i="83"/>
  <c r="J160" i="83"/>
  <c r="B160" i="83"/>
  <c r="A12" i="33253"/>
  <c r="G4" i="1"/>
  <c r="A213" i="33253"/>
  <c r="A163" i="33253"/>
  <c r="A162" i="33253"/>
  <c r="A161" i="33253"/>
  <c r="A160" i="33253"/>
  <c r="A159" i="33253"/>
  <c r="A158" i="33253"/>
  <c r="A155" i="33253"/>
  <c r="A154" i="33253"/>
  <c r="A153" i="33253"/>
  <c r="A152" i="33253"/>
  <c r="A151" i="33253"/>
  <c r="A150" i="33253"/>
  <c r="A149" i="33253"/>
  <c r="A148" i="33253"/>
  <c r="A147" i="33253"/>
  <c r="A146" i="33253"/>
  <c r="A145" i="33253"/>
  <c r="A136" i="33253"/>
  <c r="A135" i="33253"/>
  <c r="A134" i="33253"/>
  <c r="A133" i="33253"/>
  <c r="A131" i="33253"/>
  <c r="A129" i="33253"/>
  <c r="A127" i="33253"/>
  <c r="A125" i="33253"/>
  <c r="D24" i="3"/>
  <c r="A107" i="33253"/>
  <c r="A106" i="33253"/>
  <c r="A105" i="33253"/>
  <c r="A104" i="33253"/>
  <c r="A103" i="33253"/>
  <c r="A102" i="33253"/>
  <c r="A101" i="33253"/>
  <c r="A100" i="33253"/>
  <c r="A99" i="33253"/>
  <c r="A98" i="33253"/>
  <c r="A97" i="33253"/>
  <c r="A96" i="33253"/>
  <c r="A95" i="33253"/>
  <c r="A94" i="33253"/>
  <c r="A93" i="33253"/>
  <c r="A92" i="33253"/>
  <c r="A91" i="33253"/>
  <c r="A85" i="33253"/>
  <c r="A87" i="33253"/>
  <c r="A89" i="33253"/>
  <c r="A83" i="33253"/>
  <c r="A81" i="33253"/>
  <c r="A82" i="33253" s="1"/>
  <c r="A79" i="33253"/>
  <c r="A80" i="33253" s="1"/>
  <c r="A75" i="33253"/>
  <c r="A73" i="33253"/>
  <c r="A74" i="33253" s="1"/>
  <c r="A71" i="33253"/>
  <c r="A72" i="33253" s="1"/>
  <c r="A69" i="33253"/>
  <c r="A67" i="33253"/>
  <c r="A66" i="33253"/>
  <c r="A65" i="33253"/>
  <c r="A64" i="33253"/>
  <c r="A63" i="33253"/>
  <c r="A61" i="33253"/>
  <c r="A62" i="33253" s="1"/>
  <c r="A59" i="33253"/>
  <c r="A60" i="33253" s="1"/>
  <c r="A57" i="33253"/>
  <c r="A55" i="33253"/>
  <c r="A53" i="33253"/>
  <c r="A51" i="33253"/>
  <c r="A49" i="33253"/>
  <c r="A47" i="33253"/>
  <c r="A45" i="33253"/>
  <c r="A43" i="33253"/>
  <c r="A41" i="33253"/>
  <c r="A39" i="33253"/>
  <c r="A33" i="33253"/>
  <c r="A31" i="33253"/>
  <c r="A29" i="33253"/>
  <c r="A27" i="33253"/>
  <c r="A25" i="33253"/>
  <c r="A23" i="33253"/>
  <c r="A21" i="33253"/>
  <c r="A19" i="33253"/>
  <c r="A17" i="33253"/>
  <c r="A7" i="33253"/>
  <c r="A15" i="33253"/>
  <c r="A14" i="33253"/>
  <c r="A11" i="33253"/>
  <c r="A10" i="33253"/>
  <c r="A9" i="33253"/>
  <c r="H3" i="1"/>
  <c r="H2" i="1"/>
  <c r="A1" i="1" s="1"/>
  <c r="H1" i="1"/>
  <c r="AK109" i="83"/>
  <c r="AK110" i="83"/>
  <c r="AK111" i="83"/>
  <c r="AK112" i="83"/>
  <c r="AK113" i="83"/>
  <c r="AK114" i="83"/>
  <c r="AK115" i="83"/>
  <c r="AK116" i="83"/>
  <c r="AK117" i="83"/>
  <c r="AK118" i="83"/>
  <c r="AK119" i="83"/>
  <c r="AK120" i="83"/>
  <c r="AK121" i="83"/>
  <c r="AK122" i="83"/>
  <c r="AK123" i="83"/>
  <c r="AK124" i="83"/>
  <c r="AK125" i="83"/>
  <c r="AK126" i="83"/>
  <c r="AK127" i="83"/>
  <c r="AK128" i="83"/>
  <c r="AK129" i="83"/>
  <c r="AK130" i="83"/>
  <c r="AK131" i="83"/>
  <c r="AK132" i="83"/>
  <c r="AK133" i="83"/>
  <c r="AK134" i="83"/>
  <c r="AK135" i="83"/>
  <c r="AK136" i="83"/>
  <c r="AK137" i="83"/>
  <c r="AK138" i="83"/>
  <c r="AK139" i="83"/>
  <c r="AK140" i="83"/>
  <c r="AK141" i="83"/>
  <c r="AK142" i="83"/>
  <c r="AK143" i="83"/>
  <c r="AK144" i="83"/>
  <c r="AK145" i="83"/>
  <c r="AK146" i="83"/>
  <c r="AK147" i="83"/>
  <c r="AK148" i="83"/>
  <c r="AK149" i="83"/>
  <c r="AK150" i="83"/>
  <c r="AK151" i="83"/>
  <c r="AK152" i="83"/>
  <c r="AK153" i="83"/>
  <c r="AK108" i="83"/>
  <c r="AA9" i="1027"/>
  <c r="AA13" i="1027"/>
  <c r="AA17" i="1027"/>
  <c r="AA21" i="1027"/>
  <c r="W32" i="83"/>
  <c r="X32" i="83"/>
  <c r="V32" i="83"/>
  <c r="U32" i="83"/>
  <c r="X31" i="83"/>
  <c r="W31" i="83"/>
  <c r="V31" i="83"/>
  <c r="U31" i="83"/>
  <c r="X30" i="83"/>
  <c r="W30" i="83"/>
  <c r="V30" i="83"/>
  <c r="U30" i="83"/>
  <c r="X26" i="83"/>
  <c r="W26" i="83"/>
  <c r="V26" i="83"/>
  <c r="U26" i="83"/>
  <c r="W27" i="83"/>
  <c r="X27" i="83"/>
  <c r="X28" i="83"/>
  <c r="W28" i="83"/>
  <c r="X29" i="83"/>
  <c r="W29" i="83"/>
  <c r="V29" i="83"/>
  <c r="U29" i="83"/>
  <c r="U28" i="83"/>
  <c r="V28" i="83"/>
  <c r="V27" i="83"/>
  <c r="U27" i="83"/>
  <c r="T24" i="83"/>
  <c r="U37" i="83"/>
  <c r="X37" i="83"/>
  <c r="W37" i="83"/>
  <c r="V37" i="83"/>
  <c r="X42" i="83"/>
  <c r="X41" i="83"/>
  <c r="X38" i="83"/>
  <c r="U42" i="83"/>
  <c r="U41" i="83"/>
  <c r="U39" i="83"/>
  <c r="W42" i="83"/>
  <c r="W41" i="83"/>
  <c r="W38" i="83"/>
  <c r="V42" i="83"/>
  <c r="V41" i="83"/>
  <c r="V39" i="83"/>
  <c r="V38" i="83"/>
  <c r="R29" i="83"/>
  <c r="M75" i="83" s="1"/>
  <c r="N29" i="83"/>
  <c r="M74" i="83" s="1"/>
  <c r="A619" i="33253"/>
  <c r="A304" i="33253"/>
  <c r="B62" i="3"/>
  <c r="B84" i="1027"/>
  <c r="E92" i="3"/>
  <c r="D90" i="3"/>
  <c r="B80" i="3"/>
  <c r="BO72" i="83"/>
  <c r="BO73" i="83" s="1"/>
  <c r="BP72" i="83"/>
  <c r="BP73" i="83" s="1"/>
  <c r="BQ72" i="83"/>
  <c r="BQ73" i="83" s="1"/>
  <c r="AE23" i="83"/>
  <c r="L46" i="83"/>
  <c r="R85" i="83"/>
  <c r="R86" i="83"/>
  <c r="R87" i="83"/>
  <c r="R88" i="83"/>
  <c r="R89" i="83"/>
  <c r="R90" i="83"/>
  <c r="R91" i="83"/>
  <c r="R92" i="83"/>
  <c r="R93" i="83"/>
  <c r="R94" i="83"/>
  <c r="R95" i="83"/>
  <c r="A128" i="83"/>
  <c r="B128" i="83"/>
  <c r="C128" i="83"/>
  <c r="D128" i="83"/>
  <c r="E128" i="83"/>
  <c r="F128" i="83"/>
  <c r="A129" i="83"/>
  <c r="B129" i="83"/>
  <c r="C129" i="83"/>
  <c r="D129" i="83"/>
  <c r="E129" i="83"/>
  <c r="F129" i="83"/>
  <c r="A130" i="83"/>
  <c r="B130" i="83"/>
  <c r="C130" i="83"/>
  <c r="D130" i="83"/>
  <c r="E130" i="83"/>
  <c r="F130" i="83"/>
  <c r="A131" i="83"/>
  <c r="B131" i="83"/>
  <c r="C131" i="83"/>
  <c r="D131" i="83"/>
  <c r="E131" i="83"/>
  <c r="F131" i="83"/>
  <c r="A132" i="83"/>
  <c r="B132" i="83"/>
  <c r="C132" i="83"/>
  <c r="D132" i="83"/>
  <c r="E132" i="83"/>
  <c r="F132" i="83"/>
  <c r="A133" i="83"/>
  <c r="B133" i="83"/>
  <c r="C133" i="83"/>
  <c r="D133" i="83"/>
  <c r="E133" i="83"/>
  <c r="F133" i="83"/>
  <c r="A134" i="83"/>
  <c r="B134" i="83"/>
  <c r="C134" i="83"/>
  <c r="D134" i="83"/>
  <c r="E134" i="83"/>
  <c r="F134" i="83"/>
  <c r="A135" i="83"/>
  <c r="B135" i="83"/>
  <c r="C135" i="83"/>
  <c r="D135" i="83"/>
  <c r="E135" i="83"/>
  <c r="F135" i="83"/>
  <c r="A136" i="83"/>
  <c r="B136" i="83"/>
  <c r="C136" i="83"/>
  <c r="D136" i="83"/>
  <c r="E136" i="83"/>
  <c r="F136" i="83"/>
  <c r="A137" i="83"/>
  <c r="B137" i="83"/>
  <c r="C137" i="83"/>
  <c r="D137" i="83"/>
  <c r="E137" i="83"/>
  <c r="F137" i="83"/>
  <c r="A138" i="83"/>
  <c r="B138" i="83"/>
  <c r="C138" i="83"/>
  <c r="D138" i="83"/>
  <c r="E138" i="83"/>
  <c r="F138" i="83"/>
  <c r="A139" i="83"/>
  <c r="B139" i="83"/>
  <c r="C139" i="83"/>
  <c r="D139" i="83"/>
  <c r="E139" i="83"/>
  <c r="F139" i="83"/>
  <c r="A140" i="83"/>
  <c r="B140" i="83"/>
  <c r="C140" i="83"/>
  <c r="D140" i="83"/>
  <c r="E140" i="83"/>
  <c r="F140" i="83"/>
  <c r="A141" i="83"/>
  <c r="B141" i="83"/>
  <c r="C141" i="83"/>
  <c r="D141" i="83"/>
  <c r="E141" i="83"/>
  <c r="F141" i="83"/>
  <c r="A142" i="83"/>
  <c r="B142" i="83"/>
  <c r="C142" i="83"/>
  <c r="D142" i="83"/>
  <c r="E142" i="83"/>
  <c r="F142" i="83"/>
  <c r="A143" i="83"/>
  <c r="B143" i="83"/>
  <c r="C143" i="83"/>
  <c r="D143" i="83"/>
  <c r="E143" i="83"/>
  <c r="F143" i="83"/>
  <c r="A144" i="83"/>
  <c r="B144" i="83"/>
  <c r="C144" i="83"/>
  <c r="D144" i="83"/>
  <c r="E144" i="83"/>
  <c r="F144" i="83"/>
  <c r="A145" i="83"/>
  <c r="B145" i="83"/>
  <c r="C145" i="83"/>
  <c r="D145" i="83"/>
  <c r="E145" i="83"/>
  <c r="F145" i="83"/>
  <c r="A146" i="83"/>
  <c r="B146" i="83"/>
  <c r="C146" i="83"/>
  <c r="D146" i="83"/>
  <c r="E146" i="83"/>
  <c r="F146" i="83"/>
  <c r="A147" i="83"/>
  <c r="B147" i="83"/>
  <c r="C147" i="83"/>
  <c r="D147" i="83"/>
  <c r="E147" i="83"/>
  <c r="F147" i="83"/>
  <c r="A148" i="83"/>
  <c r="B148" i="83"/>
  <c r="C148" i="83"/>
  <c r="D148" i="83"/>
  <c r="E148" i="83"/>
  <c r="F148" i="83"/>
  <c r="A149" i="83"/>
  <c r="B149" i="83"/>
  <c r="C149" i="83"/>
  <c r="D149" i="83"/>
  <c r="E149" i="83"/>
  <c r="F149" i="83"/>
  <c r="A150" i="83"/>
  <c r="B150" i="83"/>
  <c r="C150" i="83"/>
  <c r="D150" i="83"/>
  <c r="E150" i="83"/>
  <c r="F150" i="83"/>
  <c r="A151" i="83"/>
  <c r="B151" i="83"/>
  <c r="C151" i="83"/>
  <c r="D151" i="83"/>
  <c r="E151" i="83"/>
  <c r="F151" i="83"/>
  <c r="A152" i="83"/>
  <c r="B152" i="83"/>
  <c r="C152" i="83"/>
  <c r="D152" i="83"/>
  <c r="E152" i="83"/>
  <c r="F152" i="83"/>
  <c r="A153" i="83"/>
  <c r="B153" i="83"/>
  <c r="C153" i="83"/>
  <c r="D153" i="83"/>
  <c r="E153" i="83"/>
  <c r="F153" i="83"/>
  <c r="A154" i="83"/>
  <c r="B154" i="83"/>
  <c r="C154" i="83"/>
  <c r="D154" i="83"/>
  <c r="E154" i="83"/>
  <c r="F154" i="83"/>
  <c r="BN72" i="83"/>
  <c r="BN73" i="83" s="1"/>
  <c r="AG26" i="83"/>
  <c r="AG25" i="83"/>
  <c r="AG24" i="83"/>
  <c r="AG23" i="83"/>
  <c r="M118" i="83"/>
  <c r="I78" i="3" s="1"/>
  <c r="L118" i="83"/>
  <c r="H77" i="3" s="1"/>
  <c r="H57" i="1027"/>
  <c r="I57" i="1027"/>
  <c r="J57" i="1027"/>
  <c r="B57" i="1027"/>
  <c r="G57" i="1027"/>
  <c r="E43" i="33254"/>
  <c r="L57" i="1027"/>
  <c r="D747" i="1" l="1"/>
  <c r="B16" i="33262" s="1"/>
  <c r="D748" i="1"/>
  <c r="B26" i="33262" s="1"/>
  <c r="D729" i="1"/>
  <c r="B11" i="33262" s="1"/>
  <c r="D736" i="1"/>
  <c r="D744" i="1"/>
  <c r="F23" i="33262" s="1"/>
  <c r="D737" i="1"/>
  <c r="B25" i="33262" s="1"/>
  <c r="D745" i="1"/>
  <c r="B20" i="3" s="1"/>
  <c r="D738" i="1"/>
  <c r="D746" i="1"/>
  <c r="B15" i="33262" s="1"/>
  <c r="D739" i="1"/>
  <c r="B28" i="33262" s="1"/>
  <c r="D740" i="1"/>
  <c r="B29" i="33262" s="1"/>
  <c r="B36" i="33262"/>
  <c r="D742" i="1"/>
  <c r="B31" i="33262" s="1"/>
  <c r="D743" i="1"/>
  <c r="B32" i="33262" s="1"/>
  <c r="B31" i="33261" s="1"/>
  <c r="D741" i="1"/>
  <c r="B30" i="33262" s="1"/>
  <c r="D725" i="1"/>
  <c r="B9" i="33262" s="1"/>
  <c r="D726" i="1"/>
  <c r="D733" i="1"/>
  <c r="B34" i="33262" s="1"/>
  <c r="D727" i="1"/>
  <c r="D728" i="1"/>
  <c r="B10" i="33262" s="1"/>
  <c r="D734" i="1"/>
  <c r="B35" i="33262" s="1"/>
  <c r="D730" i="1"/>
  <c r="B12" i="33262" s="1"/>
  <c r="D731" i="1"/>
  <c r="B13" i="33262" s="1"/>
  <c r="D732" i="1"/>
  <c r="B14" i="33262" s="1"/>
  <c r="D724" i="1"/>
  <c r="D723" i="1"/>
  <c r="M59" i="33261" s="1"/>
  <c r="D722" i="1"/>
  <c r="M58" i="33261" s="1"/>
  <c r="D719" i="1"/>
  <c r="C44" i="33259" s="1"/>
  <c r="D721" i="1"/>
  <c r="M61" i="33261" s="1"/>
  <c r="D720" i="1"/>
  <c r="M68" i="33261" s="1"/>
  <c r="D628" i="1"/>
  <c r="Z16" i="33260" s="1"/>
  <c r="D636" i="1"/>
  <c r="D644" i="1"/>
  <c r="AG15" i="33260" s="1"/>
  <c r="D652" i="1"/>
  <c r="AJ17" i="33260" s="1"/>
  <c r="D660" i="1"/>
  <c r="D668" i="1"/>
  <c r="D676" i="1"/>
  <c r="D684" i="1"/>
  <c r="D692" i="1"/>
  <c r="D700" i="1"/>
  <c r="D708" i="1"/>
  <c r="D716" i="1"/>
  <c r="D610" i="1"/>
  <c r="F3" i="33259" s="1"/>
  <c r="D618" i="1"/>
  <c r="B25" i="33259" s="1"/>
  <c r="A25" i="33259" s="1"/>
  <c r="D604" i="1"/>
  <c r="D629" i="1"/>
  <c r="Z17" i="33260" s="1"/>
  <c r="D637" i="1"/>
  <c r="AD13" i="33260" s="1"/>
  <c r="D645" i="1"/>
  <c r="AG16" i="33260" s="1"/>
  <c r="D653" i="1"/>
  <c r="D661" i="1"/>
  <c r="D669" i="1"/>
  <c r="D677" i="1"/>
  <c r="D685" i="1"/>
  <c r="D693" i="1"/>
  <c r="D701" i="1"/>
  <c r="F56" i="3" s="1"/>
  <c r="D709" i="1"/>
  <c r="D717" i="1"/>
  <c r="D611" i="1"/>
  <c r="B23" i="33259" s="1"/>
  <c r="A23" i="33259" s="1"/>
  <c r="D619" i="1"/>
  <c r="B24" i="33259" s="1"/>
  <c r="A24" i="33259" s="1"/>
  <c r="D630" i="1"/>
  <c r="D638" i="1"/>
  <c r="AD14" i="33260" s="1"/>
  <c r="D646" i="1"/>
  <c r="AG17" i="33260" s="1"/>
  <c r="D654" i="1"/>
  <c r="D662" i="1"/>
  <c r="D670" i="1"/>
  <c r="D678" i="1"/>
  <c r="D686" i="1"/>
  <c r="D694" i="1"/>
  <c r="D702" i="1"/>
  <c r="AJ62" i="83" s="1"/>
  <c r="D710" i="1"/>
  <c r="D718" i="1"/>
  <c r="D612" i="1"/>
  <c r="B27" i="33259" s="1"/>
  <c r="A27" i="33259" s="1"/>
  <c r="D620" i="1"/>
  <c r="B65" i="33259" s="1"/>
  <c r="A65" i="33259" s="1"/>
  <c r="D621" i="1"/>
  <c r="B66" i="33259" s="1"/>
  <c r="A66" i="33259" s="1"/>
  <c r="D616" i="1"/>
  <c r="B26" i="33259" s="1"/>
  <c r="A26" i="33259" s="1"/>
  <c r="D627" i="1"/>
  <c r="Z15" i="33260" s="1"/>
  <c r="D651" i="1"/>
  <c r="AJ16" i="33260" s="1"/>
  <c r="D683" i="1"/>
  <c r="D707" i="1"/>
  <c r="D609" i="1"/>
  <c r="B20" i="33259" s="1"/>
  <c r="D631" i="1"/>
  <c r="D639" i="1"/>
  <c r="AD15" i="33260" s="1"/>
  <c r="D647" i="1"/>
  <c r="AG18" i="33260" s="1"/>
  <c r="D655" i="1"/>
  <c r="D663" i="1"/>
  <c r="D671" i="1"/>
  <c r="D679" i="1"/>
  <c r="D687" i="1"/>
  <c r="D695" i="1"/>
  <c r="D703" i="1"/>
  <c r="D711" i="1"/>
  <c r="D605" i="1"/>
  <c r="D613" i="1"/>
  <c r="B31" i="33259" s="1"/>
  <c r="A31" i="33259" s="1"/>
  <c r="D635" i="1"/>
  <c r="D667" i="1"/>
  <c r="D691" i="1"/>
  <c r="D715" i="1"/>
  <c r="D625" i="1"/>
  <c r="Z13" i="33260" s="1"/>
  <c r="D632" i="1"/>
  <c r="D640" i="1"/>
  <c r="AD16" i="33260" s="1"/>
  <c r="D648" i="1"/>
  <c r="AJ13" i="33260" s="1"/>
  <c r="D656" i="1"/>
  <c r="D664" i="1"/>
  <c r="D672" i="1"/>
  <c r="D680" i="1"/>
  <c r="F33" i="33259" s="1"/>
  <c r="D688" i="1"/>
  <c r="D696" i="1"/>
  <c r="D704" i="1"/>
  <c r="D712" i="1"/>
  <c r="D606" i="1"/>
  <c r="D614" i="1"/>
  <c r="D622" i="1"/>
  <c r="B67" i="33259" s="1"/>
  <c r="A67" i="33259" s="1"/>
  <c r="D633" i="1"/>
  <c r="D641" i="1"/>
  <c r="AD17" i="33260" s="1"/>
  <c r="D649" i="1"/>
  <c r="AJ14" i="33260" s="1"/>
  <c r="D657" i="1"/>
  <c r="B35" i="33259" s="1"/>
  <c r="A35" i="33259" s="1"/>
  <c r="D665" i="1"/>
  <c r="D673" i="1"/>
  <c r="D681" i="1"/>
  <c r="B39" i="33259" s="1"/>
  <c r="D689" i="1"/>
  <c r="D697" i="1"/>
  <c r="D705" i="1"/>
  <c r="D713" i="1"/>
  <c r="D607" i="1"/>
  <c r="F2" i="33259" s="1"/>
  <c r="D615" i="1"/>
  <c r="D623" i="1"/>
  <c r="B68" i="33259" s="1"/>
  <c r="A68" i="33259" s="1"/>
  <c r="D626" i="1"/>
  <c r="Z14" i="33260" s="1"/>
  <c r="D634" i="1"/>
  <c r="D642" i="1"/>
  <c r="AG13" i="33260" s="1"/>
  <c r="D650" i="1"/>
  <c r="AJ15" i="33260" s="1"/>
  <c r="D658" i="1"/>
  <c r="D666" i="1"/>
  <c r="D674" i="1"/>
  <c r="D682" i="1"/>
  <c r="D690" i="1"/>
  <c r="D698" i="1"/>
  <c r="D706" i="1"/>
  <c r="D714" i="1"/>
  <c r="D608" i="1"/>
  <c r="B10" i="33259" s="1"/>
  <c r="D624" i="1"/>
  <c r="B69" i="33259" s="1"/>
  <c r="A69" i="33259" s="1"/>
  <c r="D643" i="1"/>
  <c r="AG14" i="33260" s="1"/>
  <c r="D659" i="1"/>
  <c r="D675" i="1"/>
  <c r="D699" i="1"/>
  <c r="D23" i="33259" s="1"/>
  <c r="D617" i="1"/>
  <c r="B28" i="33259" s="1"/>
  <c r="A28" i="33259" s="1"/>
  <c r="I20" i="33257"/>
  <c r="I20" i="33261"/>
  <c r="H90" i="3"/>
  <c r="A115" i="33253" s="1"/>
  <c r="G90" i="3"/>
  <c r="A114" i="33253" s="1"/>
  <c r="A108" i="33253"/>
  <c r="BW28" i="83"/>
  <c r="H89" i="3"/>
  <c r="A111" i="33253" s="1"/>
  <c r="F90" i="3"/>
  <c r="G33" i="1027" s="1"/>
  <c r="I90" i="3"/>
  <c r="A116" i="33253" s="1"/>
  <c r="I89" i="3"/>
  <c r="A112" i="33253" s="1"/>
  <c r="G89" i="3"/>
  <c r="A110" i="33253" s="1"/>
  <c r="A18" i="33253"/>
  <c r="D241" i="83"/>
  <c r="L29" i="83"/>
  <c r="D157" i="1"/>
  <c r="W109" i="83" s="1"/>
  <c r="T136" i="83" s="1"/>
  <c r="D530" i="1"/>
  <c r="B21" i="33255" s="1"/>
  <c r="D500" i="1"/>
  <c r="A17" i="33258" s="1"/>
  <c r="D454" i="1"/>
  <c r="D287" i="1"/>
  <c r="J46" i="1027" s="1"/>
  <c r="D23" i="1"/>
  <c r="Q12" i="33254" s="1"/>
  <c r="D61" i="1"/>
  <c r="D31" i="1"/>
  <c r="D295" i="1"/>
  <c r="D495" i="1"/>
  <c r="A10" i="33258" s="1"/>
  <c r="D183" i="1"/>
  <c r="W135" i="83" s="1"/>
  <c r="T120" i="83" s="1"/>
  <c r="D46" i="1"/>
  <c r="B37" i="3" s="1"/>
  <c r="D39" i="1"/>
  <c r="B28" i="3" s="1"/>
  <c r="D367" i="1"/>
  <c r="B34" i="33254" s="1"/>
  <c r="W87" i="83" s="1"/>
  <c r="D383" i="1"/>
  <c r="D344" i="1"/>
  <c r="D78" i="1"/>
  <c r="J114" i="83" s="1"/>
  <c r="K114" i="83" s="1"/>
  <c r="L114" i="83" s="1"/>
  <c r="M114" i="83" s="1"/>
  <c r="D47" i="1"/>
  <c r="B35" i="3" s="1"/>
  <c r="D391" i="1"/>
  <c r="B41" i="33254" s="1"/>
  <c r="W94" i="83" s="1"/>
  <c r="D74" i="1"/>
  <c r="D302" i="1"/>
  <c r="I61" i="1027" s="1"/>
  <c r="D135" i="1"/>
  <c r="A115" i="83" s="1"/>
  <c r="BC22" i="83" s="1"/>
  <c r="D407" i="1"/>
  <c r="B49" i="33254" s="1"/>
  <c r="D422" i="1"/>
  <c r="D203" i="1"/>
  <c r="V110" i="83" s="1"/>
  <c r="D310" i="1"/>
  <c r="D143" i="1"/>
  <c r="A123" i="83" s="1"/>
  <c r="BC30" i="83" s="1"/>
  <c r="D471" i="1"/>
  <c r="D379" i="1"/>
  <c r="D334" i="1"/>
  <c r="D151" i="1"/>
  <c r="D487" i="1"/>
  <c r="D271" i="1"/>
  <c r="B29" i="1027" s="1"/>
  <c r="L210" i="83"/>
  <c r="H24" i="33255" s="1"/>
  <c r="A613" i="33253" s="1"/>
  <c r="K210" i="83"/>
  <c r="H22" i="33255" s="1"/>
  <c r="A612" i="33253" s="1"/>
  <c r="M210" i="83"/>
  <c r="H26" i="33255" s="1"/>
  <c r="A614" i="33253" s="1"/>
  <c r="N210" i="83"/>
  <c r="H28" i="33255" s="1"/>
  <c r="A615" i="33253" s="1"/>
  <c r="D398" i="1"/>
  <c r="BA10" i="83" s="1"/>
  <c r="D269" i="1"/>
  <c r="B27" i="1027" s="1"/>
  <c r="D392" i="1"/>
  <c r="AF8" i="83" s="1"/>
  <c r="D186" i="1"/>
  <c r="W138" i="83" s="1"/>
  <c r="T129" i="83" s="1"/>
  <c r="D134" i="1"/>
  <c r="A114" i="83" s="1"/>
  <c r="BC21" i="83" s="1"/>
  <c r="D323" i="1"/>
  <c r="B11" i="33255" s="1"/>
  <c r="D534" i="1"/>
  <c r="B27" i="33255" s="1"/>
  <c r="N64" i="83"/>
  <c r="I93" i="3" s="1"/>
  <c r="D455" i="1"/>
  <c r="D359" i="1"/>
  <c r="B20" i="33262" s="1"/>
  <c r="D263" i="1"/>
  <c r="H7" i="1027" s="1"/>
  <c r="D119" i="1"/>
  <c r="A99" i="83" s="1"/>
  <c r="BC6" i="83" s="1"/>
  <c r="D390" i="1"/>
  <c r="AF7" i="83" s="1"/>
  <c r="D286" i="1"/>
  <c r="I46" i="1027" s="1"/>
  <c r="D477" i="1"/>
  <c r="D372" i="1"/>
  <c r="B39" i="33254" s="1"/>
  <c r="W92" i="83" s="1"/>
  <c r="D107" i="1"/>
  <c r="D152" i="1"/>
  <c r="D16" i="1"/>
  <c r="G13" i="3" s="1"/>
  <c r="D447" i="1"/>
  <c r="D343" i="1"/>
  <c r="D223" i="1"/>
  <c r="V130" i="83" s="1"/>
  <c r="D111" i="1"/>
  <c r="D7" i="1"/>
  <c r="G3" i="3" s="1"/>
  <c r="H3" i="1027" s="1"/>
  <c r="D374" i="1"/>
  <c r="B43" i="33254" s="1"/>
  <c r="D262" i="1"/>
  <c r="B19" i="1027" s="1"/>
  <c r="B18" i="33259" s="1"/>
  <c r="A18" i="33259" s="1"/>
  <c r="D445" i="1"/>
  <c r="D324" i="1"/>
  <c r="D394" i="1"/>
  <c r="AF10" i="83" s="1"/>
  <c r="D172" i="1"/>
  <c r="W124" i="83" s="1"/>
  <c r="T111" i="83" s="1"/>
  <c r="D86" i="1"/>
  <c r="D568" i="1"/>
  <c r="D572" i="1"/>
  <c r="D58" i="1"/>
  <c r="B45" i="3" s="1"/>
  <c r="D439" i="1"/>
  <c r="D335" i="1"/>
  <c r="D215" i="1"/>
  <c r="V122" i="83" s="1"/>
  <c r="D79" i="1"/>
  <c r="J115" i="83" s="1"/>
  <c r="K115" i="83" s="1"/>
  <c r="L115" i="83" s="1"/>
  <c r="M115" i="83" s="1"/>
  <c r="D494" i="1"/>
  <c r="A9" i="33258" s="1"/>
  <c r="D366" i="1"/>
  <c r="B33" i="33254" s="1"/>
  <c r="W86" i="83" s="1"/>
  <c r="D222" i="1"/>
  <c r="V129" i="83" s="1"/>
  <c r="D421" i="1"/>
  <c r="D354" i="1"/>
  <c r="D217" i="1"/>
  <c r="V124" i="83" s="1"/>
  <c r="D237" i="1"/>
  <c r="V144" i="83" s="1"/>
  <c r="D431" i="1"/>
  <c r="D319" i="1"/>
  <c r="D207" i="1"/>
  <c r="V114" i="83" s="1"/>
  <c r="D71" i="1"/>
  <c r="D486" i="1"/>
  <c r="D206" i="1"/>
  <c r="V113" i="83" s="1"/>
  <c r="D373" i="1"/>
  <c r="B40" i="33254" s="1"/>
  <c r="W93" i="83" s="1"/>
  <c r="D228" i="1"/>
  <c r="V135" i="83" s="1"/>
  <c r="D290" i="1"/>
  <c r="D489" i="1"/>
  <c r="A1" i="33258" s="1"/>
  <c r="D508" i="1"/>
  <c r="A25" i="33258" s="1"/>
  <c r="A90" i="33253"/>
  <c r="D415" i="1"/>
  <c r="D311" i="1"/>
  <c r="D199" i="1"/>
  <c r="W151" i="83" s="1"/>
  <c r="T126" i="83" s="1"/>
  <c r="D63" i="1"/>
  <c r="D470" i="1"/>
  <c r="D350" i="1"/>
  <c r="Q12" i="33255" s="1"/>
  <c r="D142" i="1"/>
  <c r="A122" i="83" s="1"/>
  <c r="BC29" i="83" s="1"/>
  <c r="D349" i="1"/>
  <c r="B52" i="33255" s="1"/>
  <c r="D132" i="1"/>
  <c r="A112" i="83" s="1"/>
  <c r="BC19" i="83" s="1"/>
  <c r="D146" i="1"/>
  <c r="D265" i="1"/>
  <c r="J7" i="1027" s="1"/>
  <c r="G46" i="1027" s="1"/>
  <c r="D509" i="1"/>
  <c r="A26" i="33258" s="1"/>
  <c r="H78" i="3"/>
  <c r="H76" i="3"/>
  <c r="I77" i="3"/>
  <c r="A88" i="33253"/>
  <c r="V50" i="83"/>
  <c r="V48" i="83"/>
  <c r="D463" i="1"/>
  <c r="D423" i="1"/>
  <c r="D375" i="1"/>
  <c r="G2" i="33254" s="1"/>
  <c r="D327" i="1"/>
  <c r="B15" i="33255" s="1"/>
  <c r="D279" i="1"/>
  <c r="D127" i="1"/>
  <c r="A107" i="83" s="1"/>
  <c r="BC14" i="83" s="1"/>
  <c r="D55" i="1"/>
  <c r="D502" i="1"/>
  <c r="A19" i="33258" s="1"/>
  <c r="D462" i="1"/>
  <c r="D414" i="1"/>
  <c r="D294" i="1"/>
  <c r="D118" i="1"/>
  <c r="A98" i="83" s="1"/>
  <c r="BC5" i="83" s="1"/>
  <c r="D397" i="1"/>
  <c r="D284" i="1"/>
  <c r="G45" i="1027" s="1"/>
  <c r="D275" i="1"/>
  <c r="B35" i="1027" s="1"/>
  <c r="D166" i="1"/>
  <c r="W118" i="83" s="1"/>
  <c r="T124" i="83" s="1"/>
  <c r="D22" i="1"/>
  <c r="D526" i="1"/>
  <c r="W155" i="83" s="1"/>
  <c r="T144" i="83" s="1"/>
  <c r="D584" i="1"/>
  <c r="D600" i="1"/>
  <c r="D99" i="1"/>
  <c r="O41" i="83" s="1"/>
  <c r="T30" i="83" s="1"/>
  <c r="D326" i="1"/>
  <c r="D198" i="1"/>
  <c r="W150" i="83" s="1"/>
  <c r="T153" i="83" s="1"/>
  <c r="M50" i="33258" s="1"/>
  <c r="D38" i="1"/>
  <c r="B27" i="3" s="1"/>
  <c r="D317" i="1"/>
  <c r="D452" i="1"/>
  <c r="D44" i="1"/>
  <c r="D498" i="1"/>
  <c r="A14" i="33258" s="1"/>
  <c r="D473" i="1"/>
  <c r="D8" i="1"/>
  <c r="D251" i="1"/>
  <c r="D543" i="1"/>
  <c r="D479" i="1"/>
  <c r="D399" i="1"/>
  <c r="BA8" i="83" s="1"/>
  <c r="D351" i="1"/>
  <c r="Q13" i="33255" s="1"/>
  <c r="D303" i="1"/>
  <c r="C63" i="1027" s="1"/>
  <c r="D231" i="1"/>
  <c r="V138" i="83" s="1"/>
  <c r="D478" i="1"/>
  <c r="B59" i="1027" s="1"/>
  <c r="D438" i="1"/>
  <c r="D270" i="1"/>
  <c r="I27" i="1027" s="1"/>
  <c r="D501" i="1"/>
  <c r="A18" i="33258" s="1"/>
  <c r="D293" i="1"/>
  <c r="D412" i="1"/>
  <c r="B44" i="33254" s="1"/>
  <c r="D483" i="1"/>
  <c r="D442" i="1"/>
  <c r="D448" i="1"/>
  <c r="D417" i="1"/>
  <c r="D305" i="1"/>
  <c r="D556" i="1"/>
  <c r="B45" i="33255" s="1"/>
  <c r="D559" i="1"/>
  <c r="AG31" i="33259" s="1"/>
  <c r="D599" i="1"/>
  <c r="D586" i="1"/>
  <c r="D19" i="1"/>
  <c r="AJ55" i="83" s="1"/>
  <c r="Q2" i="1027" s="1"/>
  <c r="D87" i="1"/>
  <c r="D100" i="1"/>
  <c r="O42" i="83" s="1"/>
  <c r="D73" i="1"/>
  <c r="AF41" i="83" s="1"/>
  <c r="D558" i="1"/>
  <c r="B16" i="33255" s="1"/>
  <c r="D549" i="1"/>
  <c r="D531" i="1"/>
  <c r="B22" i="33255" s="1"/>
  <c r="D535" i="1"/>
  <c r="B32" i="33255" s="1"/>
  <c r="D522" i="1"/>
  <c r="D511" i="1"/>
  <c r="A28" i="33258" s="1"/>
  <c r="D510" i="1"/>
  <c r="D241" i="1"/>
  <c r="V148" i="83" s="1"/>
  <c r="D250" i="1"/>
  <c r="AD138" i="83" s="1"/>
  <c r="D192" i="1"/>
  <c r="W144" i="83" s="1"/>
  <c r="T147" i="83" s="1"/>
  <c r="D245" i="1"/>
  <c r="V152" i="83" s="1"/>
  <c r="D313" i="1"/>
  <c r="D184" i="1"/>
  <c r="W136" i="83" s="1"/>
  <c r="T121" i="83" s="1"/>
  <c r="D9" i="1"/>
  <c r="D369" i="1"/>
  <c r="B36" i="33254" s="1"/>
  <c r="W89" i="83" s="1"/>
  <c r="D169" i="1"/>
  <c r="W121" i="83" s="1"/>
  <c r="T134" i="83" s="1"/>
  <c r="D164" i="1"/>
  <c r="W116" i="83" s="1"/>
  <c r="T127" i="83" s="1"/>
  <c r="D195" i="1"/>
  <c r="W147" i="83" s="1"/>
  <c r="T150" i="83" s="1"/>
  <c r="D32" i="1"/>
  <c r="B17" i="3" s="1"/>
  <c r="D112" i="1"/>
  <c r="D200" i="1"/>
  <c r="W152" i="83" s="1"/>
  <c r="T125" i="83" s="1"/>
  <c r="D256" i="1"/>
  <c r="B6" i="1027" s="1"/>
  <c r="D296" i="1"/>
  <c r="D352" i="1"/>
  <c r="Q14" i="33255" s="1"/>
  <c r="D456" i="1"/>
  <c r="G120" i="33254" s="1"/>
  <c r="D481" i="1"/>
  <c r="D154" i="1"/>
  <c r="D234" i="1"/>
  <c r="D298" i="1"/>
  <c r="D362" i="1"/>
  <c r="B19" i="33254" s="1"/>
  <c r="D402" i="1"/>
  <c r="D11" i="1"/>
  <c r="I19" i="33262" s="1"/>
  <c r="D115" i="1"/>
  <c r="D211" i="1"/>
  <c r="V118" i="83" s="1"/>
  <c r="D387" i="1"/>
  <c r="D443" i="1"/>
  <c r="D491" i="1"/>
  <c r="A4" i="33258" s="1"/>
  <c r="D52" i="1"/>
  <c r="D140" i="1"/>
  <c r="A120" i="83" s="1"/>
  <c r="BC27" i="83" s="1"/>
  <c r="D292" i="1"/>
  <c r="B54" i="1027" s="1"/>
  <c r="D332" i="1"/>
  <c r="D69" i="1"/>
  <c r="D133" i="1"/>
  <c r="A113" i="83" s="1"/>
  <c r="BC20" i="83" s="1"/>
  <c r="D221" i="1"/>
  <c r="V128" i="83" s="1"/>
  <c r="D277" i="1"/>
  <c r="D325" i="1"/>
  <c r="D485" i="1"/>
  <c r="D54" i="1"/>
  <c r="B39" i="3" s="1"/>
  <c r="D126" i="1"/>
  <c r="A106" i="83" s="1"/>
  <c r="BC13" i="83" s="1"/>
  <c r="D214" i="1"/>
  <c r="V121" i="83" s="1"/>
  <c r="D278" i="1"/>
  <c r="D318" i="1"/>
  <c r="D358" i="1"/>
  <c r="D406" i="1"/>
  <c r="D446" i="1"/>
  <c r="D594" i="1"/>
  <c r="D580" i="1"/>
  <c r="D560" i="1"/>
  <c r="AJ57" i="83" s="1"/>
  <c r="D88" i="1"/>
  <c r="D94" i="1"/>
  <c r="O36" i="83" s="1"/>
  <c r="D26" i="1"/>
  <c r="D557" i="1"/>
  <c r="B47" i="33255" s="1"/>
  <c r="D551" i="1"/>
  <c r="D539" i="1"/>
  <c r="B14" i="33255" s="1"/>
  <c r="D536" i="1"/>
  <c r="B35" i="33255" s="1"/>
  <c r="D523" i="1"/>
  <c r="D513" i="1"/>
  <c r="A30" i="33258" s="1"/>
  <c r="D512" i="1"/>
  <c r="A29" i="33258" s="1"/>
  <c r="D220" i="1"/>
  <c r="V127" i="83" s="1"/>
  <c r="D240" i="1"/>
  <c r="V147" i="83" s="1"/>
  <c r="D21" i="1"/>
  <c r="D15" i="1"/>
  <c r="D137" i="1"/>
  <c r="A117" i="83" s="1"/>
  <c r="BC24" i="83" s="1"/>
  <c r="D178" i="1"/>
  <c r="W130" i="83" s="1"/>
  <c r="T113" i="83" s="1"/>
  <c r="D33" i="1"/>
  <c r="AG6" i="33259" s="1"/>
  <c r="D175" i="1"/>
  <c r="AA24" i="33259" s="1"/>
  <c r="D329" i="1"/>
  <c r="B19" i="33255" s="1"/>
  <c r="D49" i="1"/>
  <c r="B40" i="3" s="1"/>
  <c r="D181" i="1"/>
  <c r="W133" i="83" s="1"/>
  <c r="T118" i="83" s="1"/>
  <c r="D281" i="1"/>
  <c r="B46" i="1027" s="1"/>
  <c r="D65" i="1"/>
  <c r="D40" i="1"/>
  <c r="B29" i="3" s="1"/>
  <c r="D120" i="1"/>
  <c r="A100" i="83" s="1"/>
  <c r="BC7" i="83" s="1"/>
  <c r="D304" i="1"/>
  <c r="C64" i="1027" s="1"/>
  <c r="D400" i="1"/>
  <c r="D464" i="1"/>
  <c r="D497" i="1"/>
  <c r="A12" i="33258" s="1"/>
  <c r="D106" i="1"/>
  <c r="D162" i="1"/>
  <c r="W114" i="83" s="1"/>
  <c r="T141" i="83" s="1"/>
  <c r="D258" i="1"/>
  <c r="J6" i="1027" s="1"/>
  <c r="D306" i="1"/>
  <c r="D370" i="1"/>
  <c r="B37" i="33254" s="1"/>
  <c r="W90" i="83" s="1"/>
  <c r="D410" i="1"/>
  <c r="B25" i="33254" s="1"/>
  <c r="D450" i="1"/>
  <c r="D35" i="1"/>
  <c r="D123" i="1"/>
  <c r="A103" i="83" s="1"/>
  <c r="BC10" i="83" s="1"/>
  <c r="D219" i="1"/>
  <c r="V126" i="83" s="1"/>
  <c r="D283" i="1"/>
  <c r="F45" i="1027" s="1"/>
  <c r="D331" i="1"/>
  <c r="D395" i="1"/>
  <c r="D499" i="1"/>
  <c r="D60" i="1"/>
  <c r="B46" i="3" s="1"/>
  <c r="AG7" i="33259" s="1"/>
  <c r="D236" i="1"/>
  <c r="D340" i="1"/>
  <c r="D420" i="1"/>
  <c r="D460" i="1"/>
  <c r="D77" i="1"/>
  <c r="D141" i="1"/>
  <c r="A121" i="83" s="1"/>
  <c r="BC28" i="83" s="1"/>
  <c r="D285" i="1"/>
  <c r="I45" i="1027" s="1"/>
  <c r="D333" i="1"/>
  <c r="D381" i="1"/>
  <c r="D429" i="1"/>
  <c r="D493" i="1"/>
  <c r="A8" i="33258" s="1"/>
  <c r="D62" i="1"/>
  <c r="D587" i="1"/>
  <c r="D574" i="1"/>
  <c r="D562" i="1"/>
  <c r="AG32" i="33259" s="1"/>
  <c r="D95" i="1"/>
  <c r="O37" i="83" s="1"/>
  <c r="T26" i="83" s="1"/>
  <c r="D101" i="1"/>
  <c r="O43" i="83" s="1"/>
  <c r="D555" i="1"/>
  <c r="D545" i="1"/>
  <c r="D532" i="1"/>
  <c r="B23" i="33255" s="1"/>
  <c r="D538" i="1"/>
  <c r="B13" i="33255" s="1"/>
  <c r="D524" i="1"/>
  <c r="V155" i="83" s="1"/>
  <c r="D515" i="1"/>
  <c r="A32" i="33258" s="1"/>
  <c r="D514" i="1"/>
  <c r="A31" i="33258" s="1"/>
  <c r="D249" i="1"/>
  <c r="AD122" i="83" s="1"/>
  <c r="AD123" i="83" s="1"/>
  <c r="D191" i="1"/>
  <c r="D244" i="1"/>
  <c r="V151" i="83" s="1"/>
  <c r="D194" i="1"/>
  <c r="W146" i="83" s="1"/>
  <c r="T149" i="83" s="1"/>
  <c r="D248" i="1"/>
  <c r="C18" i="33254" s="1"/>
  <c r="D377" i="1"/>
  <c r="B46" i="33254" s="1"/>
  <c r="D176" i="1"/>
  <c r="W128" i="83" s="1"/>
  <c r="T115" i="83" s="1"/>
  <c r="D233" i="1"/>
  <c r="V140" i="83" s="1"/>
  <c r="D170" i="1"/>
  <c r="W122" i="83" s="1"/>
  <c r="T145" i="83" s="1"/>
  <c r="D433" i="1"/>
  <c r="B38" i="33261" s="1"/>
  <c r="D257" i="1"/>
  <c r="C17" i="33254" s="1"/>
  <c r="D167" i="1"/>
  <c r="W119" i="83" s="1"/>
  <c r="T132" i="83" s="1"/>
  <c r="D393" i="1"/>
  <c r="D113" i="1"/>
  <c r="D173" i="1"/>
  <c r="W125" i="83" s="1"/>
  <c r="T112" i="83" s="1"/>
  <c r="D345" i="1"/>
  <c r="B42" i="33255" s="1"/>
  <c r="D129" i="1"/>
  <c r="A109" i="83" s="1"/>
  <c r="BC16" i="83" s="1"/>
  <c r="D179" i="1"/>
  <c r="W131" i="83" s="1"/>
  <c r="T114" i="83" s="1"/>
  <c r="D48" i="1"/>
  <c r="B30" i="3" s="1"/>
  <c r="D128" i="1"/>
  <c r="A108" i="83" s="1"/>
  <c r="BC15" i="83" s="1"/>
  <c r="D208" i="1"/>
  <c r="V115" i="83" s="1"/>
  <c r="D264" i="1"/>
  <c r="I7" i="1027" s="1"/>
  <c r="D360" i="1"/>
  <c r="D408" i="1"/>
  <c r="B48" i="33254" s="1"/>
  <c r="D472" i="1"/>
  <c r="D10" i="1"/>
  <c r="D114" i="1"/>
  <c r="D314" i="1"/>
  <c r="D418" i="1"/>
  <c r="B18" i="33262" s="1"/>
  <c r="D458" i="1"/>
  <c r="D43" i="1"/>
  <c r="D131" i="1"/>
  <c r="A111" i="83" s="1"/>
  <c r="BC18" i="83" s="1"/>
  <c r="D227" i="1"/>
  <c r="V134" i="83" s="1"/>
  <c r="D291" i="1"/>
  <c r="D339" i="1"/>
  <c r="D403" i="1"/>
  <c r="BA12" i="83" s="1"/>
  <c r="D451" i="1"/>
  <c r="D68" i="1"/>
  <c r="D148" i="1"/>
  <c r="G48" i="3" s="1"/>
  <c r="D252" i="1"/>
  <c r="AE138" i="83" s="1"/>
  <c r="D300" i="1"/>
  <c r="B51" i="1027" s="1"/>
  <c r="G51" i="1027" s="1"/>
  <c r="A172" i="33253" s="1"/>
  <c r="D348" i="1"/>
  <c r="B48" i="33255" s="1"/>
  <c r="D380" i="1"/>
  <c r="D428" i="1"/>
  <c r="D468" i="1"/>
  <c r="B18" i="33254" s="1"/>
  <c r="D13" i="1"/>
  <c r="D229" i="1"/>
  <c r="V136" i="83" s="1"/>
  <c r="D341" i="1"/>
  <c r="D389" i="1"/>
  <c r="AF6" i="83" s="1"/>
  <c r="D437" i="1"/>
  <c r="D70" i="1"/>
  <c r="D588" i="1"/>
  <c r="D575" i="1"/>
  <c r="D563" i="1"/>
  <c r="AJ60" i="83" s="1"/>
  <c r="D89" i="1"/>
  <c r="D96" i="1"/>
  <c r="O38" i="83" s="1"/>
  <c r="D569" i="1"/>
  <c r="O44" i="83" s="1"/>
  <c r="P77" i="83" s="1"/>
  <c r="D105" i="1"/>
  <c r="N58" i="83" s="1"/>
  <c r="L58" i="83" s="1"/>
  <c r="D554" i="1"/>
  <c r="D548" i="1"/>
  <c r="D540" i="1"/>
  <c r="D529" i="1"/>
  <c r="A8" i="33253"/>
  <c r="D517" i="1"/>
  <c r="A34" i="33258" s="1"/>
  <c r="D516" i="1"/>
  <c r="A33" i="33258" s="1"/>
  <c r="D190" i="1"/>
  <c r="D161" i="1"/>
  <c r="W113" i="83" s="1"/>
  <c r="T140" i="83" s="1"/>
  <c r="D193" i="1"/>
  <c r="W145" i="83" s="1"/>
  <c r="T148" i="83" s="1"/>
  <c r="D189" i="1"/>
  <c r="D28" i="1"/>
  <c r="D24" i="1"/>
  <c r="R12" i="33254" s="1"/>
  <c r="Q13" i="33254" s="1"/>
  <c r="D297" i="1"/>
  <c r="D81" i="1"/>
  <c r="J117" i="83" s="1"/>
  <c r="K117" i="83" s="1"/>
  <c r="L117" i="83" s="1"/>
  <c r="M117" i="83" s="1"/>
  <c r="D321" i="1"/>
  <c r="D41" i="1"/>
  <c r="B31" i="3" s="1"/>
  <c r="D457" i="1"/>
  <c r="H120" i="33254" s="1"/>
  <c r="D209" i="1"/>
  <c r="V116" i="83" s="1"/>
  <c r="D165" i="1"/>
  <c r="W117" i="83" s="1"/>
  <c r="T128" i="83" s="1"/>
  <c r="D409" i="1"/>
  <c r="B50" i="33254" s="1"/>
  <c r="D225" i="1"/>
  <c r="V132" i="83" s="1"/>
  <c r="D56" i="1"/>
  <c r="B43" i="3" s="1"/>
  <c r="D312" i="1"/>
  <c r="D368" i="1"/>
  <c r="B35" i="33254" s="1"/>
  <c r="W88" i="83" s="1"/>
  <c r="D416" i="1"/>
  <c r="D480" i="1"/>
  <c r="D34" i="1"/>
  <c r="D122" i="1"/>
  <c r="A102" i="83" s="1"/>
  <c r="BC9" i="83" s="1"/>
  <c r="D202" i="1"/>
  <c r="V109" i="83" s="1"/>
  <c r="D266" i="1"/>
  <c r="L7" i="1027" s="1"/>
  <c r="H46" i="1027" s="1"/>
  <c r="D322" i="1"/>
  <c r="B10" i="33255" s="1"/>
  <c r="D466" i="1"/>
  <c r="D51" i="1"/>
  <c r="B42" i="3" s="1"/>
  <c r="D139" i="1"/>
  <c r="A119" i="83" s="1"/>
  <c r="BC26" i="83" s="1"/>
  <c r="D235" i="1"/>
  <c r="D299" i="1"/>
  <c r="D347" i="1"/>
  <c r="D411" i="1"/>
  <c r="B22" i="33254" s="1"/>
  <c r="D459" i="1"/>
  <c r="D4" i="1"/>
  <c r="D76" i="1"/>
  <c r="D156" i="1"/>
  <c r="D388" i="1"/>
  <c r="D436" i="1"/>
  <c r="D476" i="1"/>
  <c r="I118" i="33254" s="1"/>
  <c r="D29" i="1"/>
  <c r="D149" i="1"/>
  <c r="D590" i="1"/>
  <c r="D577" i="1"/>
  <c r="D82" i="1"/>
  <c r="D90" i="1"/>
  <c r="D25" i="1"/>
  <c r="D567" i="1"/>
  <c r="AD142" i="83" s="1"/>
  <c r="D552" i="1"/>
  <c r="D546" i="1"/>
  <c r="D542" i="1"/>
  <c r="D528" i="1"/>
  <c r="D521" i="1"/>
  <c r="B21" i="33254" s="1"/>
  <c r="D519" i="1"/>
  <c r="A36" i="33258" s="1"/>
  <c r="D518" i="1"/>
  <c r="A35" i="33258" s="1"/>
  <c r="D160" i="1"/>
  <c r="W112" i="83" s="1"/>
  <c r="T139" i="83" s="1"/>
  <c r="D239" i="1"/>
  <c r="V146" i="83" s="1"/>
  <c r="D238" i="1"/>
  <c r="V145" i="83" s="1"/>
  <c r="D159" i="1"/>
  <c r="W111" i="83" s="1"/>
  <c r="T138" i="83" s="1"/>
  <c r="D18" i="1"/>
  <c r="D361" i="1"/>
  <c r="D185" i="1"/>
  <c r="W137" i="83" s="1"/>
  <c r="T122" i="83" s="1"/>
  <c r="D385" i="1"/>
  <c r="D62" i="33254" s="1"/>
  <c r="D273" i="1"/>
  <c r="D196" i="1"/>
  <c r="W148" i="83" s="1"/>
  <c r="T151" i="83" s="1"/>
  <c r="D289" i="1"/>
  <c r="B52" i="1027" s="1"/>
  <c r="D171" i="1"/>
  <c r="W123" i="83" s="1"/>
  <c r="T146" i="83" s="1"/>
  <c r="D64" i="1"/>
  <c r="D136" i="1"/>
  <c r="A116" i="83" s="1"/>
  <c r="BC23" i="83" s="1"/>
  <c r="D216" i="1"/>
  <c r="V123" i="83" s="1"/>
  <c r="D272" i="1"/>
  <c r="L29" i="1027" s="1"/>
  <c r="D320" i="1"/>
  <c r="B41" i="33261" s="1"/>
  <c r="D376" i="1"/>
  <c r="D424" i="1"/>
  <c r="D488" i="1"/>
  <c r="D42" i="1"/>
  <c r="D210" i="1"/>
  <c r="V117" i="83" s="1"/>
  <c r="D330" i="1"/>
  <c r="D378" i="1"/>
  <c r="B47" i="33254" s="1"/>
  <c r="D426" i="1"/>
  <c r="D474" i="1"/>
  <c r="D59" i="1"/>
  <c r="D259" i="1"/>
  <c r="B7" i="1027" s="1"/>
  <c r="B15" i="33259" s="1"/>
  <c r="A15" i="33259" s="1"/>
  <c r="D307" i="1"/>
  <c r="D355" i="1"/>
  <c r="D419" i="1"/>
  <c r="D467" i="1"/>
  <c r="B17" i="33254" s="1"/>
  <c r="AG8" i="33259" s="1"/>
  <c r="D12" i="1"/>
  <c r="D108" i="1"/>
  <c r="D204" i="1"/>
  <c r="V111" i="83" s="1"/>
  <c r="D260" i="1"/>
  <c r="B11" i="1027" s="1"/>
  <c r="B16" i="33259" s="1"/>
  <c r="A16" i="33259" s="1"/>
  <c r="D308" i="1"/>
  <c r="AF42" i="83" s="1"/>
  <c r="D356" i="1"/>
  <c r="B19" i="33262" s="1"/>
  <c r="D396" i="1"/>
  <c r="AF12" i="83" s="1"/>
  <c r="D37" i="1"/>
  <c r="D109" i="1"/>
  <c r="D197" i="1"/>
  <c r="W149" i="83" s="1"/>
  <c r="T152" i="83" s="1"/>
  <c r="M49" i="33258" s="1"/>
  <c r="D253" i="1"/>
  <c r="D301" i="1"/>
  <c r="B61" i="1027" s="1"/>
  <c r="D405" i="1"/>
  <c r="D453" i="1"/>
  <c r="D6" i="1"/>
  <c r="D150" i="1"/>
  <c r="D230" i="1"/>
  <c r="V137" i="83" s="1"/>
  <c r="D342" i="1"/>
  <c r="B33" i="33255" s="1"/>
  <c r="D382" i="1"/>
  <c r="D430" i="1"/>
  <c r="D601" i="1"/>
  <c r="D592" i="1"/>
  <c r="D83" i="1"/>
  <c r="D91" i="1"/>
  <c r="D97" i="1"/>
  <c r="O39" i="83" s="1"/>
  <c r="T28" i="83" s="1"/>
  <c r="D566" i="1"/>
  <c r="AE142" i="83" s="1"/>
  <c r="D553" i="1"/>
  <c r="D547" i="1"/>
  <c r="D537" i="1"/>
  <c r="B12" i="33255" s="1"/>
  <c r="D527" i="1"/>
  <c r="D505" i="1"/>
  <c r="A22" i="33258" s="1"/>
  <c r="D504" i="1"/>
  <c r="A21" i="33258" s="1"/>
  <c r="D520" i="1"/>
  <c r="A37" i="33258" s="1"/>
  <c r="D243" i="1"/>
  <c r="V150" i="83" s="1"/>
  <c r="D188" i="1"/>
  <c r="W140" i="83" s="1"/>
  <c r="T131" i="83" s="1"/>
  <c r="D246" i="1"/>
  <c r="V153" i="83" s="1"/>
  <c r="D247" i="1"/>
  <c r="D441" i="1"/>
  <c r="D153" i="1"/>
  <c r="D425" i="1"/>
  <c r="D145" i="1"/>
  <c r="A125" i="83" s="1"/>
  <c r="BC32" i="83" s="1"/>
  <c r="D449" i="1"/>
  <c r="D201" i="1"/>
  <c r="W153" i="83" s="1"/>
  <c r="T123" i="83" s="1"/>
  <c r="D182" i="1"/>
  <c r="W134" i="83" s="1"/>
  <c r="T119" i="83" s="1"/>
  <c r="D337" i="1"/>
  <c r="B29" i="33255" s="1"/>
  <c r="D57" i="1"/>
  <c r="B44" i="3" s="1"/>
  <c r="D353" i="1"/>
  <c r="Q15" i="33255" s="1"/>
  <c r="D163" i="1"/>
  <c r="W115" i="83" s="1"/>
  <c r="T142" i="83" s="1"/>
  <c r="D72" i="1"/>
  <c r="AF40" i="83" s="1"/>
  <c r="D224" i="1"/>
  <c r="V131" i="83" s="1"/>
  <c r="D280" i="1"/>
  <c r="B45" i="1027" s="1"/>
  <c r="D328" i="1"/>
  <c r="B18" i="33255" s="1"/>
  <c r="D384" i="1"/>
  <c r="B62" i="33254" s="1"/>
  <c r="D432" i="1"/>
  <c r="D496" i="1"/>
  <c r="A11" i="33258" s="1"/>
  <c r="D50" i="1"/>
  <c r="B41" i="3" s="1"/>
  <c r="D130" i="1"/>
  <c r="A110" i="83" s="1"/>
  <c r="BC17" i="83" s="1"/>
  <c r="D218" i="1"/>
  <c r="V125" i="83" s="1"/>
  <c r="D274" i="1"/>
  <c r="D338" i="1"/>
  <c r="B30" i="33255" s="1"/>
  <c r="D482" i="1"/>
  <c r="D67" i="1"/>
  <c r="D147" i="1"/>
  <c r="C48" i="3" s="1"/>
  <c r="D267" i="1"/>
  <c r="B23" i="1027" s="1"/>
  <c r="B19" i="33259" s="1"/>
  <c r="A19" i="33259" s="1"/>
  <c r="D363" i="1"/>
  <c r="B20" i="33254" s="1"/>
  <c r="D427" i="1"/>
  <c r="D20" i="1"/>
  <c r="D116" i="1"/>
  <c r="D212" i="1"/>
  <c r="V119" i="83" s="1"/>
  <c r="D268" i="1"/>
  <c r="B25" i="1027" s="1"/>
  <c r="D364" i="1"/>
  <c r="B30" i="33254" s="1"/>
  <c r="D444" i="1"/>
  <c r="D484" i="1"/>
  <c r="D45" i="1"/>
  <c r="B34" i="3" s="1"/>
  <c r="D117" i="1"/>
  <c r="I8" i="3" s="1"/>
  <c r="D205" i="1"/>
  <c r="V112" i="83" s="1"/>
  <c r="D261" i="1"/>
  <c r="B15" i="1027" s="1"/>
  <c r="B17" i="33259" s="1"/>
  <c r="A17" i="33259" s="1"/>
  <c r="D357" i="1"/>
  <c r="D413" i="1"/>
  <c r="D461" i="1"/>
  <c r="D14" i="1"/>
  <c r="D110" i="1"/>
  <c r="D583" i="1"/>
  <c r="D84" i="1"/>
  <c r="D92" i="1"/>
  <c r="D98" i="1"/>
  <c r="O40" i="83" s="1"/>
  <c r="P73" i="83" s="1"/>
  <c r="D255" i="1"/>
  <c r="AB49" i="83" s="1"/>
  <c r="AB51" i="83" s="1"/>
  <c r="D565" i="1"/>
  <c r="AD143" i="83" s="1"/>
  <c r="D544" i="1"/>
  <c r="D550" i="1"/>
  <c r="D541" i="1"/>
  <c r="B36" i="33255" s="1"/>
  <c r="D525" i="1"/>
  <c r="W154" i="83" s="1"/>
  <c r="T143" i="83" s="1"/>
  <c r="D507" i="1"/>
  <c r="A24" i="33258" s="1"/>
  <c r="D506" i="1"/>
  <c r="A23" i="33258" s="1"/>
  <c r="D503" i="1"/>
  <c r="A20" i="33258" s="1"/>
  <c r="D242" i="1"/>
  <c r="V149" i="83" s="1"/>
  <c r="D187" i="1"/>
  <c r="W139" i="83" s="1"/>
  <c r="T130" i="83" s="1"/>
  <c r="D158" i="1"/>
  <c r="W110" i="83" s="1"/>
  <c r="T137" i="83" s="1"/>
  <c r="D17" i="1"/>
  <c r="D168" i="1"/>
  <c r="W120" i="83" s="1"/>
  <c r="T133" i="83" s="1"/>
  <c r="D177" i="1"/>
  <c r="W129" i="83" s="1"/>
  <c r="T116" i="83" s="1"/>
  <c r="D174" i="1"/>
  <c r="AA23" i="33259" s="1"/>
  <c r="D401" i="1"/>
  <c r="D121" i="1"/>
  <c r="A101" i="83" s="1"/>
  <c r="BC8" i="83" s="1"/>
  <c r="D180" i="1"/>
  <c r="W132" i="83" s="1"/>
  <c r="T117" i="83" s="1"/>
  <c r="D30" i="1"/>
  <c r="O8" i="33259" s="1"/>
  <c r="D80" i="1"/>
  <c r="J116" i="83" s="1"/>
  <c r="K116" i="83" s="1"/>
  <c r="L116" i="83" s="1"/>
  <c r="M116" i="83" s="1"/>
  <c r="D144" i="1"/>
  <c r="A124" i="83" s="1"/>
  <c r="BC31" i="83" s="1"/>
  <c r="D232" i="1"/>
  <c r="V139" i="83" s="1"/>
  <c r="D288" i="1"/>
  <c r="L45" i="1027" s="1"/>
  <c r="D336" i="1"/>
  <c r="D440" i="1"/>
  <c r="D465" i="1"/>
  <c r="D66" i="1"/>
  <c r="D138" i="1"/>
  <c r="A118" i="83" s="1"/>
  <c r="BC25" i="83" s="1"/>
  <c r="D226" i="1"/>
  <c r="V133" i="83" s="1"/>
  <c r="D282" i="1"/>
  <c r="E46" i="1027" s="1"/>
  <c r="D346" i="1"/>
  <c r="D386" i="1"/>
  <c r="D434" i="1"/>
  <c r="D490" i="1"/>
  <c r="C3" i="33258" s="1"/>
  <c r="D75" i="1"/>
  <c r="D155" i="1"/>
  <c r="D315" i="1"/>
  <c r="D371" i="1"/>
  <c r="B38" i="33254" s="1"/>
  <c r="W91" i="83" s="1"/>
  <c r="D435" i="1"/>
  <c r="B49" i="33257" s="1"/>
  <c r="D475" i="1"/>
  <c r="G118" i="33254" s="1"/>
  <c r="D36" i="1"/>
  <c r="B21" i="3" s="1"/>
  <c r="B24" i="33254" s="1"/>
  <c r="D124" i="1"/>
  <c r="A104" i="83" s="1"/>
  <c r="BC11" i="83" s="1"/>
  <c r="D276" i="1"/>
  <c r="B39" i="1027" s="1"/>
  <c r="D316" i="1"/>
  <c r="D404" i="1"/>
  <c r="D492" i="1"/>
  <c r="A5" i="33258" s="1"/>
  <c r="D53" i="1"/>
  <c r="B38" i="3" s="1"/>
  <c r="D125" i="1"/>
  <c r="A105" i="83" s="1"/>
  <c r="BC12" i="83" s="1"/>
  <c r="D213" i="1"/>
  <c r="V120" i="83" s="1"/>
  <c r="D309" i="1"/>
  <c r="D365" i="1"/>
  <c r="B32" i="33254" s="1"/>
  <c r="D469" i="1"/>
  <c r="D27" i="1"/>
  <c r="O12" i="33255" s="1"/>
  <c r="V47" i="83"/>
  <c r="I76" i="3"/>
  <c r="D573" i="1"/>
  <c r="D582" i="1"/>
  <c r="D596" i="1"/>
  <c r="D603" i="1"/>
  <c r="D102" i="1"/>
  <c r="N55" i="83" s="1"/>
  <c r="D564" i="1"/>
  <c r="AJ61" i="83" s="1"/>
  <c r="D581" i="1"/>
  <c r="D593" i="1"/>
  <c r="D595" i="1"/>
  <c r="D602" i="1"/>
  <c r="D103" i="1"/>
  <c r="N56" i="83" s="1"/>
  <c r="L56" i="83" s="1"/>
  <c r="D570" i="1"/>
  <c r="O45" i="83" s="1"/>
  <c r="T34" i="83" s="1"/>
  <c r="D578" i="1"/>
  <c r="D579" i="1"/>
  <c r="D591" i="1"/>
  <c r="D597" i="1"/>
  <c r="D533" i="1"/>
  <c r="B25" i="33255" s="1"/>
  <c r="D571" i="1"/>
  <c r="N59" i="83" s="1"/>
  <c r="L59" i="83" s="1"/>
  <c r="D104" i="1"/>
  <c r="N57" i="83" s="1"/>
  <c r="L57" i="83" s="1"/>
  <c r="D254" i="1"/>
  <c r="AB48" i="83" s="1"/>
  <c r="D85" i="1"/>
  <c r="D561" i="1"/>
  <c r="AJ58" i="83" s="1"/>
  <c r="AA46" i="83" s="1"/>
  <c r="D576" i="1"/>
  <c r="D585" i="1"/>
  <c r="D589" i="1"/>
  <c r="D598" i="1"/>
  <c r="M63" i="83"/>
  <c r="W48" i="83"/>
  <c r="P29" i="83"/>
  <c r="W50" i="83"/>
  <c r="W47" i="83"/>
  <c r="W49" i="83"/>
  <c r="S63" i="83"/>
  <c r="B27" i="33262" l="1"/>
  <c r="B24" i="33262"/>
  <c r="B12" i="33259"/>
  <c r="A11" i="33259" s="1"/>
  <c r="B22" i="33262"/>
  <c r="H23" i="33262"/>
  <c r="G2" i="3"/>
  <c r="H2" i="1027" s="1"/>
  <c r="G21" i="33261"/>
  <c r="G19" i="33262"/>
  <c r="B28" i="33261"/>
  <c r="G20" i="33261"/>
  <c r="G18" i="33262"/>
  <c r="I33" i="1027"/>
  <c r="H33" i="1027"/>
  <c r="B60" i="1027"/>
  <c r="B35" i="33261"/>
  <c r="M57" i="33261"/>
  <c r="A58" i="33253"/>
  <c r="A56" i="33253"/>
  <c r="B47" i="33261"/>
  <c r="M58" i="33257"/>
  <c r="B18" i="33257"/>
  <c r="B18" i="33261"/>
  <c r="B9" i="33257"/>
  <c r="B9" i="33261"/>
  <c r="M43" i="33257"/>
  <c r="P41" i="33257" s="1"/>
  <c r="M88" i="33261"/>
  <c r="P86" i="33261" s="1"/>
  <c r="K36" i="33261"/>
  <c r="K29" i="33261"/>
  <c r="B11" i="33257"/>
  <c r="B11" i="33261"/>
  <c r="M52" i="33257"/>
  <c r="P50" i="33257" s="1"/>
  <c r="M52" i="33261"/>
  <c r="P50" i="33261" s="1"/>
  <c r="M53" i="33257"/>
  <c r="M53" i="33261"/>
  <c r="M59" i="33257"/>
  <c r="B37" i="33257"/>
  <c r="B37" i="33261"/>
  <c r="M56" i="33257"/>
  <c r="M56" i="33261"/>
  <c r="G2" i="33257"/>
  <c r="G2" i="33261"/>
  <c r="M51" i="33257"/>
  <c r="P49" i="33257" s="1"/>
  <c r="M51" i="33261"/>
  <c r="P49" i="33261" s="1"/>
  <c r="B21" i="33261"/>
  <c r="B22" i="33261"/>
  <c r="M57" i="33257"/>
  <c r="M65" i="33257" s="1"/>
  <c r="M61" i="33257"/>
  <c r="H36" i="33261"/>
  <c r="H29" i="33261"/>
  <c r="B46" i="33261"/>
  <c r="B20" i="33257"/>
  <c r="B20" i="33261"/>
  <c r="K66" i="33257"/>
  <c r="K66" i="33261"/>
  <c r="F36" i="33261"/>
  <c r="F29" i="33261"/>
  <c r="M66" i="33261" s="1"/>
  <c r="M72" i="33257"/>
  <c r="B50" i="33257" s="1"/>
  <c r="M72" i="33261"/>
  <c r="B50" i="33261" s="1"/>
  <c r="B44" i="33257"/>
  <c r="B44" i="33261"/>
  <c r="B14" i="33257"/>
  <c r="B14" i="33261"/>
  <c r="B10" i="33257"/>
  <c r="B10" i="33261"/>
  <c r="B13" i="33257"/>
  <c r="B13" i="33261"/>
  <c r="M50" i="33257"/>
  <c r="P43" i="33257" s="1"/>
  <c r="M50" i="33261"/>
  <c r="P88" i="33261" s="1"/>
  <c r="B45" i="33261"/>
  <c r="B42" i="33257"/>
  <c r="B42" i="33261"/>
  <c r="B12" i="33257"/>
  <c r="B12" i="33261"/>
  <c r="H18" i="33257"/>
  <c r="H18" i="33261"/>
  <c r="M67" i="33257"/>
  <c r="M67" i="33261"/>
  <c r="G3" i="33257"/>
  <c r="M49" i="33257"/>
  <c r="P42" i="33257" s="1"/>
  <c r="M49" i="33261"/>
  <c r="P87" i="33261" s="1"/>
  <c r="F46" i="33261"/>
  <c r="F45" i="33261"/>
  <c r="F47" i="33261"/>
  <c r="M66" i="33257"/>
  <c r="K64" i="33257"/>
  <c r="K64" i="33261"/>
  <c r="B39" i="33257"/>
  <c r="B39" i="33261"/>
  <c r="M54" i="33257"/>
  <c r="P52" i="33257" s="1"/>
  <c r="M54" i="33261"/>
  <c r="P52" i="33261" s="1"/>
  <c r="D18" i="33257"/>
  <c r="D18" i="33261"/>
  <c r="M70" i="33257"/>
  <c r="E50" i="33257" s="1"/>
  <c r="M70" i="33261"/>
  <c r="E50" i="33261" s="1"/>
  <c r="M42" i="33257"/>
  <c r="M87" i="33261"/>
  <c r="M63" i="33257"/>
  <c r="M63" i="33261"/>
  <c r="M68" i="33257"/>
  <c r="H50" i="33257" s="1"/>
  <c r="H50" i="33261"/>
  <c r="B3" i="33255"/>
  <c r="B3" i="3"/>
  <c r="B121" i="33254"/>
  <c r="B50" i="3"/>
  <c r="G53" i="3"/>
  <c r="B52" i="3"/>
  <c r="J33" i="1027"/>
  <c r="A113" i="33253"/>
  <c r="B48" i="3"/>
  <c r="E53" i="3"/>
  <c r="B54" i="3"/>
  <c r="B60" i="3"/>
  <c r="C60" i="3"/>
  <c r="H116" i="33254"/>
  <c r="J116" i="33254" s="1"/>
  <c r="B117" i="33254"/>
  <c r="B119" i="33254"/>
  <c r="B118" i="33254"/>
  <c r="B115" i="33254"/>
  <c r="I115" i="33254"/>
  <c r="G115" i="33254"/>
  <c r="B57" i="3"/>
  <c r="G116" i="33254"/>
  <c r="I116" i="33254" s="1"/>
  <c r="K50" i="33254" s="1"/>
  <c r="B28" i="33257"/>
  <c r="V154" i="83"/>
  <c r="B38" i="33257"/>
  <c r="A27" i="33258"/>
  <c r="AA48" i="83"/>
  <c r="J89" i="83" s="1"/>
  <c r="A16" i="33258"/>
  <c r="B26" i="33254"/>
  <c r="B16" i="3"/>
  <c r="B15" i="33254" s="1"/>
  <c r="B9" i="33259"/>
  <c r="AD126" i="83"/>
  <c r="AD127" i="83"/>
  <c r="B46" i="33257"/>
  <c r="B47" i="33257"/>
  <c r="B30" i="33259"/>
  <c r="A30" i="33259" s="1"/>
  <c r="V5" i="33260"/>
  <c r="S22" i="33259" s="1"/>
  <c r="V4" i="33260"/>
  <c r="S21" i="33259" s="1"/>
  <c r="B30" i="33257"/>
  <c r="F31" i="33257"/>
  <c r="A474" i="33253" s="1"/>
  <c r="F47" i="33257"/>
  <c r="F46" i="33257"/>
  <c r="F45" i="33257"/>
  <c r="B36" i="33259"/>
  <c r="B42" i="33259" s="1"/>
  <c r="B34" i="33259"/>
  <c r="A34" i="33259" s="1"/>
  <c r="B31" i="33257"/>
  <c r="B45" i="33257"/>
  <c r="B35" i="33257"/>
  <c r="C530" i="33260"/>
  <c r="C249" i="33260"/>
  <c r="EC530" i="33260"/>
  <c r="C288" i="33260"/>
  <c r="C374" i="33260"/>
  <c r="C93" i="33260"/>
  <c r="EC374" i="33260"/>
  <c r="C491" i="33260"/>
  <c r="BP452" i="33260"/>
  <c r="BP413" i="33260"/>
  <c r="C452" i="33260"/>
  <c r="EC413" i="33260"/>
  <c r="BP491" i="33260"/>
  <c r="C413" i="33260"/>
  <c r="EC452" i="33260"/>
  <c r="C335" i="33260"/>
  <c r="C132" i="33260"/>
  <c r="BP374" i="33260"/>
  <c r="EC569" i="33260"/>
  <c r="EC491" i="33260"/>
  <c r="EC335" i="33260"/>
  <c r="C171" i="33260"/>
  <c r="C54" i="33260"/>
  <c r="C210" i="33260"/>
  <c r="BP335" i="33260"/>
  <c r="BP530" i="33260"/>
  <c r="C569" i="33260"/>
  <c r="BP569" i="33260"/>
  <c r="S14" i="33260"/>
  <c r="BN346" i="33260"/>
  <c r="A346" i="33260"/>
  <c r="EA346" i="33260"/>
  <c r="A65" i="33260"/>
  <c r="A104" i="33260"/>
  <c r="A385" i="33260"/>
  <c r="EA385" i="33260"/>
  <c r="BN385" i="33260"/>
  <c r="S17" i="33260"/>
  <c r="U8" i="33260"/>
  <c r="B29" i="33259"/>
  <c r="A29" i="33259" s="1"/>
  <c r="S13" i="33260"/>
  <c r="A307" i="33260"/>
  <c r="EA307" i="33260"/>
  <c r="A26" i="33260"/>
  <c r="BN307" i="33260"/>
  <c r="AB10" i="33259"/>
  <c r="AC10" i="33259"/>
  <c r="AD10" i="33259"/>
  <c r="W25" i="33259"/>
  <c r="R25" i="33259"/>
  <c r="AE10" i="33259"/>
  <c r="X25" i="33259"/>
  <c r="T25" i="33259"/>
  <c r="S25" i="33259"/>
  <c r="V25" i="33259"/>
  <c r="U25" i="33259"/>
  <c r="Y25" i="33259"/>
  <c r="C214" i="33260"/>
  <c r="C456" i="33260"/>
  <c r="C534" i="33260"/>
  <c r="EC456" i="33260"/>
  <c r="C339" i="33260"/>
  <c r="BP573" i="33260"/>
  <c r="C292" i="33260"/>
  <c r="C253" i="33260"/>
  <c r="C136" i="33260"/>
  <c r="BP495" i="33260"/>
  <c r="BP339" i="33260"/>
  <c r="BP534" i="33260"/>
  <c r="BP417" i="33260"/>
  <c r="EC534" i="33260"/>
  <c r="C417" i="33260"/>
  <c r="C378" i="33260"/>
  <c r="EC378" i="33260"/>
  <c r="EC495" i="33260"/>
  <c r="EC417" i="33260"/>
  <c r="BP456" i="33260"/>
  <c r="EC339" i="33260"/>
  <c r="C58" i="33260"/>
  <c r="C175" i="33260"/>
  <c r="C97" i="33260"/>
  <c r="EC573" i="33260"/>
  <c r="C573" i="33260"/>
  <c r="C495" i="33260"/>
  <c r="BP378" i="33260"/>
  <c r="AI31" i="33259"/>
  <c r="EA541" i="33260"/>
  <c r="A260" i="33260"/>
  <c r="A541" i="33260"/>
  <c r="BN541" i="33260"/>
  <c r="S18" i="33260"/>
  <c r="C291" i="33260"/>
  <c r="EC338" i="33260"/>
  <c r="C213" i="33260"/>
  <c r="C338" i="33260"/>
  <c r="EC455" i="33260"/>
  <c r="C135" i="33260"/>
  <c r="BP494" i="33260"/>
  <c r="EC533" i="33260"/>
  <c r="BP533" i="33260"/>
  <c r="EC377" i="33260"/>
  <c r="BP416" i="33260"/>
  <c r="C252" i="33260"/>
  <c r="C57" i="33260"/>
  <c r="BP377" i="33260"/>
  <c r="C455" i="33260"/>
  <c r="BP455" i="33260"/>
  <c r="EC572" i="33260"/>
  <c r="C572" i="33260"/>
  <c r="C96" i="33260"/>
  <c r="BP338" i="33260"/>
  <c r="EC494" i="33260"/>
  <c r="EC416" i="33260"/>
  <c r="BP572" i="33260"/>
  <c r="C416" i="33260"/>
  <c r="C533" i="33260"/>
  <c r="C174" i="33260"/>
  <c r="C377" i="33260"/>
  <c r="C494" i="33260"/>
  <c r="BN463" i="33260"/>
  <c r="A182" i="33260"/>
  <c r="A463" i="33260"/>
  <c r="S16" i="33260"/>
  <c r="EA463" i="33260"/>
  <c r="S15" i="33260"/>
  <c r="A424" i="33260"/>
  <c r="A143" i="33260"/>
  <c r="EA424" i="33260"/>
  <c r="BN424" i="33260"/>
  <c r="BP531" i="33260"/>
  <c r="EC414" i="33260"/>
  <c r="C250" i="33260"/>
  <c r="C211" i="33260"/>
  <c r="C172" i="33260"/>
  <c r="C531" i="33260"/>
  <c r="C289" i="33260"/>
  <c r="C94" i="33260"/>
  <c r="BP570" i="33260"/>
  <c r="BP414" i="33260"/>
  <c r="C55" i="33260"/>
  <c r="BP336" i="33260"/>
  <c r="C375" i="33260"/>
  <c r="C336" i="33260"/>
  <c r="C570" i="33260"/>
  <c r="EC453" i="33260"/>
  <c r="BP453" i="33260"/>
  <c r="EC336" i="33260"/>
  <c r="BP492" i="33260"/>
  <c r="C133" i="33260"/>
  <c r="C492" i="33260"/>
  <c r="EC570" i="33260"/>
  <c r="EC375" i="33260"/>
  <c r="BP375" i="33260"/>
  <c r="EC531" i="33260"/>
  <c r="C414" i="33260"/>
  <c r="C453" i="33260"/>
  <c r="EC492" i="33260"/>
  <c r="EA502" i="33260"/>
  <c r="A221" i="33260"/>
  <c r="S19" i="33260"/>
  <c r="BN502" i="33260"/>
  <c r="A502" i="33260"/>
  <c r="EC337" i="33260"/>
  <c r="EC376" i="33260"/>
  <c r="C251" i="33260"/>
  <c r="BP454" i="33260"/>
  <c r="BP415" i="33260"/>
  <c r="C290" i="33260"/>
  <c r="C95" i="33260"/>
  <c r="C173" i="33260"/>
  <c r="C454" i="33260"/>
  <c r="C493" i="33260"/>
  <c r="BP571" i="33260"/>
  <c r="EC415" i="33260"/>
  <c r="BP493" i="33260"/>
  <c r="C571" i="33260"/>
  <c r="C376" i="33260"/>
  <c r="C415" i="33260"/>
  <c r="BP376" i="33260"/>
  <c r="EC532" i="33260"/>
  <c r="BP532" i="33260"/>
  <c r="C56" i="33260"/>
  <c r="EC493" i="33260"/>
  <c r="C532" i="33260"/>
  <c r="C337" i="33260"/>
  <c r="BP337" i="33260"/>
  <c r="C212" i="33260"/>
  <c r="EC571" i="33260"/>
  <c r="EC454" i="33260"/>
  <c r="C134" i="33260"/>
  <c r="T13" i="33259"/>
  <c r="U16" i="33259"/>
  <c r="T15" i="33259"/>
  <c r="U13" i="33259"/>
  <c r="T16" i="33259"/>
  <c r="U15" i="33259"/>
  <c r="U14" i="33259"/>
  <c r="R16" i="33259"/>
  <c r="T14" i="33259"/>
  <c r="B3" i="1027"/>
  <c r="W126" i="83"/>
  <c r="T109" i="83" s="1"/>
  <c r="BC38" i="83"/>
  <c r="BD38" i="83" s="1"/>
  <c r="BE38" i="83" s="1"/>
  <c r="B720" i="33260"/>
  <c r="AN10" i="33260"/>
  <c r="B734" i="33260"/>
  <c r="BC45" i="83"/>
  <c r="BD45" i="83" s="1"/>
  <c r="BE45" i="83" s="1"/>
  <c r="B727" i="33260"/>
  <c r="AN17" i="33260"/>
  <c r="B741" i="33260"/>
  <c r="BC44" i="83"/>
  <c r="BD44" i="83" s="1"/>
  <c r="BE44" i="83" s="1"/>
  <c r="B726" i="33260"/>
  <c r="AN16" i="33260"/>
  <c r="B740" i="33260"/>
  <c r="AJ59" i="83"/>
  <c r="BC42" i="83"/>
  <c r="BD42" i="83" s="1"/>
  <c r="BE42" i="83" s="1"/>
  <c r="B738" i="33260"/>
  <c r="B724" i="33260"/>
  <c r="AN14" i="33260"/>
  <c r="BC40" i="83"/>
  <c r="BD40" i="83" s="1"/>
  <c r="BE40" i="83" s="1"/>
  <c r="B722" i="33260"/>
  <c r="B736" i="33260"/>
  <c r="AN12" i="33260"/>
  <c r="BC47" i="83"/>
  <c r="BD47" i="83" s="1"/>
  <c r="BE47" i="83" s="1"/>
  <c r="B729" i="33260"/>
  <c r="AN19" i="33260"/>
  <c r="B743" i="33260"/>
  <c r="B13" i="33259"/>
  <c r="A13" i="33259" s="1"/>
  <c r="BC37" i="83"/>
  <c r="BD37" i="83" s="1"/>
  <c r="BE37" i="83" s="1"/>
  <c r="B719" i="33260"/>
  <c r="AN9" i="33260"/>
  <c r="B733" i="33260"/>
  <c r="W127" i="83"/>
  <c r="T110" i="83" s="1"/>
  <c r="BC41" i="83"/>
  <c r="BD41" i="83" s="1"/>
  <c r="BE41" i="83" s="1"/>
  <c r="B737" i="33260"/>
  <c r="B723" i="33260"/>
  <c r="AN13" i="33260"/>
  <c r="BC39" i="83"/>
  <c r="BD39" i="83" s="1"/>
  <c r="BE39" i="83" s="1"/>
  <c r="B721" i="33260"/>
  <c r="AN11" i="33260"/>
  <c r="B735" i="33260"/>
  <c r="BC43" i="83"/>
  <c r="BD43" i="83" s="1"/>
  <c r="BE43" i="83" s="1"/>
  <c r="B739" i="33260"/>
  <c r="B725" i="33260"/>
  <c r="AN15" i="33260"/>
  <c r="H36" i="33257"/>
  <c r="H33" i="33259"/>
  <c r="B19" i="3"/>
  <c r="B23" i="33254" s="1"/>
  <c r="B11" i="33259"/>
  <c r="A9" i="33259" s="1"/>
  <c r="AJ56" i="83"/>
  <c r="B56" i="1027"/>
  <c r="B33" i="33259"/>
  <c r="A33" i="33259" s="1"/>
  <c r="B14" i="33259"/>
  <c r="A14" i="33259" s="1"/>
  <c r="BC46" i="83"/>
  <c r="BD46" i="83" s="1"/>
  <c r="BE46" i="83" s="1"/>
  <c r="B728" i="33260"/>
  <c r="AN18" i="33260"/>
  <c r="B742" i="33260"/>
  <c r="V29" i="33255"/>
  <c r="U29" i="33255"/>
  <c r="T29" i="33255"/>
  <c r="W29" i="33255"/>
  <c r="B15" i="3"/>
  <c r="E29" i="3" s="1"/>
  <c r="B8" i="33259"/>
  <c r="P74" i="83"/>
  <c r="T29" i="83"/>
  <c r="H6" i="1027"/>
  <c r="H29" i="33257"/>
  <c r="I56" i="1027"/>
  <c r="P19" i="33255"/>
  <c r="K56" i="33257"/>
  <c r="G12" i="33254"/>
  <c r="C46" i="33255"/>
  <c r="P72" i="83"/>
  <c r="K60" i="33257"/>
  <c r="G3" i="33254"/>
  <c r="K54" i="33257"/>
  <c r="B22" i="33257"/>
  <c r="U3" i="83"/>
  <c r="P51" i="83" s="1"/>
  <c r="B24" i="33255"/>
  <c r="O19" i="33255"/>
  <c r="T56" i="83"/>
  <c r="M62" i="83" s="1"/>
  <c r="O13" i="33255"/>
  <c r="Q21" i="33255" s="1"/>
  <c r="AB53" i="83"/>
  <c r="N12" i="33254"/>
  <c r="A48" i="33253"/>
  <c r="B7" i="3"/>
  <c r="B7" i="33254" s="1"/>
  <c r="BB33" i="83"/>
  <c r="C14" i="83" s="1"/>
  <c r="AB52" i="83"/>
  <c r="AB50" i="83"/>
  <c r="P70" i="83"/>
  <c r="R19" i="33255"/>
  <c r="Q19" i="33255"/>
  <c r="K118" i="83"/>
  <c r="A78" i="33253"/>
  <c r="R25" i="83"/>
  <c r="M73" i="83" s="1"/>
  <c r="I21" i="33257"/>
  <c r="T33" i="83"/>
  <c r="AE143" i="83"/>
  <c r="G4" i="3"/>
  <c r="H4" i="1027" s="1"/>
  <c r="B8" i="3"/>
  <c r="B8" i="33254" s="1"/>
  <c r="P12" i="33255"/>
  <c r="T27" i="33255"/>
  <c r="V27" i="33255"/>
  <c r="W25" i="33255"/>
  <c r="W27" i="33255"/>
  <c r="U21" i="33255"/>
  <c r="W23" i="33255"/>
  <c r="T23" i="33255"/>
  <c r="T25" i="33255"/>
  <c r="U23" i="33255"/>
  <c r="W21" i="33255"/>
  <c r="V23" i="33255"/>
  <c r="V25" i="33255"/>
  <c r="U25" i="33255"/>
  <c r="T21" i="33255"/>
  <c r="U27" i="33255"/>
  <c r="V21" i="33255"/>
  <c r="E13" i="33254"/>
  <c r="D14" i="3"/>
  <c r="G20" i="33257"/>
  <c r="P69" i="83"/>
  <c r="T25" i="83"/>
  <c r="B21" i="33257"/>
  <c r="B13" i="33254"/>
  <c r="B14" i="3"/>
  <c r="B28" i="33255"/>
  <c r="B26" i="33255"/>
  <c r="K15" i="3"/>
  <c r="K29" i="3" s="1"/>
  <c r="K14" i="33254"/>
  <c r="V141" i="83"/>
  <c r="W141" i="83"/>
  <c r="T135" i="83" s="1"/>
  <c r="V142" i="83"/>
  <c r="W142" i="83"/>
  <c r="T154" i="83" s="1"/>
  <c r="G21" i="33257"/>
  <c r="G7" i="3"/>
  <c r="G7" i="33254" s="1"/>
  <c r="W143" i="83"/>
  <c r="T155" i="83" s="1"/>
  <c r="V143" i="83"/>
  <c r="AD139" i="83"/>
  <c r="AD140" i="83"/>
  <c r="F29" i="33257"/>
  <c r="G56" i="1027"/>
  <c r="F36" i="33257"/>
  <c r="B12" i="33254"/>
  <c r="B13" i="3"/>
  <c r="B6" i="33259" s="1"/>
  <c r="H13" i="3"/>
  <c r="H12" i="33254"/>
  <c r="B41" i="33257"/>
  <c r="C34" i="33255"/>
  <c r="B14" i="33254"/>
  <c r="E32" i="33254" s="1"/>
  <c r="P76" i="83"/>
  <c r="T32" i="83"/>
  <c r="D13" i="3"/>
  <c r="E12" i="33254"/>
  <c r="K58" i="33257"/>
  <c r="K62" i="33257"/>
  <c r="K52" i="33257"/>
  <c r="K50" i="33257"/>
  <c r="I62" i="33254"/>
  <c r="H119" i="33254"/>
  <c r="B90" i="3"/>
  <c r="R53" i="33254"/>
  <c r="A30" i="33253"/>
  <c r="A50" i="33253"/>
  <c r="Q53" i="33254"/>
  <c r="A28" i="33253"/>
  <c r="A52" i="33253"/>
  <c r="A32" i="33253"/>
  <c r="O53" i="33254"/>
  <c r="P53" i="33254"/>
  <c r="A34" i="33253"/>
  <c r="O32" i="33255"/>
  <c r="A54" i="33253"/>
  <c r="O2" i="1027"/>
  <c r="N59" i="1027" s="1"/>
  <c r="N60" i="1027" s="1"/>
  <c r="P71" i="83"/>
  <c r="T27" i="83"/>
  <c r="AE140" i="83"/>
  <c r="AE139" i="83"/>
  <c r="K16" i="3"/>
  <c r="K15" i="33254"/>
  <c r="K32" i="33254" s="1"/>
  <c r="T31" i="83"/>
  <c r="P75" i="83"/>
  <c r="K29" i="33257"/>
  <c r="L56" i="1027"/>
  <c r="K36" i="33257"/>
  <c r="J118" i="83"/>
  <c r="H14" i="3"/>
  <c r="H13" i="33254"/>
  <c r="O14" i="33255"/>
  <c r="P14" i="33255" s="1"/>
  <c r="AA49" i="83"/>
  <c r="O50" i="33254"/>
  <c r="O3" i="1027"/>
  <c r="P50" i="33254"/>
  <c r="O12" i="33254"/>
  <c r="N13" i="33254" s="1"/>
  <c r="R50" i="33254"/>
  <c r="N35" i="1027"/>
  <c r="Q50" i="33254"/>
  <c r="O33" i="33255"/>
  <c r="A76" i="33253"/>
  <c r="N25" i="83"/>
  <c r="M72" i="83" s="1"/>
  <c r="T55" i="83"/>
  <c r="M61" i="83" s="1"/>
  <c r="L55" i="83"/>
  <c r="A10" i="33259" l="1"/>
  <c r="A12" i="33259"/>
  <c r="A491" i="33253"/>
  <c r="K54" i="33262"/>
  <c r="K55" i="33262" s="1"/>
  <c r="F30" i="33262" s="1"/>
  <c r="A246" i="33253"/>
  <c r="A654" i="33253"/>
  <c r="A546" i="33253"/>
  <c r="B40" i="33257"/>
  <c r="B40" i="33261"/>
  <c r="A250" i="33253"/>
  <c r="A652" i="33253"/>
  <c r="A544" i="33253"/>
  <c r="J87" i="83"/>
  <c r="J94" i="83"/>
  <c r="Q41" i="83"/>
  <c r="AI24" i="83" s="1"/>
  <c r="J86" i="83"/>
  <c r="J91" i="83"/>
  <c r="J93" i="83"/>
  <c r="K92" i="83"/>
  <c r="K85" i="83"/>
  <c r="K86" i="83"/>
  <c r="J88" i="83"/>
  <c r="J26" i="83"/>
  <c r="R41" i="83"/>
  <c r="J92" i="83"/>
  <c r="J85" i="83"/>
  <c r="A36" i="33259"/>
  <c r="Y31" i="33259"/>
  <c r="T31" i="33259"/>
  <c r="S31" i="33259"/>
  <c r="V31" i="33259"/>
  <c r="R31" i="33259"/>
  <c r="X31" i="33259"/>
  <c r="W31" i="33259"/>
  <c r="U31" i="33259"/>
  <c r="B41" i="33259"/>
  <c r="AJ63" i="83"/>
  <c r="B17" i="33260"/>
  <c r="Q16" i="33260"/>
  <c r="B7" i="33260"/>
  <c r="R16" i="33260"/>
  <c r="B19" i="33260"/>
  <c r="R18" i="33260"/>
  <c r="B9" i="33260"/>
  <c r="B18" i="33260"/>
  <c r="B8" i="33260"/>
  <c r="Q17" i="33260"/>
  <c r="R17" i="33260"/>
  <c r="R14" i="33260"/>
  <c r="Q14" i="33260"/>
  <c r="B5" i="33260"/>
  <c r="B15" i="33260"/>
  <c r="B20" i="33260"/>
  <c r="B10" i="33260"/>
  <c r="R13" i="33260"/>
  <c r="Q13" i="33260"/>
  <c r="B14" i="33260"/>
  <c r="B4" i="33260"/>
  <c r="R15" i="33260"/>
  <c r="B6" i="33260"/>
  <c r="B16" i="33260"/>
  <c r="Q15" i="33260"/>
  <c r="C116" i="33260"/>
  <c r="BP326" i="33260"/>
  <c r="C159" i="33260"/>
  <c r="C234" i="33260"/>
  <c r="EC563" i="33260"/>
  <c r="C198" i="33260"/>
  <c r="EC326" i="33260"/>
  <c r="C194" i="33260"/>
  <c r="C79" i="33260"/>
  <c r="EC361" i="33260"/>
  <c r="BP362" i="33260"/>
  <c r="EC365" i="33260"/>
  <c r="C275" i="33260"/>
  <c r="EC322" i="33260"/>
  <c r="C442" i="33260"/>
  <c r="BP481" i="33260"/>
  <c r="EC476" i="33260"/>
  <c r="BP485" i="33260"/>
  <c r="C77" i="33260"/>
  <c r="C282" i="33260"/>
  <c r="BP480" i="33260"/>
  <c r="BP444" i="33260"/>
  <c r="C45" i="33260"/>
  <c r="C480" i="33260"/>
  <c r="BP404" i="33260"/>
  <c r="C405" i="33260"/>
  <c r="C397" i="33260"/>
  <c r="C204" i="33260"/>
  <c r="C368" i="33260"/>
  <c r="EC517" i="33260"/>
  <c r="BP407" i="33260"/>
  <c r="BP323" i="33260"/>
  <c r="C117" i="33260"/>
  <c r="C239" i="33260"/>
  <c r="C160" i="33260"/>
  <c r="EC442" i="33260"/>
  <c r="C560" i="33260"/>
  <c r="EC445" i="33260"/>
  <c r="C157" i="33260"/>
  <c r="C359" i="33260"/>
  <c r="BP366" i="33260"/>
  <c r="C201" i="33260"/>
  <c r="C84" i="33260"/>
  <c r="EC553" i="33260"/>
  <c r="EC515" i="33260"/>
  <c r="BP516" i="33260"/>
  <c r="C156" i="33260"/>
  <c r="EC441" i="33260"/>
  <c r="C562" i="33260"/>
  <c r="BP561" i="33260"/>
  <c r="C558" i="33260"/>
  <c r="C237" i="33260"/>
  <c r="C203" i="33260"/>
  <c r="C485" i="33260"/>
  <c r="BP367" i="33260"/>
  <c r="BP401" i="33260"/>
  <c r="EC404" i="33260"/>
  <c r="BP437" i="33260"/>
  <c r="C361" i="33260"/>
  <c r="EC561" i="33260"/>
  <c r="C524" i="33260"/>
  <c r="EC325" i="33260"/>
  <c r="EC439" i="33260"/>
  <c r="C196" i="33260"/>
  <c r="EC478" i="33260"/>
  <c r="C559" i="33260"/>
  <c r="C518" i="33260"/>
  <c r="EC559" i="33260"/>
  <c r="C82" i="33260"/>
  <c r="C197" i="33260"/>
  <c r="BP560" i="33260"/>
  <c r="BP484" i="33260"/>
  <c r="C39" i="33260"/>
  <c r="C446" i="33260"/>
  <c r="EC319" i="33260"/>
  <c r="C200" i="33260"/>
  <c r="EC438" i="33260"/>
  <c r="EC406" i="33260"/>
  <c r="C44" i="33260"/>
  <c r="C475" i="33260"/>
  <c r="EC443" i="33260"/>
  <c r="C43" i="33260"/>
  <c r="C556" i="33260"/>
  <c r="C482" i="33260"/>
  <c r="EC484" i="33260"/>
  <c r="C520" i="33260"/>
  <c r="EC560" i="33260"/>
  <c r="C325" i="33260"/>
  <c r="BP319" i="33260"/>
  <c r="EC324" i="33260"/>
  <c r="BP365" i="33260"/>
  <c r="C155" i="33260"/>
  <c r="C483" i="33260"/>
  <c r="C364" i="33260"/>
  <c r="EC518" i="33260"/>
  <c r="BP398" i="33260"/>
  <c r="C164" i="33260"/>
  <c r="BP519" i="33260"/>
  <c r="C398" i="33260"/>
  <c r="C242" i="33260"/>
  <c r="EC366" i="33260"/>
  <c r="EC329" i="33260"/>
  <c r="C399" i="33260"/>
  <c r="EC368" i="33260"/>
  <c r="C83" i="33260"/>
  <c r="C445" i="33260"/>
  <c r="C328" i="33260"/>
  <c r="C46" i="33260"/>
  <c r="BP329" i="33260"/>
  <c r="C443" i="33260"/>
  <c r="BP406" i="33260"/>
  <c r="BP553" i="33260"/>
  <c r="C362" i="33260"/>
  <c r="C407" i="33260"/>
  <c r="C400" i="33260"/>
  <c r="C161" i="33260"/>
  <c r="BP320" i="33260"/>
  <c r="C273" i="33260"/>
  <c r="C38" i="33260"/>
  <c r="C439" i="33260"/>
  <c r="EC514" i="33260"/>
  <c r="C280" i="33260"/>
  <c r="BP479" i="33260"/>
  <c r="EC479" i="33260"/>
  <c r="C278" i="33260"/>
  <c r="C320" i="33260"/>
  <c r="EC398" i="33260"/>
  <c r="C326" i="33260"/>
  <c r="BP364" i="33260"/>
  <c r="C281" i="33260"/>
  <c r="C120" i="33260"/>
  <c r="C553" i="33260"/>
  <c r="C80" i="33260"/>
  <c r="C363" i="33260"/>
  <c r="EC363" i="33260"/>
  <c r="C367" i="33260"/>
  <c r="EC367" i="33260"/>
  <c r="C404" i="33260"/>
  <c r="EC400" i="33260"/>
  <c r="C436" i="33260"/>
  <c r="C438" i="33260"/>
  <c r="BP445" i="33260"/>
  <c r="BP399" i="33260"/>
  <c r="BP483" i="33260"/>
  <c r="C563" i="33260"/>
  <c r="BP554" i="33260"/>
  <c r="BP556" i="33260"/>
  <c r="C236" i="33260"/>
  <c r="BP518" i="33260"/>
  <c r="EC401" i="33260"/>
  <c r="EC523" i="33260"/>
  <c r="BP405" i="33260"/>
  <c r="BP400" i="33260"/>
  <c r="BP439" i="33260"/>
  <c r="C41" i="33260"/>
  <c r="C274" i="33260"/>
  <c r="BP524" i="33260"/>
  <c r="BP521" i="33260"/>
  <c r="C521" i="33260"/>
  <c r="C122" i="33260"/>
  <c r="C476" i="33260"/>
  <c r="C165" i="33260"/>
  <c r="C555" i="33260"/>
  <c r="C479" i="33260"/>
  <c r="EC519" i="33260"/>
  <c r="C199" i="33260"/>
  <c r="C561" i="33260"/>
  <c r="EC558" i="33260"/>
  <c r="BP360" i="33260"/>
  <c r="BP559" i="33260"/>
  <c r="C81" i="33260"/>
  <c r="EC402" i="33260"/>
  <c r="C118" i="33260"/>
  <c r="EC480" i="33260"/>
  <c r="BP442" i="33260"/>
  <c r="C484" i="33260"/>
  <c r="EC524" i="33260"/>
  <c r="EC557" i="33260"/>
  <c r="EC554" i="33260"/>
  <c r="C319" i="33260"/>
  <c r="EC358" i="33260"/>
  <c r="C126" i="33260"/>
  <c r="C243" i="33260"/>
  <c r="BP478" i="33260"/>
  <c r="C47" i="33260"/>
  <c r="EC562" i="33260"/>
  <c r="BP563" i="33260"/>
  <c r="C277" i="33260"/>
  <c r="C233" i="33260"/>
  <c r="C557" i="33260"/>
  <c r="BP327" i="33260"/>
  <c r="C324" i="33260"/>
  <c r="BP363" i="33260"/>
  <c r="BP397" i="33260"/>
  <c r="C322" i="33260"/>
  <c r="C358" i="33260"/>
  <c r="C515" i="33260"/>
  <c r="BP482" i="33260"/>
  <c r="EC477" i="33260"/>
  <c r="C121" i="33260"/>
  <c r="C481" i="33260"/>
  <c r="C323" i="33260"/>
  <c r="BP402" i="33260"/>
  <c r="C276" i="33260"/>
  <c r="BP361" i="33260"/>
  <c r="BP368" i="33260"/>
  <c r="C85" i="33260"/>
  <c r="BP440" i="33260"/>
  <c r="BP436" i="33260"/>
  <c r="C517" i="33260"/>
  <c r="C162" i="33260"/>
  <c r="EC481" i="33260"/>
  <c r="C272" i="33260"/>
  <c r="BP477" i="33260"/>
  <c r="EC321" i="33260"/>
  <c r="EC397" i="33260"/>
  <c r="C119" i="33260"/>
  <c r="EC444" i="33260"/>
  <c r="C195" i="33260"/>
  <c r="EC327" i="33260"/>
  <c r="EC485" i="33260"/>
  <c r="EC520" i="33260"/>
  <c r="EC323" i="33260"/>
  <c r="BP517" i="33260"/>
  <c r="EC483" i="33260"/>
  <c r="C279" i="33260"/>
  <c r="C440" i="33260"/>
  <c r="BP476" i="33260"/>
  <c r="C441" i="33260"/>
  <c r="EC328" i="33260"/>
  <c r="EC436" i="33260"/>
  <c r="EC437" i="33260"/>
  <c r="C554" i="33260"/>
  <c r="BP438" i="33260"/>
  <c r="BP358" i="33260"/>
  <c r="BP522" i="33260"/>
  <c r="C478" i="33260"/>
  <c r="EC475" i="33260"/>
  <c r="BP555" i="33260"/>
  <c r="C78" i="33260"/>
  <c r="C48" i="33260"/>
  <c r="C86" i="33260"/>
  <c r="C514" i="33260"/>
  <c r="C516" i="33260"/>
  <c r="BP515" i="33260"/>
  <c r="BP557" i="33260"/>
  <c r="C87" i="33260"/>
  <c r="C437" i="33260"/>
  <c r="C202" i="33260"/>
  <c r="BP562" i="33260"/>
  <c r="C158" i="33260"/>
  <c r="BP325" i="33260"/>
  <c r="EC521" i="33260"/>
  <c r="BP446" i="33260"/>
  <c r="C403" i="33260"/>
  <c r="EC403" i="33260"/>
  <c r="EC405" i="33260"/>
  <c r="C401" i="33260"/>
  <c r="C522" i="33260"/>
  <c r="C241" i="33260"/>
  <c r="BP523" i="33260"/>
  <c r="EC399" i="33260"/>
  <c r="C365" i="33260"/>
  <c r="BP321" i="33260"/>
  <c r="C329" i="33260"/>
  <c r="EC522" i="33260"/>
  <c r="BP324" i="33260"/>
  <c r="EC516" i="33260"/>
  <c r="EC482" i="33260"/>
  <c r="EC555" i="33260"/>
  <c r="C477" i="33260"/>
  <c r="C360" i="33260"/>
  <c r="C444" i="33260"/>
  <c r="C125" i="33260"/>
  <c r="EC360" i="33260"/>
  <c r="C238" i="33260"/>
  <c r="BP359" i="33260"/>
  <c r="BP558" i="33260"/>
  <c r="EC359" i="33260"/>
  <c r="C235" i="33260"/>
  <c r="C40" i="33260"/>
  <c r="C402" i="33260"/>
  <c r="BP441" i="33260"/>
  <c r="BP443" i="33260"/>
  <c r="EC446" i="33260"/>
  <c r="C321" i="33260"/>
  <c r="EC556" i="33260"/>
  <c r="C523" i="33260"/>
  <c r="BP514" i="33260"/>
  <c r="C124" i="33260"/>
  <c r="EC407" i="33260"/>
  <c r="BP328" i="33260"/>
  <c r="BP322" i="33260"/>
  <c r="C327" i="33260"/>
  <c r="C123" i="33260"/>
  <c r="EC440" i="33260"/>
  <c r="BP403" i="33260"/>
  <c r="C42" i="33260"/>
  <c r="C366" i="33260"/>
  <c r="EC362" i="33260"/>
  <c r="C519" i="33260"/>
  <c r="C406" i="33260"/>
  <c r="C240" i="33260"/>
  <c r="BP520" i="33260"/>
  <c r="C163" i="33260"/>
  <c r="EC364" i="33260"/>
  <c r="EC320" i="33260"/>
  <c r="BP475" i="33260"/>
  <c r="M16" i="1027"/>
  <c r="M20" i="1027"/>
  <c r="Q14" i="33259"/>
  <c r="Q13" i="33259"/>
  <c r="Q16" i="33259"/>
  <c r="Q15" i="33259"/>
  <c r="Q17" i="33259"/>
  <c r="Q29" i="33255"/>
  <c r="O29" i="33255"/>
  <c r="L3" i="33260"/>
  <c r="CP23" i="33260"/>
  <c r="L13" i="33260"/>
  <c r="DJ304" i="33260"/>
  <c r="O644" i="33260"/>
  <c r="S625" i="33260" s="1"/>
  <c r="FW304" i="33260"/>
  <c r="AC644" i="33260"/>
  <c r="AE634" i="33260"/>
  <c r="AW304" i="33260"/>
  <c r="M13" i="33260"/>
  <c r="CZ23" i="33260"/>
  <c r="M3" i="33260"/>
  <c r="AE635" i="33260"/>
  <c r="BB304" i="33260"/>
  <c r="GB304" i="33260"/>
  <c r="AD644" i="33260"/>
  <c r="DO304" i="33260"/>
  <c r="P644" i="33260"/>
  <c r="T625" i="33260" s="1"/>
  <c r="R29" i="33255"/>
  <c r="D23" i="33260"/>
  <c r="C3" i="33260"/>
  <c r="C13" i="33260"/>
  <c r="T644" i="33260"/>
  <c r="AE625" i="33260"/>
  <c r="ED304" i="33260"/>
  <c r="BQ304" i="33260"/>
  <c r="F644" i="33260"/>
  <c r="E625" i="33260" s="1"/>
  <c r="D304" i="33260"/>
  <c r="BV23" i="33260"/>
  <c r="J3" i="33260"/>
  <c r="CZ304" i="33260"/>
  <c r="J13" i="33260"/>
  <c r="AA644" i="33260"/>
  <c r="M644" i="33260"/>
  <c r="Q625" i="33260" s="1"/>
  <c r="AM304" i="33260"/>
  <c r="AE632" i="33260"/>
  <c r="FM304" i="33260"/>
  <c r="N23" i="33260"/>
  <c r="D3" i="33260"/>
  <c r="U644" i="33260"/>
  <c r="AE626" i="33260"/>
  <c r="I304" i="33260"/>
  <c r="D13" i="33260"/>
  <c r="EI304" i="33260"/>
  <c r="G644" i="33260"/>
  <c r="G625" i="33260" s="1"/>
  <c r="BV304" i="33260"/>
  <c r="P29" i="33255"/>
  <c r="AH23" i="33260"/>
  <c r="S304" i="33260"/>
  <c r="ES304" i="33260"/>
  <c r="AE628" i="33260"/>
  <c r="F13" i="33260"/>
  <c r="CF304" i="33260"/>
  <c r="I644" i="33260"/>
  <c r="O625" i="33260" s="1"/>
  <c r="W644" i="33260"/>
  <c r="F3" i="33260"/>
  <c r="H3" i="33260"/>
  <c r="BB23" i="33260"/>
  <c r="CP304" i="33260"/>
  <c r="H13" i="33260"/>
  <c r="AC304" i="33260"/>
  <c r="K644" i="33260"/>
  <c r="I625" i="33260" s="1"/>
  <c r="FC304" i="33260"/>
  <c r="AE630" i="33260"/>
  <c r="Y644" i="33260"/>
  <c r="E13" i="33260"/>
  <c r="E3" i="33260"/>
  <c r="EN304" i="33260"/>
  <c r="H644" i="33260"/>
  <c r="N625" i="33260" s="1"/>
  <c r="N304" i="33260"/>
  <c r="V644" i="33260"/>
  <c r="CA304" i="33260"/>
  <c r="X23" i="33260"/>
  <c r="AE627" i="33260"/>
  <c r="B22" i="33259"/>
  <c r="A22" i="33259" s="1"/>
  <c r="A8" i="33259"/>
  <c r="K13" i="33260"/>
  <c r="CF23" i="33260"/>
  <c r="DE304" i="33260"/>
  <c r="AB644" i="33260"/>
  <c r="AE633" i="33260"/>
  <c r="FR304" i="33260"/>
  <c r="K3" i="33260"/>
  <c r="N644" i="33260"/>
  <c r="R625" i="33260" s="1"/>
  <c r="AR304" i="33260"/>
  <c r="I13" i="33260"/>
  <c r="FH304" i="33260"/>
  <c r="I3" i="33260"/>
  <c r="AH304" i="33260"/>
  <c r="AE631" i="33260"/>
  <c r="BL23" i="33260"/>
  <c r="Z644" i="33260"/>
  <c r="CU304" i="33260"/>
  <c r="L644" i="33260"/>
  <c r="G13" i="33260"/>
  <c r="X304" i="33260"/>
  <c r="G3" i="33260"/>
  <c r="X644" i="33260"/>
  <c r="AR23" i="33260"/>
  <c r="J644" i="33260"/>
  <c r="P625" i="33260" s="1"/>
  <c r="AE629" i="33260"/>
  <c r="CK304" i="33260"/>
  <c r="EX304" i="33260"/>
  <c r="A665" i="33253"/>
  <c r="A351" i="33253"/>
  <c r="A284" i="33253"/>
  <c r="A698" i="33253"/>
  <c r="A276" i="33253"/>
  <c r="A644" i="33253"/>
  <c r="A268" i="33253"/>
  <c r="A244" i="33253"/>
  <c r="A260" i="33253"/>
  <c r="A300" i="33253"/>
  <c r="P22" i="33254"/>
  <c r="A252" i="33253"/>
  <c r="K95" i="83"/>
  <c r="J95" i="83"/>
  <c r="K90" i="83"/>
  <c r="J90" i="83"/>
  <c r="E40" i="83"/>
  <c r="R35" i="33254"/>
  <c r="R34" i="33254"/>
  <c r="P37" i="33254"/>
  <c r="O42" i="33254"/>
  <c r="D29" i="83"/>
  <c r="P40" i="33254"/>
  <c r="Q40" i="33254"/>
  <c r="R17" i="33254"/>
  <c r="P35" i="33254"/>
  <c r="P36" i="33254"/>
  <c r="Q37" i="33254"/>
  <c r="R37" i="33254"/>
  <c r="R22" i="33254"/>
  <c r="A214" i="33253"/>
  <c r="Q39" i="33254"/>
  <c r="AE158" i="83"/>
  <c r="P17" i="33254"/>
  <c r="Q36" i="33254"/>
  <c r="V158" i="83"/>
  <c r="E46" i="83"/>
  <c r="B40" i="83"/>
  <c r="A34" i="83"/>
  <c r="A22" i="83"/>
  <c r="C33" i="83"/>
  <c r="CD158" i="83"/>
  <c r="B36" i="83"/>
  <c r="AM158" i="83"/>
  <c r="BW158" i="83"/>
  <c r="F20" i="83"/>
  <c r="E41" i="83"/>
  <c r="E22" i="83"/>
  <c r="A16" i="33253"/>
  <c r="D25" i="83"/>
  <c r="CP158" i="83"/>
  <c r="BY158" i="83"/>
  <c r="B18" i="83"/>
  <c r="A39" i="83"/>
  <c r="B45" i="83"/>
  <c r="D39" i="83"/>
  <c r="F28" i="83"/>
  <c r="D28" i="83"/>
  <c r="C22" i="83"/>
  <c r="BX158" i="83"/>
  <c r="D16" i="83"/>
  <c r="AL158" i="83"/>
  <c r="G158" i="83"/>
  <c r="B44" i="83"/>
  <c r="B32" i="83"/>
  <c r="D44" i="83"/>
  <c r="C28" i="83"/>
  <c r="B29" i="83"/>
  <c r="B24" i="83"/>
  <c r="W158" i="83"/>
  <c r="BJ158" i="83"/>
  <c r="D33" i="83"/>
  <c r="D21" i="83"/>
  <c r="F41" i="83"/>
  <c r="E25" i="83"/>
  <c r="F15" i="83"/>
  <c r="CL158" i="83"/>
  <c r="AB158" i="83"/>
  <c r="BB158" i="83"/>
  <c r="R158" i="83"/>
  <c r="B42" i="83"/>
  <c r="D32" i="83"/>
  <c r="A15" i="83"/>
  <c r="C38" i="83"/>
  <c r="A42" i="83"/>
  <c r="CN158" i="83"/>
  <c r="E44" i="83"/>
  <c r="E32" i="83"/>
  <c r="D31" i="83"/>
  <c r="D20" i="83"/>
  <c r="A36" i="83"/>
  <c r="O25" i="33255"/>
  <c r="O21" i="33255"/>
  <c r="P38" i="33254"/>
  <c r="Q17" i="33254"/>
  <c r="R39" i="33254"/>
  <c r="Q22" i="33254"/>
  <c r="Q41" i="33254"/>
  <c r="R36" i="33254"/>
  <c r="BA11" i="83"/>
  <c r="P39" i="33254"/>
  <c r="P34" i="33254"/>
  <c r="O17" i="33254"/>
  <c r="R40" i="33254"/>
  <c r="R41" i="33254"/>
  <c r="Q35" i="33254"/>
  <c r="R23" i="33255"/>
  <c r="AF11" i="83"/>
  <c r="R38" i="33254"/>
  <c r="P41" i="33254"/>
  <c r="Q38" i="33254"/>
  <c r="Q34" i="33254"/>
  <c r="R25" i="33255"/>
  <c r="P21" i="33255"/>
  <c r="P25" i="33255"/>
  <c r="P51" i="33254"/>
  <c r="P63" i="33254" s="1"/>
  <c r="R51" i="33254"/>
  <c r="R63" i="33254" s="1"/>
  <c r="R27" i="33255"/>
  <c r="O51" i="33254"/>
  <c r="O63" i="33254" s="1"/>
  <c r="Q23" i="33255"/>
  <c r="P27" i="33255"/>
  <c r="Q27" i="33255"/>
  <c r="R21" i="33255"/>
  <c r="P13" i="33255"/>
  <c r="A499" i="33253" s="1"/>
  <c r="O22" i="33254"/>
  <c r="O27" i="33255"/>
  <c r="Q25" i="33255"/>
  <c r="O23" i="33255"/>
  <c r="P23" i="33255"/>
  <c r="Q51" i="33254"/>
  <c r="Q63" i="33254" s="1"/>
  <c r="A26" i="83"/>
  <c r="AH158" i="83"/>
  <c r="C15" i="83"/>
  <c r="E96" i="83"/>
  <c r="C11" i="83" s="1"/>
  <c r="A18" i="83"/>
  <c r="BI158" i="83"/>
  <c r="AK158" i="83"/>
  <c r="CA158" i="83"/>
  <c r="CI158" i="83"/>
  <c r="AT158" i="83"/>
  <c r="D45" i="83"/>
  <c r="BC158" i="83"/>
  <c r="S158" i="83"/>
  <c r="CH158" i="83"/>
  <c r="F34" i="83"/>
  <c r="AP158" i="83"/>
  <c r="D41" i="83"/>
  <c r="E158" i="83"/>
  <c r="O158" i="83"/>
  <c r="A14" i="83"/>
  <c r="BD33" i="83"/>
  <c r="AU158" i="83"/>
  <c r="J158" i="83"/>
  <c r="A38" i="83"/>
  <c r="AX158" i="83"/>
  <c r="D37" i="83"/>
  <c r="D43" i="83"/>
  <c r="F32" i="83"/>
  <c r="B22" i="83"/>
  <c r="F45" i="83"/>
  <c r="F33" i="83"/>
  <c r="F21" i="83"/>
  <c r="C44" i="83"/>
  <c r="E29" i="83"/>
  <c r="C16" i="83"/>
  <c r="A40" i="83"/>
  <c r="A24" i="83"/>
  <c r="D46" i="83"/>
  <c r="D30" i="83"/>
  <c r="B17" i="83"/>
  <c r="E39" i="83"/>
  <c r="E23" i="83"/>
  <c r="E20" i="83"/>
  <c r="AI158" i="83"/>
  <c r="CF158" i="83"/>
  <c r="BS158" i="83"/>
  <c r="CQ158" i="83"/>
  <c r="F30" i="83"/>
  <c r="CO158" i="83"/>
  <c r="A46" i="83"/>
  <c r="C39" i="83"/>
  <c r="BH158" i="83"/>
  <c r="F38" i="83"/>
  <c r="BK158" i="83"/>
  <c r="C27" i="83"/>
  <c r="AR158" i="83"/>
  <c r="F26" i="83"/>
  <c r="F40" i="83"/>
  <c r="B30" i="83"/>
  <c r="D19" i="83"/>
  <c r="B43" i="83"/>
  <c r="B31" i="83"/>
  <c r="F17" i="83"/>
  <c r="C40" i="83"/>
  <c r="A27" i="83"/>
  <c r="E126" i="83"/>
  <c r="G132" i="83" s="1"/>
  <c r="A12" i="83" s="1"/>
  <c r="E34" i="83"/>
  <c r="C21" i="83"/>
  <c r="B41" i="83"/>
  <c r="F27" i="83"/>
  <c r="D14" i="83"/>
  <c r="C34" i="83"/>
  <c r="A21" i="83"/>
  <c r="A20" i="83"/>
  <c r="D26" i="83"/>
  <c r="E19" i="83"/>
  <c r="F18" i="83"/>
  <c r="AZ158" i="83"/>
  <c r="BP158" i="83"/>
  <c r="B20" i="83"/>
  <c r="K158" i="83"/>
  <c r="C35" i="83"/>
  <c r="E28" i="83"/>
  <c r="AQ158" i="83"/>
  <c r="B28" i="83"/>
  <c r="BO158" i="83"/>
  <c r="E16" i="83"/>
  <c r="BF158" i="83"/>
  <c r="B16" i="83"/>
  <c r="B38" i="83"/>
  <c r="D27" i="83"/>
  <c r="F16" i="83"/>
  <c r="B39" i="83"/>
  <c r="B27" i="83"/>
  <c r="B15" i="83"/>
  <c r="E37" i="83"/>
  <c r="C24" i="83"/>
  <c r="C45" i="83"/>
  <c r="A32" i="83"/>
  <c r="E18" i="83"/>
  <c r="D38" i="83"/>
  <c r="B25" i="83"/>
  <c r="A45" i="83"/>
  <c r="E31" i="83"/>
  <c r="C18" i="83"/>
  <c r="F39" i="83"/>
  <c r="D126" i="83"/>
  <c r="G131" i="83" s="1"/>
  <c r="A11" i="83" s="1"/>
  <c r="A33" i="83"/>
  <c r="BZ158" i="83"/>
  <c r="E36" i="83"/>
  <c r="D158" i="83"/>
  <c r="F158" i="83"/>
  <c r="BV158" i="83"/>
  <c r="AD158" i="83"/>
  <c r="CG158" i="83"/>
  <c r="AC158" i="83"/>
  <c r="C31" i="83"/>
  <c r="CM158" i="83"/>
  <c r="F14" i="83"/>
  <c r="L158" i="83"/>
  <c r="A30" i="83"/>
  <c r="C23" i="83"/>
  <c r="B158" i="83"/>
  <c r="F22" i="83"/>
  <c r="AJ158" i="83"/>
  <c r="N158" i="83"/>
  <c r="BQ158" i="83"/>
  <c r="D47" i="83"/>
  <c r="F36" i="83"/>
  <c r="B26" i="83"/>
  <c r="D15" i="83"/>
  <c r="F37" i="83"/>
  <c r="F25" i="83"/>
  <c r="F126" i="83"/>
  <c r="G133" i="83" s="1"/>
  <c r="A13" i="83" s="1"/>
  <c r="C36" i="83"/>
  <c r="C20" i="83"/>
  <c r="A44" i="83"/>
  <c r="E30" i="83"/>
  <c r="E14" i="83"/>
  <c r="B37" i="83"/>
  <c r="F23" i="83"/>
  <c r="E43" i="83"/>
  <c r="C30" i="83"/>
  <c r="G96" i="83"/>
  <c r="E13" i="83" s="1"/>
  <c r="BC33" i="83"/>
  <c r="BA158" i="83"/>
  <c r="E24" i="83"/>
  <c r="AS158" i="83"/>
  <c r="D17" i="83"/>
  <c r="C158" i="83"/>
  <c r="B46" i="83"/>
  <c r="D35" i="83"/>
  <c r="F24" i="83"/>
  <c r="F96" i="83"/>
  <c r="B12" i="83" s="1"/>
  <c r="D36" i="83"/>
  <c r="D24" i="83"/>
  <c r="A47" i="83"/>
  <c r="A35" i="83"/>
  <c r="A19" i="83"/>
  <c r="E42" i="83"/>
  <c r="C29" i="83"/>
  <c r="C96" i="83"/>
  <c r="B9" i="83" s="1"/>
  <c r="F35" i="83"/>
  <c r="F19" i="83"/>
  <c r="C42" i="83"/>
  <c r="A29" i="83"/>
  <c r="D96" i="83"/>
  <c r="B10" i="83" s="1"/>
  <c r="BN158" i="83"/>
  <c r="U158" i="83"/>
  <c r="M158" i="83"/>
  <c r="BG158" i="83"/>
  <c r="AA158" i="83"/>
  <c r="C47" i="83"/>
  <c r="BR158" i="83"/>
  <c r="F46" i="83"/>
  <c r="CE158" i="83"/>
  <c r="C19" i="83"/>
  <c r="C126" i="83"/>
  <c r="G130" i="83" s="1"/>
  <c r="A10" i="83" s="1"/>
  <c r="Z158" i="83"/>
  <c r="AY158" i="83"/>
  <c r="C43" i="83"/>
  <c r="T158" i="83"/>
  <c r="F42" i="83"/>
  <c r="F44" i="83"/>
  <c r="B34" i="83"/>
  <c r="D23" i="83"/>
  <c r="B47" i="83"/>
  <c r="B35" i="83"/>
  <c r="B23" i="83"/>
  <c r="E45" i="83"/>
  <c r="A31" i="83"/>
  <c r="E17" i="83"/>
  <c r="C41" i="83"/>
  <c r="C25" i="83"/>
  <c r="F47" i="83"/>
  <c r="D34" i="83"/>
  <c r="D18" i="83"/>
  <c r="A41" i="83"/>
  <c r="E27" i="83"/>
  <c r="A126" i="83"/>
  <c r="G128" i="83" s="1"/>
  <c r="A8" i="83" s="1"/>
  <c r="A17" i="83"/>
  <c r="E33" i="83"/>
  <c r="A23" i="83"/>
  <c r="B96" i="83"/>
  <c r="F8" i="83" s="1"/>
  <c r="E38" i="83"/>
  <c r="A28" i="83"/>
  <c r="C17" i="83"/>
  <c r="F43" i="83"/>
  <c r="B33" i="83"/>
  <c r="D22" i="83"/>
  <c r="E47" i="83"/>
  <c r="A37" i="83"/>
  <c r="C26" i="83"/>
  <c r="E15" i="83"/>
  <c r="B14" i="83"/>
  <c r="D40" i="83"/>
  <c r="F29" i="83"/>
  <c r="B19" i="83"/>
  <c r="A43" i="83"/>
  <c r="C32" i="83"/>
  <c r="E21" i="83"/>
  <c r="B126" i="83"/>
  <c r="G129" i="83" s="1"/>
  <c r="A9" i="83" s="1"/>
  <c r="C37" i="83"/>
  <c r="E26" i="83"/>
  <c r="A16" i="83"/>
  <c r="D42" i="83"/>
  <c r="F31" i="83"/>
  <c r="B21" i="83"/>
  <c r="C46" i="83"/>
  <c r="E35" i="83"/>
  <c r="A25" i="83"/>
  <c r="N62" i="83"/>
  <c r="G93" i="3" s="1"/>
  <c r="A86" i="33253"/>
  <c r="G77" i="3"/>
  <c r="G76" i="3"/>
  <c r="G78" i="3"/>
  <c r="M12" i="1027"/>
  <c r="A68" i="33253"/>
  <c r="A70" i="33253"/>
  <c r="M8" i="1027"/>
  <c r="R49" i="33255"/>
  <c r="V35" i="33255"/>
  <c r="Q47" i="33255"/>
  <c r="U35" i="33255"/>
  <c r="Q36" i="33255"/>
  <c r="P47" i="33255"/>
  <c r="O50" i="33255"/>
  <c r="P48" i="33255"/>
  <c r="O47" i="33255"/>
  <c r="P35" i="33255"/>
  <c r="U36" i="33255"/>
  <c r="V36" i="33255"/>
  <c r="Q49" i="33255"/>
  <c r="R35" i="33255"/>
  <c r="O49" i="33255"/>
  <c r="O35" i="33255"/>
  <c r="O48" i="33255"/>
  <c r="W36" i="33255"/>
  <c r="P36" i="33255"/>
  <c r="Q50" i="33255"/>
  <c r="W35" i="33255"/>
  <c r="Q48" i="33255"/>
  <c r="P49" i="33255"/>
  <c r="R50" i="33255"/>
  <c r="R47" i="33255"/>
  <c r="T35" i="33255"/>
  <c r="Q35" i="33255"/>
  <c r="O36" i="33255"/>
  <c r="R36" i="33255"/>
  <c r="T36" i="33255"/>
  <c r="P50" i="33255"/>
  <c r="R48" i="33255"/>
  <c r="F77" i="3"/>
  <c r="A84" i="33253"/>
  <c r="F76" i="3"/>
  <c r="F78" i="3"/>
  <c r="K94" i="83"/>
  <c r="K88" i="83"/>
  <c r="K93" i="83"/>
  <c r="K96" i="83"/>
  <c r="J96" i="83"/>
  <c r="J25" i="83"/>
  <c r="K87" i="83"/>
  <c r="K91" i="83"/>
  <c r="K89" i="83"/>
  <c r="AI40" i="83"/>
  <c r="Q42" i="83"/>
  <c r="AI25" i="83" s="1"/>
  <c r="AG40" i="83"/>
  <c r="AK40" i="83"/>
  <c r="R42" i="83"/>
  <c r="AM40" i="83"/>
  <c r="AH19" i="33259" l="1"/>
  <c r="AI19" i="33259" s="1"/>
  <c r="G50" i="33262"/>
  <c r="F50" i="33262"/>
  <c r="F51" i="33262"/>
  <c r="R44" i="83"/>
  <c r="Q44" i="83" s="1"/>
  <c r="A42" i="33253" s="1"/>
  <c r="AH21" i="33259"/>
  <c r="AI21" i="33259" s="1"/>
  <c r="I50" i="33262"/>
  <c r="AH20" i="33259"/>
  <c r="AI20" i="33259" s="1"/>
  <c r="H50" i="33262"/>
  <c r="AE12" i="33254"/>
  <c r="R45" i="83"/>
  <c r="Q45" i="83" s="1"/>
  <c r="S45" i="83" s="1"/>
  <c r="R46" i="83"/>
  <c r="Q46" i="83" s="1"/>
  <c r="AK63" i="83"/>
  <c r="BN28" i="83" s="1"/>
  <c r="AL64" i="83"/>
  <c r="G4" i="33262" s="1"/>
  <c r="A495" i="33253"/>
  <c r="AK64" i="83"/>
  <c r="AM76" i="83" s="1"/>
  <c r="AK9" i="1027"/>
  <c r="AH18" i="33259"/>
  <c r="E646" i="33260"/>
  <c r="S646" i="33260"/>
  <c r="S645" i="33260"/>
  <c r="E645" i="33260"/>
  <c r="S649" i="33260"/>
  <c r="E649" i="33260"/>
  <c r="S648" i="33260"/>
  <c r="E648" i="33260"/>
  <c r="E647" i="33260"/>
  <c r="S647" i="33260"/>
  <c r="W58" i="83"/>
  <c r="V58" i="83" s="1"/>
  <c r="C12" i="33258"/>
  <c r="AG21" i="1027"/>
  <c r="AB22" i="1027"/>
  <c r="AC20" i="1027"/>
  <c r="F21" i="1027"/>
  <c r="AG59" i="33254"/>
  <c r="U20" i="1027"/>
  <c r="R20" i="1027"/>
  <c r="F50" i="1027" s="1"/>
  <c r="A183" i="33253" s="1"/>
  <c r="AE23" i="1027"/>
  <c r="AN20" i="1027"/>
  <c r="B22" i="1027"/>
  <c r="AK20" i="1027"/>
  <c r="AG23" i="1027"/>
  <c r="AK21" i="1027"/>
  <c r="B21" i="1027"/>
  <c r="AE21" i="1027"/>
  <c r="S20" i="1027"/>
  <c r="T20" i="1027"/>
  <c r="AF23" i="1027"/>
  <c r="A132" i="33253"/>
  <c r="AB21" i="1027"/>
  <c r="M21" i="1027"/>
  <c r="AF21" i="1027"/>
  <c r="C11" i="33258"/>
  <c r="S16" i="1027"/>
  <c r="AF19" i="1027"/>
  <c r="R16" i="1027"/>
  <c r="F49" i="1027" s="1"/>
  <c r="A182" i="33253" s="1"/>
  <c r="AE17" i="1027"/>
  <c r="T16" i="1027"/>
  <c r="W57" i="83"/>
  <c r="V57" i="83" s="1"/>
  <c r="AN16" i="1027"/>
  <c r="AC16" i="1027"/>
  <c r="A130" i="33253"/>
  <c r="B17" i="1027"/>
  <c r="U16" i="1027"/>
  <c r="M17" i="1027"/>
  <c r="AG19" i="1027"/>
  <c r="AB18" i="1027"/>
  <c r="AB17" i="1027" s="1"/>
  <c r="B18" i="1027"/>
  <c r="AG17" i="1027"/>
  <c r="AK17" i="1027"/>
  <c r="AF17" i="1027"/>
  <c r="F17" i="1027"/>
  <c r="AK16" i="1027"/>
  <c r="AF59" i="33254"/>
  <c r="AE19" i="1027"/>
  <c r="B14" i="1027"/>
  <c r="AK13" i="1027"/>
  <c r="B4" i="83"/>
  <c r="BS157" i="83" s="1"/>
  <c r="M625" i="33260"/>
  <c r="K625" i="33260"/>
  <c r="O39" i="33254"/>
  <c r="C32" i="33258" s="1"/>
  <c r="O40" i="33254"/>
  <c r="C33" i="33258" s="1"/>
  <c r="O35" i="33254"/>
  <c r="C28" i="33258" s="1"/>
  <c r="O37" i="33254"/>
  <c r="C30" i="33258" s="1"/>
  <c r="O36" i="33254"/>
  <c r="C29" i="33258" s="1"/>
  <c r="O38" i="33254"/>
  <c r="C31" i="33258" s="1"/>
  <c r="O41" i="33254"/>
  <c r="C34" i="33258" s="1"/>
  <c r="O34" i="33254"/>
  <c r="C27" i="33258" s="1"/>
  <c r="AD12" i="33254"/>
  <c r="AG12" i="33254"/>
  <c r="D11" i="83"/>
  <c r="E11" i="83"/>
  <c r="AF12" i="33254"/>
  <c r="F11" i="83"/>
  <c r="B11" i="83"/>
  <c r="F10" i="83"/>
  <c r="P78" i="83"/>
  <c r="Q35" i="83" s="1"/>
  <c r="T49" i="83" s="1"/>
  <c r="D13" i="83"/>
  <c r="F13" i="83"/>
  <c r="C13" i="83"/>
  <c r="C12" i="83"/>
  <c r="D12" i="83"/>
  <c r="B8" i="83"/>
  <c r="S63" i="33254"/>
  <c r="E12" i="83"/>
  <c r="F12" i="83"/>
  <c r="E9" i="83"/>
  <c r="B13" i="83"/>
  <c r="E10" i="83"/>
  <c r="D9" i="83"/>
  <c r="C9" i="83"/>
  <c r="F9" i="83"/>
  <c r="C10" i="83"/>
  <c r="D10" i="83"/>
  <c r="E8" i="83"/>
  <c r="C8" i="83"/>
  <c r="D8" i="83"/>
  <c r="R43" i="83"/>
  <c r="Q43" i="83" s="1"/>
  <c r="S43" i="83" s="1"/>
  <c r="G31" i="1027" s="1"/>
  <c r="R42" i="33255"/>
  <c r="R12" i="1027"/>
  <c r="F48" i="1027" s="1"/>
  <c r="A181" i="33253" s="1"/>
  <c r="AE59" i="33254"/>
  <c r="B13" i="1027"/>
  <c r="T12" i="1027"/>
  <c r="C10" i="33258"/>
  <c r="AN12" i="1027"/>
  <c r="A128" i="33253"/>
  <c r="S12" i="1027"/>
  <c r="W56" i="83"/>
  <c r="V56" i="83" s="1"/>
  <c r="U64" i="83" s="1"/>
  <c r="B48" i="1027" s="1"/>
  <c r="U12" i="1027"/>
  <c r="AB12" i="1027" s="1"/>
  <c r="H13" i="1027" s="1"/>
  <c r="AK12" i="1027"/>
  <c r="AC12" i="1027"/>
  <c r="M13" i="1027"/>
  <c r="F13" i="1027"/>
  <c r="AB14" i="1027"/>
  <c r="AB13" i="1027" s="1"/>
  <c r="AF13" i="1027"/>
  <c r="U42" i="33255"/>
  <c r="T42" i="33255"/>
  <c r="P42" i="33255"/>
  <c r="V42" i="33255"/>
  <c r="R8" i="1027"/>
  <c r="F47" i="1027" s="1"/>
  <c r="A180" i="33253" s="1"/>
  <c r="AC8" i="1027"/>
  <c r="M9" i="1027"/>
  <c r="F10" i="1027"/>
  <c r="F9" i="1027"/>
  <c r="AK8" i="1027"/>
  <c r="C9" i="33258"/>
  <c r="B9" i="1027"/>
  <c r="S8" i="1027"/>
  <c r="AN8" i="1027"/>
  <c r="T8" i="1027"/>
  <c r="AF9" i="1027"/>
  <c r="B10" i="1027"/>
  <c r="AB10" i="1027"/>
  <c r="AB9" i="1027" s="1"/>
  <c r="U8" i="1027"/>
  <c r="W55" i="83"/>
  <c r="V55" i="83" s="1"/>
  <c r="A126" i="33253"/>
  <c r="AD59" i="33254"/>
  <c r="O42" i="33255"/>
  <c r="I33" i="33255"/>
  <c r="P51" i="33255"/>
  <c r="W42" i="33255"/>
  <c r="Q42" i="33255"/>
  <c r="Q51" i="33255"/>
  <c r="O51" i="33255"/>
  <c r="R51" i="33255"/>
  <c r="F93" i="1" l="1"/>
  <c r="G93" i="1"/>
  <c r="E93" i="1"/>
  <c r="D93" i="1" s="1"/>
  <c r="G3" i="33262"/>
  <c r="S44" i="83"/>
  <c r="H31" i="1027" s="1"/>
  <c r="D19" i="33258"/>
  <c r="F52" i="33262"/>
  <c r="G5" i="1"/>
  <c r="F5" i="1"/>
  <c r="E5" i="1"/>
  <c r="B53" i="3"/>
  <c r="B51" i="3"/>
  <c r="E3" i="3"/>
  <c r="E3" i="33262" s="1"/>
  <c r="B1" i="3"/>
  <c r="A3" i="33253" s="1"/>
  <c r="B1" i="33262" s="1"/>
  <c r="B49" i="33261"/>
  <c r="Y77" i="33254"/>
  <c r="A642" i="33253" s="1"/>
  <c r="X77" i="33254"/>
  <c r="A641" i="33253" s="1"/>
  <c r="W77" i="33254"/>
  <c r="A640" i="33253" s="1"/>
  <c r="V77" i="33254"/>
  <c r="I21" i="33261"/>
  <c r="H2" i="33255"/>
  <c r="I7" i="3"/>
  <c r="I7" i="33254" s="1"/>
  <c r="K56" i="33261"/>
  <c r="M65" i="33261"/>
  <c r="K62" i="33261"/>
  <c r="K60" i="33261"/>
  <c r="K58" i="33261"/>
  <c r="K54" i="33261"/>
  <c r="K52" i="33261"/>
  <c r="K50" i="33261"/>
  <c r="G3" i="33261"/>
  <c r="H40" i="33261"/>
  <c r="D3" i="33255"/>
  <c r="C3" i="33255"/>
  <c r="H54" i="3"/>
  <c r="F60" i="3"/>
  <c r="B55" i="3"/>
  <c r="H40" i="33257"/>
  <c r="B44" i="1027"/>
  <c r="B43" i="1027"/>
  <c r="B23" i="3"/>
  <c r="G52" i="3"/>
  <c r="K17" i="83"/>
  <c r="B58" i="1027"/>
  <c r="A630" i="33253"/>
  <c r="K134" i="83"/>
  <c r="K126" i="83"/>
  <c r="K133" i="83"/>
  <c r="K131" i="83"/>
  <c r="K129" i="83"/>
  <c r="K136" i="83"/>
  <c r="K128" i="83"/>
  <c r="K135" i="83"/>
  <c r="K127" i="83"/>
  <c r="K132" i="83"/>
  <c r="E23" i="33254"/>
  <c r="K130" i="83"/>
  <c r="AL77" i="83"/>
  <c r="K13" i="83"/>
  <c r="AM82" i="83"/>
  <c r="AL80" i="83"/>
  <c r="L134" i="83"/>
  <c r="M134" i="83" s="1"/>
  <c r="I123" i="83"/>
  <c r="L133" i="83"/>
  <c r="I122" i="83"/>
  <c r="L132" i="83"/>
  <c r="L126" i="83"/>
  <c r="L131" i="83"/>
  <c r="L135" i="83"/>
  <c r="L130" i="83"/>
  <c r="L129" i="83"/>
  <c r="L136" i="83"/>
  <c r="L128" i="83"/>
  <c r="L127" i="83"/>
  <c r="A44" i="33253"/>
  <c r="E19" i="33258"/>
  <c r="A6" i="33253"/>
  <c r="A5" i="33253" s="1"/>
  <c r="S46" i="83"/>
  <c r="F19" i="33258"/>
  <c r="A46" i="33253"/>
  <c r="R99" i="83"/>
  <c r="I31" i="1027"/>
  <c r="B24" i="3"/>
  <c r="E3" i="1027"/>
  <c r="C3" i="1027"/>
  <c r="D3" i="3"/>
  <c r="C3" i="3"/>
  <c r="AM75" i="83"/>
  <c r="J15" i="83"/>
  <c r="AL79" i="83"/>
  <c r="AL76" i="83"/>
  <c r="K10" i="83"/>
  <c r="J52" i="83"/>
  <c r="AL74" i="83"/>
  <c r="J17" i="83"/>
  <c r="J10" i="83"/>
  <c r="J60" i="83"/>
  <c r="K15" i="83"/>
  <c r="K14" i="83"/>
  <c r="AM73" i="83"/>
  <c r="AL81" i="83"/>
  <c r="AM80" i="83"/>
  <c r="K20" i="83"/>
  <c r="AL73" i="83"/>
  <c r="AL83" i="83"/>
  <c r="J20" i="83"/>
  <c r="K16" i="83"/>
  <c r="K12" i="83"/>
  <c r="J45" i="83"/>
  <c r="AL78" i="83"/>
  <c r="K18" i="83"/>
  <c r="J21" i="83"/>
  <c r="J12" i="83"/>
  <c r="K11" i="83"/>
  <c r="J13" i="83"/>
  <c r="AM81" i="83"/>
  <c r="AM83" i="83"/>
  <c r="K19" i="83"/>
  <c r="AM72" i="83"/>
  <c r="AL82" i="83"/>
  <c r="J18" i="83"/>
  <c r="J14" i="83"/>
  <c r="AM78" i="83"/>
  <c r="AM74" i="83"/>
  <c r="J11" i="83"/>
  <c r="AM79" i="83"/>
  <c r="J19" i="83"/>
  <c r="AM77" i="83"/>
  <c r="AL72" i="83"/>
  <c r="J16" i="83"/>
  <c r="AL75" i="83"/>
  <c r="K21" i="83"/>
  <c r="AI18" i="33259"/>
  <c r="AI23" i="33259" s="1"/>
  <c r="AH23" i="33259"/>
  <c r="V16" i="1027"/>
  <c r="I16" i="1027" s="1"/>
  <c r="W16" i="1027"/>
  <c r="AB16" i="1027"/>
  <c r="H17" i="1027" s="1"/>
  <c r="AF57" i="83"/>
  <c r="AG57" i="83" s="1"/>
  <c r="BP74" i="83" s="1"/>
  <c r="AB57" i="83"/>
  <c r="U65" i="83"/>
  <c r="B49" i="1027" s="1"/>
  <c r="X57" i="83"/>
  <c r="V65" i="83"/>
  <c r="AB20" i="1027"/>
  <c r="H21" i="1027" s="1"/>
  <c r="W20" i="1027"/>
  <c r="V20" i="1027"/>
  <c r="I20" i="1027" s="1"/>
  <c r="V66" i="83"/>
  <c r="AB58" i="83"/>
  <c r="U66" i="83"/>
  <c r="B50" i="1027" s="1"/>
  <c r="X58" i="83"/>
  <c r="AF58" i="83"/>
  <c r="AG58" i="83" s="1"/>
  <c r="BQ74" i="83" s="1"/>
  <c r="F4" i="83"/>
  <c r="F51" i="83"/>
  <c r="G157" i="83"/>
  <c r="BK157" i="83"/>
  <c r="R133" i="83" s="1"/>
  <c r="D51" i="83"/>
  <c r="O157" i="83"/>
  <c r="R127" i="83" s="1"/>
  <c r="AU157" i="83"/>
  <c r="C4" i="83"/>
  <c r="F30" i="1027" s="1"/>
  <c r="J56" i="83"/>
  <c r="AM157" i="83"/>
  <c r="J55" i="83"/>
  <c r="CA157" i="83"/>
  <c r="CQ157" i="83"/>
  <c r="AE157" i="83"/>
  <c r="R129" i="83" s="1"/>
  <c r="C51" i="83"/>
  <c r="CI157" i="83"/>
  <c r="R136" i="83" s="1"/>
  <c r="J57" i="83"/>
  <c r="BC157" i="83"/>
  <c r="R132" i="83" s="1"/>
  <c r="W157" i="83"/>
  <c r="R128" i="83" s="1"/>
  <c r="D4" i="83"/>
  <c r="L25" i="83"/>
  <c r="T47" i="83"/>
  <c r="S61" i="83"/>
  <c r="N61" i="83" s="1"/>
  <c r="F93" i="3" s="1"/>
  <c r="T48" i="83"/>
  <c r="T50" i="83"/>
  <c r="R134" i="83"/>
  <c r="A40" i="33253"/>
  <c r="C19" i="33258"/>
  <c r="R97" i="83"/>
  <c r="J54" i="83"/>
  <c r="V12" i="1027"/>
  <c r="AF56" i="83"/>
  <c r="AG56" i="83" s="1"/>
  <c r="BO74" i="83" s="1"/>
  <c r="W12" i="1027"/>
  <c r="AB56" i="83"/>
  <c r="V64" i="83"/>
  <c r="X56" i="83"/>
  <c r="V63" i="83"/>
  <c r="X55" i="83"/>
  <c r="U63" i="83"/>
  <c r="B47" i="1027" s="1"/>
  <c r="AF55" i="83"/>
  <c r="AG55" i="83" s="1"/>
  <c r="AB55" i="83"/>
  <c r="AB8" i="1027"/>
  <c r="H9" i="1027" s="1"/>
  <c r="V8" i="1027"/>
  <c r="W8" i="1027"/>
  <c r="BL32" i="83"/>
  <c r="BM33" i="83"/>
  <c r="BK28" i="83"/>
  <c r="BM28" i="83"/>
  <c r="D5" i="1" l="1"/>
  <c r="K1" i="33262" s="1"/>
  <c r="R98" i="83"/>
  <c r="BC48" i="83"/>
  <c r="BD48" i="83" s="1"/>
  <c r="B744" i="33260"/>
  <c r="AN20" i="33260"/>
  <c r="B730" i="33260"/>
  <c r="B30" i="33261"/>
  <c r="F3" i="1027"/>
  <c r="E3" i="33261"/>
  <c r="M135" i="83"/>
  <c r="B56" i="3"/>
  <c r="B43" i="33261"/>
  <c r="B1" i="33257"/>
  <c r="B1" i="33261"/>
  <c r="B1" i="33255"/>
  <c r="B1" i="1027"/>
  <c r="B1" i="33254"/>
  <c r="Z77" i="33254"/>
  <c r="A639" i="33253"/>
  <c r="K1" i="33261"/>
  <c r="M126" i="83"/>
  <c r="M130" i="83"/>
  <c r="M131" i="83"/>
  <c r="R100" i="83"/>
  <c r="J31" i="1027"/>
  <c r="AJ22" i="33259"/>
  <c r="AJ20" i="33259"/>
  <c r="AJ21" i="33259"/>
  <c r="AJ19" i="33259"/>
  <c r="AJ18" i="33259"/>
  <c r="AL16" i="1027"/>
  <c r="R15" i="33259"/>
  <c r="R126" i="83"/>
  <c r="F12" i="33258"/>
  <c r="A167" i="33253"/>
  <c r="E50" i="1027"/>
  <c r="F11" i="33258"/>
  <c r="E49" i="1027"/>
  <c r="A166" i="33253"/>
  <c r="R130" i="83"/>
  <c r="R131" i="83"/>
  <c r="M133" i="83"/>
  <c r="M127" i="83"/>
  <c r="R135" i="83"/>
  <c r="M128" i="83"/>
  <c r="M136" i="83"/>
  <c r="M132" i="83"/>
  <c r="M129" i="83"/>
  <c r="I8" i="1027"/>
  <c r="I12" i="1027"/>
  <c r="AN82" i="83"/>
  <c r="AN77" i="83"/>
  <c r="AG59" i="83"/>
  <c r="BN74" i="83"/>
  <c r="BR74" i="83" s="1"/>
  <c r="X59" i="83"/>
  <c r="E84" i="3"/>
  <c r="B40" i="1027"/>
  <c r="B33" i="1027"/>
  <c r="O46" i="83"/>
  <c r="B53" i="1027"/>
  <c r="B84" i="3"/>
  <c r="B34" i="1027"/>
  <c r="E25" i="3"/>
  <c r="AB93" i="83"/>
  <c r="AC93" i="83"/>
  <c r="V30" i="33255"/>
  <c r="I16" i="83"/>
  <c r="BG15" i="33260" s="1"/>
  <c r="B41" i="1027"/>
  <c r="J42" i="1027"/>
  <c r="I42" i="1027"/>
  <c r="B42" i="1027"/>
  <c r="AE65" i="83"/>
  <c r="I20" i="83"/>
  <c r="BG19" i="33260" s="1"/>
  <c r="I11" i="83"/>
  <c r="BG10" i="33260" s="1"/>
  <c r="AE68" i="83"/>
  <c r="BA6" i="83"/>
  <c r="D25" i="3"/>
  <c r="I10" i="83"/>
  <c r="Z36" i="33254"/>
  <c r="I19" i="83"/>
  <c r="BG18" i="33260" s="1"/>
  <c r="I15" i="83"/>
  <c r="BG14" i="33260" s="1"/>
  <c r="I18" i="83"/>
  <c r="BG17" i="33260" s="1"/>
  <c r="G42" i="1027"/>
  <c r="AE66" i="83"/>
  <c r="W30" i="33255"/>
  <c r="P50" i="83"/>
  <c r="I17" i="83"/>
  <c r="BG16" i="33260" s="1"/>
  <c r="U30" i="33255"/>
  <c r="M57" i="1027"/>
  <c r="I12" i="83"/>
  <c r="BG11" i="33260" s="1"/>
  <c r="H42" i="1027"/>
  <c r="AE67" i="83"/>
  <c r="B43" i="33257"/>
  <c r="AA93" i="83"/>
  <c r="I14" i="83"/>
  <c r="BG13" i="33260" s="1"/>
  <c r="T30" i="33255"/>
  <c r="I13" i="83"/>
  <c r="BG12" i="33260" s="1"/>
  <c r="F42" i="1027"/>
  <c r="K1" i="33257" l="1"/>
  <c r="K1" i="3"/>
  <c r="M1" i="33255" s="1"/>
  <c r="K1" i="33254"/>
  <c r="I21" i="83"/>
  <c r="BG20" i="33260" s="1"/>
  <c r="N13" i="33260"/>
  <c r="DT304" i="33260"/>
  <c r="BG304" i="33260"/>
  <c r="DJ23" i="33260"/>
  <c r="GG304" i="33260"/>
  <c r="N3" i="33260"/>
  <c r="AE644" i="33260"/>
  <c r="AE636" i="33260"/>
  <c r="Q644" i="33260"/>
  <c r="U625" i="33260" s="1"/>
  <c r="Z1" i="83"/>
  <c r="R28" i="83"/>
  <c r="P28" i="83" s="1"/>
  <c r="BG9" i="33260"/>
  <c r="N28" i="83"/>
  <c r="L28" i="83" s="1"/>
  <c r="AJ23" i="33259"/>
  <c r="R14" i="33259"/>
  <c r="AL12" i="1027"/>
  <c r="R13" i="33259"/>
  <c r="A164" i="33253"/>
  <c r="A165" i="33253"/>
  <c r="F9" i="33258"/>
  <c r="E47" i="1027"/>
  <c r="F10" i="33258"/>
  <c r="E48" i="1027"/>
  <c r="R24" i="83"/>
  <c r="P24" i="83" s="1"/>
  <c r="R30" i="33255"/>
  <c r="X47" i="33255" s="1"/>
  <c r="A627" i="33253" s="1"/>
  <c r="Q30" i="33255"/>
  <c r="W48" i="33255" s="1"/>
  <c r="O30" i="33255"/>
  <c r="O52" i="33255" s="1"/>
  <c r="I52" i="33255" s="1"/>
  <c r="P30" i="33255"/>
  <c r="V47" i="33255" s="1"/>
  <c r="A625" i="33253" s="1"/>
  <c r="AK5" i="83"/>
  <c r="I88" i="83"/>
  <c r="I89" i="83"/>
  <c r="AL5" i="83"/>
  <c r="AQ5" i="83"/>
  <c r="I94" i="83"/>
  <c r="AJ5" i="83"/>
  <c r="I87" i="83"/>
  <c r="I91" i="83"/>
  <c r="AN5" i="83"/>
  <c r="Q79" i="83"/>
  <c r="P79" i="83"/>
  <c r="R79" i="83"/>
  <c r="S79" i="83"/>
  <c r="AM5" i="83"/>
  <c r="I90" i="83"/>
  <c r="H26" i="33254"/>
  <c r="G26" i="33254"/>
  <c r="F26" i="33254"/>
  <c r="I26" i="33254"/>
  <c r="A603" i="33253"/>
  <c r="AO5" i="83"/>
  <c r="I92" i="83"/>
  <c r="AI5" i="83"/>
  <c r="I86" i="83"/>
  <c r="I93" i="83"/>
  <c r="AP5" i="83"/>
  <c r="I95" i="83"/>
  <c r="AR5" i="83"/>
  <c r="N24" i="83"/>
  <c r="AH5" i="83"/>
  <c r="I85" i="83"/>
  <c r="I96" i="83" l="1"/>
  <c r="AS5" i="83"/>
  <c r="L1" i="1027"/>
  <c r="Q2" i="3"/>
  <c r="M11" i="33259" s="1"/>
  <c r="H41" i="33262"/>
  <c r="P2" i="3"/>
  <c r="W33" i="33254" s="1"/>
  <c r="W35" i="33254" s="1"/>
  <c r="G41" i="33262"/>
  <c r="R2" i="3"/>
  <c r="N11" i="33259" s="1"/>
  <c r="I41" i="33262"/>
  <c r="Y67" i="33254"/>
  <c r="Y58" i="33254"/>
  <c r="X58" i="33254"/>
  <c r="P99" i="83"/>
  <c r="F17" i="33258"/>
  <c r="P100" i="83"/>
  <c r="AY11" i="83"/>
  <c r="BT58" i="83"/>
  <c r="J38" i="1027"/>
  <c r="Y13" i="33254"/>
  <c r="Y17" i="33254"/>
  <c r="S100" i="83"/>
  <c r="BM58" i="83"/>
  <c r="O100" i="83"/>
  <c r="Q100" i="83" s="1"/>
  <c r="J37" i="1027"/>
  <c r="Y48" i="33254"/>
  <c r="AY7" i="83"/>
  <c r="Y84" i="33254"/>
  <c r="Q133" i="83"/>
  <c r="M98" i="83"/>
  <c r="BO58" i="83"/>
  <c r="R95" i="33254"/>
  <c r="AY15" i="83"/>
  <c r="R78" i="33254"/>
  <c r="R79" i="33254" s="1"/>
  <c r="R48" i="33254"/>
  <c r="AY14" i="83"/>
  <c r="AY13" i="83"/>
  <c r="J38" i="83"/>
  <c r="Q134" i="83"/>
  <c r="R38" i="83"/>
  <c r="I37" i="3" s="1"/>
  <c r="A634" i="33253" s="1"/>
  <c r="AY6" i="83"/>
  <c r="AY12" i="83"/>
  <c r="J44" i="83"/>
  <c r="AF20" i="83"/>
  <c r="BV58" i="83"/>
  <c r="BR58" i="83"/>
  <c r="R31" i="33254"/>
  <c r="I46" i="33262" s="1"/>
  <c r="AY9" i="83"/>
  <c r="AM37" i="83"/>
  <c r="AY8" i="83"/>
  <c r="R83" i="33254"/>
  <c r="R86" i="33254" s="1"/>
  <c r="R59" i="33254"/>
  <c r="A574" i="33253" s="1"/>
  <c r="R30" i="83"/>
  <c r="Q136" i="83"/>
  <c r="A26" i="33253"/>
  <c r="Q132" i="83"/>
  <c r="M100" i="83"/>
  <c r="R47" i="33254"/>
  <c r="R49" i="33254" s="1"/>
  <c r="Y36" i="33254"/>
  <c r="AY10" i="83"/>
  <c r="R84" i="33254"/>
  <c r="BQ58" i="83"/>
  <c r="Q135" i="83"/>
  <c r="Q129" i="83"/>
  <c r="I81" i="3"/>
  <c r="Q137" i="83"/>
  <c r="BS58" i="83"/>
  <c r="M110" i="83"/>
  <c r="R80" i="33254"/>
  <c r="R27" i="83"/>
  <c r="BU58" i="83"/>
  <c r="AM36" i="83"/>
  <c r="Q4" i="83"/>
  <c r="Q28" i="83" s="1"/>
  <c r="R68" i="33254"/>
  <c r="M99" i="83"/>
  <c r="X36" i="33254"/>
  <c r="E17" i="33258"/>
  <c r="BO57" i="83"/>
  <c r="BS57" i="83"/>
  <c r="BM57" i="83"/>
  <c r="L98" i="83"/>
  <c r="N27" i="83"/>
  <c r="P137" i="83"/>
  <c r="A24" i="33253"/>
  <c r="S99" i="83"/>
  <c r="L100" i="83"/>
  <c r="L99" i="83"/>
  <c r="BQ57" i="83"/>
  <c r="AX9" i="83"/>
  <c r="P132" i="83"/>
  <c r="R37" i="83"/>
  <c r="H37" i="3" s="1"/>
  <c r="A633" i="33253" s="1"/>
  <c r="BT57" i="83"/>
  <c r="P133" i="83"/>
  <c r="Q31" i="33254"/>
  <c r="BV57" i="83"/>
  <c r="BP57" i="83"/>
  <c r="P131" i="83"/>
  <c r="Q68" i="33254"/>
  <c r="P135" i="83"/>
  <c r="P136" i="83"/>
  <c r="I38" i="1027"/>
  <c r="P134" i="83"/>
  <c r="N30" i="83"/>
  <c r="H81" i="3"/>
  <c r="Q59" i="33254"/>
  <c r="AF19" i="83"/>
  <c r="Q95" i="33254"/>
  <c r="Q47" i="33254"/>
  <c r="Q49" i="33254" s="1"/>
  <c r="AK37" i="83"/>
  <c r="Q48" i="33254"/>
  <c r="BU57" i="83"/>
  <c r="AK36" i="83"/>
  <c r="Q78" i="33254"/>
  <c r="Q79" i="33254" s="1"/>
  <c r="X48" i="33254"/>
  <c r="AX7" i="83"/>
  <c r="AX6" i="83"/>
  <c r="BR57" i="83"/>
  <c r="O4" i="83"/>
  <c r="BP58" i="83"/>
  <c r="I37" i="1027"/>
  <c r="Q80" i="33254"/>
  <c r="Q83" i="33254"/>
  <c r="Q86" i="33254" s="1"/>
  <c r="X13" i="33254"/>
  <c r="Q84" i="33254"/>
  <c r="J43" i="83"/>
  <c r="J37" i="83"/>
  <c r="P139" i="83"/>
  <c r="L110" i="83"/>
  <c r="X84" i="33254"/>
  <c r="AX13" i="83"/>
  <c r="AX12" i="83"/>
  <c r="X17" i="33254"/>
  <c r="AX10" i="83"/>
  <c r="AX14" i="83"/>
  <c r="O99" i="83"/>
  <c r="Q99" i="83" s="1"/>
  <c r="AX15" i="83"/>
  <c r="AX8" i="83"/>
  <c r="AX11" i="83"/>
  <c r="Q139" i="83"/>
  <c r="K110" i="83"/>
  <c r="AW10" i="83"/>
  <c r="P98" i="83"/>
  <c r="W84" i="33254"/>
  <c r="W17" i="33254"/>
  <c r="AW12" i="83"/>
  <c r="O98" i="83"/>
  <c r="Q98" i="83" s="1"/>
  <c r="AW7" i="83"/>
  <c r="BM56" i="83"/>
  <c r="O132" i="83"/>
  <c r="H38" i="1027"/>
  <c r="AW6" i="83"/>
  <c r="AW14" i="83"/>
  <c r="P47" i="33254"/>
  <c r="P49" i="33254" s="1"/>
  <c r="W13" i="33254"/>
  <c r="R23" i="83"/>
  <c r="AI37" i="83"/>
  <c r="BQ56" i="83"/>
  <c r="P80" i="33254"/>
  <c r="BT56" i="83"/>
  <c r="P31" i="33254"/>
  <c r="G46" i="33262" s="1"/>
  <c r="P84" i="33254"/>
  <c r="P78" i="33254"/>
  <c r="P68" i="33254"/>
  <c r="A567" i="33253" s="1"/>
  <c r="S98" i="83"/>
  <c r="BV56" i="83"/>
  <c r="AI36" i="83"/>
  <c r="P83" i="33254"/>
  <c r="P86" i="33254" s="1"/>
  <c r="K98" i="83"/>
  <c r="BR56" i="83"/>
  <c r="M4" i="83"/>
  <c r="H30" i="1027" s="1"/>
  <c r="BS56" i="83"/>
  <c r="W36" i="33254"/>
  <c r="AW15" i="83"/>
  <c r="W48" i="33254"/>
  <c r="O139" i="83"/>
  <c r="O134" i="83"/>
  <c r="O137" i="83"/>
  <c r="BU56" i="83"/>
  <c r="BP56" i="83"/>
  <c r="J42" i="83"/>
  <c r="O136" i="83"/>
  <c r="K100" i="83"/>
  <c r="K99" i="83"/>
  <c r="P59" i="33254"/>
  <c r="A572" i="33253" s="1"/>
  <c r="P95" i="33254"/>
  <c r="D17" i="33258"/>
  <c r="J36" i="83"/>
  <c r="BO56" i="83"/>
  <c r="AF18" i="83"/>
  <c r="R26" i="83"/>
  <c r="AW11" i="83"/>
  <c r="A22" i="33253"/>
  <c r="P48" i="33254"/>
  <c r="AW8" i="83"/>
  <c r="O129" i="83"/>
  <c r="AW9" i="83"/>
  <c r="O133" i="83"/>
  <c r="AW13" i="83"/>
  <c r="R52" i="33255"/>
  <c r="L52" i="33255" s="1"/>
  <c r="A468" i="33253" s="1"/>
  <c r="A469" i="33253" s="1"/>
  <c r="X48" i="33255"/>
  <c r="Q52" i="33255"/>
  <c r="K52" i="33255" s="1"/>
  <c r="A466" i="33253" s="1"/>
  <c r="A467" i="33253" s="1"/>
  <c r="V48" i="33255"/>
  <c r="W47" i="33255"/>
  <c r="A626" i="33253" s="1"/>
  <c r="U47" i="33255"/>
  <c r="A624" i="33253" s="1"/>
  <c r="U48" i="33255"/>
  <c r="P52" i="33255"/>
  <c r="J52" i="33255" s="1"/>
  <c r="A464" i="33253" s="1"/>
  <c r="A465" i="33253" s="1"/>
  <c r="K64" i="3"/>
  <c r="N15" i="33259" s="1"/>
  <c r="L24" i="83"/>
  <c r="F41" i="33262" s="1"/>
  <c r="X67" i="33254" l="1"/>
  <c r="X59" i="33254" s="1"/>
  <c r="E18" i="33258"/>
  <c r="E32" i="33258" s="1"/>
  <c r="AF73" i="33254"/>
  <c r="H91" i="3"/>
  <c r="H79" i="3"/>
  <c r="H23" i="33254"/>
  <c r="X78" i="33254" s="1"/>
  <c r="X33" i="33254"/>
  <c r="X35" i="33254" s="1"/>
  <c r="A37" i="33253"/>
  <c r="AF74" i="33254"/>
  <c r="X68" i="33254"/>
  <c r="Y59" i="33254"/>
  <c r="Y33" i="33254"/>
  <c r="Y35" i="33254" s="1"/>
  <c r="AG73" i="33254"/>
  <c r="A38" i="33253"/>
  <c r="I23" i="33254"/>
  <c r="I79" i="3"/>
  <c r="I91" i="3"/>
  <c r="F18" i="33258"/>
  <c r="F27" i="33258" s="1"/>
  <c r="AG74" i="33254"/>
  <c r="K41" i="33262"/>
  <c r="Y68" i="33254"/>
  <c r="I40" i="33262"/>
  <c r="I43" i="33262" s="1"/>
  <c r="I45" i="33262"/>
  <c r="H45" i="33262"/>
  <c r="H40" i="33262"/>
  <c r="H43" i="33262" s="1"/>
  <c r="G40" i="33262"/>
  <c r="G43" i="33262" s="1"/>
  <c r="G45" i="33262"/>
  <c r="R26" i="33254"/>
  <c r="Q26" i="33254"/>
  <c r="P26" i="33254"/>
  <c r="AC3" i="1027"/>
  <c r="O2" i="3"/>
  <c r="O48" i="33254" s="1"/>
  <c r="S48" i="33254" s="1"/>
  <c r="E30" i="33258"/>
  <c r="AE74" i="33254"/>
  <c r="AE73" i="33254"/>
  <c r="L11" i="33259"/>
  <c r="G23" i="33254"/>
  <c r="W14" i="33254" s="1"/>
  <c r="A36" i="33253"/>
  <c r="D18" i="33258"/>
  <c r="G79" i="3"/>
  <c r="G91" i="3"/>
  <c r="W67" i="33254"/>
  <c r="W59" i="33254" s="1"/>
  <c r="W58" i="33254"/>
  <c r="W82" i="33254"/>
  <c r="P43" i="33254"/>
  <c r="Q43" i="33254"/>
  <c r="Y82" i="33254"/>
  <c r="R43" i="33254"/>
  <c r="M25" i="33254"/>
  <c r="K25" i="33254" s="1"/>
  <c r="J49" i="83"/>
  <c r="X15" i="33254" s="1"/>
  <c r="J50" i="83"/>
  <c r="AG15" i="33254" s="1"/>
  <c r="Y78" i="33254"/>
  <c r="Y81" i="33254"/>
  <c r="J30" i="1027"/>
  <c r="F37" i="33258"/>
  <c r="R96" i="33254"/>
  <c r="R30" i="33254"/>
  <c r="R32" i="33254" s="1"/>
  <c r="M101" i="83"/>
  <c r="P30" i="83" s="1"/>
  <c r="Y18" i="33254"/>
  <c r="Q96" i="33254"/>
  <c r="X18" i="33254"/>
  <c r="Y49" i="33254"/>
  <c r="F36" i="33258"/>
  <c r="A569" i="33253"/>
  <c r="Y50" i="33254"/>
  <c r="L101" i="83"/>
  <c r="L30" i="83" s="1"/>
  <c r="X81" i="33254"/>
  <c r="X82" i="33254"/>
  <c r="E36" i="33258"/>
  <c r="X49" i="33254"/>
  <c r="A573" i="33253"/>
  <c r="M28" i="83"/>
  <c r="I30" i="1027"/>
  <c r="X50" i="33254"/>
  <c r="A568" i="33253"/>
  <c r="E37" i="33258"/>
  <c r="AI16" i="33260"/>
  <c r="AI13" i="33260"/>
  <c r="AI17" i="33260"/>
  <c r="AI14" i="33260"/>
  <c r="AI15" i="33260"/>
  <c r="M23" i="33259"/>
  <c r="A778" i="33253"/>
  <c r="A777" i="33253"/>
  <c r="A776" i="33253"/>
  <c r="A775" i="33253"/>
  <c r="A782" i="33253"/>
  <c r="A781" i="33253"/>
  <c r="A780" i="33253"/>
  <c r="A779" i="33253"/>
  <c r="R22" i="33259"/>
  <c r="R21" i="33259"/>
  <c r="M31" i="33259"/>
  <c r="E31" i="33259" s="1"/>
  <c r="L31" i="33259"/>
  <c r="A705" i="33253"/>
  <c r="A718" i="33253"/>
  <c r="A716" i="33253"/>
  <c r="A708" i="33253"/>
  <c r="A714" i="33253"/>
  <c r="A712" i="33253"/>
  <c r="A720" i="33253"/>
  <c r="A710" i="33253"/>
  <c r="A706" i="33253"/>
  <c r="F12" i="33259"/>
  <c r="AF17" i="33260"/>
  <c r="AC16" i="33260"/>
  <c r="Y15" i="33260"/>
  <c r="Y14" i="33260"/>
  <c r="AX7" i="33260"/>
  <c r="Y16" i="33260"/>
  <c r="AU7" i="33260"/>
  <c r="AC17" i="33260"/>
  <c r="AF18" i="33260"/>
  <c r="Y17" i="33260"/>
  <c r="U5" i="33260"/>
  <c r="AF16" i="33260"/>
  <c r="AF14" i="33260"/>
  <c r="BD7" i="33260"/>
  <c r="AC14" i="33260"/>
  <c r="AF13" i="33260"/>
  <c r="U4" i="33260"/>
  <c r="BA7" i="33260"/>
  <c r="V11" i="33259" s="1"/>
  <c r="AF15" i="33260"/>
  <c r="Y13" i="33260"/>
  <c r="AC13" i="33260"/>
  <c r="AC15" i="33260"/>
  <c r="V8" i="33260"/>
  <c r="Q11" i="33260"/>
  <c r="P19" i="33260" s="1"/>
  <c r="J110" i="83"/>
  <c r="P97" i="83"/>
  <c r="P79" i="33254"/>
  <c r="P96" i="33254"/>
  <c r="K101" i="83"/>
  <c r="W18" i="33254"/>
  <c r="W25" i="33254" s="1"/>
  <c r="J48" i="83"/>
  <c r="AE15" i="33254" s="1"/>
  <c r="D37" i="33258"/>
  <c r="W81" i="33254"/>
  <c r="Q24" i="83"/>
  <c r="W50" i="33254"/>
  <c r="D36" i="33258"/>
  <c r="W49" i="33254"/>
  <c r="S4" i="83"/>
  <c r="L30" i="1027" s="1"/>
  <c r="V84" i="33254"/>
  <c r="O97" i="83"/>
  <c r="J99" i="83"/>
  <c r="S1" i="83"/>
  <c r="K21" i="3"/>
  <c r="J35" i="83"/>
  <c r="AV7" i="83"/>
  <c r="AZ7" i="83" s="1"/>
  <c r="V36" i="33254"/>
  <c r="BR55" i="83"/>
  <c r="G38" i="1027"/>
  <c r="BV55" i="83"/>
  <c r="AV13" i="83"/>
  <c r="AZ13" i="83" s="1"/>
  <c r="K4" i="83"/>
  <c r="G30" i="1027" s="1"/>
  <c r="AV15" i="83"/>
  <c r="AZ15" i="83" s="1"/>
  <c r="J100" i="83"/>
  <c r="J98" i="83"/>
  <c r="V17" i="33254"/>
  <c r="AG36" i="83"/>
  <c r="BS55" i="83"/>
  <c r="BU55" i="83"/>
  <c r="BP55" i="83"/>
  <c r="BP59" i="83" s="1"/>
  <c r="C17" i="33258"/>
  <c r="N26" i="83"/>
  <c r="S22" i="83"/>
  <c r="O68" i="33254"/>
  <c r="O78" i="33254"/>
  <c r="AF17" i="83"/>
  <c r="AV14" i="83"/>
  <c r="AZ14" i="83" s="1"/>
  <c r="BM55" i="83"/>
  <c r="J41" i="83"/>
  <c r="O95" i="33254"/>
  <c r="V13" i="33254"/>
  <c r="O80" i="33254"/>
  <c r="S80" i="33254" s="1"/>
  <c r="F81" i="3"/>
  <c r="N139" i="83"/>
  <c r="S97" i="83"/>
  <c r="B32" i="3"/>
  <c r="N137" i="83"/>
  <c r="BQ55" i="83"/>
  <c r="BT55" i="83"/>
  <c r="AV10" i="83"/>
  <c r="AZ10" i="83" s="1"/>
  <c r="AV12" i="83"/>
  <c r="AZ12" i="83" s="1"/>
  <c r="AV8" i="83"/>
  <c r="AZ8" i="83" s="1"/>
  <c r="BO55" i="83"/>
  <c r="D15" i="33254" s="1"/>
  <c r="N134" i="83"/>
  <c r="AV6" i="83"/>
  <c r="AZ6" i="83" s="1"/>
  <c r="D66" i="3" s="1"/>
  <c r="N2" i="33254"/>
  <c r="O31" i="33254"/>
  <c r="AV9" i="83"/>
  <c r="AZ9" i="83" s="1"/>
  <c r="S3" i="83"/>
  <c r="O108" i="33254"/>
  <c r="O109" i="33254" s="1"/>
  <c r="A462" i="33253"/>
  <c r="A463" i="33253" s="1"/>
  <c r="A20" i="33253"/>
  <c r="G37" i="1027"/>
  <c r="AG37" i="83"/>
  <c r="O59" i="33254"/>
  <c r="V48" i="33254"/>
  <c r="N23" i="83"/>
  <c r="O83" i="33254"/>
  <c r="O86" i="33254" s="1"/>
  <c r="S86" i="33254" s="1"/>
  <c r="O47" i="33254"/>
  <c r="S2" i="83"/>
  <c r="AV11" i="83"/>
  <c r="AZ11" i="83" s="1"/>
  <c r="K42" i="3"/>
  <c r="Q76" i="83"/>
  <c r="J89" i="3"/>
  <c r="Q69" i="83"/>
  <c r="J90" i="3"/>
  <c r="K39" i="3"/>
  <c r="S74" i="83"/>
  <c r="R71" i="83"/>
  <c r="J30" i="83"/>
  <c r="Q73" i="83"/>
  <c r="S70" i="83"/>
  <c r="J24" i="3"/>
  <c r="R76" i="83"/>
  <c r="J29" i="83"/>
  <c r="Q74" i="83"/>
  <c r="Q77" i="83"/>
  <c r="Y14" i="33254"/>
  <c r="R69" i="83"/>
  <c r="N3" i="83"/>
  <c r="R73" i="83"/>
  <c r="F74" i="3"/>
  <c r="K74" i="3" s="1"/>
  <c r="R39" i="83"/>
  <c r="Q39" i="83" s="1"/>
  <c r="I69" i="33261" s="1"/>
  <c r="R72" i="83"/>
  <c r="F75" i="3"/>
  <c r="K75" i="3" s="1"/>
  <c r="S69" i="83"/>
  <c r="S77" i="83"/>
  <c r="X14" i="33254"/>
  <c r="R75" i="83"/>
  <c r="Q72" i="83"/>
  <c r="Q70" i="83"/>
  <c r="Q75" i="83"/>
  <c r="R74" i="83"/>
  <c r="AG13" i="33254"/>
  <c r="AG14" i="33254" s="1"/>
  <c r="S71" i="83"/>
  <c r="J46" i="3"/>
  <c r="S75" i="83"/>
  <c r="S78" i="83"/>
  <c r="S73" i="83"/>
  <c r="S52" i="33255"/>
  <c r="K41" i="33261" s="1"/>
  <c r="L86" i="33261" s="1"/>
  <c r="R78" i="83"/>
  <c r="Q1" i="83"/>
  <c r="S76" i="83"/>
  <c r="Q71" i="83"/>
  <c r="R77" i="83"/>
  <c r="S72" i="83"/>
  <c r="K43" i="3"/>
  <c r="Q78" i="83"/>
  <c r="R70" i="83"/>
  <c r="F85" i="3"/>
  <c r="K85" i="3" s="1"/>
  <c r="E33" i="33258" l="1"/>
  <c r="E28" i="33258"/>
  <c r="E27" i="33258"/>
  <c r="E29" i="33258"/>
  <c r="E31" i="33258"/>
  <c r="E34" i="33258"/>
  <c r="AF13" i="33254"/>
  <c r="AF14" i="33254" s="1"/>
  <c r="Q30" i="33254"/>
  <c r="Q32" i="33254" s="1"/>
  <c r="K42" i="33262"/>
  <c r="F34" i="33258"/>
  <c r="F28" i="33258"/>
  <c r="F29" i="33258"/>
  <c r="F33" i="33258"/>
  <c r="F30" i="33258"/>
  <c r="F31" i="33258"/>
  <c r="F32" i="33258"/>
  <c r="O84" i="33254"/>
  <c r="S84" i="33254" s="1"/>
  <c r="O85" i="33254" s="1"/>
  <c r="F40" i="33262"/>
  <c r="F45" i="33262"/>
  <c r="V33" i="33254"/>
  <c r="AD74" i="33254"/>
  <c r="AI74" i="33254" s="1"/>
  <c r="W78" i="33254"/>
  <c r="P30" i="33254"/>
  <c r="P32" i="33254" s="1"/>
  <c r="AE13" i="33254"/>
  <c r="AE14" i="33254" s="1"/>
  <c r="O26" i="33254"/>
  <c r="K40" i="33262"/>
  <c r="A506" i="33253"/>
  <c r="AD73" i="33254"/>
  <c r="AI73" i="33254" s="1"/>
  <c r="K11" i="33259"/>
  <c r="O11" i="33259" s="1"/>
  <c r="R19" i="33259" s="1"/>
  <c r="A793" i="33253" s="1"/>
  <c r="C18" i="33258"/>
  <c r="F79" i="3"/>
  <c r="F23" i="33254"/>
  <c r="V78" i="33254" s="1"/>
  <c r="A35" i="33253"/>
  <c r="F91" i="3"/>
  <c r="K6" i="83" s="1"/>
  <c r="R35" i="83" s="1"/>
  <c r="F37" i="3" s="1"/>
  <c r="A631" i="33253" s="1"/>
  <c r="V58" i="33254"/>
  <c r="Z58" i="33254" s="1"/>
  <c r="V67" i="33254"/>
  <c r="V59" i="33254" s="1"/>
  <c r="Z59" i="33254" s="1"/>
  <c r="D33" i="33258"/>
  <c r="D34" i="33258"/>
  <c r="D31" i="33258"/>
  <c r="D32" i="33258"/>
  <c r="D27" i="33258"/>
  <c r="D30" i="33258"/>
  <c r="D29" i="33258"/>
  <c r="D28" i="33258"/>
  <c r="W68" i="33254"/>
  <c r="T62" i="33261"/>
  <c r="S62" i="33261"/>
  <c r="O43" i="33254"/>
  <c r="AF15" i="33254"/>
  <c r="Y15" i="33254"/>
  <c r="Y19" i="33254" s="1"/>
  <c r="X19" i="33254"/>
  <c r="D69" i="33261"/>
  <c r="B69" i="33261"/>
  <c r="X25" i="33254"/>
  <c r="O146" i="83"/>
  <c r="O148" i="83"/>
  <c r="O150" i="83"/>
  <c r="O152" i="83"/>
  <c r="P145" i="83"/>
  <c r="P146" i="83"/>
  <c r="P148" i="83"/>
  <c r="P150" i="83"/>
  <c r="P152" i="83"/>
  <c r="Q146" i="83"/>
  <c r="Q148" i="83"/>
  <c r="Q150" i="83"/>
  <c r="Q152" i="83"/>
  <c r="N145" i="83"/>
  <c r="Q153" i="83"/>
  <c r="N150" i="83"/>
  <c r="Q145" i="83"/>
  <c r="N147" i="83"/>
  <c r="N149" i="83"/>
  <c r="N151" i="83"/>
  <c r="N153" i="83"/>
  <c r="Q151" i="83"/>
  <c r="N152" i="83"/>
  <c r="O147" i="83"/>
  <c r="O149" i="83"/>
  <c r="O151" i="83"/>
  <c r="O153" i="83"/>
  <c r="Q149" i="83"/>
  <c r="N148" i="83"/>
  <c r="P147" i="83"/>
  <c r="P149" i="83"/>
  <c r="P151" i="83"/>
  <c r="P153" i="83"/>
  <c r="Q147" i="83"/>
  <c r="N146" i="83"/>
  <c r="O145" i="83"/>
  <c r="Y25" i="33254"/>
  <c r="M109" i="83"/>
  <c r="M103" i="83"/>
  <c r="M102" i="83"/>
  <c r="L109" i="83"/>
  <c r="L103" i="83"/>
  <c r="L102" i="83"/>
  <c r="K24" i="33259"/>
  <c r="L24" i="33259" s="1"/>
  <c r="M24" i="33259" s="1"/>
  <c r="W13" i="33260"/>
  <c r="U12" i="33260"/>
  <c r="W19" i="33260"/>
  <c r="W12" i="33260"/>
  <c r="U13" i="33260"/>
  <c r="W20" i="33260"/>
  <c r="W11" i="33260"/>
  <c r="U14" i="33260"/>
  <c r="W18" i="33260"/>
  <c r="W10" i="33260"/>
  <c r="U15" i="33260"/>
  <c r="W17" i="33260"/>
  <c r="U19" i="33260"/>
  <c r="U16" i="33260"/>
  <c r="W16" i="33260"/>
  <c r="U20" i="33260"/>
  <c r="U17" i="33260"/>
  <c r="W15" i="33260"/>
  <c r="U18" i="33260"/>
  <c r="U10" i="33260"/>
  <c r="W14" i="33260"/>
  <c r="U11" i="33260"/>
  <c r="K30" i="33259"/>
  <c r="L30" i="33259" s="1"/>
  <c r="M30" i="33259" s="1"/>
  <c r="K25" i="33259"/>
  <c r="L25" i="33259" s="1"/>
  <c r="M25" i="33259" s="1"/>
  <c r="K31" i="33259"/>
  <c r="A721" i="33253" s="1"/>
  <c r="Y9" i="33259"/>
  <c r="A734" i="33253" s="1"/>
  <c r="AD9" i="33259"/>
  <c r="S9" i="33259"/>
  <c r="A731" i="33253" s="1"/>
  <c r="T9" i="33259"/>
  <c r="A728" i="33253" s="1"/>
  <c r="AE9" i="33259"/>
  <c r="U9" i="33259"/>
  <c r="A732" i="33253" s="1"/>
  <c r="R9" i="33259"/>
  <c r="A727" i="33253" s="1"/>
  <c r="W9" i="33259"/>
  <c r="A733" i="33253" s="1"/>
  <c r="AC9" i="33259"/>
  <c r="V9" i="33259"/>
  <c r="A729" i="33253" s="1"/>
  <c r="X9" i="33259"/>
  <c r="A730" i="33253" s="1"/>
  <c r="AB9" i="33259"/>
  <c r="R11" i="33259"/>
  <c r="AV6" i="33260" s="1"/>
  <c r="AU6" i="33260" s="1"/>
  <c r="R12" i="33259" s="1"/>
  <c r="K26" i="33259"/>
  <c r="L26" i="33259" s="1"/>
  <c r="X11" i="33259"/>
  <c r="BE6" i="33260" s="1"/>
  <c r="BD6" i="33260" s="1"/>
  <c r="X12" i="33259" s="1"/>
  <c r="T11" i="33259"/>
  <c r="AY6" i="33260" s="1"/>
  <c r="AX6" i="33260" s="1"/>
  <c r="T12" i="33259" s="1"/>
  <c r="K103" i="83"/>
  <c r="O130" i="83" s="1"/>
  <c r="P13" i="33260"/>
  <c r="P15" i="33260"/>
  <c r="P18" i="33260"/>
  <c r="P16" i="33260"/>
  <c r="P17" i="33260"/>
  <c r="P14" i="33260"/>
  <c r="BB6" i="33260"/>
  <c r="BA6" i="33260" s="1"/>
  <c r="V12" i="33259" s="1"/>
  <c r="C101" i="33260"/>
  <c r="EC499" i="33260"/>
  <c r="C179" i="33260"/>
  <c r="C62" i="33260"/>
  <c r="C421" i="33260"/>
  <c r="BP421" i="33260"/>
  <c r="C257" i="33260"/>
  <c r="EC577" i="33260"/>
  <c r="BP499" i="33260"/>
  <c r="EC382" i="33260"/>
  <c r="C538" i="33260"/>
  <c r="BP343" i="33260"/>
  <c r="BP538" i="33260"/>
  <c r="C499" i="33260"/>
  <c r="EC460" i="33260"/>
  <c r="C218" i="33260"/>
  <c r="BP577" i="33260"/>
  <c r="C382" i="33260"/>
  <c r="C577" i="33260"/>
  <c r="C296" i="33260"/>
  <c r="EC538" i="33260"/>
  <c r="BP460" i="33260"/>
  <c r="BP382" i="33260"/>
  <c r="C460" i="33260"/>
  <c r="EC421" i="33260"/>
  <c r="EC343" i="33260"/>
  <c r="C140" i="33260"/>
  <c r="C343" i="33260"/>
  <c r="EC576" i="33260"/>
  <c r="C61" i="33260"/>
  <c r="EC537" i="33260"/>
  <c r="C381" i="33260"/>
  <c r="EC342" i="33260"/>
  <c r="C100" i="33260"/>
  <c r="C459" i="33260"/>
  <c r="BP459" i="33260"/>
  <c r="C178" i="33260"/>
  <c r="C295" i="33260"/>
  <c r="EC420" i="33260"/>
  <c r="C537" i="33260"/>
  <c r="BP381" i="33260"/>
  <c r="BP537" i="33260"/>
  <c r="C342" i="33260"/>
  <c r="BP342" i="33260"/>
  <c r="C139" i="33260"/>
  <c r="BP576" i="33260"/>
  <c r="C498" i="33260"/>
  <c r="EC498" i="33260"/>
  <c r="BP420" i="33260"/>
  <c r="C217" i="33260"/>
  <c r="EC459" i="33260"/>
  <c r="C420" i="33260"/>
  <c r="EC381" i="33260"/>
  <c r="BP498" i="33260"/>
  <c r="C576" i="33260"/>
  <c r="C256" i="33260"/>
  <c r="EC496" i="33260"/>
  <c r="C254" i="33260"/>
  <c r="C379" i="33260"/>
  <c r="C574" i="33260"/>
  <c r="EC535" i="33260"/>
  <c r="BP418" i="33260"/>
  <c r="C215" i="33260"/>
  <c r="BP379" i="33260"/>
  <c r="C457" i="33260"/>
  <c r="C59" i="33260"/>
  <c r="BP457" i="33260"/>
  <c r="EC340" i="33260"/>
  <c r="C137" i="33260"/>
  <c r="C418" i="33260"/>
  <c r="EC418" i="33260"/>
  <c r="C535" i="33260"/>
  <c r="C98" i="33260"/>
  <c r="BP574" i="33260"/>
  <c r="C340" i="33260"/>
  <c r="BP340" i="33260"/>
  <c r="EC574" i="33260"/>
  <c r="EC457" i="33260"/>
  <c r="BP535" i="33260"/>
  <c r="BP496" i="33260"/>
  <c r="EC379" i="33260"/>
  <c r="C496" i="33260"/>
  <c r="C176" i="33260"/>
  <c r="C293" i="33260"/>
  <c r="C60" i="33260"/>
  <c r="C99" i="33260"/>
  <c r="C294" i="33260"/>
  <c r="C380" i="33260"/>
  <c r="EC341" i="33260"/>
  <c r="C216" i="33260"/>
  <c r="EC458" i="33260"/>
  <c r="BP458" i="33260"/>
  <c r="C536" i="33260"/>
  <c r="BP536" i="33260"/>
  <c r="EC419" i="33260"/>
  <c r="BP341" i="33260"/>
  <c r="C458" i="33260"/>
  <c r="EC497" i="33260"/>
  <c r="C341" i="33260"/>
  <c r="C138" i="33260"/>
  <c r="EC536" i="33260"/>
  <c r="BP575" i="33260"/>
  <c r="C419" i="33260"/>
  <c r="BP419" i="33260"/>
  <c r="EC575" i="33260"/>
  <c r="C255" i="33260"/>
  <c r="EC380" i="33260"/>
  <c r="C497" i="33260"/>
  <c r="BP380" i="33260"/>
  <c r="BP497" i="33260"/>
  <c r="C575" i="33260"/>
  <c r="C177" i="33260"/>
  <c r="BP578" i="33260"/>
  <c r="EC461" i="33260"/>
  <c r="EC383" i="33260"/>
  <c r="EC539" i="33260"/>
  <c r="C383" i="33260"/>
  <c r="C297" i="33260"/>
  <c r="C461" i="33260"/>
  <c r="C219" i="33260"/>
  <c r="C578" i="33260"/>
  <c r="BP422" i="33260"/>
  <c r="BP539" i="33260"/>
  <c r="BP461" i="33260"/>
  <c r="C141" i="33260"/>
  <c r="C539" i="33260"/>
  <c r="EC500" i="33260"/>
  <c r="EC422" i="33260"/>
  <c r="C63" i="33260"/>
  <c r="BP344" i="33260"/>
  <c r="C422" i="33260"/>
  <c r="C344" i="33260"/>
  <c r="C102" i="33260"/>
  <c r="EC578" i="33260"/>
  <c r="C180" i="33260"/>
  <c r="C258" i="33260"/>
  <c r="BP383" i="33260"/>
  <c r="C500" i="33260"/>
  <c r="BP500" i="33260"/>
  <c r="EC344" i="33260"/>
  <c r="C579" i="33260"/>
  <c r="BP579" i="33260"/>
  <c r="BP501" i="33260"/>
  <c r="EC384" i="33260"/>
  <c r="BP384" i="33260"/>
  <c r="EC540" i="33260"/>
  <c r="EC462" i="33260"/>
  <c r="BP423" i="33260"/>
  <c r="EC345" i="33260"/>
  <c r="C462" i="33260"/>
  <c r="C384" i="33260"/>
  <c r="C64" i="33260"/>
  <c r="C259" i="33260"/>
  <c r="C540" i="33260"/>
  <c r="C220" i="33260"/>
  <c r="C298" i="33260"/>
  <c r="C103" i="33260"/>
  <c r="BP345" i="33260"/>
  <c r="BP540" i="33260"/>
  <c r="BP462" i="33260"/>
  <c r="C142" i="33260"/>
  <c r="EC579" i="33260"/>
  <c r="EC501" i="33260"/>
  <c r="EC423" i="33260"/>
  <c r="C501" i="33260"/>
  <c r="C423" i="33260"/>
  <c r="C345" i="33260"/>
  <c r="C181" i="33260"/>
  <c r="BE579" i="33260"/>
  <c r="AW579" i="33260"/>
  <c r="AA579" i="33260"/>
  <c r="BK578" i="33260"/>
  <c r="AS578" i="33260"/>
  <c r="W578" i="33260"/>
  <c r="BG577" i="33260"/>
  <c r="AO577" i="33260"/>
  <c r="S577" i="33260"/>
  <c r="BC576" i="33260"/>
  <c r="AK576" i="33260"/>
  <c r="O576" i="33260"/>
  <c r="AY575" i="33260"/>
  <c r="AH575" i="33260"/>
  <c r="Q575" i="33260"/>
  <c r="BE574" i="33260"/>
  <c r="AM574" i="33260"/>
  <c r="V574" i="33260"/>
  <c r="BI573" i="33260"/>
  <c r="AQ573" i="33260"/>
  <c r="Z573" i="33260"/>
  <c r="J573" i="33260"/>
  <c r="BB572" i="33260"/>
  <c r="AL572" i="33260"/>
  <c r="V572" i="33260"/>
  <c r="F572" i="33260"/>
  <c r="AX571" i="33260"/>
  <c r="AH571" i="33260"/>
  <c r="R571" i="33260"/>
  <c r="BJ570" i="33260"/>
  <c r="AT570" i="33260"/>
  <c r="AF570" i="33260"/>
  <c r="U570" i="33260"/>
  <c r="G570" i="33260"/>
  <c r="BA569" i="33260"/>
  <c r="AP569" i="33260"/>
  <c r="AB569" i="33260"/>
  <c r="Q569" i="33260"/>
  <c r="BK568" i="33260"/>
  <c r="BC568" i="33260"/>
  <c r="AU568" i="33260"/>
  <c r="AM568" i="33260"/>
  <c r="AE568" i="33260"/>
  <c r="W568" i="33260"/>
  <c r="O568" i="33260"/>
  <c r="G568" i="33260"/>
  <c r="BG567" i="33260"/>
  <c r="AY567" i="33260"/>
  <c r="AQ567" i="33260"/>
  <c r="AI567" i="33260"/>
  <c r="AA567" i="33260"/>
  <c r="S567" i="33260"/>
  <c r="K567" i="33260"/>
  <c r="BK566" i="33260"/>
  <c r="BC566" i="33260"/>
  <c r="AU566" i="33260"/>
  <c r="AM566" i="33260"/>
  <c r="AE566" i="33260"/>
  <c r="W566" i="33260"/>
  <c r="O566" i="33260"/>
  <c r="G566" i="33260"/>
  <c r="BG565" i="33260"/>
  <c r="AY565" i="33260"/>
  <c r="AQ565" i="33260"/>
  <c r="AI565" i="33260"/>
  <c r="AA565" i="33260"/>
  <c r="S565" i="33260"/>
  <c r="K565" i="33260"/>
  <c r="BK564" i="33260"/>
  <c r="BC564" i="33260"/>
  <c r="AU564" i="33260"/>
  <c r="AM564" i="33260"/>
  <c r="AE564" i="33260"/>
  <c r="W564" i="33260"/>
  <c r="O564" i="33260"/>
  <c r="G564" i="33260"/>
  <c r="BG563" i="33260"/>
  <c r="AY563" i="33260"/>
  <c r="AQ563" i="33260"/>
  <c r="AI563" i="33260"/>
  <c r="AA563" i="33260"/>
  <c r="S563" i="33260"/>
  <c r="K563" i="33260"/>
  <c r="BK562" i="33260"/>
  <c r="AS579" i="33260"/>
  <c r="Z579" i="33260"/>
  <c r="BJ578" i="33260"/>
  <c r="AO578" i="33260"/>
  <c r="V578" i="33260"/>
  <c r="BF577" i="33260"/>
  <c r="AK577" i="33260"/>
  <c r="R577" i="33260"/>
  <c r="BB576" i="33260"/>
  <c r="AG576" i="33260"/>
  <c r="N576" i="33260"/>
  <c r="AX575" i="33260"/>
  <c r="AG575" i="33260"/>
  <c r="M575" i="33260"/>
  <c r="BC574" i="33260"/>
  <c r="AL574" i="33260"/>
  <c r="Q574" i="33260"/>
  <c r="BG573" i="33260"/>
  <c r="AP573" i="33260"/>
  <c r="Y573" i="33260"/>
  <c r="I573" i="33260"/>
  <c r="BA572" i="33260"/>
  <c r="AK572" i="33260"/>
  <c r="U572" i="33260"/>
  <c r="E572" i="33260"/>
  <c r="AW571" i="33260"/>
  <c r="AG571" i="33260"/>
  <c r="Q571" i="33260"/>
  <c r="BI570" i="33260"/>
  <c r="AS570" i="33260"/>
  <c r="AE570" i="33260"/>
  <c r="Q570" i="33260"/>
  <c r="F570" i="33260"/>
  <c r="AZ569" i="33260"/>
  <c r="AO569" i="33260"/>
  <c r="AA569" i="33260"/>
  <c r="M569" i="33260"/>
  <c r="BJ568" i="33260"/>
  <c r="BB568" i="33260"/>
  <c r="AT568" i="33260"/>
  <c r="AL568" i="33260"/>
  <c r="AD568" i="33260"/>
  <c r="V568" i="33260"/>
  <c r="N568" i="33260"/>
  <c r="F568" i="33260"/>
  <c r="BF567" i="33260"/>
  <c r="AX567" i="33260"/>
  <c r="AP567" i="33260"/>
  <c r="AH567" i="33260"/>
  <c r="Z567" i="33260"/>
  <c r="R567" i="33260"/>
  <c r="J567" i="33260"/>
  <c r="BJ566" i="33260"/>
  <c r="BB566" i="33260"/>
  <c r="AT566" i="33260"/>
  <c r="AL566" i="33260"/>
  <c r="AD566" i="33260"/>
  <c r="V566" i="33260"/>
  <c r="N566" i="33260"/>
  <c r="F566" i="33260"/>
  <c r="BF565" i="33260"/>
  <c r="AX565" i="33260"/>
  <c r="AP565" i="33260"/>
  <c r="AQ579" i="33260"/>
  <c r="S579" i="33260"/>
  <c r="BI578" i="33260"/>
  <c r="AM578" i="33260"/>
  <c r="O578" i="33260"/>
  <c r="BE577" i="33260"/>
  <c r="AI577" i="33260"/>
  <c r="K577" i="33260"/>
  <c r="BA576" i="33260"/>
  <c r="AE576" i="33260"/>
  <c r="G576" i="33260"/>
  <c r="AW575" i="33260"/>
  <c r="AC575" i="33260"/>
  <c r="K575" i="33260"/>
  <c r="BB574" i="33260"/>
  <c r="AG574" i="33260"/>
  <c r="O574" i="33260"/>
  <c r="BF573" i="33260"/>
  <c r="AO573" i="33260"/>
  <c r="U573" i="33260"/>
  <c r="E573" i="33260"/>
  <c r="AW572" i="33260"/>
  <c r="AG572" i="33260"/>
  <c r="Q572" i="33260"/>
  <c r="BI571" i="33260"/>
  <c r="AS571" i="33260"/>
  <c r="AC571" i="33260"/>
  <c r="M571" i="33260"/>
  <c r="BE570" i="33260"/>
  <c r="AO570" i="33260"/>
  <c r="AD570" i="33260"/>
  <c r="P570" i="33260"/>
  <c r="E570" i="33260"/>
  <c r="AY569" i="33260"/>
  <c r="AK569" i="33260"/>
  <c r="Z569" i="33260"/>
  <c r="L569" i="33260"/>
  <c r="BI568" i="33260"/>
  <c r="BA568" i="33260"/>
  <c r="AS568" i="33260"/>
  <c r="AK568" i="33260"/>
  <c r="AC568" i="33260"/>
  <c r="U568" i="33260"/>
  <c r="M568" i="33260"/>
  <c r="E568" i="33260"/>
  <c r="BE567" i="33260"/>
  <c r="AW567" i="33260"/>
  <c r="AO567" i="33260"/>
  <c r="AG567" i="33260"/>
  <c r="Y567" i="33260"/>
  <c r="BI579" i="33260"/>
  <c r="AP579" i="33260"/>
  <c r="R579" i="33260"/>
  <c r="BE578" i="33260"/>
  <c r="AL578" i="33260"/>
  <c r="N578" i="33260"/>
  <c r="BA577" i="33260"/>
  <c r="AH577" i="33260"/>
  <c r="J577" i="33260"/>
  <c r="AW576" i="33260"/>
  <c r="AD576" i="33260"/>
  <c r="F576" i="33260"/>
  <c r="AS575" i="33260"/>
  <c r="AA575" i="33260"/>
  <c r="J575" i="33260"/>
  <c r="AW574" i="33260"/>
  <c r="AE574" i="33260"/>
  <c r="N574" i="33260"/>
  <c r="BE573" i="33260"/>
  <c r="AK573" i="33260"/>
  <c r="S573" i="33260"/>
  <c r="BK572" i="33260"/>
  <c r="AU572" i="33260"/>
  <c r="AE572" i="33260"/>
  <c r="O572" i="33260"/>
  <c r="BG571" i="33260"/>
  <c r="AQ571" i="33260"/>
  <c r="AA571" i="33260"/>
  <c r="K571" i="33260"/>
  <c r="BC570" i="33260"/>
  <c r="AN570" i="33260"/>
  <c r="AC570" i="33260"/>
  <c r="O570" i="33260"/>
  <c r="BI569" i="33260"/>
  <c r="AX569" i="33260"/>
  <c r="AJ569" i="33260"/>
  <c r="Y569" i="33260"/>
  <c r="K569" i="33260"/>
  <c r="BH568" i="33260"/>
  <c r="AZ568" i="33260"/>
  <c r="AR568" i="33260"/>
  <c r="AJ568" i="33260"/>
  <c r="AB568" i="33260"/>
  <c r="T568" i="33260"/>
  <c r="L568" i="33260"/>
  <c r="D568" i="33260"/>
  <c r="BD567" i="33260"/>
  <c r="AV567" i="33260"/>
  <c r="AN567" i="33260"/>
  <c r="AF567" i="33260"/>
  <c r="X567" i="33260"/>
  <c r="P567" i="33260"/>
  <c r="H567" i="33260"/>
  <c r="BH566" i="33260"/>
  <c r="AZ566" i="33260"/>
  <c r="AR566" i="33260"/>
  <c r="AJ566" i="33260"/>
  <c r="AB566" i="33260"/>
  <c r="T566" i="33260"/>
  <c r="L566" i="33260"/>
  <c r="D566" i="33260"/>
  <c r="BD565" i="33260"/>
  <c r="AV565" i="33260"/>
  <c r="AN565" i="33260"/>
  <c r="AF565" i="33260"/>
  <c r="X565" i="33260"/>
  <c r="P565" i="33260"/>
  <c r="H565" i="33260"/>
  <c r="BH564" i="33260"/>
  <c r="BG579" i="33260"/>
  <c r="AI579" i="33260"/>
  <c r="Q579" i="33260"/>
  <c r="BC578" i="33260"/>
  <c r="AE578" i="33260"/>
  <c r="M578" i="33260"/>
  <c r="AY577" i="33260"/>
  <c r="AA577" i="33260"/>
  <c r="I577" i="33260"/>
  <c r="AU576" i="33260"/>
  <c r="W576" i="33260"/>
  <c r="E576" i="33260"/>
  <c r="AQ575" i="33260"/>
  <c r="Z575" i="33260"/>
  <c r="E575" i="33260"/>
  <c r="AU574" i="33260"/>
  <c r="AD574" i="33260"/>
  <c r="M574" i="33260"/>
  <c r="BA573" i="33260"/>
  <c r="AI573" i="33260"/>
  <c r="R573" i="33260"/>
  <c r="BJ572" i="33260"/>
  <c r="AT572" i="33260"/>
  <c r="AD572" i="33260"/>
  <c r="N572" i="33260"/>
  <c r="BF571" i="33260"/>
  <c r="AP571" i="33260"/>
  <c r="Z571" i="33260"/>
  <c r="J571" i="33260"/>
  <c r="BB570" i="33260"/>
  <c r="AM570" i="33260"/>
  <c r="Y570" i="33260"/>
  <c r="N570" i="33260"/>
  <c r="BH569" i="33260"/>
  <c r="AW569" i="33260"/>
  <c r="AI569" i="33260"/>
  <c r="U569" i="33260"/>
  <c r="J569" i="33260"/>
  <c r="BG568" i="33260"/>
  <c r="AY568" i="33260"/>
  <c r="AQ568" i="33260"/>
  <c r="AI568" i="33260"/>
  <c r="AA568" i="33260"/>
  <c r="S568" i="33260"/>
  <c r="K568" i="33260"/>
  <c r="BK567" i="33260"/>
  <c r="BC567" i="33260"/>
  <c r="AU567" i="33260"/>
  <c r="AM567" i="33260"/>
  <c r="AE567" i="33260"/>
  <c r="W567" i="33260"/>
  <c r="O567" i="33260"/>
  <c r="G567" i="33260"/>
  <c r="BG566" i="33260"/>
  <c r="AY566" i="33260"/>
  <c r="AQ566" i="33260"/>
  <c r="AI566" i="33260"/>
  <c r="AA566" i="33260"/>
  <c r="S566" i="33260"/>
  <c r="K566" i="33260"/>
  <c r="BK565" i="33260"/>
  <c r="BC565" i="33260"/>
  <c r="AU565" i="33260"/>
  <c r="AM565" i="33260"/>
  <c r="AE565" i="33260"/>
  <c r="W565" i="33260"/>
  <c r="O565" i="33260"/>
  <c r="G565" i="33260"/>
  <c r="BG564" i="33260"/>
  <c r="AY564" i="33260"/>
  <c r="AQ564" i="33260"/>
  <c r="AI564" i="33260"/>
  <c r="AA564" i="33260"/>
  <c r="S564" i="33260"/>
  <c r="K564" i="33260"/>
  <c r="BK563" i="33260"/>
  <c r="BC563" i="33260"/>
  <c r="AU563" i="33260"/>
  <c r="AM563" i="33260"/>
  <c r="AE563" i="33260"/>
  <c r="W563" i="33260"/>
  <c r="O563" i="33260"/>
  <c r="G563" i="33260"/>
  <c r="BG562" i="33260"/>
  <c r="BF579" i="33260"/>
  <c r="AH579" i="33260"/>
  <c r="M579" i="33260"/>
  <c r="BB578" i="33260"/>
  <c r="AD578" i="33260"/>
  <c r="I578" i="33260"/>
  <c r="AX577" i="33260"/>
  <c r="Z577" i="33260"/>
  <c r="E577" i="33260"/>
  <c r="AT576" i="33260"/>
  <c r="V576" i="33260"/>
  <c r="BI575" i="33260"/>
  <c r="AP575" i="33260"/>
  <c r="U575" i="33260"/>
  <c r="BK574" i="33260"/>
  <c r="AT574" i="33260"/>
  <c r="AC574" i="33260"/>
  <c r="I574" i="33260"/>
  <c r="AY573" i="33260"/>
  <c r="AH573" i="33260"/>
  <c r="Q573" i="33260"/>
  <c r="BI572" i="33260"/>
  <c r="AS572" i="33260"/>
  <c r="AC572" i="33260"/>
  <c r="M572" i="33260"/>
  <c r="BE571" i="33260"/>
  <c r="AO571" i="33260"/>
  <c r="Y571" i="33260"/>
  <c r="I571" i="33260"/>
  <c r="BA570" i="33260"/>
  <c r="AL570" i="33260"/>
  <c r="X570" i="33260"/>
  <c r="M570" i="33260"/>
  <c r="BG569" i="33260"/>
  <c r="AS569" i="33260"/>
  <c r="AH569" i="33260"/>
  <c r="T569" i="33260"/>
  <c r="I569" i="33260"/>
  <c r="BF568" i="33260"/>
  <c r="AX568" i="33260"/>
  <c r="AP568" i="33260"/>
  <c r="AH568" i="33260"/>
  <c r="Z568" i="33260"/>
  <c r="R568" i="33260"/>
  <c r="J568" i="33260"/>
  <c r="BJ567" i="33260"/>
  <c r="BB567" i="33260"/>
  <c r="AT567" i="33260"/>
  <c r="AL567" i="33260"/>
  <c r="AD567" i="33260"/>
  <c r="V567" i="33260"/>
  <c r="N567" i="33260"/>
  <c r="F567" i="33260"/>
  <c r="BF566" i="33260"/>
  <c r="AX566" i="33260"/>
  <c r="AP566" i="33260"/>
  <c r="AH566" i="33260"/>
  <c r="Z566" i="33260"/>
  <c r="R566" i="33260"/>
  <c r="J566" i="33260"/>
  <c r="BJ565" i="33260"/>
  <c r="BB565" i="33260"/>
  <c r="AT565" i="33260"/>
  <c r="AL565" i="33260"/>
  <c r="AD565" i="33260"/>
  <c r="V565" i="33260"/>
  <c r="N565" i="33260"/>
  <c r="F565" i="33260"/>
  <c r="BF564" i="33260"/>
  <c r="AX564" i="33260"/>
  <c r="AP564" i="33260"/>
  <c r="AY579" i="33260"/>
  <c r="AG579" i="33260"/>
  <c r="K579" i="33260"/>
  <c r="AU578" i="33260"/>
  <c r="AC578" i="33260"/>
  <c r="G578" i="33260"/>
  <c r="AQ577" i="33260"/>
  <c r="Y577" i="33260"/>
  <c r="BK576" i="33260"/>
  <c r="AM576" i="33260"/>
  <c r="U576" i="33260"/>
  <c r="BG575" i="33260"/>
  <c r="AK575" i="33260"/>
  <c r="S575" i="33260"/>
  <c r="BJ574" i="33260"/>
  <c r="AS574" i="33260"/>
  <c r="Y574" i="33260"/>
  <c r="G574" i="33260"/>
  <c r="AX573" i="33260"/>
  <c r="AC573" i="33260"/>
  <c r="M573" i="33260"/>
  <c r="BE572" i="33260"/>
  <c r="AO572" i="33260"/>
  <c r="Y572" i="33260"/>
  <c r="I572" i="33260"/>
  <c r="BA571" i="33260"/>
  <c r="AK571" i="33260"/>
  <c r="U571" i="33260"/>
  <c r="E571" i="33260"/>
  <c r="AW570" i="33260"/>
  <c r="AK570" i="33260"/>
  <c r="W570" i="33260"/>
  <c r="I570" i="33260"/>
  <c r="BF569" i="33260"/>
  <c r="AR569" i="33260"/>
  <c r="AG569" i="33260"/>
  <c r="S569" i="33260"/>
  <c r="E569" i="33260"/>
  <c r="BE568" i="33260"/>
  <c r="AW568" i="33260"/>
  <c r="AO568" i="33260"/>
  <c r="AG568" i="33260"/>
  <c r="Y568" i="33260"/>
  <c r="Q568" i="33260"/>
  <c r="I568" i="33260"/>
  <c r="BI567" i="33260"/>
  <c r="BA567" i="33260"/>
  <c r="AS567" i="33260"/>
  <c r="AK567" i="33260"/>
  <c r="AC567" i="33260"/>
  <c r="U567" i="33260"/>
  <c r="M567" i="33260"/>
  <c r="E567" i="33260"/>
  <c r="BE566" i="33260"/>
  <c r="AW566" i="33260"/>
  <c r="AO566" i="33260"/>
  <c r="AG566" i="33260"/>
  <c r="Y566" i="33260"/>
  <c r="Q566" i="33260"/>
  <c r="I566" i="33260"/>
  <c r="BI565" i="33260"/>
  <c r="BA565" i="33260"/>
  <c r="AS565" i="33260"/>
  <c r="AK565" i="33260"/>
  <c r="AC565" i="33260"/>
  <c r="U565" i="33260"/>
  <c r="M565" i="33260"/>
  <c r="E565" i="33260"/>
  <c r="BE564" i="33260"/>
  <c r="AW564" i="33260"/>
  <c r="AO564" i="33260"/>
  <c r="AG564" i="33260"/>
  <c r="Y564" i="33260"/>
  <c r="Q564" i="33260"/>
  <c r="I564" i="33260"/>
  <c r="BI563" i="33260"/>
  <c r="BA563" i="33260"/>
  <c r="AS563" i="33260"/>
  <c r="AK563" i="33260"/>
  <c r="AC563" i="33260"/>
  <c r="U563" i="33260"/>
  <c r="M563" i="33260"/>
  <c r="E563" i="33260"/>
  <c r="BE562" i="33260"/>
  <c r="AP577" i="33260"/>
  <c r="BI574" i="33260"/>
  <c r="AM572" i="33260"/>
  <c r="AG570" i="33260"/>
  <c r="BD568" i="33260"/>
  <c r="AZ567" i="33260"/>
  <c r="D567" i="33260"/>
  <c r="AF566" i="33260"/>
  <c r="BH565" i="33260"/>
  <c r="AG565" i="33260"/>
  <c r="J565" i="33260"/>
  <c r="AZ564" i="33260"/>
  <c r="AJ564" i="33260"/>
  <c r="V564" i="33260"/>
  <c r="J564" i="33260"/>
  <c r="BE563" i="33260"/>
  <c r="AR563" i="33260"/>
  <c r="AF563" i="33260"/>
  <c r="R563" i="33260"/>
  <c r="F563" i="33260"/>
  <c r="BB562" i="33260"/>
  <c r="AT562" i="33260"/>
  <c r="AL562" i="33260"/>
  <c r="AD562" i="33260"/>
  <c r="V562" i="33260"/>
  <c r="N562" i="33260"/>
  <c r="F562" i="33260"/>
  <c r="BF561" i="33260"/>
  <c r="AX561" i="33260"/>
  <c r="AP561" i="33260"/>
  <c r="AH561" i="33260"/>
  <c r="Z561" i="33260"/>
  <c r="R561" i="33260"/>
  <c r="J561" i="33260"/>
  <c r="BJ560" i="33260"/>
  <c r="BB560" i="33260"/>
  <c r="AT560" i="33260"/>
  <c r="AL560" i="33260"/>
  <c r="AD560" i="33260"/>
  <c r="V560" i="33260"/>
  <c r="N560" i="33260"/>
  <c r="F560" i="33260"/>
  <c r="BF559" i="33260"/>
  <c r="AX559" i="33260"/>
  <c r="AP559" i="33260"/>
  <c r="AH559" i="33260"/>
  <c r="Z559" i="33260"/>
  <c r="R559" i="33260"/>
  <c r="J559" i="33260"/>
  <c r="BJ558" i="33260"/>
  <c r="BB558" i="33260"/>
  <c r="AT558" i="33260"/>
  <c r="AL558" i="33260"/>
  <c r="AD558" i="33260"/>
  <c r="V558" i="33260"/>
  <c r="N558" i="33260"/>
  <c r="F558" i="33260"/>
  <c r="BF557" i="33260"/>
  <c r="AX557" i="33260"/>
  <c r="AP557" i="33260"/>
  <c r="AH557" i="33260"/>
  <c r="Z557" i="33260"/>
  <c r="R557" i="33260"/>
  <c r="J557" i="33260"/>
  <c r="BJ556" i="33260"/>
  <c r="BB556" i="33260"/>
  <c r="AT556" i="33260"/>
  <c r="AL556" i="33260"/>
  <c r="AD556" i="33260"/>
  <c r="V556" i="33260"/>
  <c r="N556" i="33260"/>
  <c r="F556" i="33260"/>
  <c r="BF555" i="33260"/>
  <c r="AX555" i="33260"/>
  <c r="AP555" i="33260"/>
  <c r="AH555" i="33260"/>
  <c r="Z555" i="33260"/>
  <c r="R555" i="33260"/>
  <c r="J555" i="33260"/>
  <c r="BJ554" i="33260"/>
  <c r="BB554" i="33260"/>
  <c r="AT554" i="33260"/>
  <c r="AL554" i="33260"/>
  <c r="AD554" i="33260"/>
  <c r="V554" i="33260"/>
  <c r="U577" i="33260"/>
  <c r="AO574" i="33260"/>
  <c r="W572" i="33260"/>
  <c r="V570" i="33260"/>
  <c r="AV568" i="33260"/>
  <c r="AR567" i="33260"/>
  <c r="BI566" i="33260"/>
  <c r="AC566" i="33260"/>
  <c r="BE565" i="33260"/>
  <c r="AB565" i="33260"/>
  <c r="I565" i="33260"/>
  <c r="AV564" i="33260"/>
  <c r="AH564" i="33260"/>
  <c r="U564" i="33260"/>
  <c r="H564" i="33260"/>
  <c r="BD563" i="33260"/>
  <c r="AP563" i="33260"/>
  <c r="AD563" i="33260"/>
  <c r="Q563" i="33260"/>
  <c r="D563" i="33260"/>
  <c r="BA562" i="33260"/>
  <c r="AS562" i="33260"/>
  <c r="AK562" i="33260"/>
  <c r="AC562" i="33260"/>
  <c r="U562" i="33260"/>
  <c r="M562" i="33260"/>
  <c r="E562" i="33260"/>
  <c r="BE561" i="33260"/>
  <c r="AW561" i="33260"/>
  <c r="AO561" i="33260"/>
  <c r="AG561" i="33260"/>
  <c r="Y561" i="33260"/>
  <c r="Q561" i="33260"/>
  <c r="I561" i="33260"/>
  <c r="BI560" i="33260"/>
  <c r="BA560" i="33260"/>
  <c r="AS560" i="33260"/>
  <c r="AK560" i="33260"/>
  <c r="AC560" i="33260"/>
  <c r="U560" i="33260"/>
  <c r="M560" i="33260"/>
  <c r="E560" i="33260"/>
  <c r="BE559" i="33260"/>
  <c r="AW559" i="33260"/>
  <c r="AO559" i="33260"/>
  <c r="AG559" i="33260"/>
  <c r="Y559" i="33260"/>
  <c r="Q559" i="33260"/>
  <c r="I559" i="33260"/>
  <c r="BI558" i="33260"/>
  <c r="BA558" i="33260"/>
  <c r="AS558" i="33260"/>
  <c r="AK558" i="33260"/>
  <c r="AC558" i="33260"/>
  <c r="U558" i="33260"/>
  <c r="M558" i="33260"/>
  <c r="E558" i="33260"/>
  <c r="BE557" i="33260"/>
  <c r="AW557" i="33260"/>
  <c r="AO557" i="33260"/>
  <c r="AG557" i="33260"/>
  <c r="Y557" i="33260"/>
  <c r="AX579" i="33260"/>
  <c r="BJ576" i="33260"/>
  <c r="W574" i="33260"/>
  <c r="G572" i="33260"/>
  <c r="H570" i="33260"/>
  <c r="AN568" i="33260"/>
  <c r="AJ567" i="33260"/>
  <c r="BD566" i="33260"/>
  <c r="X566" i="33260"/>
  <c r="AZ565" i="33260"/>
  <c r="Z565" i="33260"/>
  <c r="D565" i="33260"/>
  <c r="AT564" i="33260"/>
  <c r="AF564" i="33260"/>
  <c r="T564" i="33260"/>
  <c r="F564" i="33260"/>
  <c r="BB563" i="33260"/>
  <c r="AO563" i="33260"/>
  <c r="AB563" i="33260"/>
  <c r="P563" i="33260"/>
  <c r="BJ562" i="33260"/>
  <c r="AZ562" i="33260"/>
  <c r="AR562" i="33260"/>
  <c r="AJ562" i="33260"/>
  <c r="AB562" i="33260"/>
  <c r="T562" i="33260"/>
  <c r="L562" i="33260"/>
  <c r="D562" i="33260"/>
  <c r="BD561" i="33260"/>
  <c r="AV561" i="33260"/>
  <c r="AN561" i="33260"/>
  <c r="AF561" i="33260"/>
  <c r="X561" i="33260"/>
  <c r="P561" i="33260"/>
  <c r="H561" i="33260"/>
  <c r="BH560" i="33260"/>
  <c r="AZ560" i="33260"/>
  <c r="AR560" i="33260"/>
  <c r="AJ560" i="33260"/>
  <c r="AB560" i="33260"/>
  <c r="T560" i="33260"/>
  <c r="L560" i="33260"/>
  <c r="D560" i="33260"/>
  <c r="BD559" i="33260"/>
  <c r="AV559" i="33260"/>
  <c r="AN559" i="33260"/>
  <c r="AF559" i="33260"/>
  <c r="X559" i="33260"/>
  <c r="P559" i="33260"/>
  <c r="H559" i="33260"/>
  <c r="BH558" i="33260"/>
  <c r="AZ558" i="33260"/>
  <c r="AR558" i="33260"/>
  <c r="AJ558" i="33260"/>
  <c r="AB558" i="33260"/>
  <c r="T558" i="33260"/>
  <c r="L558" i="33260"/>
  <c r="D558" i="33260"/>
  <c r="BD557" i="33260"/>
  <c r="AV557" i="33260"/>
  <c r="AN557" i="33260"/>
  <c r="AF557" i="33260"/>
  <c r="X557" i="33260"/>
  <c r="P557" i="33260"/>
  <c r="H557" i="33260"/>
  <c r="BH556" i="33260"/>
  <c r="AZ556" i="33260"/>
  <c r="AR556" i="33260"/>
  <c r="AJ556" i="33260"/>
  <c r="AB556" i="33260"/>
  <c r="T556" i="33260"/>
  <c r="L556" i="33260"/>
  <c r="D556" i="33260"/>
  <c r="BD555" i="33260"/>
  <c r="AV555" i="33260"/>
  <c r="AN555" i="33260"/>
  <c r="AF555" i="33260"/>
  <c r="X555" i="33260"/>
  <c r="P555" i="33260"/>
  <c r="H555" i="33260"/>
  <c r="BH554" i="33260"/>
  <c r="AZ554" i="33260"/>
  <c r="AR554" i="33260"/>
  <c r="AJ554" i="33260"/>
  <c r="AB554" i="33260"/>
  <c r="AC579" i="33260"/>
  <c r="AL576" i="33260"/>
  <c r="F574" i="33260"/>
  <c r="AY571" i="33260"/>
  <c r="BE569" i="33260"/>
  <c r="AF568" i="33260"/>
  <c r="AB567" i="33260"/>
  <c r="BA566" i="33260"/>
  <c r="U566" i="33260"/>
  <c r="AW565" i="33260"/>
  <c r="Y565" i="33260"/>
  <c r="BJ564" i="33260"/>
  <c r="AS564" i="33260"/>
  <c r="AD564" i="33260"/>
  <c r="R564" i="33260"/>
  <c r="E564" i="33260"/>
  <c r="AZ563" i="33260"/>
  <c r="AN563" i="33260"/>
  <c r="Z563" i="33260"/>
  <c r="N563" i="33260"/>
  <c r="BI562" i="33260"/>
  <c r="AY562" i="33260"/>
  <c r="AQ562" i="33260"/>
  <c r="AI562" i="33260"/>
  <c r="AA562" i="33260"/>
  <c r="S562" i="33260"/>
  <c r="K562" i="33260"/>
  <c r="BK561" i="33260"/>
  <c r="BC561" i="33260"/>
  <c r="AU561" i="33260"/>
  <c r="AM561" i="33260"/>
  <c r="AE561" i="33260"/>
  <c r="W561" i="33260"/>
  <c r="O561" i="33260"/>
  <c r="G561" i="33260"/>
  <c r="BG560" i="33260"/>
  <c r="AY560" i="33260"/>
  <c r="AQ560" i="33260"/>
  <c r="AI560" i="33260"/>
  <c r="AA560" i="33260"/>
  <c r="S560" i="33260"/>
  <c r="K560" i="33260"/>
  <c r="BK559" i="33260"/>
  <c r="BC559" i="33260"/>
  <c r="AU559" i="33260"/>
  <c r="AM559" i="33260"/>
  <c r="AE559" i="33260"/>
  <c r="W559" i="33260"/>
  <c r="O559" i="33260"/>
  <c r="G559" i="33260"/>
  <c r="BG558" i="33260"/>
  <c r="AY558" i="33260"/>
  <c r="AQ558" i="33260"/>
  <c r="AI558" i="33260"/>
  <c r="AA558" i="33260"/>
  <c r="S558" i="33260"/>
  <c r="K558" i="33260"/>
  <c r="BK557" i="33260"/>
  <c r="BC557" i="33260"/>
  <c r="AU557" i="33260"/>
  <c r="AM557" i="33260"/>
  <c r="AE557" i="33260"/>
  <c r="W557" i="33260"/>
  <c r="O557" i="33260"/>
  <c r="G557" i="33260"/>
  <c r="BG556" i="33260"/>
  <c r="AY556" i="33260"/>
  <c r="AQ556" i="33260"/>
  <c r="AI556" i="33260"/>
  <c r="AA556" i="33260"/>
  <c r="S556" i="33260"/>
  <c r="K556" i="33260"/>
  <c r="BK555" i="33260"/>
  <c r="BC555" i="33260"/>
  <c r="AU555" i="33260"/>
  <c r="AM555" i="33260"/>
  <c r="AE555" i="33260"/>
  <c r="W555" i="33260"/>
  <c r="O555" i="33260"/>
  <c r="G555" i="33260"/>
  <c r="BG554" i="33260"/>
  <c r="AY554" i="33260"/>
  <c r="AQ554" i="33260"/>
  <c r="AI554" i="33260"/>
  <c r="AA554" i="33260"/>
  <c r="J579" i="33260"/>
  <c r="Q576" i="33260"/>
  <c r="AS573" i="33260"/>
  <c r="AI571" i="33260"/>
  <c r="AQ569" i="33260"/>
  <c r="X568" i="33260"/>
  <c r="T567" i="33260"/>
  <c r="AV566" i="33260"/>
  <c r="P566" i="33260"/>
  <c r="AR565" i="33260"/>
  <c r="T565" i="33260"/>
  <c r="BI564" i="33260"/>
  <c r="AR564" i="33260"/>
  <c r="AC564" i="33260"/>
  <c r="P564" i="33260"/>
  <c r="D564" i="33260"/>
  <c r="AX563" i="33260"/>
  <c r="AL563" i="33260"/>
  <c r="Y563" i="33260"/>
  <c r="L563" i="33260"/>
  <c r="BH562" i="33260"/>
  <c r="AX562" i="33260"/>
  <c r="AP562" i="33260"/>
  <c r="AH562" i="33260"/>
  <c r="Z562" i="33260"/>
  <c r="R562" i="33260"/>
  <c r="J562" i="33260"/>
  <c r="BJ561" i="33260"/>
  <c r="BB561" i="33260"/>
  <c r="AT561" i="33260"/>
  <c r="AL561" i="33260"/>
  <c r="AD561" i="33260"/>
  <c r="V561" i="33260"/>
  <c r="N561" i="33260"/>
  <c r="F561" i="33260"/>
  <c r="BF560" i="33260"/>
  <c r="AX560" i="33260"/>
  <c r="AP560" i="33260"/>
  <c r="AH560" i="33260"/>
  <c r="Z560" i="33260"/>
  <c r="R560" i="33260"/>
  <c r="J560" i="33260"/>
  <c r="BJ559" i="33260"/>
  <c r="BB559" i="33260"/>
  <c r="AT559" i="33260"/>
  <c r="AL559" i="33260"/>
  <c r="AD559" i="33260"/>
  <c r="V559" i="33260"/>
  <c r="N559" i="33260"/>
  <c r="F559" i="33260"/>
  <c r="BF558" i="33260"/>
  <c r="AX558" i="33260"/>
  <c r="AP558" i="33260"/>
  <c r="AH558" i="33260"/>
  <c r="Z558" i="33260"/>
  <c r="R558" i="33260"/>
  <c r="J558" i="33260"/>
  <c r="BJ557" i="33260"/>
  <c r="BB557" i="33260"/>
  <c r="AT557" i="33260"/>
  <c r="AL557" i="33260"/>
  <c r="AD557" i="33260"/>
  <c r="V557" i="33260"/>
  <c r="N557" i="33260"/>
  <c r="F557" i="33260"/>
  <c r="BF556" i="33260"/>
  <c r="AX556" i="33260"/>
  <c r="AP556" i="33260"/>
  <c r="AH556" i="33260"/>
  <c r="Z556" i="33260"/>
  <c r="R556" i="33260"/>
  <c r="J556" i="33260"/>
  <c r="BJ555" i="33260"/>
  <c r="BB555" i="33260"/>
  <c r="AT555" i="33260"/>
  <c r="AL555" i="33260"/>
  <c r="AD555" i="33260"/>
  <c r="V555" i="33260"/>
  <c r="N555" i="33260"/>
  <c r="F555" i="33260"/>
  <c r="BF554" i="33260"/>
  <c r="AX554" i="33260"/>
  <c r="AP554" i="33260"/>
  <c r="AH554" i="33260"/>
  <c r="Z554" i="33260"/>
  <c r="F578" i="33260"/>
  <c r="R575" i="33260"/>
  <c r="BC572" i="33260"/>
  <c r="AU570" i="33260"/>
  <c r="D569" i="33260"/>
  <c r="BH567" i="33260"/>
  <c r="I567" i="33260"/>
  <c r="AK566" i="33260"/>
  <c r="E566" i="33260"/>
  <c r="AH565" i="33260"/>
  <c r="L565" i="33260"/>
  <c r="BA564" i="33260"/>
  <c r="AK564" i="33260"/>
  <c r="X564" i="33260"/>
  <c r="L564" i="33260"/>
  <c r="BF563" i="33260"/>
  <c r="AT563" i="33260"/>
  <c r="AG563" i="33260"/>
  <c r="T563" i="33260"/>
  <c r="H563" i="33260"/>
  <c r="BC562" i="33260"/>
  <c r="AU562" i="33260"/>
  <c r="AM562" i="33260"/>
  <c r="AE562" i="33260"/>
  <c r="W562" i="33260"/>
  <c r="O562" i="33260"/>
  <c r="G562" i="33260"/>
  <c r="BG561" i="33260"/>
  <c r="AY561" i="33260"/>
  <c r="AQ561" i="33260"/>
  <c r="AI561" i="33260"/>
  <c r="AA561" i="33260"/>
  <c r="S561" i="33260"/>
  <c r="K561" i="33260"/>
  <c r="BK560" i="33260"/>
  <c r="BC560" i="33260"/>
  <c r="AU560" i="33260"/>
  <c r="AM560" i="33260"/>
  <c r="AE560" i="33260"/>
  <c r="W560" i="33260"/>
  <c r="O560" i="33260"/>
  <c r="G560" i="33260"/>
  <c r="BG559" i="33260"/>
  <c r="AY559" i="33260"/>
  <c r="AQ559" i="33260"/>
  <c r="AI559" i="33260"/>
  <c r="AA559" i="33260"/>
  <c r="S559" i="33260"/>
  <c r="K559" i="33260"/>
  <c r="BK558" i="33260"/>
  <c r="BC558" i="33260"/>
  <c r="AU558" i="33260"/>
  <c r="AM558" i="33260"/>
  <c r="AE558" i="33260"/>
  <c r="W558" i="33260"/>
  <c r="O558" i="33260"/>
  <c r="G558" i="33260"/>
  <c r="BG557" i="33260"/>
  <c r="AY557" i="33260"/>
  <c r="AQ557" i="33260"/>
  <c r="AI557" i="33260"/>
  <c r="AA557" i="33260"/>
  <c r="S557" i="33260"/>
  <c r="K557" i="33260"/>
  <c r="BK556" i="33260"/>
  <c r="BC556" i="33260"/>
  <c r="AU556" i="33260"/>
  <c r="AM556" i="33260"/>
  <c r="AE556" i="33260"/>
  <c r="W556" i="33260"/>
  <c r="O556" i="33260"/>
  <c r="G556" i="33260"/>
  <c r="BG555" i="33260"/>
  <c r="AY555" i="33260"/>
  <c r="AQ555" i="33260"/>
  <c r="AI555" i="33260"/>
  <c r="AA555" i="33260"/>
  <c r="S555" i="33260"/>
  <c r="K555" i="33260"/>
  <c r="BK554" i="33260"/>
  <c r="BC554" i="33260"/>
  <c r="AU554" i="33260"/>
  <c r="AM554" i="33260"/>
  <c r="AE554" i="33260"/>
  <c r="S571" i="33260"/>
  <c r="AS566" i="33260"/>
  <c r="BD564" i="33260"/>
  <c r="BJ563" i="33260"/>
  <c r="J563" i="33260"/>
  <c r="AG562" i="33260"/>
  <c r="BI561" i="33260"/>
  <c r="AC561" i="33260"/>
  <c r="BE560" i="33260"/>
  <c r="Y560" i="33260"/>
  <c r="BA559" i="33260"/>
  <c r="U559" i="33260"/>
  <c r="AW558" i="33260"/>
  <c r="Q558" i="33260"/>
  <c r="AS557" i="33260"/>
  <c r="Q557" i="33260"/>
  <c r="BD556" i="33260"/>
  <c r="AG556" i="33260"/>
  <c r="M556" i="33260"/>
  <c r="AZ555" i="33260"/>
  <c r="AC555" i="33260"/>
  <c r="I555" i="33260"/>
  <c r="AV554" i="33260"/>
  <c r="Y554" i="33260"/>
  <c r="P554" i="33260"/>
  <c r="H554" i="33260"/>
  <c r="BH553" i="33260"/>
  <c r="AZ553" i="33260"/>
  <c r="AR553" i="33260"/>
  <c r="AJ553" i="33260"/>
  <c r="AB553" i="33260"/>
  <c r="T553" i="33260"/>
  <c r="L553" i="33260"/>
  <c r="D553" i="33260"/>
  <c r="BD552" i="33260"/>
  <c r="AV552" i="33260"/>
  <c r="AN552" i="33260"/>
  <c r="AF552" i="33260"/>
  <c r="X552" i="33260"/>
  <c r="P552" i="33260"/>
  <c r="H552" i="33260"/>
  <c r="BH551" i="33260"/>
  <c r="AZ551" i="33260"/>
  <c r="AR551" i="33260"/>
  <c r="AJ551" i="33260"/>
  <c r="AB551" i="33260"/>
  <c r="T551" i="33260"/>
  <c r="L551" i="33260"/>
  <c r="D551" i="33260"/>
  <c r="BD550" i="33260"/>
  <c r="AV550" i="33260"/>
  <c r="AN550" i="33260"/>
  <c r="AF550" i="33260"/>
  <c r="X550" i="33260"/>
  <c r="P550" i="33260"/>
  <c r="H550" i="33260"/>
  <c r="BH549" i="33260"/>
  <c r="AZ549" i="33260"/>
  <c r="AR549" i="33260"/>
  <c r="AJ549" i="33260"/>
  <c r="AB549" i="33260"/>
  <c r="T549" i="33260"/>
  <c r="L549" i="33260"/>
  <c r="D549" i="33260"/>
  <c r="BD548" i="33260"/>
  <c r="AV548" i="33260"/>
  <c r="AN548" i="33260"/>
  <c r="AF548" i="33260"/>
  <c r="X548" i="33260"/>
  <c r="P548" i="33260"/>
  <c r="H548" i="33260"/>
  <c r="BH547" i="33260"/>
  <c r="AZ547" i="33260"/>
  <c r="AR547" i="33260"/>
  <c r="AJ547" i="33260"/>
  <c r="AB547" i="33260"/>
  <c r="T547" i="33260"/>
  <c r="L547" i="33260"/>
  <c r="D547" i="33260"/>
  <c r="BD546" i="33260"/>
  <c r="AV546" i="33260"/>
  <c r="AN546" i="33260"/>
  <c r="AF546" i="33260"/>
  <c r="X546" i="33260"/>
  <c r="P546" i="33260"/>
  <c r="BF575" i="33260"/>
  <c r="P568" i="33260"/>
  <c r="AO565" i="33260"/>
  <c r="AB564" i="33260"/>
  <c r="AJ563" i="33260"/>
  <c r="AW562" i="33260"/>
  <c r="Q562" i="33260"/>
  <c r="AS561" i="33260"/>
  <c r="M561" i="33260"/>
  <c r="AO560" i="33260"/>
  <c r="I560" i="33260"/>
  <c r="AK559" i="33260"/>
  <c r="E559" i="33260"/>
  <c r="AG558" i="33260"/>
  <c r="BI557" i="33260"/>
  <c r="AC557" i="33260"/>
  <c r="E557" i="33260"/>
  <c r="AS556" i="33260"/>
  <c r="X556" i="33260"/>
  <c r="BI555" i="33260"/>
  <c r="AO555" i="33260"/>
  <c r="T555" i="33260"/>
  <c r="BE554" i="33260"/>
  <c r="AK554" i="33260"/>
  <c r="T554" i="33260"/>
  <c r="L554" i="33260"/>
  <c r="D554" i="33260"/>
  <c r="BD553" i="33260"/>
  <c r="AV553" i="33260"/>
  <c r="AN553" i="33260"/>
  <c r="AF553" i="33260"/>
  <c r="X553" i="33260"/>
  <c r="P553" i="33260"/>
  <c r="H553" i="33260"/>
  <c r="BH552" i="33260"/>
  <c r="AZ552" i="33260"/>
  <c r="AR552" i="33260"/>
  <c r="AJ552" i="33260"/>
  <c r="AB552" i="33260"/>
  <c r="T552" i="33260"/>
  <c r="L552" i="33260"/>
  <c r="D552" i="33260"/>
  <c r="BD551" i="33260"/>
  <c r="AV551" i="33260"/>
  <c r="AN551" i="33260"/>
  <c r="AF551" i="33260"/>
  <c r="X551" i="33260"/>
  <c r="P551" i="33260"/>
  <c r="H551" i="33260"/>
  <c r="BH550" i="33260"/>
  <c r="AZ550" i="33260"/>
  <c r="AR550" i="33260"/>
  <c r="AJ550" i="33260"/>
  <c r="AB550" i="33260"/>
  <c r="T550" i="33260"/>
  <c r="L550" i="33260"/>
  <c r="D550" i="33260"/>
  <c r="BD549" i="33260"/>
  <c r="AV549" i="33260"/>
  <c r="AN549" i="33260"/>
  <c r="AF549" i="33260"/>
  <c r="X549" i="33260"/>
  <c r="P549" i="33260"/>
  <c r="H549" i="33260"/>
  <c r="BH548" i="33260"/>
  <c r="AZ548" i="33260"/>
  <c r="AR548" i="33260"/>
  <c r="AJ548" i="33260"/>
  <c r="AB548" i="33260"/>
  <c r="T548" i="33260"/>
  <c r="L548" i="33260"/>
  <c r="D548" i="33260"/>
  <c r="BD547" i="33260"/>
  <c r="AV547" i="33260"/>
  <c r="AN547" i="33260"/>
  <c r="AF547" i="33260"/>
  <c r="X547" i="33260"/>
  <c r="P547" i="33260"/>
  <c r="H547" i="33260"/>
  <c r="BH546" i="33260"/>
  <c r="AZ546" i="33260"/>
  <c r="AR546" i="33260"/>
  <c r="AJ546" i="33260"/>
  <c r="AB546" i="33260"/>
  <c r="T546" i="33260"/>
  <c r="L546" i="33260"/>
  <c r="AA573" i="33260"/>
  <c r="Q567" i="33260"/>
  <c r="R565" i="33260"/>
  <c r="N564" i="33260"/>
  <c r="X563" i="33260"/>
  <c r="AO562" i="33260"/>
  <c r="I562" i="33260"/>
  <c r="AK561" i="33260"/>
  <c r="E561" i="33260"/>
  <c r="AG560" i="33260"/>
  <c r="BI559" i="33260"/>
  <c r="AC559" i="33260"/>
  <c r="BE558" i="33260"/>
  <c r="Y558" i="33260"/>
  <c r="BA557" i="33260"/>
  <c r="U557" i="33260"/>
  <c r="BI556" i="33260"/>
  <c r="AN556" i="33260"/>
  <c r="Q556" i="33260"/>
  <c r="BE555" i="33260"/>
  <c r="AJ555" i="33260"/>
  <c r="M555" i="33260"/>
  <c r="BA554" i="33260"/>
  <c r="AF554" i="33260"/>
  <c r="R554" i="33260"/>
  <c r="J554" i="33260"/>
  <c r="BJ553" i="33260"/>
  <c r="BB553" i="33260"/>
  <c r="AT553" i="33260"/>
  <c r="AL553" i="33260"/>
  <c r="AD553" i="33260"/>
  <c r="V553" i="33260"/>
  <c r="N553" i="33260"/>
  <c r="F553" i="33260"/>
  <c r="BF552" i="33260"/>
  <c r="AX552" i="33260"/>
  <c r="AP552" i="33260"/>
  <c r="AH552" i="33260"/>
  <c r="Z552" i="33260"/>
  <c r="R552" i="33260"/>
  <c r="J552" i="33260"/>
  <c r="BJ551" i="33260"/>
  <c r="BB551" i="33260"/>
  <c r="AT551" i="33260"/>
  <c r="AL551" i="33260"/>
  <c r="AD551" i="33260"/>
  <c r="V551" i="33260"/>
  <c r="N551" i="33260"/>
  <c r="F551" i="33260"/>
  <c r="BF550" i="33260"/>
  <c r="AX550" i="33260"/>
  <c r="AP550" i="33260"/>
  <c r="AH550" i="33260"/>
  <c r="Z550" i="33260"/>
  <c r="R550" i="33260"/>
  <c r="J550" i="33260"/>
  <c r="BJ549" i="33260"/>
  <c r="BB549" i="33260"/>
  <c r="AT549" i="33260"/>
  <c r="AL549" i="33260"/>
  <c r="AD549" i="33260"/>
  <c r="V549" i="33260"/>
  <c r="N549" i="33260"/>
  <c r="F549" i="33260"/>
  <c r="BF548" i="33260"/>
  <c r="AX548" i="33260"/>
  <c r="AP548" i="33260"/>
  <c r="AH548" i="33260"/>
  <c r="Z548" i="33260"/>
  <c r="R548" i="33260"/>
  <c r="J548" i="33260"/>
  <c r="BJ547" i="33260"/>
  <c r="BB547" i="33260"/>
  <c r="AT547" i="33260"/>
  <c r="AL547" i="33260"/>
  <c r="AD547" i="33260"/>
  <c r="AI575" i="33260"/>
  <c r="M566" i="33260"/>
  <c r="M564" i="33260"/>
  <c r="BD562" i="33260"/>
  <c r="BH561" i="33260"/>
  <c r="L561" i="33260"/>
  <c r="Q560" i="33260"/>
  <c r="AB559" i="33260"/>
  <c r="AN558" i="33260"/>
  <c r="AR557" i="33260"/>
  <c r="D557" i="33260"/>
  <c r="AC556" i="33260"/>
  <c r="BA555" i="33260"/>
  <c r="U555" i="33260"/>
  <c r="AS554" i="33260"/>
  <c r="S554" i="33260"/>
  <c r="F554" i="33260"/>
  <c r="BA553" i="33260"/>
  <c r="AO553" i="33260"/>
  <c r="AA553" i="33260"/>
  <c r="O553" i="33260"/>
  <c r="BJ552" i="33260"/>
  <c r="AW552" i="33260"/>
  <c r="AK552" i="33260"/>
  <c r="W552" i="33260"/>
  <c r="K552" i="33260"/>
  <c r="BF551" i="33260"/>
  <c r="AS551" i="33260"/>
  <c r="AG551" i="33260"/>
  <c r="S551" i="33260"/>
  <c r="G551" i="33260"/>
  <c r="BB550" i="33260"/>
  <c r="AO550" i="33260"/>
  <c r="AC550" i="33260"/>
  <c r="O550" i="33260"/>
  <c r="BK549" i="33260"/>
  <c r="AX549" i="33260"/>
  <c r="AK549" i="33260"/>
  <c r="Y549" i="33260"/>
  <c r="K549" i="33260"/>
  <c r="BG548" i="33260"/>
  <c r="AT548" i="33260"/>
  <c r="AG548" i="33260"/>
  <c r="U548" i="33260"/>
  <c r="G548" i="33260"/>
  <c r="BC547" i="33260"/>
  <c r="AP547" i="33260"/>
  <c r="AC547" i="33260"/>
  <c r="R547" i="33260"/>
  <c r="G547" i="33260"/>
  <c r="BE546" i="33260"/>
  <c r="AT546" i="33260"/>
  <c r="AI546" i="33260"/>
  <c r="Y546" i="33260"/>
  <c r="N546" i="33260"/>
  <c r="E546" i="33260"/>
  <c r="BE545" i="33260"/>
  <c r="AW545" i="33260"/>
  <c r="AO545" i="33260"/>
  <c r="AG545" i="33260"/>
  <c r="Y545" i="33260"/>
  <c r="Q545" i="33260"/>
  <c r="I545" i="33260"/>
  <c r="BI544" i="33260"/>
  <c r="BA544" i="33260"/>
  <c r="AS544" i="33260"/>
  <c r="AK544" i="33260"/>
  <c r="AC544" i="33260"/>
  <c r="U544" i="33260"/>
  <c r="M544" i="33260"/>
  <c r="E544" i="33260"/>
  <c r="BE543" i="33260"/>
  <c r="AW543" i="33260"/>
  <c r="AO543" i="33260"/>
  <c r="AG543" i="33260"/>
  <c r="Y543" i="33260"/>
  <c r="Q543" i="33260"/>
  <c r="I543" i="33260"/>
  <c r="BI542" i="33260"/>
  <c r="BA542" i="33260"/>
  <c r="AS542" i="33260"/>
  <c r="AK542" i="33260"/>
  <c r="AC542" i="33260"/>
  <c r="U542" i="33260"/>
  <c r="M542" i="33260"/>
  <c r="E542" i="33260"/>
  <c r="BK570" i="33260"/>
  <c r="AJ565" i="33260"/>
  <c r="AW563" i="33260"/>
  <c r="AN562" i="33260"/>
  <c r="AZ561" i="33260"/>
  <c r="BD560" i="33260"/>
  <c r="H560" i="33260"/>
  <c r="M559" i="33260"/>
  <c r="X558" i="33260"/>
  <c r="AJ557" i="33260"/>
  <c r="BA556" i="33260"/>
  <c r="U556" i="33260"/>
  <c r="AS555" i="33260"/>
  <c r="L555" i="33260"/>
  <c r="AN554" i="33260"/>
  <c r="O554" i="33260"/>
  <c r="BK553" i="33260"/>
  <c r="AX553" i="33260"/>
  <c r="AK553" i="33260"/>
  <c r="Y553" i="33260"/>
  <c r="K553" i="33260"/>
  <c r="BG552" i="33260"/>
  <c r="AT552" i="33260"/>
  <c r="AG552" i="33260"/>
  <c r="U552" i="33260"/>
  <c r="G552" i="33260"/>
  <c r="BC551" i="33260"/>
  <c r="AP551" i="33260"/>
  <c r="AC551" i="33260"/>
  <c r="Q551" i="33260"/>
  <c r="BK550" i="33260"/>
  <c r="AY550" i="33260"/>
  <c r="AL550" i="33260"/>
  <c r="Y550" i="33260"/>
  <c r="M550" i="33260"/>
  <c r="BG549" i="33260"/>
  <c r="AU549" i="33260"/>
  <c r="AH549" i="33260"/>
  <c r="U549" i="33260"/>
  <c r="I549" i="33260"/>
  <c r="BC548" i="33260"/>
  <c r="AQ548" i="33260"/>
  <c r="AD548" i="33260"/>
  <c r="Q548" i="33260"/>
  <c r="E548" i="33260"/>
  <c r="AY547" i="33260"/>
  <c r="AM547" i="33260"/>
  <c r="Z547" i="33260"/>
  <c r="O547" i="33260"/>
  <c r="E547" i="33260"/>
  <c r="BB546" i="33260"/>
  <c r="AQ546" i="33260"/>
  <c r="AG546" i="33260"/>
  <c r="V546" i="33260"/>
  <c r="K546" i="33260"/>
  <c r="BK545" i="33260"/>
  <c r="BC545" i="33260"/>
  <c r="AU545" i="33260"/>
  <c r="AM545" i="33260"/>
  <c r="AE545" i="33260"/>
  <c r="W545" i="33260"/>
  <c r="O545" i="33260"/>
  <c r="G545" i="33260"/>
  <c r="BG544" i="33260"/>
  <c r="AY544" i="33260"/>
  <c r="AQ544" i="33260"/>
  <c r="AI544" i="33260"/>
  <c r="AA544" i="33260"/>
  <c r="S544" i="33260"/>
  <c r="K544" i="33260"/>
  <c r="BK543" i="33260"/>
  <c r="BC543" i="33260"/>
  <c r="AU543" i="33260"/>
  <c r="AM543" i="33260"/>
  <c r="AE543" i="33260"/>
  <c r="W543" i="33260"/>
  <c r="O543" i="33260"/>
  <c r="G543" i="33260"/>
  <c r="BG542" i="33260"/>
  <c r="AY542" i="33260"/>
  <c r="AQ542" i="33260"/>
  <c r="AI542" i="33260"/>
  <c r="AA542" i="33260"/>
  <c r="S542" i="33260"/>
  <c r="K542" i="33260"/>
  <c r="H568" i="33260"/>
  <c r="AN564" i="33260"/>
  <c r="V563" i="33260"/>
  <c r="X562" i="33260"/>
  <c r="AB561" i="33260"/>
  <c r="AN560" i="33260"/>
  <c r="AS559" i="33260"/>
  <c r="BD558" i="33260"/>
  <c r="H558" i="33260"/>
  <c r="M557" i="33260"/>
  <c r="AO556" i="33260"/>
  <c r="H556" i="33260"/>
  <c r="AG555" i="33260"/>
  <c r="BI554" i="33260"/>
  <c r="X554" i="33260"/>
  <c r="K554" i="33260"/>
  <c r="BF553" i="33260"/>
  <c r="AS553" i="33260"/>
  <c r="AG553" i="33260"/>
  <c r="S553" i="33260"/>
  <c r="G553" i="33260"/>
  <c r="BB552" i="33260"/>
  <c r="AO552" i="33260"/>
  <c r="AC552" i="33260"/>
  <c r="O552" i="33260"/>
  <c r="BK551" i="33260"/>
  <c r="AX551" i="33260"/>
  <c r="AK551" i="33260"/>
  <c r="Y551" i="33260"/>
  <c r="K551" i="33260"/>
  <c r="BG550" i="33260"/>
  <c r="AT550" i="33260"/>
  <c r="AG550" i="33260"/>
  <c r="U550" i="33260"/>
  <c r="G550" i="33260"/>
  <c r="BC549" i="33260"/>
  <c r="AP549" i="33260"/>
  <c r="AC549" i="33260"/>
  <c r="Q549" i="33260"/>
  <c r="BK548" i="33260"/>
  <c r="AY548" i="33260"/>
  <c r="AL548" i="33260"/>
  <c r="Y548" i="33260"/>
  <c r="M548" i="33260"/>
  <c r="BG547" i="33260"/>
  <c r="AU547" i="33260"/>
  <c r="AH547" i="33260"/>
  <c r="V547" i="33260"/>
  <c r="K547" i="33260"/>
  <c r="BI546" i="33260"/>
  <c r="AX546" i="33260"/>
  <c r="AM546" i="33260"/>
  <c r="AC546" i="33260"/>
  <c r="R546" i="33260"/>
  <c r="H546" i="33260"/>
  <c r="BH545" i="33260"/>
  <c r="AZ545" i="33260"/>
  <c r="AR545" i="33260"/>
  <c r="AJ545" i="33260"/>
  <c r="AB545" i="33260"/>
  <c r="T545" i="33260"/>
  <c r="L545" i="33260"/>
  <c r="D545" i="33260"/>
  <c r="BD544" i="33260"/>
  <c r="AV544" i="33260"/>
  <c r="AN544" i="33260"/>
  <c r="AF544" i="33260"/>
  <c r="X544" i="33260"/>
  <c r="P544" i="33260"/>
  <c r="H544" i="33260"/>
  <c r="BH543" i="33260"/>
  <c r="AZ543" i="33260"/>
  <c r="AR543" i="33260"/>
  <c r="AJ543" i="33260"/>
  <c r="AB543" i="33260"/>
  <c r="T543" i="33260"/>
  <c r="L543" i="33260"/>
  <c r="D543" i="33260"/>
  <c r="BD542" i="33260"/>
  <c r="AV542" i="33260"/>
  <c r="AN542" i="33260"/>
  <c r="AF542" i="33260"/>
  <c r="X542" i="33260"/>
  <c r="P542" i="33260"/>
  <c r="H542" i="33260"/>
  <c r="K573" i="33260"/>
  <c r="AL564" i="33260"/>
  <c r="AF562" i="33260"/>
  <c r="T561" i="33260"/>
  <c r="AZ559" i="33260"/>
  <c r="AF558" i="33260"/>
  <c r="L557" i="33260"/>
  <c r="P556" i="33260"/>
  <c r="Y555" i="33260"/>
  <c r="AC554" i="33260"/>
  <c r="E554" i="33260"/>
  <c r="AQ553" i="33260"/>
  <c r="W553" i="33260"/>
  <c r="BK552" i="33260"/>
  <c r="AQ552" i="33260"/>
  <c r="V552" i="33260"/>
  <c r="BI551" i="33260"/>
  <c r="AO551" i="33260"/>
  <c r="U551" i="33260"/>
  <c r="BI550" i="33260"/>
  <c r="AM550" i="33260"/>
  <c r="S550" i="33260"/>
  <c r="BF549" i="33260"/>
  <c r="AM549" i="33260"/>
  <c r="R549" i="33260"/>
  <c r="BE548" i="33260"/>
  <c r="AK548" i="33260"/>
  <c r="O548" i="33260"/>
  <c r="BE547" i="33260"/>
  <c r="AI547" i="33260"/>
  <c r="Q547" i="33260"/>
  <c r="BG546" i="33260"/>
  <c r="AP546" i="33260"/>
  <c r="Z546" i="33260"/>
  <c r="I546" i="33260"/>
  <c r="BD545" i="33260"/>
  <c r="AQ545" i="33260"/>
  <c r="AD545" i="33260"/>
  <c r="R545" i="33260"/>
  <c r="E545" i="33260"/>
  <c r="AZ544" i="33260"/>
  <c r="AM544" i="33260"/>
  <c r="Z544" i="33260"/>
  <c r="N544" i="33260"/>
  <c r="BI543" i="33260"/>
  <c r="AV543" i="33260"/>
  <c r="AI543" i="33260"/>
  <c r="V543" i="33260"/>
  <c r="J543" i="33260"/>
  <c r="BE542" i="33260"/>
  <c r="AR542" i="33260"/>
  <c r="AE542" i="33260"/>
  <c r="R542" i="33260"/>
  <c r="F542" i="33260"/>
  <c r="BE541" i="33260"/>
  <c r="AW541" i="33260"/>
  <c r="AO541" i="33260"/>
  <c r="AG541" i="33260"/>
  <c r="Y541" i="33260"/>
  <c r="Q541" i="33260"/>
  <c r="I541" i="33260"/>
  <c r="BI540" i="33260"/>
  <c r="BA540" i="33260"/>
  <c r="AS540" i="33260"/>
  <c r="AK540" i="33260"/>
  <c r="AC540" i="33260"/>
  <c r="U540" i="33260"/>
  <c r="M540" i="33260"/>
  <c r="E540" i="33260"/>
  <c r="BE539" i="33260"/>
  <c r="AW539" i="33260"/>
  <c r="AO539" i="33260"/>
  <c r="AG539" i="33260"/>
  <c r="Y539" i="33260"/>
  <c r="Q539" i="33260"/>
  <c r="I539" i="33260"/>
  <c r="BI538" i="33260"/>
  <c r="BA538" i="33260"/>
  <c r="AS538" i="33260"/>
  <c r="AK538" i="33260"/>
  <c r="AC538" i="33260"/>
  <c r="U538" i="33260"/>
  <c r="M538" i="33260"/>
  <c r="E538" i="33260"/>
  <c r="BE537" i="33260"/>
  <c r="AW537" i="33260"/>
  <c r="AO537" i="33260"/>
  <c r="AG537" i="33260"/>
  <c r="Y537" i="33260"/>
  <c r="Q537" i="33260"/>
  <c r="I537" i="33260"/>
  <c r="BI536" i="33260"/>
  <c r="BA536" i="33260"/>
  <c r="AS536" i="33260"/>
  <c r="AK536" i="33260"/>
  <c r="AC536" i="33260"/>
  <c r="U536" i="33260"/>
  <c r="M536" i="33260"/>
  <c r="E536" i="33260"/>
  <c r="BE535" i="33260"/>
  <c r="AW535" i="33260"/>
  <c r="AO535" i="33260"/>
  <c r="AG535" i="33260"/>
  <c r="Y535" i="33260"/>
  <c r="Q535" i="33260"/>
  <c r="I535" i="33260"/>
  <c r="BI534" i="33260"/>
  <c r="BA534" i="33260"/>
  <c r="AS534" i="33260"/>
  <c r="AK534" i="33260"/>
  <c r="AC534" i="33260"/>
  <c r="U534" i="33260"/>
  <c r="M534" i="33260"/>
  <c r="E534" i="33260"/>
  <c r="BE533" i="33260"/>
  <c r="AW533" i="33260"/>
  <c r="AO533" i="33260"/>
  <c r="AG533" i="33260"/>
  <c r="Y533" i="33260"/>
  <c r="Q533" i="33260"/>
  <c r="I533" i="33260"/>
  <c r="BI532" i="33260"/>
  <c r="BA532" i="33260"/>
  <c r="AS532" i="33260"/>
  <c r="AK532" i="33260"/>
  <c r="AC532" i="33260"/>
  <c r="U532" i="33260"/>
  <c r="M532" i="33260"/>
  <c r="E532" i="33260"/>
  <c r="BE531" i="33260"/>
  <c r="AW531" i="33260"/>
  <c r="AO531" i="33260"/>
  <c r="AG531" i="33260"/>
  <c r="Y531" i="33260"/>
  <c r="Q531" i="33260"/>
  <c r="I531" i="33260"/>
  <c r="BI530" i="33260"/>
  <c r="BA530" i="33260"/>
  <c r="AS530" i="33260"/>
  <c r="AK530" i="33260"/>
  <c r="AC530" i="33260"/>
  <c r="U530" i="33260"/>
  <c r="M530" i="33260"/>
  <c r="E530" i="33260"/>
  <c r="BE529" i="33260"/>
  <c r="AW529" i="33260"/>
  <c r="AO529" i="33260"/>
  <c r="AG529" i="33260"/>
  <c r="Y529" i="33260"/>
  <c r="Q529" i="33260"/>
  <c r="I529" i="33260"/>
  <c r="BI528" i="33260"/>
  <c r="BA528" i="33260"/>
  <c r="AS528" i="33260"/>
  <c r="AK528" i="33260"/>
  <c r="AC528" i="33260"/>
  <c r="U528" i="33260"/>
  <c r="M528" i="33260"/>
  <c r="E528" i="33260"/>
  <c r="BE527" i="33260"/>
  <c r="AW527" i="33260"/>
  <c r="AO527" i="33260"/>
  <c r="AG527" i="33260"/>
  <c r="Y527" i="33260"/>
  <c r="Q527" i="33260"/>
  <c r="I527" i="33260"/>
  <c r="BI526" i="33260"/>
  <c r="BA526" i="33260"/>
  <c r="AS526" i="33260"/>
  <c r="AK526" i="33260"/>
  <c r="R569" i="33260"/>
  <c r="BH563" i="33260"/>
  <c r="P562" i="33260"/>
  <c r="AW560" i="33260"/>
  <c r="AJ559" i="33260"/>
  <c r="I558" i="33260"/>
  <c r="BE556" i="33260"/>
  <c r="E556" i="33260"/>
  <c r="E555" i="33260"/>
  <c r="U554" i="33260"/>
  <c r="BG553" i="33260"/>
  <c r="AM553" i="33260"/>
  <c r="R553" i="33260"/>
  <c r="BE552" i="33260"/>
  <c r="AL552" i="33260"/>
  <c r="Q552" i="33260"/>
  <c r="BE551" i="33260"/>
  <c r="AI551" i="33260"/>
  <c r="O551" i="33260"/>
  <c r="BC550" i="33260"/>
  <c r="AI550" i="33260"/>
  <c r="N550" i="33260"/>
  <c r="BA549" i="33260"/>
  <c r="AG549" i="33260"/>
  <c r="M549" i="33260"/>
  <c r="BA548" i="33260"/>
  <c r="AE548" i="33260"/>
  <c r="K548" i="33260"/>
  <c r="AX547" i="33260"/>
  <c r="AE547" i="33260"/>
  <c r="M547" i="33260"/>
  <c r="BC546" i="33260"/>
  <c r="AL546" i="33260"/>
  <c r="U546" i="33260"/>
  <c r="F546" i="33260"/>
  <c r="BA545" i="33260"/>
  <c r="AN545" i="33260"/>
  <c r="AA545" i="33260"/>
  <c r="N545" i="33260"/>
  <c r="BJ544" i="33260"/>
  <c r="AW544" i="33260"/>
  <c r="AJ544" i="33260"/>
  <c r="W544" i="33260"/>
  <c r="J544" i="33260"/>
  <c r="BF543" i="33260"/>
  <c r="AS543" i="33260"/>
  <c r="AF543" i="33260"/>
  <c r="S543" i="33260"/>
  <c r="F543" i="33260"/>
  <c r="BB542" i="33260"/>
  <c r="AO542" i="33260"/>
  <c r="AB542" i="33260"/>
  <c r="O542" i="33260"/>
  <c r="BK541" i="33260"/>
  <c r="BC541" i="33260"/>
  <c r="AU541" i="33260"/>
  <c r="AM541" i="33260"/>
  <c r="AE541" i="33260"/>
  <c r="W541" i="33260"/>
  <c r="O541" i="33260"/>
  <c r="G541" i="33260"/>
  <c r="BG540" i="33260"/>
  <c r="AY540" i="33260"/>
  <c r="AQ540" i="33260"/>
  <c r="AI540" i="33260"/>
  <c r="AA540" i="33260"/>
  <c r="S540" i="33260"/>
  <c r="K540" i="33260"/>
  <c r="BK539" i="33260"/>
  <c r="BC539" i="33260"/>
  <c r="AU539" i="33260"/>
  <c r="AM539" i="33260"/>
  <c r="AE539" i="33260"/>
  <c r="W539" i="33260"/>
  <c r="O539" i="33260"/>
  <c r="G539" i="33260"/>
  <c r="BG538" i="33260"/>
  <c r="AY538" i="33260"/>
  <c r="AQ538" i="33260"/>
  <c r="AI538" i="33260"/>
  <c r="AA538" i="33260"/>
  <c r="S538" i="33260"/>
  <c r="K538" i="33260"/>
  <c r="BK537" i="33260"/>
  <c r="BC537" i="33260"/>
  <c r="AU537" i="33260"/>
  <c r="AM537" i="33260"/>
  <c r="AE537" i="33260"/>
  <c r="W537" i="33260"/>
  <c r="O537" i="33260"/>
  <c r="G537" i="33260"/>
  <c r="BG536" i="33260"/>
  <c r="AY536" i="33260"/>
  <c r="AQ536" i="33260"/>
  <c r="AI536" i="33260"/>
  <c r="AA536" i="33260"/>
  <c r="S536" i="33260"/>
  <c r="K536" i="33260"/>
  <c r="BK535" i="33260"/>
  <c r="BC535" i="33260"/>
  <c r="AU535" i="33260"/>
  <c r="AM535" i="33260"/>
  <c r="AE535" i="33260"/>
  <c r="W535" i="33260"/>
  <c r="O535" i="33260"/>
  <c r="G535" i="33260"/>
  <c r="BG534" i="33260"/>
  <c r="AY534" i="33260"/>
  <c r="AQ534" i="33260"/>
  <c r="AI534" i="33260"/>
  <c r="AA534" i="33260"/>
  <c r="S534" i="33260"/>
  <c r="K534" i="33260"/>
  <c r="BK533" i="33260"/>
  <c r="BC533" i="33260"/>
  <c r="AU533" i="33260"/>
  <c r="AM533" i="33260"/>
  <c r="AE533" i="33260"/>
  <c r="W533" i="33260"/>
  <c r="O533" i="33260"/>
  <c r="G533" i="33260"/>
  <c r="BG532" i="33260"/>
  <c r="AY532" i="33260"/>
  <c r="AQ532" i="33260"/>
  <c r="AI532" i="33260"/>
  <c r="AA532" i="33260"/>
  <c r="S532" i="33260"/>
  <c r="K532" i="33260"/>
  <c r="BK531" i="33260"/>
  <c r="BC531" i="33260"/>
  <c r="AU531" i="33260"/>
  <c r="AM531" i="33260"/>
  <c r="AE531" i="33260"/>
  <c r="W531" i="33260"/>
  <c r="O531" i="33260"/>
  <c r="G531" i="33260"/>
  <c r="BG530" i="33260"/>
  <c r="AY530" i="33260"/>
  <c r="AQ530" i="33260"/>
  <c r="AI530" i="33260"/>
  <c r="AA530" i="33260"/>
  <c r="S530" i="33260"/>
  <c r="K530" i="33260"/>
  <c r="BK529" i="33260"/>
  <c r="BC529" i="33260"/>
  <c r="AU529" i="33260"/>
  <c r="AM529" i="33260"/>
  <c r="AE529" i="33260"/>
  <c r="W529" i="33260"/>
  <c r="O529" i="33260"/>
  <c r="G529" i="33260"/>
  <c r="BG528" i="33260"/>
  <c r="AY528" i="33260"/>
  <c r="AQ528" i="33260"/>
  <c r="AI528" i="33260"/>
  <c r="AA528" i="33260"/>
  <c r="S528" i="33260"/>
  <c r="K528" i="33260"/>
  <c r="BK527" i="33260"/>
  <c r="BC527" i="33260"/>
  <c r="AU527" i="33260"/>
  <c r="AM527" i="33260"/>
  <c r="AE527" i="33260"/>
  <c r="W527" i="33260"/>
  <c r="O527" i="33260"/>
  <c r="G527" i="33260"/>
  <c r="BG526" i="33260"/>
  <c r="AY526" i="33260"/>
  <c r="AQ526" i="33260"/>
  <c r="AI526" i="33260"/>
  <c r="H566" i="33260"/>
  <c r="I563" i="33260"/>
  <c r="AR561" i="33260"/>
  <c r="X560" i="33260"/>
  <c r="D559" i="33260"/>
  <c r="AK557" i="33260"/>
  <c r="AK556" i="33260"/>
  <c r="AR555" i="33260"/>
  <c r="AW554" i="33260"/>
  <c r="M554" i="33260"/>
  <c r="AY553" i="33260"/>
  <c r="AE553" i="33260"/>
  <c r="J553" i="33260"/>
  <c r="AY552" i="33260"/>
  <c r="AD552" i="33260"/>
  <c r="I552" i="33260"/>
  <c r="AW551" i="33260"/>
  <c r="AA551" i="33260"/>
  <c r="I551" i="33260"/>
  <c r="AU550" i="33260"/>
  <c r="AA550" i="33260"/>
  <c r="F550" i="33260"/>
  <c r="AS549" i="33260"/>
  <c r="Z549" i="33260"/>
  <c r="E549" i="33260"/>
  <c r="AS548" i="33260"/>
  <c r="W548" i="33260"/>
  <c r="BK547" i="33260"/>
  <c r="AQ547" i="33260"/>
  <c r="W547" i="33260"/>
  <c r="F547" i="33260"/>
  <c r="AW546" i="33260"/>
  <c r="AE546" i="33260"/>
  <c r="O546" i="33260"/>
  <c r="BI545" i="33260"/>
  <c r="AV545" i="33260"/>
  <c r="AI545" i="33260"/>
  <c r="V545" i="33260"/>
  <c r="J545" i="33260"/>
  <c r="BE544" i="33260"/>
  <c r="AR544" i="33260"/>
  <c r="AE544" i="33260"/>
  <c r="R544" i="33260"/>
  <c r="F544" i="33260"/>
  <c r="BA543" i="33260"/>
  <c r="AN543" i="33260"/>
  <c r="AA543" i="33260"/>
  <c r="N543" i="33260"/>
  <c r="BJ542" i="33260"/>
  <c r="AW542" i="33260"/>
  <c r="AJ542" i="33260"/>
  <c r="W542" i="33260"/>
  <c r="J542" i="33260"/>
  <c r="BH541" i="33260"/>
  <c r="AZ541" i="33260"/>
  <c r="AR541" i="33260"/>
  <c r="AJ541" i="33260"/>
  <c r="AB541" i="33260"/>
  <c r="T541" i="33260"/>
  <c r="L541" i="33260"/>
  <c r="D541" i="33260"/>
  <c r="BD540" i="33260"/>
  <c r="AV540" i="33260"/>
  <c r="AN540" i="33260"/>
  <c r="AF540" i="33260"/>
  <c r="X540" i="33260"/>
  <c r="P540" i="33260"/>
  <c r="H540" i="33260"/>
  <c r="BH539" i="33260"/>
  <c r="AZ539" i="33260"/>
  <c r="AR539" i="33260"/>
  <c r="AJ539" i="33260"/>
  <c r="AB539" i="33260"/>
  <c r="T539" i="33260"/>
  <c r="L539" i="33260"/>
  <c r="D539" i="33260"/>
  <c r="BD538" i="33260"/>
  <c r="AV538" i="33260"/>
  <c r="AN538" i="33260"/>
  <c r="AF538" i="33260"/>
  <c r="X538" i="33260"/>
  <c r="P538" i="33260"/>
  <c r="H538" i="33260"/>
  <c r="BH537" i="33260"/>
  <c r="AZ537" i="33260"/>
  <c r="AR537" i="33260"/>
  <c r="AJ537" i="33260"/>
  <c r="AB537" i="33260"/>
  <c r="T537" i="33260"/>
  <c r="L537" i="33260"/>
  <c r="D537" i="33260"/>
  <c r="BD536" i="33260"/>
  <c r="AV536" i="33260"/>
  <c r="AN536" i="33260"/>
  <c r="AF536" i="33260"/>
  <c r="X536" i="33260"/>
  <c r="P536" i="33260"/>
  <c r="H536" i="33260"/>
  <c r="BH535" i="33260"/>
  <c r="AZ535" i="33260"/>
  <c r="AR535" i="33260"/>
  <c r="AJ535" i="33260"/>
  <c r="AB535" i="33260"/>
  <c r="T535" i="33260"/>
  <c r="L535" i="33260"/>
  <c r="D535" i="33260"/>
  <c r="BD534" i="33260"/>
  <c r="AV534" i="33260"/>
  <c r="AN534" i="33260"/>
  <c r="AF534" i="33260"/>
  <c r="X534" i="33260"/>
  <c r="P534" i="33260"/>
  <c r="H534" i="33260"/>
  <c r="BH533" i="33260"/>
  <c r="AZ533" i="33260"/>
  <c r="AR533" i="33260"/>
  <c r="AJ533" i="33260"/>
  <c r="AB533" i="33260"/>
  <c r="T533" i="33260"/>
  <c r="L533" i="33260"/>
  <c r="D533" i="33260"/>
  <c r="BD532" i="33260"/>
  <c r="AV532" i="33260"/>
  <c r="AN532" i="33260"/>
  <c r="AF532" i="33260"/>
  <c r="X532" i="33260"/>
  <c r="P532" i="33260"/>
  <c r="H532" i="33260"/>
  <c r="BH531" i="33260"/>
  <c r="AZ531" i="33260"/>
  <c r="AR531" i="33260"/>
  <c r="AJ531" i="33260"/>
  <c r="AB531" i="33260"/>
  <c r="T531" i="33260"/>
  <c r="L531" i="33260"/>
  <c r="D531" i="33260"/>
  <c r="BD530" i="33260"/>
  <c r="AV530" i="33260"/>
  <c r="AN530" i="33260"/>
  <c r="AF530" i="33260"/>
  <c r="X530" i="33260"/>
  <c r="P530" i="33260"/>
  <c r="H530" i="33260"/>
  <c r="BH529" i="33260"/>
  <c r="AZ529" i="33260"/>
  <c r="AR529" i="33260"/>
  <c r="AJ529" i="33260"/>
  <c r="AB529" i="33260"/>
  <c r="T529" i="33260"/>
  <c r="L529" i="33260"/>
  <c r="D529" i="33260"/>
  <c r="BD528" i="33260"/>
  <c r="AV528" i="33260"/>
  <c r="AN528" i="33260"/>
  <c r="AF528" i="33260"/>
  <c r="X528" i="33260"/>
  <c r="P528" i="33260"/>
  <c r="H528" i="33260"/>
  <c r="BH527" i="33260"/>
  <c r="AZ527" i="33260"/>
  <c r="AR527" i="33260"/>
  <c r="AJ527" i="33260"/>
  <c r="AB527" i="33260"/>
  <c r="T527" i="33260"/>
  <c r="L527" i="33260"/>
  <c r="D527" i="33260"/>
  <c r="BD526" i="33260"/>
  <c r="AV526" i="33260"/>
  <c r="AN526" i="33260"/>
  <c r="AF526" i="33260"/>
  <c r="AT578" i="33260"/>
  <c r="AV563" i="33260"/>
  <c r="U561" i="33260"/>
  <c r="L559" i="33260"/>
  <c r="I557" i="33260"/>
  <c r="Y578" i="33260"/>
  <c r="AH563" i="33260"/>
  <c r="D561" i="33260"/>
  <c r="AV558" i="33260"/>
  <c r="AW556" i="33260"/>
  <c r="AB555" i="33260"/>
  <c r="N554" i="33260"/>
  <c r="AP553" i="33260"/>
  <c r="I553" i="33260"/>
  <c r="AI552" i="33260"/>
  <c r="E552" i="33260"/>
  <c r="AE551" i="33260"/>
  <c r="BE550" i="33260"/>
  <c r="W550" i="33260"/>
  <c r="AY549" i="33260"/>
  <c r="S549" i="33260"/>
  <c r="AU548" i="33260"/>
  <c r="N548" i="33260"/>
  <c r="AO547" i="33260"/>
  <c r="J547" i="33260"/>
  <c r="AS546" i="33260"/>
  <c r="Q546" i="33260"/>
  <c r="BB545" i="33260"/>
  <c r="AH545" i="33260"/>
  <c r="M545" i="33260"/>
  <c r="BB544" i="33260"/>
  <c r="AG544" i="33260"/>
  <c r="L544" i="33260"/>
  <c r="AY543" i="33260"/>
  <c r="AD543" i="33260"/>
  <c r="K543" i="33260"/>
  <c r="AX542" i="33260"/>
  <c r="AD542" i="33260"/>
  <c r="I542" i="33260"/>
  <c r="BB541" i="33260"/>
  <c r="AP541" i="33260"/>
  <c r="AC541" i="33260"/>
  <c r="P541" i="33260"/>
  <c r="BK540" i="33260"/>
  <c r="AX540" i="33260"/>
  <c r="AL540" i="33260"/>
  <c r="Y540" i="33260"/>
  <c r="L540" i="33260"/>
  <c r="BG539" i="33260"/>
  <c r="AT539" i="33260"/>
  <c r="AH539" i="33260"/>
  <c r="U539" i="33260"/>
  <c r="H539" i="33260"/>
  <c r="BC538" i="33260"/>
  <c r="AP538" i="33260"/>
  <c r="AD538" i="33260"/>
  <c r="Q538" i="33260"/>
  <c r="D538" i="33260"/>
  <c r="AY537" i="33260"/>
  <c r="AL537" i="33260"/>
  <c r="Z537" i="33260"/>
  <c r="M537" i="33260"/>
  <c r="BH536" i="33260"/>
  <c r="AU536" i="33260"/>
  <c r="AH536" i="33260"/>
  <c r="V536" i="33260"/>
  <c r="I536" i="33260"/>
  <c r="BD535" i="33260"/>
  <c r="AQ535" i="33260"/>
  <c r="AD535" i="33260"/>
  <c r="R535" i="33260"/>
  <c r="E535" i="33260"/>
  <c r="AZ534" i="33260"/>
  <c r="AM534" i="33260"/>
  <c r="Z534" i="33260"/>
  <c r="N534" i="33260"/>
  <c r="BI533" i="33260"/>
  <c r="AV533" i="33260"/>
  <c r="AI533" i="33260"/>
  <c r="V533" i="33260"/>
  <c r="J533" i="33260"/>
  <c r="BE532" i="33260"/>
  <c r="AR532" i="33260"/>
  <c r="AE532" i="33260"/>
  <c r="R532" i="33260"/>
  <c r="F532" i="33260"/>
  <c r="BA531" i="33260"/>
  <c r="AN566" i="33260"/>
  <c r="Y562" i="33260"/>
  <c r="P560" i="33260"/>
  <c r="BH557" i="33260"/>
  <c r="Y556" i="33260"/>
  <c r="BD554" i="33260"/>
  <c r="BI553" i="33260"/>
  <c r="AC553" i="33260"/>
  <c r="BC552" i="33260"/>
  <c r="Y552" i="33260"/>
  <c r="AY551" i="33260"/>
  <c r="R551" i="33260"/>
  <c r="AS550" i="33260"/>
  <c r="K550" i="33260"/>
  <c r="AO549" i="33260"/>
  <c r="G549" i="33260"/>
  <c r="AI548" i="33260"/>
  <c r="BI547" i="33260"/>
  <c r="AA547" i="33260"/>
  <c r="BJ546" i="33260"/>
  <c r="AH546" i="33260"/>
  <c r="G546" i="33260"/>
  <c r="AT545" i="33260"/>
  <c r="Z545" i="33260"/>
  <c r="F545" i="33260"/>
  <c r="AT544" i="33260"/>
  <c r="Y544" i="33260"/>
  <c r="D544" i="33260"/>
  <c r="AQ543" i="33260"/>
  <c r="X543" i="33260"/>
  <c r="BK542" i="33260"/>
  <c r="AP542" i="33260"/>
  <c r="V542" i="33260"/>
  <c r="BJ541" i="33260"/>
  <c r="AX541" i="33260"/>
  <c r="AK541" i="33260"/>
  <c r="X541" i="33260"/>
  <c r="K541" i="33260"/>
  <c r="BF540" i="33260"/>
  <c r="AT540" i="33260"/>
  <c r="AG540" i="33260"/>
  <c r="T540" i="33260"/>
  <c r="G540" i="33260"/>
  <c r="BB539" i="33260"/>
  <c r="AP539" i="33260"/>
  <c r="AC539" i="33260"/>
  <c r="P539" i="33260"/>
  <c r="BK538" i="33260"/>
  <c r="AX538" i="33260"/>
  <c r="AL538" i="33260"/>
  <c r="Y538" i="33260"/>
  <c r="L538" i="33260"/>
  <c r="BG537" i="33260"/>
  <c r="AT537" i="33260"/>
  <c r="AH537" i="33260"/>
  <c r="U537" i="33260"/>
  <c r="H537" i="33260"/>
  <c r="BC536" i="33260"/>
  <c r="AP536" i="33260"/>
  <c r="AD536" i="33260"/>
  <c r="Q536" i="33260"/>
  <c r="D536" i="33260"/>
  <c r="AY535" i="33260"/>
  <c r="AL535" i="33260"/>
  <c r="Z535" i="33260"/>
  <c r="M535" i="33260"/>
  <c r="BH534" i="33260"/>
  <c r="AU534" i="33260"/>
  <c r="AH534" i="33260"/>
  <c r="V534" i="33260"/>
  <c r="I534" i="33260"/>
  <c r="BD533" i="33260"/>
  <c r="AQ533" i="33260"/>
  <c r="AD533" i="33260"/>
  <c r="R533" i="33260"/>
  <c r="E533" i="33260"/>
  <c r="AZ532" i="33260"/>
  <c r="AM532" i="33260"/>
  <c r="Z532" i="33260"/>
  <c r="N532" i="33260"/>
  <c r="BI531" i="33260"/>
  <c r="AV531" i="33260"/>
  <c r="AI531" i="33260"/>
  <c r="V531" i="33260"/>
  <c r="J531" i="33260"/>
  <c r="BE530" i="33260"/>
  <c r="AR530" i="33260"/>
  <c r="AE530" i="33260"/>
  <c r="R530" i="33260"/>
  <c r="F530" i="33260"/>
  <c r="BA529" i="33260"/>
  <c r="AN529" i="33260"/>
  <c r="AA529" i="33260"/>
  <c r="N529" i="33260"/>
  <c r="Q565" i="33260"/>
  <c r="H562" i="33260"/>
  <c r="BH559" i="33260"/>
  <c r="AZ557" i="33260"/>
  <c r="I556" i="33260"/>
  <c r="AO554" i="33260"/>
  <c r="BE553" i="33260"/>
  <c r="Z553" i="33260"/>
  <c r="BA552" i="33260"/>
  <c r="S552" i="33260"/>
  <c r="AU551" i="33260"/>
  <c r="M551" i="33260"/>
  <c r="AQ550" i="33260"/>
  <c r="I550" i="33260"/>
  <c r="AI549" i="33260"/>
  <c r="BJ548" i="33260"/>
  <c r="AC548" i="33260"/>
  <c r="BF547" i="33260"/>
  <c r="Y547" i="33260"/>
  <c r="BF546" i="33260"/>
  <c r="AD546" i="33260"/>
  <c r="D546" i="33260"/>
  <c r="AS545" i="33260"/>
  <c r="X545" i="33260"/>
  <c r="BK544" i="33260"/>
  <c r="AP544" i="33260"/>
  <c r="V544" i="33260"/>
  <c r="BJ543" i="33260"/>
  <c r="AP543" i="33260"/>
  <c r="U543" i="33260"/>
  <c r="BH542" i="33260"/>
  <c r="AM542" i="33260"/>
  <c r="T542" i="33260"/>
  <c r="BI541" i="33260"/>
  <c r="AV541" i="33260"/>
  <c r="AI541" i="33260"/>
  <c r="V541" i="33260"/>
  <c r="J541" i="33260"/>
  <c r="BE540" i="33260"/>
  <c r="AR540" i="33260"/>
  <c r="AE540" i="33260"/>
  <c r="R540" i="33260"/>
  <c r="F540" i="33260"/>
  <c r="BA539" i="33260"/>
  <c r="AN539" i="33260"/>
  <c r="AA539" i="33260"/>
  <c r="N539" i="33260"/>
  <c r="BJ538" i="33260"/>
  <c r="AW538" i="33260"/>
  <c r="AJ538" i="33260"/>
  <c r="W538" i="33260"/>
  <c r="J538" i="33260"/>
  <c r="BF537" i="33260"/>
  <c r="AS537" i="33260"/>
  <c r="AF537" i="33260"/>
  <c r="S537" i="33260"/>
  <c r="F537" i="33260"/>
  <c r="BB536" i="33260"/>
  <c r="AO536" i="33260"/>
  <c r="AB536" i="33260"/>
  <c r="O536" i="33260"/>
  <c r="BJ535" i="33260"/>
  <c r="AX535" i="33260"/>
  <c r="AK535" i="33260"/>
  <c r="X535" i="33260"/>
  <c r="K535" i="33260"/>
  <c r="BF534" i="33260"/>
  <c r="AT534" i="33260"/>
  <c r="AG534" i="33260"/>
  <c r="T534" i="33260"/>
  <c r="G534" i="33260"/>
  <c r="BB533" i="33260"/>
  <c r="AP533" i="33260"/>
  <c r="AC533" i="33260"/>
  <c r="P533" i="33260"/>
  <c r="BK532" i="33260"/>
  <c r="AX532" i="33260"/>
  <c r="AL532" i="33260"/>
  <c r="Y532" i="33260"/>
  <c r="L532" i="33260"/>
  <c r="BG531" i="33260"/>
  <c r="AT531" i="33260"/>
  <c r="AH531" i="33260"/>
  <c r="U531" i="33260"/>
  <c r="H531" i="33260"/>
  <c r="BB564" i="33260"/>
  <c r="BA561" i="33260"/>
  <c r="AR559" i="33260"/>
  <c r="AB557" i="33260"/>
  <c r="BH555" i="33260"/>
  <c r="AG554" i="33260"/>
  <c r="BC553" i="33260"/>
  <c r="U553" i="33260"/>
  <c r="AU552" i="33260"/>
  <c r="N552" i="33260"/>
  <c r="AQ551" i="33260"/>
  <c r="J551" i="33260"/>
  <c r="AK550" i="33260"/>
  <c r="E550" i="33260"/>
  <c r="AE549" i="33260"/>
  <c r="BI548" i="33260"/>
  <c r="AA548" i="33260"/>
  <c r="BA547" i="33260"/>
  <c r="U547" i="33260"/>
  <c r="BA546" i="33260"/>
  <c r="AA546" i="33260"/>
  <c r="BJ545" i="33260"/>
  <c r="AP545" i="33260"/>
  <c r="U545" i="33260"/>
  <c r="BH544" i="33260"/>
  <c r="AO544" i="33260"/>
  <c r="T544" i="33260"/>
  <c r="BG543" i="33260"/>
  <c r="AL543" i="33260"/>
  <c r="R543" i="33260"/>
  <c r="BF542" i="33260"/>
  <c r="AL542" i="33260"/>
  <c r="Q542" i="33260"/>
  <c r="BG541" i="33260"/>
  <c r="AT541" i="33260"/>
  <c r="AH541" i="33260"/>
  <c r="U541" i="33260"/>
  <c r="H541" i="33260"/>
  <c r="BC540" i="33260"/>
  <c r="AP540" i="33260"/>
  <c r="AD540" i="33260"/>
  <c r="Q540" i="33260"/>
  <c r="D540" i="33260"/>
  <c r="AY539" i="33260"/>
  <c r="AL539" i="33260"/>
  <c r="Z539" i="33260"/>
  <c r="M539" i="33260"/>
  <c r="BH538" i="33260"/>
  <c r="AU538" i="33260"/>
  <c r="AH538" i="33260"/>
  <c r="V538" i="33260"/>
  <c r="I538" i="33260"/>
  <c r="BD537" i="33260"/>
  <c r="AQ537" i="33260"/>
  <c r="AD537" i="33260"/>
  <c r="R537" i="33260"/>
  <c r="E537" i="33260"/>
  <c r="AZ536" i="33260"/>
  <c r="AM536" i="33260"/>
  <c r="Z536" i="33260"/>
  <c r="N536" i="33260"/>
  <c r="BI535" i="33260"/>
  <c r="AV535" i="33260"/>
  <c r="AI535" i="33260"/>
  <c r="V535" i="33260"/>
  <c r="J535" i="33260"/>
  <c r="BE534" i="33260"/>
  <c r="AR534" i="33260"/>
  <c r="AE534" i="33260"/>
  <c r="R534" i="33260"/>
  <c r="F534" i="33260"/>
  <c r="BA533" i="33260"/>
  <c r="AN533" i="33260"/>
  <c r="AA533" i="33260"/>
  <c r="Z564" i="33260"/>
  <c r="AJ561" i="33260"/>
  <c r="T559" i="33260"/>
  <c r="T557" i="33260"/>
  <c r="AW555" i="33260"/>
  <c r="W554" i="33260"/>
  <c r="AW553" i="33260"/>
  <c r="Q553" i="33260"/>
  <c r="AS552" i="33260"/>
  <c r="M552" i="33260"/>
  <c r="AM551" i="33260"/>
  <c r="E551" i="33260"/>
  <c r="AE550" i="33260"/>
  <c r="BI549" i="33260"/>
  <c r="AA549" i="33260"/>
  <c r="BB548" i="33260"/>
  <c r="V548" i="33260"/>
  <c r="AW547" i="33260"/>
  <c r="S547" i="33260"/>
  <c r="AY546" i="33260"/>
  <c r="W546" i="33260"/>
  <c r="BG545" i="33260"/>
  <c r="AL545" i="33260"/>
  <c r="S545" i="33260"/>
  <c r="BF544" i="33260"/>
  <c r="AL544" i="33260"/>
  <c r="Q544" i="33260"/>
  <c r="BD543" i="33260"/>
  <c r="AK543" i="33260"/>
  <c r="P543" i="33260"/>
  <c r="BC542" i="33260"/>
  <c r="AH542" i="33260"/>
  <c r="N542" i="33260"/>
  <c r="BF541" i="33260"/>
  <c r="AS541" i="33260"/>
  <c r="AF541" i="33260"/>
  <c r="S541" i="33260"/>
  <c r="F541" i="33260"/>
  <c r="BB540" i="33260"/>
  <c r="AO540" i="33260"/>
  <c r="AB540" i="33260"/>
  <c r="O540" i="33260"/>
  <c r="BJ539" i="33260"/>
  <c r="AX539" i="33260"/>
  <c r="AK539" i="33260"/>
  <c r="X539" i="33260"/>
  <c r="K539" i="33260"/>
  <c r="BF538" i="33260"/>
  <c r="AT538" i="33260"/>
  <c r="AG538" i="33260"/>
  <c r="T538" i="33260"/>
  <c r="G538" i="33260"/>
  <c r="BB537" i="33260"/>
  <c r="AP537" i="33260"/>
  <c r="AC537" i="33260"/>
  <c r="P537" i="33260"/>
  <c r="BK536" i="33260"/>
  <c r="AX536" i="33260"/>
  <c r="AL536" i="33260"/>
  <c r="Y536" i="33260"/>
  <c r="L536" i="33260"/>
  <c r="BG535" i="33260"/>
  <c r="AT535" i="33260"/>
  <c r="AH535" i="33260"/>
  <c r="U535" i="33260"/>
  <c r="H535" i="33260"/>
  <c r="BC534" i="33260"/>
  <c r="AP534" i="33260"/>
  <c r="AD534" i="33260"/>
  <c r="Q534" i="33260"/>
  <c r="D534" i="33260"/>
  <c r="AY533" i="33260"/>
  <c r="AL533" i="33260"/>
  <c r="Z533" i="33260"/>
  <c r="M533" i="33260"/>
  <c r="BH532" i="33260"/>
  <c r="AU532" i="33260"/>
  <c r="AH532" i="33260"/>
  <c r="V532" i="33260"/>
  <c r="I532" i="33260"/>
  <c r="BD531" i="33260"/>
  <c r="AQ531" i="33260"/>
  <c r="AD531" i="33260"/>
  <c r="AC569" i="33260"/>
  <c r="AV556" i="33260"/>
  <c r="AU553" i="33260"/>
  <c r="AA552" i="33260"/>
  <c r="BA550" i="33260"/>
  <c r="W549" i="33260"/>
  <c r="F548" i="33260"/>
  <c r="AO546" i="33260"/>
  <c r="AK545" i="33260"/>
  <c r="AU544" i="33260"/>
  <c r="AX543" i="33260"/>
  <c r="AZ542" i="33260"/>
  <c r="D542" i="33260"/>
  <c r="AA541" i="33260"/>
  <c r="AZ540" i="33260"/>
  <c r="V540" i="33260"/>
  <c r="AS539" i="33260"/>
  <c r="J539" i="33260"/>
  <c r="AM538" i="33260"/>
  <c r="BJ537" i="33260"/>
  <c r="AA537" i="33260"/>
  <c r="BE536" i="33260"/>
  <c r="T536" i="33260"/>
  <c r="AS535" i="33260"/>
  <c r="N535" i="33260"/>
  <c r="AL534" i="33260"/>
  <c r="BJ533" i="33260"/>
  <c r="AF533" i="33260"/>
  <c r="BJ532" i="33260"/>
  <c r="AJ532" i="33260"/>
  <c r="J532" i="33260"/>
  <c r="AS531" i="33260"/>
  <c r="Z531" i="33260"/>
  <c r="F531" i="33260"/>
  <c r="AZ530" i="33260"/>
  <c r="AL530" i="33260"/>
  <c r="W530" i="33260"/>
  <c r="I530" i="33260"/>
  <c r="BB529" i="33260"/>
  <c r="AL529" i="33260"/>
  <c r="X529" i="33260"/>
  <c r="J529" i="33260"/>
  <c r="BE528" i="33260"/>
  <c r="AR528" i="33260"/>
  <c r="AE528" i="33260"/>
  <c r="R528" i="33260"/>
  <c r="F528" i="33260"/>
  <c r="BA527" i="33260"/>
  <c r="AN527" i="33260"/>
  <c r="AA527" i="33260"/>
  <c r="N527" i="33260"/>
  <c r="BJ526" i="33260"/>
  <c r="AW526" i="33260"/>
  <c r="AJ526" i="33260"/>
  <c r="Z526" i="33260"/>
  <c r="R526" i="33260"/>
  <c r="J526" i="33260"/>
  <c r="BJ525" i="33260"/>
  <c r="BB525" i="33260"/>
  <c r="AT525" i="33260"/>
  <c r="AL525" i="33260"/>
  <c r="AD525" i="33260"/>
  <c r="V525" i="33260"/>
  <c r="N525" i="33260"/>
  <c r="F525" i="33260"/>
  <c r="BF524" i="33260"/>
  <c r="AX524" i="33260"/>
  <c r="AP524" i="33260"/>
  <c r="AH524" i="33260"/>
  <c r="Z524" i="33260"/>
  <c r="R524" i="33260"/>
  <c r="J524" i="33260"/>
  <c r="BJ523" i="33260"/>
  <c r="BB523" i="33260"/>
  <c r="AT523" i="33260"/>
  <c r="AL523" i="33260"/>
  <c r="AD523" i="33260"/>
  <c r="V523" i="33260"/>
  <c r="N523" i="33260"/>
  <c r="F523" i="33260"/>
  <c r="BF522" i="33260"/>
  <c r="AX522" i="33260"/>
  <c r="AP522" i="33260"/>
  <c r="AH522" i="33260"/>
  <c r="Z522" i="33260"/>
  <c r="R522" i="33260"/>
  <c r="L567" i="33260"/>
  <c r="AF556" i="33260"/>
  <c r="AI553" i="33260"/>
  <c r="F552" i="33260"/>
  <c r="AW550" i="33260"/>
  <c r="O549" i="33260"/>
  <c r="AS547" i="33260"/>
  <c r="AK546" i="33260"/>
  <c r="AF545" i="33260"/>
  <c r="AH544" i="33260"/>
  <c r="AT543" i="33260"/>
  <c r="AU542" i="33260"/>
  <c r="BD541" i="33260"/>
  <c r="Z541" i="33260"/>
  <c r="AW540" i="33260"/>
  <c r="N540" i="33260"/>
  <c r="AQ539" i="33260"/>
  <c r="F539" i="33260"/>
  <c r="AE538" i="33260"/>
  <c r="BI537" i="33260"/>
  <c r="X537" i="33260"/>
  <c r="AW536" i="33260"/>
  <c r="R536" i="33260"/>
  <c r="AP535" i="33260"/>
  <c r="F535" i="33260"/>
  <c r="AJ534" i="33260"/>
  <c r="BG533" i="33260"/>
  <c r="X533" i="33260"/>
  <c r="BF532" i="33260"/>
  <c r="AG532" i="33260"/>
  <c r="G532" i="33260"/>
  <c r="AP531" i="33260"/>
  <c r="X531" i="33260"/>
  <c r="E531" i="33260"/>
  <c r="AX530" i="33260"/>
  <c r="AJ530" i="33260"/>
  <c r="V530" i="33260"/>
  <c r="G530" i="33260"/>
  <c r="AY529" i="33260"/>
  <c r="AK529" i="33260"/>
  <c r="V529" i="33260"/>
  <c r="H529" i="33260"/>
  <c r="BC528" i="33260"/>
  <c r="AP528" i="33260"/>
  <c r="AD528" i="33260"/>
  <c r="Q528" i="33260"/>
  <c r="D528" i="33260"/>
  <c r="AY527" i="33260"/>
  <c r="AL527" i="33260"/>
  <c r="Z527" i="33260"/>
  <c r="M527" i="33260"/>
  <c r="BH526" i="33260"/>
  <c r="AU526" i="33260"/>
  <c r="AH526" i="33260"/>
  <c r="Y526" i="33260"/>
  <c r="Q526" i="33260"/>
  <c r="I526" i="33260"/>
  <c r="BI525" i="33260"/>
  <c r="BA525" i="33260"/>
  <c r="AS525" i="33260"/>
  <c r="AK525" i="33260"/>
  <c r="AC525" i="33260"/>
  <c r="U525" i="33260"/>
  <c r="M525" i="33260"/>
  <c r="E525" i="33260"/>
  <c r="BE524" i="33260"/>
  <c r="AW524" i="33260"/>
  <c r="AO524" i="33260"/>
  <c r="AG524" i="33260"/>
  <c r="Y524" i="33260"/>
  <c r="Q524" i="33260"/>
  <c r="I524" i="33260"/>
  <c r="BI523" i="33260"/>
  <c r="BA523" i="33260"/>
  <c r="AS523" i="33260"/>
  <c r="AK523" i="33260"/>
  <c r="AC523" i="33260"/>
  <c r="U523" i="33260"/>
  <c r="M523" i="33260"/>
  <c r="E523" i="33260"/>
  <c r="BE522" i="33260"/>
  <c r="AW522" i="33260"/>
  <c r="AO522" i="33260"/>
  <c r="AG522" i="33260"/>
  <c r="Y522" i="33260"/>
  <c r="BF562" i="33260"/>
  <c r="AK555" i="33260"/>
  <c r="AH553" i="33260"/>
  <c r="BG551" i="33260"/>
  <c r="AD550" i="33260"/>
  <c r="J549" i="33260"/>
  <c r="AK547" i="33260"/>
  <c r="S546" i="33260"/>
  <c r="AC545" i="33260"/>
  <c r="AD544" i="33260"/>
  <c r="AH543" i="33260"/>
  <c r="AT542" i="33260"/>
  <c r="BA541" i="33260"/>
  <c r="R541" i="33260"/>
  <c r="AU540" i="33260"/>
  <c r="J540" i="33260"/>
  <c r="AI539" i="33260"/>
  <c r="E539" i="33260"/>
  <c r="AB538" i="33260"/>
  <c r="BA537" i="33260"/>
  <c r="V537" i="33260"/>
  <c r="AT536" i="33260"/>
  <c r="J536" i="33260"/>
  <c r="AN535" i="33260"/>
  <c r="BK534" i="33260"/>
  <c r="AB534" i="33260"/>
  <c r="BF533" i="33260"/>
  <c r="U533" i="33260"/>
  <c r="BC532" i="33260"/>
  <c r="AD532" i="33260"/>
  <c r="D532" i="33260"/>
  <c r="AN531" i="33260"/>
  <c r="S531" i="33260"/>
  <c r="BK530" i="33260"/>
  <c r="AW530" i="33260"/>
  <c r="AH530" i="33260"/>
  <c r="T530" i="33260"/>
  <c r="D530" i="33260"/>
  <c r="AX529" i="33260"/>
  <c r="AI529" i="33260"/>
  <c r="U529" i="33260"/>
  <c r="F529" i="33260"/>
  <c r="BB528" i="33260"/>
  <c r="AO528" i="33260"/>
  <c r="AB528" i="33260"/>
  <c r="O528" i="33260"/>
  <c r="BJ527" i="33260"/>
  <c r="AX527" i="33260"/>
  <c r="AK527" i="33260"/>
  <c r="X527" i="33260"/>
  <c r="K527" i="33260"/>
  <c r="BF526" i="33260"/>
  <c r="AT526" i="33260"/>
  <c r="AG526" i="33260"/>
  <c r="X526" i="33260"/>
  <c r="P526" i="33260"/>
  <c r="H526" i="33260"/>
  <c r="BH525" i="33260"/>
  <c r="AZ525" i="33260"/>
  <c r="AR525" i="33260"/>
  <c r="AJ525" i="33260"/>
  <c r="AB525" i="33260"/>
  <c r="T525" i="33260"/>
  <c r="L525" i="33260"/>
  <c r="D525" i="33260"/>
  <c r="BD524" i="33260"/>
  <c r="AV524" i="33260"/>
  <c r="AN524" i="33260"/>
  <c r="AF524" i="33260"/>
  <c r="X524" i="33260"/>
  <c r="P524" i="33260"/>
  <c r="H524" i="33260"/>
  <c r="BH523" i="33260"/>
  <c r="AZ523" i="33260"/>
  <c r="AR523" i="33260"/>
  <c r="AJ523" i="33260"/>
  <c r="AB523" i="33260"/>
  <c r="T523" i="33260"/>
  <c r="L523" i="33260"/>
  <c r="D523" i="33260"/>
  <c r="BD522" i="33260"/>
  <c r="AV522" i="33260"/>
  <c r="AN522" i="33260"/>
  <c r="AF522" i="33260"/>
  <c r="X522" i="33260"/>
  <c r="AV562" i="33260"/>
  <c r="Q555" i="33260"/>
  <c r="M553" i="33260"/>
  <c r="BA551" i="33260"/>
  <c r="V550" i="33260"/>
  <c r="AW548" i="33260"/>
  <c r="AG547" i="33260"/>
  <c r="M546" i="33260"/>
  <c r="P545" i="33260"/>
  <c r="AB544" i="33260"/>
  <c r="AC543" i="33260"/>
  <c r="AG542" i="33260"/>
  <c r="AY541" i="33260"/>
  <c r="N541" i="33260"/>
  <c r="AM540" i="33260"/>
  <c r="I540" i="33260"/>
  <c r="AF539" i="33260"/>
  <c r="BE538" i="33260"/>
  <c r="Z538" i="33260"/>
  <c r="AX537" i="33260"/>
  <c r="N537" i="33260"/>
  <c r="AR536" i="33260"/>
  <c r="G536" i="33260"/>
  <c r="AF535" i="33260"/>
  <c r="BJ534" i="33260"/>
  <c r="Y534" i="33260"/>
  <c r="AX533" i="33260"/>
  <c r="S533" i="33260"/>
  <c r="BB532" i="33260"/>
  <c r="AB532" i="33260"/>
  <c r="BJ531" i="33260"/>
  <c r="AL531" i="33260"/>
  <c r="R531" i="33260"/>
  <c r="BJ530" i="33260"/>
  <c r="AU530" i="33260"/>
  <c r="AG530" i="33260"/>
  <c r="Q530" i="33260"/>
  <c r="BJ529" i="33260"/>
  <c r="AV529" i="33260"/>
  <c r="AH529" i="33260"/>
  <c r="S529" i="33260"/>
  <c r="E529" i="33260"/>
  <c r="AZ528" i="33260"/>
  <c r="AM528" i="33260"/>
  <c r="Z528" i="33260"/>
  <c r="N528" i="33260"/>
  <c r="BI527" i="33260"/>
  <c r="AV527" i="33260"/>
  <c r="AI527" i="33260"/>
  <c r="V527" i="33260"/>
  <c r="J527" i="33260"/>
  <c r="BE526" i="33260"/>
  <c r="AR526" i="33260"/>
  <c r="AE526" i="33260"/>
  <c r="W526" i="33260"/>
  <c r="O526" i="33260"/>
  <c r="G526" i="33260"/>
  <c r="BG525" i="33260"/>
  <c r="AY525" i="33260"/>
  <c r="AQ525" i="33260"/>
  <c r="AI525" i="33260"/>
  <c r="AA525" i="33260"/>
  <c r="S525" i="33260"/>
  <c r="K525" i="33260"/>
  <c r="BK524" i="33260"/>
  <c r="BC524" i="33260"/>
  <c r="AU524" i="33260"/>
  <c r="AM524" i="33260"/>
  <c r="AE524" i="33260"/>
  <c r="W524" i="33260"/>
  <c r="O524" i="33260"/>
  <c r="G524" i="33260"/>
  <c r="BG523" i="33260"/>
  <c r="AY523" i="33260"/>
  <c r="AQ523" i="33260"/>
  <c r="AI523" i="33260"/>
  <c r="AA523" i="33260"/>
  <c r="S523" i="33260"/>
  <c r="K523" i="33260"/>
  <c r="BK522" i="33260"/>
  <c r="BC522" i="33260"/>
  <c r="AU522" i="33260"/>
  <c r="AV560" i="33260"/>
  <c r="D555" i="33260"/>
  <c r="E553" i="33260"/>
  <c r="AH551" i="33260"/>
  <c r="Q550" i="33260"/>
  <c r="AO548" i="33260"/>
  <c r="N547" i="33260"/>
  <c r="J546" i="33260"/>
  <c r="K545" i="33260"/>
  <c r="O544" i="33260"/>
  <c r="Z543" i="33260"/>
  <c r="Z542" i="33260"/>
  <c r="AQ541" i="33260"/>
  <c r="M541" i="33260"/>
  <c r="AJ540" i="33260"/>
  <c r="BI539" i="33260"/>
  <c r="AD539" i="33260"/>
  <c r="BB538" i="33260"/>
  <c r="R538" i="33260"/>
  <c r="AV537" i="33260"/>
  <c r="K537" i="33260"/>
  <c r="AJ536" i="33260"/>
  <c r="F536" i="33260"/>
  <c r="AC535" i="33260"/>
  <c r="BB534" i="33260"/>
  <c r="W534" i="33260"/>
  <c r="AT533" i="33260"/>
  <c r="N533" i="33260"/>
  <c r="AW532" i="33260"/>
  <c r="W532" i="33260"/>
  <c r="BF531" i="33260"/>
  <c r="AK531" i="33260"/>
  <c r="P531" i="33260"/>
  <c r="BH530" i="33260"/>
  <c r="AT530" i="33260"/>
  <c r="AD530" i="33260"/>
  <c r="O530" i="33260"/>
  <c r="BI529" i="33260"/>
  <c r="AT529" i="33260"/>
  <c r="AF529" i="33260"/>
  <c r="R529" i="33260"/>
  <c r="BK528" i="33260"/>
  <c r="AX528" i="33260"/>
  <c r="AL528" i="33260"/>
  <c r="Y528" i="33260"/>
  <c r="L528" i="33260"/>
  <c r="BG527" i="33260"/>
  <c r="AT527" i="33260"/>
  <c r="AH527" i="33260"/>
  <c r="U527" i="33260"/>
  <c r="H527" i="33260"/>
  <c r="BC526" i="33260"/>
  <c r="AP526" i="33260"/>
  <c r="AD526" i="33260"/>
  <c r="V526" i="33260"/>
  <c r="N526" i="33260"/>
  <c r="F526" i="33260"/>
  <c r="BF525" i="33260"/>
  <c r="AX525" i="33260"/>
  <c r="AP525" i="33260"/>
  <c r="AH525" i="33260"/>
  <c r="Z525" i="33260"/>
  <c r="R525" i="33260"/>
  <c r="J525" i="33260"/>
  <c r="BJ524" i="33260"/>
  <c r="BB524" i="33260"/>
  <c r="AT524" i="33260"/>
  <c r="AL524" i="33260"/>
  <c r="AD524" i="33260"/>
  <c r="V524" i="33260"/>
  <c r="N524" i="33260"/>
  <c r="F524" i="33260"/>
  <c r="BF523" i="33260"/>
  <c r="AX523" i="33260"/>
  <c r="AP523" i="33260"/>
  <c r="AH523" i="33260"/>
  <c r="Z523" i="33260"/>
  <c r="R523" i="33260"/>
  <c r="J523" i="33260"/>
  <c r="BJ522" i="33260"/>
  <c r="BB522" i="33260"/>
  <c r="AT522" i="33260"/>
  <c r="AL522" i="33260"/>
  <c r="AD522" i="33260"/>
  <c r="V522" i="33260"/>
  <c r="N522" i="33260"/>
  <c r="AF560" i="33260"/>
  <c r="Q554" i="33260"/>
  <c r="BI552" i="33260"/>
  <c r="Z551" i="33260"/>
  <c r="BE549" i="33260"/>
  <c r="AM548" i="33260"/>
  <c r="I547" i="33260"/>
  <c r="BF545" i="33260"/>
  <c r="H545" i="33260"/>
  <c r="I544" i="33260"/>
  <c r="M543" i="33260"/>
  <c r="Y542" i="33260"/>
  <c r="AN541" i="33260"/>
  <c r="E541" i="33260"/>
  <c r="AH540" i="33260"/>
  <c r="BF539" i="33260"/>
  <c r="V539" i="33260"/>
  <c r="AZ538" i="33260"/>
  <c r="O538" i="33260"/>
  <c r="AN537" i="33260"/>
  <c r="J537" i="33260"/>
  <c r="AG536" i="33260"/>
  <c r="BF535" i="33260"/>
  <c r="AA535" i="33260"/>
  <c r="AX534" i="33260"/>
  <c r="O534" i="33260"/>
  <c r="AS533" i="33260"/>
  <c r="K533" i="33260"/>
  <c r="AT532" i="33260"/>
  <c r="T532" i="33260"/>
  <c r="BB531" i="33260"/>
  <c r="AF531" i="33260"/>
  <c r="N531" i="33260"/>
  <c r="BF530" i="33260"/>
  <c r="AP530" i="33260"/>
  <c r="AB530" i="33260"/>
  <c r="N530" i="33260"/>
  <c r="BG529" i="33260"/>
  <c r="AS529" i="33260"/>
  <c r="AD529" i="33260"/>
  <c r="P529" i="33260"/>
  <c r="BJ528" i="33260"/>
  <c r="AW528" i="33260"/>
  <c r="AJ528" i="33260"/>
  <c r="W528" i="33260"/>
  <c r="J528" i="33260"/>
  <c r="BF527" i="33260"/>
  <c r="AS527" i="33260"/>
  <c r="AF527" i="33260"/>
  <c r="S527" i="33260"/>
  <c r="F527" i="33260"/>
  <c r="BB526" i="33260"/>
  <c r="AO526" i="33260"/>
  <c r="AC526" i="33260"/>
  <c r="U526" i="33260"/>
  <c r="M526" i="33260"/>
  <c r="E526" i="33260"/>
  <c r="BE525" i="33260"/>
  <c r="AW525" i="33260"/>
  <c r="AO525" i="33260"/>
  <c r="AG525" i="33260"/>
  <c r="Y525" i="33260"/>
  <c r="Q525" i="33260"/>
  <c r="I525" i="33260"/>
  <c r="BI524" i="33260"/>
  <c r="BA524" i="33260"/>
  <c r="AS524" i="33260"/>
  <c r="AK524" i="33260"/>
  <c r="AC524" i="33260"/>
  <c r="U524" i="33260"/>
  <c r="M524" i="33260"/>
  <c r="E524" i="33260"/>
  <c r="BE523" i="33260"/>
  <c r="AW523" i="33260"/>
  <c r="AO523" i="33260"/>
  <c r="AG523" i="33260"/>
  <c r="Y523" i="33260"/>
  <c r="Q523" i="33260"/>
  <c r="I523" i="33260"/>
  <c r="BI522" i="33260"/>
  <c r="BA522" i="33260"/>
  <c r="AS522" i="33260"/>
  <c r="AK522" i="33260"/>
  <c r="AC522" i="33260"/>
  <c r="U522" i="33260"/>
  <c r="AO558" i="33260"/>
  <c r="I554" i="33260"/>
  <c r="AM552" i="33260"/>
  <c r="W551" i="33260"/>
  <c r="AW549" i="33260"/>
  <c r="S548" i="33260"/>
  <c r="BK546" i="33260"/>
  <c r="AY545" i="33260"/>
  <c r="BC544" i="33260"/>
  <c r="G544" i="33260"/>
  <c r="H543" i="33260"/>
  <c r="L542" i="33260"/>
  <c r="AL541" i="33260"/>
  <c r="BJ540" i="33260"/>
  <c r="Z540" i="33260"/>
  <c r="BD539" i="33260"/>
  <c r="S539" i="33260"/>
  <c r="AR538" i="33260"/>
  <c r="N538" i="33260"/>
  <c r="AK537" i="33260"/>
  <c r="BJ536" i="33260"/>
  <c r="AE536" i="33260"/>
  <c r="BB535" i="33260"/>
  <c r="S535" i="33260"/>
  <c r="AW534" i="33260"/>
  <c r="L534" i="33260"/>
  <c r="AK533" i="33260"/>
  <c r="H533" i="33260"/>
  <c r="AP532" i="33260"/>
  <c r="Q532" i="33260"/>
  <c r="AY531" i="33260"/>
  <c r="AC531" i="33260"/>
  <c r="M531" i="33260"/>
  <c r="BC530" i="33260"/>
  <c r="AO530" i="33260"/>
  <c r="Z530" i="33260"/>
  <c r="L530" i="33260"/>
  <c r="BF529" i="33260"/>
  <c r="AQ529" i="33260"/>
  <c r="AC529" i="33260"/>
  <c r="M529" i="33260"/>
  <c r="BH528" i="33260"/>
  <c r="AU528" i="33260"/>
  <c r="AH528" i="33260"/>
  <c r="V528" i="33260"/>
  <c r="I528" i="33260"/>
  <c r="BD527" i="33260"/>
  <c r="AQ527" i="33260"/>
  <c r="AD527" i="33260"/>
  <c r="R527" i="33260"/>
  <c r="E527" i="33260"/>
  <c r="AZ526" i="33260"/>
  <c r="AM526" i="33260"/>
  <c r="AB526" i="33260"/>
  <c r="T526" i="33260"/>
  <c r="L526" i="33260"/>
  <c r="D526" i="33260"/>
  <c r="BD525" i="33260"/>
  <c r="AV525" i="33260"/>
  <c r="AN525" i="33260"/>
  <c r="AF525" i="33260"/>
  <c r="X525" i="33260"/>
  <c r="P525" i="33260"/>
  <c r="H525" i="33260"/>
  <c r="BH524" i="33260"/>
  <c r="AZ524" i="33260"/>
  <c r="AR524" i="33260"/>
  <c r="AJ524" i="33260"/>
  <c r="AB524" i="33260"/>
  <c r="T524" i="33260"/>
  <c r="L524" i="33260"/>
  <c r="D524" i="33260"/>
  <c r="BD523" i="33260"/>
  <c r="AV523" i="33260"/>
  <c r="AN523" i="33260"/>
  <c r="AF523" i="33260"/>
  <c r="X523" i="33260"/>
  <c r="P523" i="33260"/>
  <c r="H523" i="33260"/>
  <c r="BH522" i="33260"/>
  <c r="AZ522" i="33260"/>
  <c r="AR522" i="33260"/>
  <c r="AJ522" i="33260"/>
  <c r="AB522" i="33260"/>
  <c r="T522" i="33260"/>
  <c r="P558" i="33260"/>
  <c r="AX544" i="33260"/>
  <c r="R539" i="33260"/>
  <c r="AO534" i="33260"/>
  <c r="K531" i="33260"/>
  <c r="K529" i="33260"/>
  <c r="AC527" i="33260"/>
  <c r="BK525" i="33260"/>
  <c r="BG524" i="33260"/>
  <c r="BC523" i="33260"/>
  <c r="AY522" i="33260"/>
  <c r="Q522" i="33260"/>
  <c r="H522" i="33260"/>
  <c r="BH521" i="33260"/>
  <c r="AZ521" i="33260"/>
  <c r="AR521" i="33260"/>
  <c r="AJ521" i="33260"/>
  <c r="AB521" i="33260"/>
  <c r="T521" i="33260"/>
  <c r="L521" i="33260"/>
  <c r="D521" i="33260"/>
  <c r="BD520" i="33260"/>
  <c r="AV520" i="33260"/>
  <c r="AN520" i="33260"/>
  <c r="AF520" i="33260"/>
  <c r="X520" i="33260"/>
  <c r="P520" i="33260"/>
  <c r="H520" i="33260"/>
  <c r="BH519" i="33260"/>
  <c r="AZ519" i="33260"/>
  <c r="AR519" i="33260"/>
  <c r="AJ519" i="33260"/>
  <c r="AB519" i="33260"/>
  <c r="T519" i="33260"/>
  <c r="L519" i="33260"/>
  <c r="D519" i="33260"/>
  <c r="BD518" i="33260"/>
  <c r="AV518" i="33260"/>
  <c r="AN518" i="33260"/>
  <c r="AF518" i="33260"/>
  <c r="X518" i="33260"/>
  <c r="P518" i="33260"/>
  <c r="H518" i="33260"/>
  <c r="BH517" i="33260"/>
  <c r="AZ517" i="33260"/>
  <c r="AR517" i="33260"/>
  <c r="AJ517" i="33260"/>
  <c r="AB517" i="33260"/>
  <c r="T517" i="33260"/>
  <c r="L517" i="33260"/>
  <c r="D517" i="33260"/>
  <c r="BD516" i="33260"/>
  <c r="AV516" i="33260"/>
  <c r="AN516" i="33260"/>
  <c r="AF516" i="33260"/>
  <c r="X516" i="33260"/>
  <c r="P516" i="33260"/>
  <c r="H516" i="33260"/>
  <c r="BH515" i="33260"/>
  <c r="AZ515" i="33260"/>
  <c r="AR515" i="33260"/>
  <c r="AJ515" i="33260"/>
  <c r="AB515" i="33260"/>
  <c r="T515" i="33260"/>
  <c r="L515" i="33260"/>
  <c r="D515" i="33260"/>
  <c r="BD514" i="33260"/>
  <c r="AV514" i="33260"/>
  <c r="AN514" i="33260"/>
  <c r="AF514" i="33260"/>
  <c r="X514" i="33260"/>
  <c r="P514" i="33260"/>
  <c r="H514" i="33260"/>
  <c r="BH513" i="33260"/>
  <c r="AZ513" i="33260"/>
  <c r="AR513" i="33260"/>
  <c r="AJ513" i="33260"/>
  <c r="AB513" i="33260"/>
  <c r="T513" i="33260"/>
  <c r="L513" i="33260"/>
  <c r="D513" i="33260"/>
  <c r="BD512" i="33260"/>
  <c r="AV512" i="33260"/>
  <c r="AN512" i="33260"/>
  <c r="AF512" i="33260"/>
  <c r="X512" i="33260"/>
  <c r="P512" i="33260"/>
  <c r="H512" i="33260"/>
  <c r="G554" i="33260"/>
  <c r="BB543" i="33260"/>
  <c r="AO538" i="33260"/>
  <c r="J534" i="33260"/>
  <c r="BB530" i="33260"/>
  <c r="BF528" i="33260"/>
  <c r="P527" i="33260"/>
  <c r="BC525" i="33260"/>
  <c r="AY524" i="33260"/>
  <c r="AU523" i="33260"/>
  <c r="AQ522" i="33260"/>
  <c r="P522" i="33260"/>
  <c r="G522" i="33260"/>
  <c r="BG521" i="33260"/>
  <c r="AY521" i="33260"/>
  <c r="AQ521" i="33260"/>
  <c r="AI521" i="33260"/>
  <c r="AA521" i="33260"/>
  <c r="S521" i="33260"/>
  <c r="K521" i="33260"/>
  <c r="BK520" i="33260"/>
  <c r="BC520" i="33260"/>
  <c r="AU520" i="33260"/>
  <c r="AM520" i="33260"/>
  <c r="AE520" i="33260"/>
  <c r="W520" i="33260"/>
  <c r="O520" i="33260"/>
  <c r="G520" i="33260"/>
  <c r="BG519" i="33260"/>
  <c r="AY519" i="33260"/>
  <c r="AQ519" i="33260"/>
  <c r="AI519" i="33260"/>
  <c r="AA519" i="33260"/>
  <c r="S519" i="33260"/>
  <c r="K519" i="33260"/>
  <c r="BK518" i="33260"/>
  <c r="BC518" i="33260"/>
  <c r="AU518" i="33260"/>
  <c r="AM518" i="33260"/>
  <c r="AE518" i="33260"/>
  <c r="W518" i="33260"/>
  <c r="O518" i="33260"/>
  <c r="G518" i="33260"/>
  <c r="BG517" i="33260"/>
  <c r="AY517" i="33260"/>
  <c r="AQ517" i="33260"/>
  <c r="AI517" i="33260"/>
  <c r="AA517" i="33260"/>
  <c r="S517" i="33260"/>
  <c r="K517" i="33260"/>
  <c r="BK516" i="33260"/>
  <c r="BC516" i="33260"/>
  <c r="AU516" i="33260"/>
  <c r="AM516" i="33260"/>
  <c r="AE516" i="33260"/>
  <c r="W516" i="33260"/>
  <c r="O516" i="33260"/>
  <c r="G516" i="33260"/>
  <c r="BG515" i="33260"/>
  <c r="AY515" i="33260"/>
  <c r="AQ515" i="33260"/>
  <c r="AI515" i="33260"/>
  <c r="AA515" i="33260"/>
  <c r="S515" i="33260"/>
  <c r="K515" i="33260"/>
  <c r="BK514" i="33260"/>
  <c r="BC514" i="33260"/>
  <c r="AU514" i="33260"/>
  <c r="AM514" i="33260"/>
  <c r="AE514" i="33260"/>
  <c r="W514" i="33260"/>
  <c r="O514" i="33260"/>
  <c r="G514" i="33260"/>
  <c r="BG513" i="33260"/>
  <c r="AY513" i="33260"/>
  <c r="AQ513" i="33260"/>
  <c r="AI513" i="33260"/>
  <c r="AA513" i="33260"/>
  <c r="S513" i="33260"/>
  <c r="K513" i="33260"/>
  <c r="BK512" i="33260"/>
  <c r="BC512" i="33260"/>
  <c r="AU512" i="33260"/>
  <c r="AM512" i="33260"/>
  <c r="AE512" i="33260"/>
  <c r="W512" i="33260"/>
  <c r="O512" i="33260"/>
  <c r="G512" i="33260"/>
  <c r="BG511" i="33260"/>
  <c r="AE552" i="33260"/>
  <c r="E543" i="33260"/>
  <c r="F538" i="33260"/>
  <c r="AH533" i="33260"/>
  <c r="AM530" i="33260"/>
  <c r="AT528" i="33260"/>
  <c r="BK526" i="33260"/>
  <c r="AU525" i="33260"/>
  <c r="AQ524" i="33260"/>
  <c r="AM523" i="33260"/>
  <c r="AM522" i="33260"/>
  <c r="O522" i="33260"/>
  <c r="F522" i="33260"/>
  <c r="BF521" i="33260"/>
  <c r="AX521" i="33260"/>
  <c r="AP521" i="33260"/>
  <c r="AH521" i="33260"/>
  <c r="Z521" i="33260"/>
  <c r="R521" i="33260"/>
  <c r="J521" i="33260"/>
  <c r="BJ520" i="33260"/>
  <c r="BB520" i="33260"/>
  <c r="AT520" i="33260"/>
  <c r="AL520" i="33260"/>
  <c r="AD520" i="33260"/>
  <c r="V520" i="33260"/>
  <c r="N520" i="33260"/>
  <c r="F520" i="33260"/>
  <c r="BF519" i="33260"/>
  <c r="AX519" i="33260"/>
  <c r="AP519" i="33260"/>
  <c r="AH519" i="33260"/>
  <c r="Z519" i="33260"/>
  <c r="R519" i="33260"/>
  <c r="J519" i="33260"/>
  <c r="BJ518" i="33260"/>
  <c r="BB518" i="33260"/>
  <c r="AT518" i="33260"/>
  <c r="AL518" i="33260"/>
  <c r="AD518" i="33260"/>
  <c r="V518" i="33260"/>
  <c r="N518" i="33260"/>
  <c r="F518" i="33260"/>
  <c r="BF517" i="33260"/>
  <c r="AX517" i="33260"/>
  <c r="AP517" i="33260"/>
  <c r="AH517" i="33260"/>
  <c r="Z517" i="33260"/>
  <c r="R517" i="33260"/>
  <c r="J517" i="33260"/>
  <c r="BJ516" i="33260"/>
  <c r="BB516" i="33260"/>
  <c r="AT516" i="33260"/>
  <c r="AL516" i="33260"/>
  <c r="AD516" i="33260"/>
  <c r="V516" i="33260"/>
  <c r="N516" i="33260"/>
  <c r="F516" i="33260"/>
  <c r="BF515" i="33260"/>
  <c r="AX515" i="33260"/>
  <c r="AP515" i="33260"/>
  <c r="AH515" i="33260"/>
  <c r="Z515" i="33260"/>
  <c r="R515" i="33260"/>
  <c r="J515" i="33260"/>
  <c r="BJ514" i="33260"/>
  <c r="BB514" i="33260"/>
  <c r="AT514" i="33260"/>
  <c r="AL514" i="33260"/>
  <c r="AD514" i="33260"/>
  <c r="V514" i="33260"/>
  <c r="N514" i="33260"/>
  <c r="F514" i="33260"/>
  <c r="BF513" i="33260"/>
  <c r="AX513" i="33260"/>
  <c r="AP513" i="33260"/>
  <c r="AH513" i="33260"/>
  <c r="Z513" i="33260"/>
  <c r="R513" i="33260"/>
  <c r="J513" i="33260"/>
  <c r="BJ512" i="33260"/>
  <c r="BB512" i="33260"/>
  <c r="AT512" i="33260"/>
  <c r="AL512" i="33260"/>
  <c r="AD512" i="33260"/>
  <c r="V512" i="33260"/>
  <c r="N512" i="33260"/>
  <c r="F512" i="33260"/>
  <c r="BF511" i="33260"/>
  <c r="BJ550" i="33260"/>
  <c r="G542" i="33260"/>
  <c r="AI537" i="33260"/>
  <c r="F533" i="33260"/>
  <c r="Y530" i="33260"/>
  <c r="AG528" i="33260"/>
  <c r="AX526" i="33260"/>
  <c r="AM525" i="33260"/>
  <c r="AI524" i="33260"/>
  <c r="AE523" i="33260"/>
  <c r="AI522" i="33260"/>
  <c r="M522" i="33260"/>
  <c r="E522" i="33260"/>
  <c r="BE521" i="33260"/>
  <c r="AW521" i="33260"/>
  <c r="AO521" i="33260"/>
  <c r="AG521" i="33260"/>
  <c r="Y521" i="33260"/>
  <c r="Q521" i="33260"/>
  <c r="I521" i="33260"/>
  <c r="BI520" i="33260"/>
  <c r="BA520" i="33260"/>
  <c r="AS520" i="33260"/>
  <c r="AK520" i="33260"/>
  <c r="AC520" i="33260"/>
  <c r="U520" i="33260"/>
  <c r="M520" i="33260"/>
  <c r="E520" i="33260"/>
  <c r="BE519" i="33260"/>
  <c r="AW519" i="33260"/>
  <c r="AO519" i="33260"/>
  <c r="AG519" i="33260"/>
  <c r="Y519" i="33260"/>
  <c r="Q519" i="33260"/>
  <c r="I519" i="33260"/>
  <c r="BI518" i="33260"/>
  <c r="BA518" i="33260"/>
  <c r="AS518" i="33260"/>
  <c r="AK518" i="33260"/>
  <c r="AC518" i="33260"/>
  <c r="U518" i="33260"/>
  <c r="M518" i="33260"/>
  <c r="E518" i="33260"/>
  <c r="BE517" i="33260"/>
  <c r="AW517" i="33260"/>
  <c r="AO517" i="33260"/>
  <c r="AG517" i="33260"/>
  <c r="Y517" i="33260"/>
  <c r="Q517" i="33260"/>
  <c r="I517" i="33260"/>
  <c r="BI516" i="33260"/>
  <c r="BA516" i="33260"/>
  <c r="AS516" i="33260"/>
  <c r="AK516" i="33260"/>
  <c r="AC516" i="33260"/>
  <c r="U516" i="33260"/>
  <c r="M516" i="33260"/>
  <c r="E516" i="33260"/>
  <c r="BE515" i="33260"/>
  <c r="AW515" i="33260"/>
  <c r="AO515" i="33260"/>
  <c r="AG515" i="33260"/>
  <c r="Y515" i="33260"/>
  <c r="Q515" i="33260"/>
  <c r="I515" i="33260"/>
  <c r="BI514" i="33260"/>
  <c r="BA514" i="33260"/>
  <c r="AS514" i="33260"/>
  <c r="AK514" i="33260"/>
  <c r="AC514" i="33260"/>
  <c r="U514" i="33260"/>
  <c r="M514" i="33260"/>
  <c r="E514" i="33260"/>
  <c r="BE513" i="33260"/>
  <c r="AW513" i="33260"/>
  <c r="AO513" i="33260"/>
  <c r="AG513" i="33260"/>
  <c r="Y513" i="33260"/>
  <c r="Q513" i="33260"/>
  <c r="I513" i="33260"/>
  <c r="BI512" i="33260"/>
  <c r="BA512" i="33260"/>
  <c r="AS512" i="33260"/>
  <c r="AK512" i="33260"/>
  <c r="AC512" i="33260"/>
  <c r="AQ549" i="33260"/>
  <c r="AD541" i="33260"/>
  <c r="BF536" i="33260"/>
  <c r="AO532" i="33260"/>
  <c r="J530" i="33260"/>
  <c r="T528" i="33260"/>
  <c r="AL526" i="33260"/>
  <c r="AE525" i="33260"/>
  <c r="AA524" i="33260"/>
  <c r="W523" i="33260"/>
  <c r="AE522" i="33260"/>
  <c r="L522" i="33260"/>
  <c r="D522" i="33260"/>
  <c r="BD521" i="33260"/>
  <c r="AV521" i="33260"/>
  <c r="AN521" i="33260"/>
  <c r="AF521" i="33260"/>
  <c r="X521" i="33260"/>
  <c r="P521" i="33260"/>
  <c r="H521" i="33260"/>
  <c r="BH520" i="33260"/>
  <c r="AZ520" i="33260"/>
  <c r="AR520" i="33260"/>
  <c r="AJ520" i="33260"/>
  <c r="AB520" i="33260"/>
  <c r="T520" i="33260"/>
  <c r="L520" i="33260"/>
  <c r="D520" i="33260"/>
  <c r="BD519" i="33260"/>
  <c r="AV519" i="33260"/>
  <c r="AN519" i="33260"/>
  <c r="AF519" i="33260"/>
  <c r="X519" i="33260"/>
  <c r="P519" i="33260"/>
  <c r="H519" i="33260"/>
  <c r="BH518" i="33260"/>
  <c r="AZ518" i="33260"/>
  <c r="AR518" i="33260"/>
  <c r="AJ518" i="33260"/>
  <c r="AB518" i="33260"/>
  <c r="T518" i="33260"/>
  <c r="L518" i="33260"/>
  <c r="D518" i="33260"/>
  <c r="BD517" i="33260"/>
  <c r="AV517" i="33260"/>
  <c r="AN517" i="33260"/>
  <c r="AF517" i="33260"/>
  <c r="X517" i="33260"/>
  <c r="P517" i="33260"/>
  <c r="H517" i="33260"/>
  <c r="BH516" i="33260"/>
  <c r="AZ516" i="33260"/>
  <c r="AR516" i="33260"/>
  <c r="AJ516" i="33260"/>
  <c r="AB516" i="33260"/>
  <c r="T516" i="33260"/>
  <c r="L516" i="33260"/>
  <c r="D516" i="33260"/>
  <c r="BD515" i="33260"/>
  <c r="AV515" i="33260"/>
  <c r="AN515" i="33260"/>
  <c r="AF515" i="33260"/>
  <c r="X515" i="33260"/>
  <c r="P515" i="33260"/>
  <c r="H515" i="33260"/>
  <c r="BH514" i="33260"/>
  <c r="AZ514" i="33260"/>
  <c r="AR514" i="33260"/>
  <c r="AJ514" i="33260"/>
  <c r="AB514" i="33260"/>
  <c r="T514" i="33260"/>
  <c r="L514" i="33260"/>
  <c r="D514" i="33260"/>
  <c r="BD513" i="33260"/>
  <c r="AV513" i="33260"/>
  <c r="AN513" i="33260"/>
  <c r="AF513" i="33260"/>
  <c r="X513" i="33260"/>
  <c r="P513" i="33260"/>
  <c r="H513" i="33260"/>
  <c r="BH512" i="33260"/>
  <c r="AZ512" i="33260"/>
  <c r="AR512" i="33260"/>
  <c r="AJ512" i="33260"/>
  <c r="AB512" i="33260"/>
  <c r="T512" i="33260"/>
  <c r="AX545" i="33260"/>
  <c r="AV539" i="33260"/>
  <c r="P535" i="33260"/>
  <c r="AA531" i="33260"/>
  <c r="Z529" i="33260"/>
  <c r="AP527" i="33260"/>
  <c r="K526" i="33260"/>
  <c r="G525" i="33260"/>
  <c r="BK523" i="33260"/>
  <c r="BG522" i="33260"/>
  <c r="S522" i="33260"/>
  <c r="I522" i="33260"/>
  <c r="BI521" i="33260"/>
  <c r="BA521" i="33260"/>
  <c r="AS521" i="33260"/>
  <c r="AK521" i="33260"/>
  <c r="AC521" i="33260"/>
  <c r="U521" i="33260"/>
  <c r="M521" i="33260"/>
  <c r="E521" i="33260"/>
  <c r="BE520" i="33260"/>
  <c r="AW520" i="33260"/>
  <c r="AO520" i="33260"/>
  <c r="AG520" i="33260"/>
  <c r="Y520" i="33260"/>
  <c r="Q520" i="33260"/>
  <c r="I520" i="33260"/>
  <c r="BI519" i="33260"/>
  <c r="BA519" i="33260"/>
  <c r="AS519" i="33260"/>
  <c r="AK519" i="33260"/>
  <c r="AC519" i="33260"/>
  <c r="U519" i="33260"/>
  <c r="M519" i="33260"/>
  <c r="E519" i="33260"/>
  <c r="BE518" i="33260"/>
  <c r="AW518" i="33260"/>
  <c r="AO518" i="33260"/>
  <c r="AG518" i="33260"/>
  <c r="Y518" i="33260"/>
  <c r="Q518" i="33260"/>
  <c r="I518" i="33260"/>
  <c r="BI517" i="33260"/>
  <c r="BA517" i="33260"/>
  <c r="AS517" i="33260"/>
  <c r="AK517" i="33260"/>
  <c r="AC517" i="33260"/>
  <c r="U517" i="33260"/>
  <c r="M517" i="33260"/>
  <c r="E517" i="33260"/>
  <c r="BE516" i="33260"/>
  <c r="AW516" i="33260"/>
  <c r="AO516" i="33260"/>
  <c r="AG516" i="33260"/>
  <c r="Y516" i="33260"/>
  <c r="Q516" i="33260"/>
  <c r="I516" i="33260"/>
  <c r="BI515" i="33260"/>
  <c r="BA515" i="33260"/>
  <c r="AS515" i="33260"/>
  <c r="AK515" i="33260"/>
  <c r="AC515" i="33260"/>
  <c r="U515" i="33260"/>
  <c r="M515" i="33260"/>
  <c r="E515" i="33260"/>
  <c r="BE514" i="33260"/>
  <c r="AW514" i="33260"/>
  <c r="AO514" i="33260"/>
  <c r="AG514" i="33260"/>
  <c r="Y514" i="33260"/>
  <c r="Q514" i="33260"/>
  <c r="I514" i="33260"/>
  <c r="BI513" i="33260"/>
  <c r="BA513" i="33260"/>
  <c r="AS513" i="33260"/>
  <c r="AK513" i="33260"/>
  <c r="AC513" i="33260"/>
  <c r="U513" i="33260"/>
  <c r="M513" i="33260"/>
  <c r="E513" i="33260"/>
  <c r="BE512" i="33260"/>
  <c r="AW512" i="33260"/>
  <c r="AO512" i="33260"/>
  <c r="AG512" i="33260"/>
  <c r="Y512" i="33260"/>
  <c r="Q512" i="33260"/>
  <c r="I548" i="33260"/>
  <c r="BD529" i="33260"/>
  <c r="S524" i="33260"/>
  <c r="BK521" i="33260"/>
  <c r="AE521" i="33260"/>
  <c r="BG520" i="33260"/>
  <c r="AA520" i="33260"/>
  <c r="BC519" i="33260"/>
  <c r="W519" i="33260"/>
  <c r="AY518" i="33260"/>
  <c r="S518" i="33260"/>
  <c r="AU517" i="33260"/>
  <c r="O517" i="33260"/>
  <c r="AQ516" i="33260"/>
  <c r="K516" i="33260"/>
  <c r="AM515" i="33260"/>
  <c r="G515" i="33260"/>
  <c r="AI514" i="33260"/>
  <c r="BK513" i="33260"/>
  <c r="AE513" i="33260"/>
  <c r="BG512" i="33260"/>
  <c r="AA512" i="33260"/>
  <c r="J512" i="33260"/>
  <c r="BE511" i="33260"/>
  <c r="AW511" i="33260"/>
  <c r="AO511" i="33260"/>
  <c r="AG511" i="33260"/>
  <c r="Y511" i="33260"/>
  <c r="Q511" i="33260"/>
  <c r="I511" i="33260"/>
  <c r="BI510" i="33260"/>
  <c r="BA510" i="33260"/>
  <c r="AS510" i="33260"/>
  <c r="AK510" i="33260"/>
  <c r="AC510" i="33260"/>
  <c r="U510" i="33260"/>
  <c r="M510" i="33260"/>
  <c r="E510" i="33260"/>
  <c r="BE509" i="33260"/>
  <c r="AW509" i="33260"/>
  <c r="AO509" i="33260"/>
  <c r="AG509" i="33260"/>
  <c r="Y509" i="33260"/>
  <c r="Q509" i="33260"/>
  <c r="I509" i="33260"/>
  <c r="BI508" i="33260"/>
  <c r="BA508" i="33260"/>
  <c r="AS508" i="33260"/>
  <c r="AK508" i="33260"/>
  <c r="AC508" i="33260"/>
  <c r="U508" i="33260"/>
  <c r="M508" i="33260"/>
  <c r="E508" i="33260"/>
  <c r="BE507" i="33260"/>
  <c r="AW507" i="33260"/>
  <c r="AO507" i="33260"/>
  <c r="AG507" i="33260"/>
  <c r="Y507" i="33260"/>
  <c r="Q507" i="33260"/>
  <c r="I507" i="33260"/>
  <c r="BI506" i="33260"/>
  <c r="BA506" i="33260"/>
  <c r="AS506" i="33260"/>
  <c r="AK506" i="33260"/>
  <c r="AC506" i="33260"/>
  <c r="U506" i="33260"/>
  <c r="M506" i="33260"/>
  <c r="E506" i="33260"/>
  <c r="BE505" i="33260"/>
  <c r="AW505" i="33260"/>
  <c r="AO505" i="33260"/>
  <c r="AG505" i="33260"/>
  <c r="Y505" i="33260"/>
  <c r="Q505" i="33260"/>
  <c r="I505" i="33260"/>
  <c r="BI504" i="33260"/>
  <c r="BA504" i="33260"/>
  <c r="AS504" i="33260"/>
  <c r="AK504" i="33260"/>
  <c r="AC504" i="33260"/>
  <c r="U504" i="33260"/>
  <c r="M504" i="33260"/>
  <c r="E504" i="33260"/>
  <c r="BE503" i="33260"/>
  <c r="AW503" i="33260"/>
  <c r="AO503" i="33260"/>
  <c r="AG503" i="33260"/>
  <c r="Y503" i="33260"/>
  <c r="Q503" i="33260"/>
  <c r="I503" i="33260"/>
  <c r="BI502" i="33260"/>
  <c r="BA502" i="33260"/>
  <c r="AS502" i="33260"/>
  <c r="AK502" i="33260"/>
  <c r="AC502" i="33260"/>
  <c r="U502" i="33260"/>
  <c r="M502" i="33260"/>
  <c r="E502" i="33260"/>
  <c r="BE501" i="33260"/>
  <c r="AW501" i="33260"/>
  <c r="AO501" i="33260"/>
  <c r="AG501" i="33260"/>
  <c r="Y501" i="33260"/>
  <c r="Q501" i="33260"/>
  <c r="I501" i="33260"/>
  <c r="BI500" i="33260"/>
  <c r="BA500" i="33260"/>
  <c r="AS500" i="33260"/>
  <c r="AK500" i="33260"/>
  <c r="AC500" i="33260"/>
  <c r="U500" i="33260"/>
  <c r="M500" i="33260"/>
  <c r="E500" i="33260"/>
  <c r="BE499" i="33260"/>
  <c r="AW499" i="33260"/>
  <c r="AO499" i="33260"/>
  <c r="AG499" i="33260"/>
  <c r="Y499" i="33260"/>
  <c r="Q499" i="33260"/>
  <c r="I499" i="33260"/>
  <c r="BI498" i="33260"/>
  <c r="BA498" i="33260"/>
  <c r="AS498" i="33260"/>
  <c r="AK498" i="33260"/>
  <c r="AC498" i="33260"/>
  <c r="U498" i="33260"/>
  <c r="M498" i="33260"/>
  <c r="E498" i="33260"/>
  <c r="BE497" i="33260"/>
  <c r="AW497" i="33260"/>
  <c r="AO497" i="33260"/>
  <c r="AG497" i="33260"/>
  <c r="Y497" i="33260"/>
  <c r="Q497" i="33260"/>
  <c r="I497" i="33260"/>
  <c r="BI496" i="33260"/>
  <c r="BA496" i="33260"/>
  <c r="AS496" i="33260"/>
  <c r="AK496" i="33260"/>
  <c r="AC496" i="33260"/>
  <c r="U496" i="33260"/>
  <c r="M496" i="33260"/>
  <c r="E496" i="33260"/>
  <c r="BE495" i="33260"/>
  <c r="AW495" i="33260"/>
  <c r="AO495" i="33260"/>
  <c r="AG495" i="33260"/>
  <c r="Y495" i="33260"/>
  <c r="Q495" i="33260"/>
  <c r="I495" i="33260"/>
  <c r="BI494" i="33260"/>
  <c r="BA494" i="33260"/>
  <c r="AS494" i="33260"/>
  <c r="AK494" i="33260"/>
  <c r="AC494" i="33260"/>
  <c r="U494" i="33260"/>
  <c r="M494" i="33260"/>
  <c r="E494" i="33260"/>
  <c r="BE493" i="33260"/>
  <c r="AW493" i="33260"/>
  <c r="AO493" i="33260"/>
  <c r="AG493" i="33260"/>
  <c r="Y493" i="33260"/>
  <c r="Q493" i="33260"/>
  <c r="I493" i="33260"/>
  <c r="BI492" i="33260"/>
  <c r="BA492" i="33260"/>
  <c r="AS492" i="33260"/>
  <c r="AK492" i="33260"/>
  <c r="AC492" i="33260"/>
  <c r="AU546" i="33260"/>
  <c r="AP529" i="33260"/>
  <c r="K524" i="33260"/>
  <c r="BJ521" i="33260"/>
  <c r="AD521" i="33260"/>
  <c r="BF520" i="33260"/>
  <c r="Z520" i="33260"/>
  <c r="BB519" i="33260"/>
  <c r="V519" i="33260"/>
  <c r="AX518" i="33260"/>
  <c r="R518" i="33260"/>
  <c r="AT517" i="33260"/>
  <c r="N517" i="33260"/>
  <c r="AP516" i="33260"/>
  <c r="J516" i="33260"/>
  <c r="AL515" i="33260"/>
  <c r="F515" i="33260"/>
  <c r="AH514" i="33260"/>
  <c r="BJ513" i="33260"/>
  <c r="AD513" i="33260"/>
  <c r="BF512" i="33260"/>
  <c r="Z512" i="33260"/>
  <c r="I512" i="33260"/>
  <c r="BD511" i="33260"/>
  <c r="AV511" i="33260"/>
  <c r="AN511" i="33260"/>
  <c r="AF511" i="33260"/>
  <c r="X511" i="33260"/>
  <c r="P511" i="33260"/>
  <c r="H511" i="33260"/>
  <c r="BH510" i="33260"/>
  <c r="AZ510" i="33260"/>
  <c r="AR510" i="33260"/>
  <c r="AJ510" i="33260"/>
  <c r="AB510" i="33260"/>
  <c r="T510" i="33260"/>
  <c r="L510" i="33260"/>
  <c r="D510" i="33260"/>
  <c r="BD509" i="33260"/>
  <c r="AV509" i="33260"/>
  <c r="AN509" i="33260"/>
  <c r="AF509" i="33260"/>
  <c r="X509" i="33260"/>
  <c r="P509" i="33260"/>
  <c r="H509" i="33260"/>
  <c r="BH508" i="33260"/>
  <c r="AZ508" i="33260"/>
  <c r="AR508" i="33260"/>
  <c r="AJ508" i="33260"/>
  <c r="AB508" i="33260"/>
  <c r="T508" i="33260"/>
  <c r="L508" i="33260"/>
  <c r="D508" i="33260"/>
  <c r="BD507" i="33260"/>
  <c r="AV507" i="33260"/>
  <c r="AN507" i="33260"/>
  <c r="AF507" i="33260"/>
  <c r="X507" i="33260"/>
  <c r="P507" i="33260"/>
  <c r="H507" i="33260"/>
  <c r="BH506" i="33260"/>
  <c r="AZ506" i="33260"/>
  <c r="AR506" i="33260"/>
  <c r="AJ506" i="33260"/>
  <c r="AB506" i="33260"/>
  <c r="T506" i="33260"/>
  <c r="L506" i="33260"/>
  <c r="D506" i="33260"/>
  <c r="BD505" i="33260"/>
  <c r="AV505" i="33260"/>
  <c r="AN505" i="33260"/>
  <c r="AF505" i="33260"/>
  <c r="X505" i="33260"/>
  <c r="P505" i="33260"/>
  <c r="H505" i="33260"/>
  <c r="BH504" i="33260"/>
  <c r="AZ504" i="33260"/>
  <c r="AR504" i="33260"/>
  <c r="AJ504" i="33260"/>
  <c r="AB504" i="33260"/>
  <c r="T504" i="33260"/>
  <c r="L504" i="33260"/>
  <c r="D504" i="33260"/>
  <c r="BD503" i="33260"/>
  <c r="AV503" i="33260"/>
  <c r="AN503" i="33260"/>
  <c r="AF503" i="33260"/>
  <c r="X503" i="33260"/>
  <c r="P503" i="33260"/>
  <c r="H503" i="33260"/>
  <c r="BH502" i="33260"/>
  <c r="AZ502" i="33260"/>
  <c r="AR502" i="33260"/>
  <c r="AJ502" i="33260"/>
  <c r="AB502" i="33260"/>
  <c r="T502" i="33260"/>
  <c r="L502" i="33260"/>
  <c r="D502" i="33260"/>
  <c r="BD501" i="33260"/>
  <c r="AV501" i="33260"/>
  <c r="AN501" i="33260"/>
  <c r="AF501" i="33260"/>
  <c r="X501" i="33260"/>
  <c r="P501" i="33260"/>
  <c r="H501" i="33260"/>
  <c r="BH500" i="33260"/>
  <c r="AZ500" i="33260"/>
  <c r="AR500" i="33260"/>
  <c r="AJ500" i="33260"/>
  <c r="AB500" i="33260"/>
  <c r="T500" i="33260"/>
  <c r="L500" i="33260"/>
  <c r="D500" i="33260"/>
  <c r="BD499" i="33260"/>
  <c r="AV499" i="33260"/>
  <c r="AN499" i="33260"/>
  <c r="AF499" i="33260"/>
  <c r="X499" i="33260"/>
  <c r="P499" i="33260"/>
  <c r="H499" i="33260"/>
  <c r="BH498" i="33260"/>
  <c r="AZ498" i="33260"/>
  <c r="AR498" i="33260"/>
  <c r="AJ498" i="33260"/>
  <c r="AB498" i="33260"/>
  <c r="T498" i="33260"/>
  <c r="L498" i="33260"/>
  <c r="D498" i="33260"/>
  <c r="BD497" i="33260"/>
  <c r="AV497" i="33260"/>
  <c r="AN497" i="33260"/>
  <c r="AF497" i="33260"/>
  <c r="X497" i="33260"/>
  <c r="P497" i="33260"/>
  <c r="H497" i="33260"/>
  <c r="BH496" i="33260"/>
  <c r="AZ496" i="33260"/>
  <c r="AR496" i="33260"/>
  <c r="AJ496" i="33260"/>
  <c r="BH540" i="33260"/>
  <c r="G528" i="33260"/>
  <c r="O523" i="33260"/>
  <c r="BC521" i="33260"/>
  <c r="W521" i="33260"/>
  <c r="AY520" i="33260"/>
  <c r="S520" i="33260"/>
  <c r="AU519" i="33260"/>
  <c r="O519" i="33260"/>
  <c r="AQ518" i="33260"/>
  <c r="K518" i="33260"/>
  <c r="AM517" i="33260"/>
  <c r="G517" i="33260"/>
  <c r="AI516" i="33260"/>
  <c r="BK515" i="33260"/>
  <c r="AE515" i="33260"/>
  <c r="BG514" i="33260"/>
  <c r="AA514" i="33260"/>
  <c r="BC513" i="33260"/>
  <c r="W513" i="33260"/>
  <c r="AY512" i="33260"/>
  <c r="U512" i="33260"/>
  <c r="E512" i="33260"/>
  <c r="BC511" i="33260"/>
  <c r="AU511" i="33260"/>
  <c r="AM511" i="33260"/>
  <c r="AE511" i="33260"/>
  <c r="W511" i="33260"/>
  <c r="O511" i="33260"/>
  <c r="G511" i="33260"/>
  <c r="BG510" i="33260"/>
  <c r="AY510" i="33260"/>
  <c r="AQ510" i="33260"/>
  <c r="AI510" i="33260"/>
  <c r="AA510" i="33260"/>
  <c r="S510" i="33260"/>
  <c r="K510" i="33260"/>
  <c r="BK509" i="33260"/>
  <c r="BC509" i="33260"/>
  <c r="AU509" i="33260"/>
  <c r="AM509" i="33260"/>
  <c r="AE509" i="33260"/>
  <c r="W509" i="33260"/>
  <c r="O509" i="33260"/>
  <c r="G509" i="33260"/>
  <c r="BG508" i="33260"/>
  <c r="AY508" i="33260"/>
  <c r="AQ508" i="33260"/>
  <c r="AI508" i="33260"/>
  <c r="AA508" i="33260"/>
  <c r="S508" i="33260"/>
  <c r="K508" i="33260"/>
  <c r="BK507" i="33260"/>
  <c r="BC507" i="33260"/>
  <c r="AU507" i="33260"/>
  <c r="AM507" i="33260"/>
  <c r="AE507" i="33260"/>
  <c r="W507" i="33260"/>
  <c r="O507" i="33260"/>
  <c r="G507" i="33260"/>
  <c r="BG506" i="33260"/>
  <c r="AY506" i="33260"/>
  <c r="AQ506" i="33260"/>
  <c r="AI506" i="33260"/>
  <c r="AA506" i="33260"/>
  <c r="S506" i="33260"/>
  <c r="K506" i="33260"/>
  <c r="BK505" i="33260"/>
  <c r="BC505" i="33260"/>
  <c r="AU505" i="33260"/>
  <c r="AM505" i="33260"/>
  <c r="AE505" i="33260"/>
  <c r="W505" i="33260"/>
  <c r="O505" i="33260"/>
  <c r="G505" i="33260"/>
  <c r="BG504" i="33260"/>
  <c r="AY504" i="33260"/>
  <c r="AQ504" i="33260"/>
  <c r="AI504" i="33260"/>
  <c r="AA504" i="33260"/>
  <c r="S504" i="33260"/>
  <c r="K504" i="33260"/>
  <c r="BK503" i="33260"/>
  <c r="BC503" i="33260"/>
  <c r="AU503" i="33260"/>
  <c r="AM503" i="33260"/>
  <c r="AE503" i="33260"/>
  <c r="W503" i="33260"/>
  <c r="O503" i="33260"/>
  <c r="G503" i="33260"/>
  <c r="BG502" i="33260"/>
  <c r="AY502" i="33260"/>
  <c r="AQ502" i="33260"/>
  <c r="AI502" i="33260"/>
  <c r="AA502" i="33260"/>
  <c r="S502" i="33260"/>
  <c r="K502" i="33260"/>
  <c r="BK501" i="33260"/>
  <c r="BC501" i="33260"/>
  <c r="AU501" i="33260"/>
  <c r="AM501" i="33260"/>
  <c r="AE501" i="33260"/>
  <c r="W501" i="33260"/>
  <c r="O501" i="33260"/>
  <c r="G501" i="33260"/>
  <c r="BG500" i="33260"/>
  <c r="AY500" i="33260"/>
  <c r="AQ500" i="33260"/>
  <c r="AI500" i="33260"/>
  <c r="AA500" i="33260"/>
  <c r="S500" i="33260"/>
  <c r="K500" i="33260"/>
  <c r="BK499" i="33260"/>
  <c r="BC499" i="33260"/>
  <c r="AU499" i="33260"/>
  <c r="AM499" i="33260"/>
  <c r="AE499" i="33260"/>
  <c r="W499" i="33260"/>
  <c r="O499" i="33260"/>
  <c r="G499" i="33260"/>
  <c r="BG498" i="33260"/>
  <c r="AY498" i="33260"/>
  <c r="AQ498" i="33260"/>
  <c r="AI498" i="33260"/>
  <c r="AA498" i="33260"/>
  <c r="S498" i="33260"/>
  <c r="K498" i="33260"/>
  <c r="BK497" i="33260"/>
  <c r="BC497" i="33260"/>
  <c r="AU497" i="33260"/>
  <c r="AM497" i="33260"/>
  <c r="AE497" i="33260"/>
  <c r="W497" i="33260"/>
  <c r="O497" i="33260"/>
  <c r="G497" i="33260"/>
  <c r="BG496" i="33260"/>
  <c r="AY496" i="33260"/>
  <c r="AQ496" i="33260"/>
  <c r="AI496" i="33260"/>
  <c r="AA496" i="33260"/>
  <c r="S496" i="33260"/>
  <c r="K496" i="33260"/>
  <c r="BK495" i="33260"/>
  <c r="BC495" i="33260"/>
  <c r="AU495" i="33260"/>
  <c r="AM495" i="33260"/>
  <c r="AE495" i="33260"/>
  <c r="W495" i="33260"/>
  <c r="O495" i="33260"/>
  <c r="G495" i="33260"/>
  <c r="BG494" i="33260"/>
  <c r="AY494" i="33260"/>
  <c r="AQ494" i="33260"/>
  <c r="AI494" i="33260"/>
  <c r="AA494" i="33260"/>
  <c r="S494" i="33260"/>
  <c r="K494" i="33260"/>
  <c r="BK493" i="33260"/>
  <c r="BC493" i="33260"/>
  <c r="AU493" i="33260"/>
  <c r="AM493" i="33260"/>
  <c r="AE493" i="33260"/>
  <c r="W493" i="33260"/>
  <c r="O493" i="33260"/>
  <c r="G493" i="33260"/>
  <c r="BG492" i="33260"/>
  <c r="AY492" i="33260"/>
  <c r="AQ492" i="33260"/>
  <c r="AI492" i="33260"/>
  <c r="AA492" i="33260"/>
  <c r="S492" i="33260"/>
  <c r="W540" i="33260"/>
  <c r="BB527" i="33260"/>
  <c r="G523" i="33260"/>
  <c r="BB521" i="33260"/>
  <c r="V521" i="33260"/>
  <c r="AX520" i="33260"/>
  <c r="R520" i="33260"/>
  <c r="AT519" i="33260"/>
  <c r="N519" i="33260"/>
  <c r="AP518" i="33260"/>
  <c r="J518" i="33260"/>
  <c r="AL517" i="33260"/>
  <c r="F517" i="33260"/>
  <c r="AH516" i="33260"/>
  <c r="BJ515" i="33260"/>
  <c r="AD515" i="33260"/>
  <c r="BF514" i="33260"/>
  <c r="Z514" i="33260"/>
  <c r="BB513" i="33260"/>
  <c r="V513" i="33260"/>
  <c r="AX512" i="33260"/>
  <c r="S512" i="33260"/>
  <c r="D512" i="33260"/>
  <c r="BB511" i="33260"/>
  <c r="AT511" i="33260"/>
  <c r="AL511" i="33260"/>
  <c r="AD511" i="33260"/>
  <c r="V511" i="33260"/>
  <c r="N511" i="33260"/>
  <c r="F511" i="33260"/>
  <c r="BF510" i="33260"/>
  <c r="AX510" i="33260"/>
  <c r="AP510" i="33260"/>
  <c r="AH510" i="33260"/>
  <c r="Z510" i="33260"/>
  <c r="R510" i="33260"/>
  <c r="J510" i="33260"/>
  <c r="BJ509" i="33260"/>
  <c r="BB509" i="33260"/>
  <c r="AT509" i="33260"/>
  <c r="AL509" i="33260"/>
  <c r="AD509" i="33260"/>
  <c r="V509" i="33260"/>
  <c r="N509" i="33260"/>
  <c r="F509" i="33260"/>
  <c r="BF508" i="33260"/>
  <c r="AX508" i="33260"/>
  <c r="AP508" i="33260"/>
  <c r="AH508" i="33260"/>
  <c r="Z508" i="33260"/>
  <c r="R508" i="33260"/>
  <c r="J508" i="33260"/>
  <c r="BJ507" i="33260"/>
  <c r="BB507" i="33260"/>
  <c r="AT507" i="33260"/>
  <c r="AL507" i="33260"/>
  <c r="AD507" i="33260"/>
  <c r="V507" i="33260"/>
  <c r="N507" i="33260"/>
  <c r="F507" i="33260"/>
  <c r="BF506" i="33260"/>
  <c r="AX506" i="33260"/>
  <c r="AP506" i="33260"/>
  <c r="AH506" i="33260"/>
  <c r="Z506" i="33260"/>
  <c r="R506" i="33260"/>
  <c r="J506" i="33260"/>
  <c r="BJ505" i="33260"/>
  <c r="BB505" i="33260"/>
  <c r="AT505" i="33260"/>
  <c r="AL505" i="33260"/>
  <c r="AD505" i="33260"/>
  <c r="V505" i="33260"/>
  <c r="N505" i="33260"/>
  <c r="F505" i="33260"/>
  <c r="BF504" i="33260"/>
  <c r="AX504" i="33260"/>
  <c r="AP504" i="33260"/>
  <c r="AH504" i="33260"/>
  <c r="Z504" i="33260"/>
  <c r="R504" i="33260"/>
  <c r="J504" i="33260"/>
  <c r="BJ503" i="33260"/>
  <c r="BB503" i="33260"/>
  <c r="AT503" i="33260"/>
  <c r="AL503" i="33260"/>
  <c r="AD503" i="33260"/>
  <c r="V503" i="33260"/>
  <c r="N503" i="33260"/>
  <c r="F503" i="33260"/>
  <c r="BF502" i="33260"/>
  <c r="AX502" i="33260"/>
  <c r="AP502" i="33260"/>
  <c r="AH502" i="33260"/>
  <c r="Z502" i="33260"/>
  <c r="R502" i="33260"/>
  <c r="J502" i="33260"/>
  <c r="BJ501" i="33260"/>
  <c r="BB501" i="33260"/>
  <c r="AT501" i="33260"/>
  <c r="AL501" i="33260"/>
  <c r="AD501" i="33260"/>
  <c r="V501" i="33260"/>
  <c r="N501" i="33260"/>
  <c r="F501" i="33260"/>
  <c r="BF500" i="33260"/>
  <c r="AX500" i="33260"/>
  <c r="AP500" i="33260"/>
  <c r="AH500" i="33260"/>
  <c r="Z500" i="33260"/>
  <c r="R500" i="33260"/>
  <c r="J500" i="33260"/>
  <c r="BJ499" i="33260"/>
  <c r="BB499" i="33260"/>
  <c r="AT499" i="33260"/>
  <c r="AL499" i="33260"/>
  <c r="AD499" i="33260"/>
  <c r="V499" i="33260"/>
  <c r="N499" i="33260"/>
  <c r="F499" i="33260"/>
  <c r="BF498" i="33260"/>
  <c r="AX498" i="33260"/>
  <c r="AP498" i="33260"/>
  <c r="AH498" i="33260"/>
  <c r="Z498" i="33260"/>
  <c r="R498" i="33260"/>
  <c r="J498" i="33260"/>
  <c r="BJ497" i="33260"/>
  <c r="BB497" i="33260"/>
  <c r="AT497" i="33260"/>
  <c r="AL497" i="33260"/>
  <c r="AD497" i="33260"/>
  <c r="V497" i="33260"/>
  <c r="N497" i="33260"/>
  <c r="F497" i="33260"/>
  <c r="BF496" i="33260"/>
  <c r="AX496" i="33260"/>
  <c r="AP496" i="33260"/>
  <c r="AH496" i="33260"/>
  <c r="Z496" i="33260"/>
  <c r="R496" i="33260"/>
  <c r="J496" i="33260"/>
  <c r="BJ495" i="33260"/>
  <c r="BB495" i="33260"/>
  <c r="AT495" i="33260"/>
  <c r="AL495" i="33260"/>
  <c r="AD495" i="33260"/>
  <c r="V495" i="33260"/>
  <c r="N495" i="33260"/>
  <c r="F495" i="33260"/>
  <c r="BF494" i="33260"/>
  <c r="AX494" i="33260"/>
  <c r="AP494" i="33260"/>
  <c r="AH494" i="33260"/>
  <c r="Z494" i="33260"/>
  <c r="R494" i="33260"/>
  <c r="J494" i="33260"/>
  <c r="BJ493" i="33260"/>
  <c r="BB493" i="33260"/>
  <c r="AT493" i="33260"/>
  <c r="AL493" i="33260"/>
  <c r="AD493" i="33260"/>
  <c r="V493" i="33260"/>
  <c r="N493" i="33260"/>
  <c r="F493" i="33260"/>
  <c r="BF492" i="33260"/>
  <c r="AX492" i="33260"/>
  <c r="AP492" i="33260"/>
  <c r="AH492" i="33260"/>
  <c r="Z492" i="33260"/>
  <c r="W536" i="33260"/>
  <c r="AA526" i="33260"/>
  <c r="AA522" i="33260"/>
  <c r="AU521" i="33260"/>
  <c r="O521" i="33260"/>
  <c r="AQ520" i="33260"/>
  <c r="K520" i="33260"/>
  <c r="AM519" i="33260"/>
  <c r="G519" i="33260"/>
  <c r="AI518" i="33260"/>
  <c r="BK517" i="33260"/>
  <c r="AE517" i="33260"/>
  <c r="BG516" i="33260"/>
  <c r="AA516" i="33260"/>
  <c r="BC515" i="33260"/>
  <c r="W515" i="33260"/>
  <c r="AY514" i="33260"/>
  <c r="S514" i="33260"/>
  <c r="AU513" i="33260"/>
  <c r="O513" i="33260"/>
  <c r="AQ512" i="33260"/>
  <c r="R512" i="33260"/>
  <c r="BK511" i="33260"/>
  <c r="BA511" i="33260"/>
  <c r="AS511" i="33260"/>
  <c r="AK511" i="33260"/>
  <c r="AC511" i="33260"/>
  <c r="U511" i="33260"/>
  <c r="M511" i="33260"/>
  <c r="E511" i="33260"/>
  <c r="BE510" i="33260"/>
  <c r="AW510" i="33260"/>
  <c r="AO510" i="33260"/>
  <c r="AG510" i="33260"/>
  <c r="Y510" i="33260"/>
  <c r="Q510" i="33260"/>
  <c r="I510" i="33260"/>
  <c r="BI509" i="33260"/>
  <c r="BA509" i="33260"/>
  <c r="AS509" i="33260"/>
  <c r="AK509" i="33260"/>
  <c r="AC509" i="33260"/>
  <c r="U509" i="33260"/>
  <c r="M509" i="33260"/>
  <c r="E509" i="33260"/>
  <c r="BE508" i="33260"/>
  <c r="AW508" i="33260"/>
  <c r="AO508" i="33260"/>
  <c r="AG508" i="33260"/>
  <c r="Y508" i="33260"/>
  <c r="Q508" i="33260"/>
  <c r="I508" i="33260"/>
  <c r="BI507" i="33260"/>
  <c r="BA507" i="33260"/>
  <c r="AS507" i="33260"/>
  <c r="AK507" i="33260"/>
  <c r="AC507" i="33260"/>
  <c r="U507" i="33260"/>
  <c r="M507" i="33260"/>
  <c r="E507" i="33260"/>
  <c r="BE506" i="33260"/>
  <c r="AW506" i="33260"/>
  <c r="AO506" i="33260"/>
  <c r="AG506" i="33260"/>
  <c r="Y506" i="33260"/>
  <c r="Q506" i="33260"/>
  <c r="I506" i="33260"/>
  <c r="BI505" i="33260"/>
  <c r="BA505" i="33260"/>
  <c r="AS505" i="33260"/>
  <c r="AK505" i="33260"/>
  <c r="AC505" i="33260"/>
  <c r="U505" i="33260"/>
  <c r="M505" i="33260"/>
  <c r="E505" i="33260"/>
  <c r="BE504" i="33260"/>
  <c r="AW504" i="33260"/>
  <c r="AO504" i="33260"/>
  <c r="AG504" i="33260"/>
  <c r="Y504" i="33260"/>
  <c r="Q504" i="33260"/>
  <c r="I504" i="33260"/>
  <c r="BI503" i="33260"/>
  <c r="BA503" i="33260"/>
  <c r="AS503" i="33260"/>
  <c r="AK503" i="33260"/>
  <c r="AC503" i="33260"/>
  <c r="U503" i="33260"/>
  <c r="M503" i="33260"/>
  <c r="E503" i="33260"/>
  <c r="BE502" i="33260"/>
  <c r="AW502" i="33260"/>
  <c r="AO502" i="33260"/>
  <c r="AG502" i="33260"/>
  <c r="Y502" i="33260"/>
  <c r="Q502" i="33260"/>
  <c r="I502" i="33260"/>
  <c r="BI501" i="33260"/>
  <c r="BA501" i="33260"/>
  <c r="AS501" i="33260"/>
  <c r="AK501" i="33260"/>
  <c r="AC501" i="33260"/>
  <c r="U501" i="33260"/>
  <c r="M501" i="33260"/>
  <c r="E501" i="33260"/>
  <c r="BE500" i="33260"/>
  <c r="AW500" i="33260"/>
  <c r="AO500" i="33260"/>
  <c r="AG500" i="33260"/>
  <c r="Y500" i="33260"/>
  <c r="Q500" i="33260"/>
  <c r="I500" i="33260"/>
  <c r="BI499" i="33260"/>
  <c r="BA499" i="33260"/>
  <c r="AS499" i="33260"/>
  <c r="AK499" i="33260"/>
  <c r="AC499" i="33260"/>
  <c r="U499" i="33260"/>
  <c r="M499" i="33260"/>
  <c r="E499" i="33260"/>
  <c r="BE498" i="33260"/>
  <c r="AW498" i="33260"/>
  <c r="AO498" i="33260"/>
  <c r="AG498" i="33260"/>
  <c r="Y498" i="33260"/>
  <c r="Q498" i="33260"/>
  <c r="I498" i="33260"/>
  <c r="BI497" i="33260"/>
  <c r="BA497" i="33260"/>
  <c r="AS497" i="33260"/>
  <c r="AK497" i="33260"/>
  <c r="AC497" i="33260"/>
  <c r="U497" i="33260"/>
  <c r="M497" i="33260"/>
  <c r="E497" i="33260"/>
  <c r="BE496" i="33260"/>
  <c r="AW496" i="33260"/>
  <c r="AO496" i="33260"/>
  <c r="AG496" i="33260"/>
  <c r="Y496" i="33260"/>
  <c r="Q496" i="33260"/>
  <c r="I496" i="33260"/>
  <c r="BI495" i="33260"/>
  <c r="BA495" i="33260"/>
  <c r="AS495" i="33260"/>
  <c r="AK495" i="33260"/>
  <c r="AC495" i="33260"/>
  <c r="U495" i="33260"/>
  <c r="M495" i="33260"/>
  <c r="E495" i="33260"/>
  <c r="BE494" i="33260"/>
  <c r="AW494" i="33260"/>
  <c r="AO494" i="33260"/>
  <c r="AG494" i="33260"/>
  <c r="Y494" i="33260"/>
  <c r="Q494" i="33260"/>
  <c r="I494" i="33260"/>
  <c r="BI493" i="33260"/>
  <c r="BA493" i="33260"/>
  <c r="AS493" i="33260"/>
  <c r="AK493" i="33260"/>
  <c r="AC493" i="33260"/>
  <c r="U493" i="33260"/>
  <c r="M493" i="33260"/>
  <c r="E493" i="33260"/>
  <c r="BE492" i="33260"/>
  <c r="AW492" i="33260"/>
  <c r="AO492" i="33260"/>
  <c r="AG492" i="33260"/>
  <c r="Y492" i="33260"/>
  <c r="BA535" i="33260"/>
  <c r="S526" i="33260"/>
  <c r="W522" i="33260"/>
  <c r="AT521" i="33260"/>
  <c r="N521" i="33260"/>
  <c r="AP520" i="33260"/>
  <c r="J520" i="33260"/>
  <c r="AL519" i="33260"/>
  <c r="F519" i="33260"/>
  <c r="AH518" i="33260"/>
  <c r="BJ517" i="33260"/>
  <c r="AD517" i="33260"/>
  <c r="BF516" i="33260"/>
  <c r="Z516" i="33260"/>
  <c r="BB515" i="33260"/>
  <c r="V515" i="33260"/>
  <c r="AX514" i="33260"/>
  <c r="R514" i="33260"/>
  <c r="AT513" i="33260"/>
  <c r="N513" i="33260"/>
  <c r="AP512" i="33260"/>
  <c r="M512" i="33260"/>
  <c r="BJ511" i="33260"/>
  <c r="AZ511" i="33260"/>
  <c r="AR511" i="33260"/>
  <c r="AJ511" i="33260"/>
  <c r="AB511" i="33260"/>
  <c r="T511" i="33260"/>
  <c r="L511" i="33260"/>
  <c r="D511" i="33260"/>
  <c r="BD510" i="33260"/>
  <c r="AV510" i="33260"/>
  <c r="AN510" i="33260"/>
  <c r="AF510" i="33260"/>
  <c r="X510" i="33260"/>
  <c r="P510" i="33260"/>
  <c r="H510" i="33260"/>
  <c r="BH509" i="33260"/>
  <c r="AZ509" i="33260"/>
  <c r="AR509" i="33260"/>
  <c r="AJ509" i="33260"/>
  <c r="AB509" i="33260"/>
  <c r="T509" i="33260"/>
  <c r="L509" i="33260"/>
  <c r="D509" i="33260"/>
  <c r="BD508" i="33260"/>
  <c r="AV508" i="33260"/>
  <c r="AN508" i="33260"/>
  <c r="AF508" i="33260"/>
  <c r="X508" i="33260"/>
  <c r="P508" i="33260"/>
  <c r="H508" i="33260"/>
  <c r="BH507" i="33260"/>
  <c r="AZ507" i="33260"/>
  <c r="AR507" i="33260"/>
  <c r="AJ507" i="33260"/>
  <c r="AB507" i="33260"/>
  <c r="T507" i="33260"/>
  <c r="L507" i="33260"/>
  <c r="D507" i="33260"/>
  <c r="BD506" i="33260"/>
  <c r="AV506" i="33260"/>
  <c r="AN506" i="33260"/>
  <c r="AF506" i="33260"/>
  <c r="X506" i="33260"/>
  <c r="P506" i="33260"/>
  <c r="H506" i="33260"/>
  <c r="BH505" i="33260"/>
  <c r="AZ505" i="33260"/>
  <c r="AR505" i="33260"/>
  <c r="AJ505" i="33260"/>
  <c r="AB505" i="33260"/>
  <c r="T505" i="33260"/>
  <c r="L505" i="33260"/>
  <c r="D505" i="33260"/>
  <c r="BD504" i="33260"/>
  <c r="AV504" i="33260"/>
  <c r="AN504" i="33260"/>
  <c r="AF504" i="33260"/>
  <c r="X504" i="33260"/>
  <c r="P504" i="33260"/>
  <c r="H504" i="33260"/>
  <c r="BH503" i="33260"/>
  <c r="AZ503" i="33260"/>
  <c r="AR503" i="33260"/>
  <c r="AJ503" i="33260"/>
  <c r="AB503" i="33260"/>
  <c r="T503" i="33260"/>
  <c r="L503" i="33260"/>
  <c r="D503" i="33260"/>
  <c r="BD502" i="33260"/>
  <c r="AV502" i="33260"/>
  <c r="AN502" i="33260"/>
  <c r="AF502" i="33260"/>
  <c r="X502" i="33260"/>
  <c r="P502" i="33260"/>
  <c r="H502" i="33260"/>
  <c r="BH501" i="33260"/>
  <c r="AZ501" i="33260"/>
  <c r="AR501" i="33260"/>
  <c r="AJ501" i="33260"/>
  <c r="AB501" i="33260"/>
  <c r="T501" i="33260"/>
  <c r="L501" i="33260"/>
  <c r="D501" i="33260"/>
  <c r="BD500" i="33260"/>
  <c r="AV500" i="33260"/>
  <c r="AN500" i="33260"/>
  <c r="AF500" i="33260"/>
  <c r="X500" i="33260"/>
  <c r="P500" i="33260"/>
  <c r="H500" i="33260"/>
  <c r="BH499" i="33260"/>
  <c r="AZ499" i="33260"/>
  <c r="AR499" i="33260"/>
  <c r="AJ499" i="33260"/>
  <c r="AB499" i="33260"/>
  <c r="T499" i="33260"/>
  <c r="L499" i="33260"/>
  <c r="D499" i="33260"/>
  <c r="BD498" i="33260"/>
  <c r="AV498" i="33260"/>
  <c r="AN498" i="33260"/>
  <c r="AF498" i="33260"/>
  <c r="X498" i="33260"/>
  <c r="P498" i="33260"/>
  <c r="H498" i="33260"/>
  <c r="BH497" i="33260"/>
  <c r="AZ497" i="33260"/>
  <c r="AR497" i="33260"/>
  <c r="AJ497" i="33260"/>
  <c r="AB497" i="33260"/>
  <c r="T497" i="33260"/>
  <c r="L497" i="33260"/>
  <c r="D497" i="33260"/>
  <c r="BD496" i="33260"/>
  <c r="AV496" i="33260"/>
  <c r="AN496" i="33260"/>
  <c r="AF496" i="33260"/>
  <c r="X496" i="33260"/>
  <c r="P496" i="33260"/>
  <c r="H496" i="33260"/>
  <c r="BH495" i="33260"/>
  <c r="AZ495" i="33260"/>
  <c r="AR495" i="33260"/>
  <c r="AJ495" i="33260"/>
  <c r="AB495" i="33260"/>
  <c r="T495" i="33260"/>
  <c r="L495" i="33260"/>
  <c r="D495" i="33260"/>
  <c r="BD494" i="33260"/>
  <c r="AV494" i="33260"/>
  <c r="AN494" i="33260"/>
  <c r="AF494" i="33260"/>
  <c r="X494" i="33260"/>
  <c r="P494" i="33260"/>
  <c r="H494" i="33260"/>
  <c r="BH493" i="33260"/>
  <c r="AZ493" i="33260"/>
  <c r="AR493" i="33260"/>
  <c r="AJ493" i="33260"/>
  <c r="AB493" i="33260"/>
  <c r="T493" i="33260"/>
  <c r="L493" i="33260"/>
  <c r="D493" i="33260"/>
  <c r="BD492" i="33260"/>
  <c r="AV492" i="33260"/>
  <c r="AN492" i="33260"/>
  <c r="AF492" i="33260"/>
  <c r="X492" i="33260"/>
  <c r="O532" i="33260"/>
  <c r="G521" i="33260"/>
  <c r="BG518" i="33260"/>
  <c r="AY516" i="33260"/>
  <c r="AQ514" i="33260"/>
  <c r="AI512" i="33260"/>
  <c r="AQ511" i="33260"/>
  <c r="K511" i="33260"/>
  <c r="AM510" i="33260"/>
  <c r="G510" i="33260"/>
  <c r="AI509" i="33260"/>
  <c r="BK508" i="33260"/>
  <c r="AE508" i="33260"/>
  <c r="BG507" i="33260"/>
  <c r="AA507" i="33260"/>
  <c r="BC506" i="33260"/>
  <c r="W506" i="33260"/>
  <c r="AY505" i="33260"/>
  <c r="S505" i="33260"/>
  <c r="AU504" i="33260"/>
  <c r="O504" i="33260"/>
  <c r="AQ503" i="33260"/>
  <c r="K503" i="33260"/>
  <c r="AM502" i="33260"/>
  <c r="G502" i="33260"/>
  <c r="AI501" i="33260"/>
  <c r="BK500" i="33260"/>
  <c r="AE500" i="33260"/>
  <c r="BG499" i="33260"/>
  <c r="AA499" i="33260"/>
  <c r="BC498" i="33260"/>
  <c r="W498" i="33260"/>
  <c r="AY497" i="33260"/>
  <c r="S497" i="33260"/>
  <c r="AU496" i="33260"/>
  <c r="V496" i="33260"/>
  <c r="BG495" i="33260"/>
  <c r="AN495" i="33260"/>
  <c r="R495" i="33260"/>
  <c r="BC494" i="33260"/>
  <c r="AJ494" i="33260"/>
  <c r="N494" i="33260"/>
  <c r="AY493" i="33260"/>
  <c r="AF493" i="33260"/>
  <c r="J493" i="33260"/>
  <c r="AU492" i="33260"/>
  <c r="AB492" i="33260"/>
  <c r="O492" i="33260"/>
  <c r="G492" i="33260"/>
  <c r="BG491" i="33260"/>
  <c r="AY491" i="33260"/>
  <c r="AQ491" i="33260"/>
  <c r="AI491" i="33260"/>
  <c r="AA491" i="33260"/>
  <c r="S491" i="33260"/>
  <c r="K491" i="33260"/>
  <c r="BK490" i="33260"/>
  <c r="BC490" i="33260"/>
  <c r="AU490" i="33260"/>
  <c r="AM490" i="33260"/>
  <c r="AE490" i="33260"/>
  <c r="W490" i="33260"/>
  <c r="O490" i="33260"/>
  <c r="G490" i="33260"/>
  <c r="BG489" i="33260"/>
  <c r="AY489" i="33260"/>
  <c r="AQ489" i="33260"/>
  <c r="AI489" i="33260"/>
  <c r="AA489" i="33260"/>
  <c r="S489" i="33260"/>
  <c r="K489" i="33260"/>
  <c r="BK488" i="33260"/>
  <c r="BC488" i="33260"/>
  <c r="AU488" i="33260"/>
  <c r="AM488" i="33260"/>
  <c r="AE488" i="33260"/>
  <c r="W488" i="33260"/>
  <c r="O488" i="33260"/>
  <c r="G488" i="33260"/>
  <c r="BG487" i="33260"/>
  <c r="AY487" i="33260"/>
  <c r="AQ487" i="33260"/>
  <c r="AI487" i="33260"/>
  <c r="AA487" i="33260"/>
  <c r="S487" i="33260"/>
  <c r="K487" i="33260"/>
  <c r="BK486" i="33260"/>
  <c r="BC486" i="33260"/>
  <c r="AU486" i="33260"/>
  <c r="AM486" i="33260"/>
  <c r="AE486" i="33260"/>
  <c r="W486" i="33260"/>
  <c r="O486" i="33260"/>
  <c r="G486" i="33260"/>
  <c r="BG485" i="33260"/>
  <c r="AY485" i="33260"/>
  <c r="AQ485" i="33260"/>
  <c r="AI485" i="33260"/>
  <c r="AA485" i="33260"/>
  <c r="S485" i="33260"/>
  <c r="K485" i="33260"/>
  <c r="BK484" i="33260"/>
  <c r="BC484" i="33260"/>
  <c r="AU484" i="33260"/>
  <c r="AM484" i="33260"/>
  <c r="AE484" i="33260"/>
  <c r="W484" i="33260"/>
  <c r="O484" i="33260"/>
  <c r="G484" i="33260"/>
  <c r="BG483" i="33260"/>
  <c r="AY483" i="33260"/>
  <c r="AQ483" i="33260"/>
  <c r="AI483" i="33260"/>
  <c r="AA483" i="33260"/>
  <c r="S483" i="33260"/>
  <c r="K483" i="33260"/>
  <c r="BK482" i="33260"/>
  <c r="BC482" i="33260"/>
  <c r="AU482" i="33260"/>
  <c r="AM482" i="33260"/>
  <c r="AE482" i="33260"/>
  <c r="W482" i="33260"/>
  <c r="O482" i="33260"/>
  <c r="G482" i="33260"/>
  <c r="BG481" i="33260"/>
  <c r="AY481" i="33260"/>
  <c r="AQ481" i="33260"/>
  <c r="AI481" i="33260"/>
  <c r="AA481" i="33260"/>
  <c r="S481" i="33260"/>
  <c r="K481" i="33260"/>
  <c r="BK480" i="33260"/>
  <c r="BC480" i="33260"/>
  <c r="AU480" i="33260"/>
  <c r="AM480" i="33260"/>
  <c r="AE480" i="33260"/>
  <c r="W480" i="33260"/>
  <c r="O480" i="33260"/>
  <c r="G480" i="33260"/>
  <c r="BG479" i="33260"/>
  <c r="AY479" i="33260"/>
  <c r="AQ479" i="33260"/>
  <c r="AI479" i="33260"/>
  <c r="AA479" i="33260"/>
  <c r="S479" i="33260"/>
  <c r="K479" i="33260"/>
  <c r="BK478" i="33260"/>
  <c r="BC478" i="33260"/>
  <c r="AU478" i="33260"/>
  <c r="AM478" i="33260"/>
  <c r="AE478" i="33260"/>
  <c r="W478" i="33260"/>
  <c r="O478" i="33260"/>
  <c r="G478" i="33260"/>
  <c r="BG477" i="33260"/>
  <c r="AY477" i="33260"/>
  <c r="AQ477" i="33260"/>
  <c r="AI477" i="33260"/>
  <c r="AA477" i="33260"/>
  <c r="S477" i="33260"/>
  <c r="K477" i="33260"/>
  <c r="BK476" i="33260"/>
  <c r="BC476" i="33260"/>
  <c r="AU476" i="33260"/>
  <c r="AM476" i="33260"/>
  <c r="AE476" i="33260"/>
  <c r="W476" i="33260"/>
  <c r="O476" i="33260"/>
  <c r="G476" i="33260"/>
  <c r="BG475" i="33260"/>
  <c r="AX531" i="33260"/>
  <c r="F521" i="33260"/>
  <c r="BF518" i="33260"/>
  <c r="AX516" i="33260"/>
  <c r="AP514" i="33260"/>
  <c r="AH512" i="33260"/>
  <c r="AP511" i="33260"/>
  <c r="J511" i="33260"/>
  <c r="AL510" i="33260"/>
  <c r="F510" i="33260"/>
  <c r="AH509" i="33260"/>
  <c r="BJ508" i="33260"/>
  <c r="AD508" i="33260"/>
  <c r="BF507" i="33260"/>
  <c r="Z507" i="33260"/>
  <c r="BB506" i="33260"/>
  <c r="V506" i="33260"/>
  <c r="AX505" i="33260"/>
  <c r="R505" i="33260"/>
  <c r="AT504" i="33260"/>
  <c r="N504" i="33260"/>
  <c r="AP503" i="33260"/>
  <c r="J503" i="33260"/>
  <c r="AL502" i="33260"/>
  <c r="F502" i="33260"/>
  <c r="AH501" i="33260"/>
  <c r="BJ500" i="33260"/>
  <c r="AD500" i="33260"/>
  <c r="BF499" i="33260"/>
  <c r="Z499" i="33260"/>
  <c r="BB498" i="33260"/>
  <c r="V498" i="33260"/>
  <c r="AX497" i="33260"/>
  <c r="R497" i="33260"/>
  <c r="AT496" i="33260"/>
  <c r="T496" i="33260"/>
  <c r="BF495" i="33260"/>
  <c r="AI495" i="33260"/>
  <c r="P495" i="33260"/>
  <c r="BB494" i="33260"/>
  <c r="AE494" i="33260"/>
  <c r="L494" i="33260"/>
  <c r="AX493" i="33260"/>
  <c r="AA493" i="33260"/>
  <c r="H493" i="33260"/>
  <c r="AT492" i="33260"/>
  <c r="W492" i="33260"/>
  <c r="N492" i="33260"/>
  <c r="F492" i="33260"/>
  <c r="BF491" i="33260"/>
  <c r="AX491" i="33260"/>
  <c r="AP491" i="33260"/>
  <c r="AH491" i="33260"/>
  <c r="Z491" i="33260"/>
  <c r="R491" i="33260"/>
  <c r="J491" i="33260"/>
  <c r="BJ490" i="33260"/>
  <c r="BB490" i="33260"/>
  <c r="AT490" i="33260"/>
  <c r="AL490" i="33260"/>
  <c r="AD490" i="33260"/>
  <c r="V490" i="33260"/>
  <c r="N490" i="33260"/>
  <c r="F490" i="33260"/>
  <c r="BF489" i="33260"/>
  <c r="AX489" i="33260"/>
  <c r="AP489" i="33260"/>
  <c r="AH489" i="33260"/>
  <c r="Z489" i="33260"/>
  <c r="R489" i="33260"/>
  <c r="J489" i="33260"/>
  <c r="BJ488" i="33260"/>
  <c r="BB488" i="33260"/>
  <c r="AT488" i="33260"/>
  <c r="AL488" i="33260"/>
  <c r="AD488" i="33260"/>
  <c r="V488" i="33260"/>
  <c r="N488" i="33260"/>
  <c r="F488" i="33260"/>
  <c r="BF487" i="33260"/>
  <c r="AX487" i="33260"/>
  <c r="AP487" i="33260"/>
  <c r="AH487" i="33260"/>
  <c r="Z487" i="33260"/>
  <c r="R487" i="33260"/>
  <c r="J487" i="33260"/>
  <c r="BJ486" i="33260"/>
  <c r="BB486" i="33260"/>
  <c r="AT486" i="33260"/>
  <c r="AL486" i="33260"/>
  <c r="AD486" i="33260"/>
  <c r="V486" i="33260"/>
  <c r="N486" i="33260"/>
  <c r="F486" i="33260"/>
  <c r="BF485" i="33260"/>
  <c r="AX485" i="33260"/>
  <c r="AP485" i="33260"/>
  <c r="AH485" i="33260"/>
  <c r="Z485" i="33260"/>
  <c r="R485" i="33260"/>
  <c r="J485" i="33260"/>
  <c r="BJ484" i="33260"/>
  <c r="BB484" i="33260"/>
  <c r="AT484" i="33260"/>
  <c r="AL484" i="33260"/>
  <c r="AD484" i="33260"/>
  <c r="V484" i="33260"/>
  <c r="N484" i="33260"/>
  <c r="F484" i="33260"/>
  <c r="BF483" i="33260"/>
  <c r="AX483" i="33260"/>
  <c r="AP483" i="33260"/>
  <c r="AH483" i="33260"/>
  <c r="Z483" i="33260"/>
  <c r="R483" i="33260"/>
  <c r="J483" i="33260"/>
  <c r="BJ482" i="33260"/>
  <c r="BB482" i="33260"/>
  <c r="AT482" i="33260"/>
  <c r="AL482" i="33260"/>
  <c r="AD482" i="33260"/>
  <c r="V482" i="33260"/>
  <c r="N482" i="33260"/>
  <c r="F482" i="33260"/>
  <c r="BF481" i="33260"/>
  <c r="AX481" i="33260"/>
  <c r="AP481" i="33260"/>
  <c r="AH481" i="33260"/>
  <c r="Z481" i="33260"/>
  <c r="R481" i="33260"/>
  <c r="J481" i="33260"/>
  <c r="BJ480" i="33260"/>
  <c r="BB480" i="33260"/>
  <c r="AT480" i="33260"/>
  <c r="AL480" i="33260"/>
  <c r="AD480" i="33260"/>
  <c r="V480" i="33260"/>
  <c r="N480" i="33260"/>
  <c r="F480" i="33260"/>
  <c r="BF479" i="33260"/>
  <c r="AX479" i="33260"/>
  <c r="AP479" i="33260"/>
  <c r="AH479" i="33260"/>
  <c r="Z479" i="33260"/>
  <c r="R479" i="33260"/>
  <c r="J479" i="33260"/>
  <c r="BJ478" i="33260"/>
  <c r="BB478" i="33260"/>
  <c r="AT478" i="33260"/>
  <c r="AL478" i="33260"/>
  <c r="AD478" i="33260"/>
  <c r="V478" i="33260"/>
  <c r="N478" i="33260"/>
  <c r="F478" i="33260"/>
  <c r="BF477" i="33260"/>
  <c r="AX477" i="33260"/>
  <c r="AP477" i="33260"/>
  <c r="AH477" i="33260"/>
  <c r="Z477" i="33260"/>
  <c r="R477" i="33260"/>
  <c r="J477" i="33260"/>
  <c r="BJ476" i="33260"/>
  <c r="BB476" i="33260"/>
  <c r="AT476" i="33260"/>
  <c r="AL476" i="33260"/>
  <c r="AD476" i="33260"/>
  <c r="V476" i="33260"/>
  <c r="N476" i="33260"/>
  <c r="F476" i="33260"/>
  <c r="BF475" i="33260"/>
  <c r="W525" i="33260"/>
  <c r="AI520" i="33260"/>
  <c r="AA518" i="33260"/>
  <c r="S516" i="33260"/>
  <c r="K514" i="33260"/>
  <c r="L512" i="33260"/>
  <c r="AI511" i="33260"/>
  <c r="BK510" i="33260"/>
  <c r="AE510" i="33260"/>
  <c r="BG509" i="33260"/>
  <c r="AA509" i="33260"/>
  <c r="BC508" i="33260"/>
  <c r="W508" i="33260"/>
  <c r="AY507" i="33260"/>
  <c r="S507" i="33260"/>
  <c r="AU506" i="33260"/>
  <c r="O506" i="33260"/>
  <c r="AQ505" i="33260"/>
  <c r="K505" i="33260"/>
  <c r="AM504" i="33260"/>
  <c r="G504" i="33260"/>
  <c r="AI503" i="33260"/>
  <c r="BK502" i="33260"/>
  <c r="AE502" i="33260"/>
  <c r="BG501" i="33260"/>
  <c r="AA501" i="33260"/>
  <c r="BC500" i="33260"/>
  <c r="W500" i="33260"/>
  <c r="AY499" i="33260"/>
  <c r="S499" i="33260"/>
  <c r="AU498" i="33260"/>
  <c r="O498" i="33260"/>
  <c r="AQ497" i="33260"/>
  <c r="K497" i="33260"/>
  <c r="AM496" i="33260"/>
  <c r="O496" i="33260"/>
  <c r="BD495" i="33260"/>
  <c r="AH495" i="33260"/>
  <c r="K495" i="33260"/>
  <c r="AZ494" i="33260"/>
  <c r="AD494" i="33260"/>
  <c r="G494" i="33260"/>
  <c r="AV493" i="33260"/>
  <c r="Z493" i="33260"/>
  <c r="BK492" i="33260"/>
  <c r="AR492" i="33260"/>
  <c r="V492" i="33260"/>
  <c r="M492" i="33260"/>
  <c r="E492" i="33260"/>
  <c r="BE491" i="33260"/>
  <c r="AW491" i="33260"/>
  <c r="AO491" i="33260"/>
  <c r="AG491" i="33260"/>
  <c r="Y491" i="33260"/>
  <c r="Q491" i="33260"/>
  <c r="I491" i="33260"/>
  <c r="BI490" i="33260"/>
  <c r="BA490" i="33260"/>
  <c r="AS490" i="33260"/>
  <c r="AK490" i="33260"/>
  <c r="AC490" i="33260"/>
  <c r="U490" i="33260"/>
  <c r="M490" i="33260"/>
  <c r="E490" i="33260"/>
  <c r="BE489" i="33260"/>
  <c r="AW489" i="33260"/>
  <c r="AO489" i="33260"/>
  <c r="AG489" i="33260"/>
  <c r="Y489" i="33260"/>
  <c r="Q489" i="33260"/>
  <c r="I489" i="33260"/>
  <c r="BI488" i="33260"/>
  <c r="BA488" i="33260"/>
  <c r="AS488" i="33260"/>
  <c r="AK488" i="33260"/>
  <c r="AC488" i="33260"/>
  <c r="U488" i="33260"/>
  <c r="M488" i="33260"/>
  <c r="E488" i="33260"/>
  <c r="BE487" i="33260"/>
  <c r="AW487" i="33260"/>
  <c r="AO487" i="33260"/>
  <c r="AG487" i="33260"/>
  <c r="Y487" i="33260"/>
  <c r="Q487" i="33260"/>
  <c r="I487" i="33260"/>
  <c r="BI486" i="33260"/>
  <c r="BA486" i="33260"/>
  <c r="AS486" i="33260"/>
  <c r="AK486" i="33260"/>
  <c r="AC486" i="33260"/>
  <c r="U486" i="33260"/>
  <c r="M486" i="33260"/>
  <c r="E486" i="33260"/>
  <c r="BE485" i="33260"/>
  <c r="AW485" i="33260"/>
  <c r="AO485" i="33260"/>
  <c r="AG485" i="33260"/>
  <c r="Y485" i="33260"/>
  <c r="Q485" i="33260"/>
  <c r="I485" i="33260"/>
  <c r="BI484" i="33260"/>
  <c r="BA484" i="33260"/>
  <c r="AS484" i="33260"/>
  <c r="AK484" i="33260"/>
  <c r="AC484" i="33260"/>
  <c r="U484" i="33260"/>
  <c r="M484" i="33260"/>
  <c r="E484" i="33260"/>
  <c r="BE483" i="33260"/>
  <c r="AW483" i="33260"/>
  <c r="AO483" i="33260"/>
  <c r="AG483" i="33260"/>
  <c r="Y483" i="33260"/>
  <c r="Q483" i="33260"/>
  <c r="I483" i="33260"/>
  <c r="BI482" i="33260"/>
  <c r="BA482" i="33260"/>
  <c r="AS482" i="33260"/>
  <c r="AK482" i="33260"/>
  <c r="AC482" i="33260"/>
  <c r="U482" i="33260"/>
  <c r="M482" i="33260"/>
  <c r="E482" i="33260"/>
  <c r="BE481" i="33260"/>
  <c r="AW481" i="33260"/>
  <c r="AO481" i="33260"/>
  <c r="AG481" i="33260"/>
  <c r="Y481" i="33260"/>
  <c r="Q481" i="33260"/>
  <c r="I481" i="33260"/>
  <c r="BI480" i="33260"/>
  <c r="BA480" i="33260"/>
  <c r="AS480" i="33260"/>
  <c r="AK480" i="33260"/>
  <c r="AC480" i="33260"/>
  <c r="U480" i="33260"/>
  <c r="M480" i="33260"/>
  <c r="E480" i="33260"/>
  <c r="BE479" i="33260"/>
  <c r="AW479" i="33260"/>
  <c r="AO479" i="33260"/>
  <c r="AG479" i="33260"/>
  <c r="Y479" i="33260"/>
  <c r="Q479" i="33260"/>
  <c r="I479" i="33260"/>
  <c r="BI478" i="33260"/>
  <c r="BA478" i="33260"/>
  <c r="AS478" i="33260"/>
  <c r="AK478" i="33260"/>
  <c r="AC478" i="33260"/>
  <c r="U478" i="33260"/>
  <c r="M478" i="33260"/>
  <c r="E478" i="33260"/>
  <c r="BE477" i="33260"/>
  <c r="AW477" i="33260"/>
  <c r="AO477" i="33260"/>
  <c r="AG477" i="33260"/>
  <c r="Y477" i="33260"/>
  <c r="Q477" i="33260"/>
  <c r="I477" i="33260"/>
  <c r="BI476" i="33260"/>
  <c r="BA476" i="33260"/>
  <c r="AS476" i="33260"/>
  <c r="AK476" i="33260"/>
  <c r="AC476" i="33260"/>
  <c r="U476" i="33260"/>
  <c r="M476" i="33260"/>
  <c r="E476" i="33260"/>
  <c r="BE475" i="33260"/>
  <c r="O525" i="33260"/>
  <c r="AH520" i="33260"/>
  <c r="Z518" i="33260"/>
  <c r="R516" i="33260"/>
  <c r="J514" i="33260"/>
  <c r="K512" i="33260"/>
  <c r="AH511" i="33260"/>
  <c r="BJ510" i="33260"/>
  <c r="AD510" i="33260"/>
  <c r="BF509" i="33260"/>
  <c r="Z509" i="33260"/>
  <c r="BB508" i="33260"/>
  <c r="V508" i="33260"/>
  <c r="AX507" i="33260"/>
  <c r="R507" i="33260"/>
  <c r="AT506" i="33260"/>
  <c r="N506" i="33260"/>
  <c r="AP505" i="33260"/>
  <c r="J505" i="33260"/>
  <c r="AL504" i="33260"/>
  <c r="F504" i="33260"/>
  <c r="AH503" i="33260"/>
  <c r="BJ502" i="33260"/>
  <c r="AD502" i="33260"/>
  <c r="BF501" i="33260"/>
  <c r="Z501" i="33260"/>
  <c r="BB500" i="33260"/>
  <c r="V500" i="33260"/>
  <c r="AX499" i="33260"/>
  <c r="R499" i="33260"/>
  <c r="AT498" i="33260"/>
  <c r="N498" i="33260"/>
  <c r="AP497" i="33260"/>
  <c r="J497" i="33260"/>
  <c r="AL496" i="33260"/>
  <c r="N496" i="33260"/>
  <c r="AY495" i="33260"/>
  <c r="AF495" i="33260"/>
  <c r="J495" i="33260"/>
  <c r="AU494" i="33260"/>
  <c r="AB494" i="33260"/>
  <c r="F494" i="33260"/>
  <c r="AQ493" i="33260"/>
  <c r="X493" i="33260"/>
  <c r="BJ492" i="33260"/>
  <c r="AM492" i="33260"/>
  <c r="U492" i="33260"/>
  <c r="L492" i="33260"/>
  <c r="D492" i="33260"/>
  <c r="BD491" i="33260"/>
  <c r="AV491" i="33260"/>
  <c r="AN491" i="33260"/>
  <c r="AF491" i="33260"/>
  <c r="X491" i="33260"/>
  <c r="P491" i="33260"/>
  <c r="H491" i="33260"/>
  <c r="BH490" i="33260"/>
  <c r="AZ490" i="33260"/>
  <c r="AR490" i="33260"/>
  <c r="AJ490" i="33260"/>
  <c r="AB490" i="33260"/>
  <c r="T490" i="33260"/>
  <c r="L490" i="33260"/>
  <c r="D490" i="33260"/>
  <c r="BD489" i="33260"/>
  <c r="AV489" i="33260"/>
  <c r="AN489" i="33260"/>
  <c r="AF489" i="33260"/>
  <c r="X489" i="33260"/>
  <c r="P489" i="33260"/>
  <c r="H489" i="33260"/>
  <c r="BH488" i="33260"/>
  <c r="AZ488" i="33260"/>
  <c r="AR488" i="33260"/>
  <c r="AJ488" i="33260"/>
  <c r="AB488" i="33260"/>
  <c r="T488" i="33260"/>
  <c r="L488" i="33260"/>
  <c r="D488" i="33260"/>
  <c r="BD487" i="33260"/>
  <c r="AV487" i="33260"/>
  <c r="AN487" i="33260"/>
  <c r="AF487" i="33260"/>
  <c r="X487" i="33260"/>
  <c r="P487" i="33260"/>
  <c r="H487" i="33260"/>
  <c r="BH486" i="33260"/>
  <c r="AZ486" i="33260"/>
  <c r="AR486" i="33260"/>
  <c r="AJ486" i="33260"/>
  <c r="AB486" i="33260"/>
  <c r="T486" i="33260"/>
  <c r="L486" i="33260"/>
  <c r="D486" i="33260"/>
  <c r="BD485" i="33260"/>
  <c r="AV485" i="33260"/>
  <c r="AN485" i="33260"/>
  <c r="AF485" i="33260"/>
  <c r="X485" i="33260"/>
  <c r="P485" i="33260"/>
  <c r="H485" i="33260"/>
  <c r="BH484" i="33260"/>
  <c r="AZ484" i="33260"/>
  <c r="AR484" i="33260"/>
  <c r="AJ484" i="33260"/>
  <c r="AB484" i="33260"/>
  <c r="T484" i="33260"/>
  <c r="L484" i="33260"/>
  <c r="D484" i="33260"/>
  <c r="BD483" i="33260"/>
  <c r="AV483" i="33260"/>
  <c r="AN483" i="33260"/>
  <c r="AF483" i="33260"/>
  <c r="X483" i="33260"/>
  <c r="P483" i="33260"/>
  <c r="H483" i="33260"/>
  <c r="BH482" i="33260"/>
  <c r="AZ482" i="33260"/>
  <c r="AR482" i="33260"/>
  <c r="AJ482" i="33260"/>
  <c r="AB482" i="33260"/>
  <c r="T482" i="33260"/>
  <c r="L482" i="33260"/>
  <c r="D482" i="33260"/>
  <c r="BD481" i="33260"/>
  <c r="AV481" i="33260"/>
  <c r="AN481" i="33260"/>
  <c r="AF481" i="33260"/>
  <c r="X481" i="33260"/>
  <c r="P481" i="33260"/>
  <c r="H481" i="33260"/>
  <c r="BH480" i="33260"/>
  <c r="AZ480" i="33260"/>
  <c r="AR480" i="33260"/>
  <c r="AJ480" i="33260"/>
  <c r="AB480" i="33260"/>
  <c r="T480" i="33260"/>
  <c r="L480" i="33260"/>
  <c r="D480" i="33260"/>
  <c r="BD479" i="33260"/>
  <c r="AV479" i="33260"/>
  <c r="AN479" i="33260"/>
  <c r="AF479" i="33260"/>
  <c r="X479" i="33260"/>
  <c r="P479" i="33260"/>
  <c r="H479" i="33260"/>
  <c r="BH478" i="33260"/>
  <c r="AZ478" i="33260"/>
  <c r="AR478" i="33260"/>
  <c r="AJ478" i="33260"/>
  <c r="AB478" i="33260"/>
  <c r="T478" i="33260"/>
  <c r="L478" i="33260"/>
  <c r="D478" i="33260"/>
  <c r="BD477" i="33260"/>
  <c r="AV477" i="33260"/>
  <c r="AN477" i="33260"/>
  <c r="AF477" i="33260"/>
  <c r="X477" i="33260"/>
  <c r="P477" i="33260"/>
  <c r="H477" i="33260"/>
  <c r="BH476" i="33260"/>
  <c r="AZ476" i="33260"/>
  <c r="AR476" i="33260"/>
  <c r="AJ476" i="33260"/>
  <c r="AB476" i="33260"/>
  <c r="T476" i="33260"/>
  <c r="L476" i="33260"/>
  <c r="D476" i="33260"/>
  <c r="K522" i="33260"/>
  <c r="BK519" i="33260"/>
  <c r="BC517" i="33260"/>
  <c r="AU515" i="33260"/>
  <c r="AM513" i="33260"/>
  <c r="BI511" i="33260"/>
  <c r="AA511" i="33260"/>
  <c r="BC510" i="33260"/>
  <c r="W510" i="33260"/>
  <c r="AY509" i="33260"/>
  <c r="S509" i="33260"/>
  <c r="AU508" i="33260"/>
  <c r="O508" i="33260"/>
  <c r="AQ507" i="33260"/>
  <c r="K507" i="33260"/>
  <c r="AM506" i="33260"/>
  <c r="G506" i="33260"/>
  <c r="AI505" i="33260"/>
  <c r="BK504" i="33260"/>
  <c r="AE504" i="33260"/>
  <c r="BG503" i="33260"/>
  <c r="AA503" i="33260"/>
  <c r="BC502" i="33260"/>
  <c r="W502" i="33260"/>
  <c r="AY501" i="33260"/>
  <c r="S501" i="33260"/>
  <c r="AU500" i="33260"/>
  <c r="O500" i="33260"/>
  <c r="AQ499" i="33260"/>
  <c r="K499" i="33260"/>
  <c r="AM498" i="33260"/>
  <c r="G498" i="33260"/>
  <c r="AI497" i="33260"/>
  <c r="BK496" i="33260"/>
  <c r="AE496" i="33260"/>
  <c r="L496" i="33260"/>
  <c r="AX495" i="33260"/>
  <c r="AA495" i="33260"/>
  <c r="H495" i="33260"/>
  <c r="AT494" i="33260"/>
  <c r="W494" i="33260"/>
  <c r="D494" i="33260"/>
  <c r="AP493" i="33260"/>
  <c r="S493" i="33260"/>
  <c r="BH492" i="33260"/>
  <c r="AL492" i="33260"/>
  <c r="T492" i="33260"/>
  <c r="K492" i="33260"/>
  <c r="BK491" i="33260"/>
  <c r="BC491" i="33260"/>
  <c r="AU491" i="33260"/>
  <c r="AM491" i="33260"/>
  <c r="AE491" i="33260"/>
  <c r="W491" i="33260"/>
  <c r="O491" i="33260"/>
  <c r="G491" i="33260"/>
  <c r="BG490" i="33260"/>
  <c r="AY490" i="33260"/>
  <c r="AQ490" i="33260"/>
  <c r="AI490" i="33260"/>
  <c r="AA490" i="33260"/>
  <c r="S490" i="33260"/>
  <c r="K490" i="33260"/>
  <c r="BK489" i="33260"/>
  <c r="BC489" i="33260"/>
  <c r="AU489" i="33260"/>
  <c r="AM489" i="33260"/>
  <c r="AE489" i="33260"/>
  <c r="W489" i="33260"/>
  <c r="O489" i="33260"/>
  <c r="G489" i="33260"/>
  <c r="BG488" i="33260"/>
  <c r="AY488" i="33260"/>
  <c r="AQ488" i="33260"/>
  <c r="AI488" i="33260"/>
  <c r="AA488" i="33260"/>
  <c r="S488" i="33260"/>
  <c r="K488" i="33260"/>
  <c r="BK487" i="33260"/>
  <c r="BC487" i="33260"/>
  <c r="AU487" i="33260"/>
  <c r="AM487" i="33260"/>
  <c r="AE487" i="33260"/>
  <c r="W487" i="33260"/>
  <c r="O487" i="33260"/>
  <c r="G487" i="33260"/>
  <c r="BG486" i="33260"/>
  <c r="AY486" i="33260"/>
  <c r="AQ486" i="33260"/>
  <c r="AI486" i="33260"/>
  <c r="AA486" i="33260"/>
  <c r="S486" i="33260"/>
  <c r="K486" i="33260"/>
  <c r="BK485" i="33260"/>
  <c r="BC485" i="33260"/>
  <c r="AU485" i="33260"/>
  <c r="AM485" i="33260"/>
  <c r="AE485" i="33260"/>
  <c r="W485" i="33260"/>
  <c r="O485" i="33260"/>
  <c r="G485" i="33260"/>
  <c r="BG484" i="33260"/>
  <c r="AY484" i="33260"/>
  <c r="AQ484" i="33260"/>
  <c r="AI484" i="33260"/>
  <c r="AA484" i="33260"/>
  <c r="S484" i="33260"/>
  <c r="K484" i="33260"/>
  <c r="BK483" i="33260"/>
  <c r="BC483" i="33260"/>
  <c r="AU483" i="33260"/>
  <c r="AM483" i="33260"/>
  <c r="AE483" i="33260"/>
  <c r="W483" i="33260"/>
  <c r="O483" i="33260"/>
  <c r="G483" i="33260"/>
  <c r="BG482" i="33260"/>
  <c r="AY482" i="33260"/>
  <c r="AQ482" i="33260"/>
  <c r="AI482" i="33260"/>
  <c r="AA482" i="33260"/>
  <c r="S482" i="33260"/>
  <c r="K482" i="33260"/>
  <c r="BK481" i="33260"/>
  <c r="BC481" i="33260"/>
  <c r="AU481" i="33260"/>
  <c r="AM481" i="33260"/>
  <c r="AE481" i="33260"/>
  <c r="W481" i="33260"/>
  <c r="O481" i="33260"/>
  <c r="G481" i="33260"/>
  <c r="BG480" i="33260"/>
  <c r="AY480" i="33260"/>
  <c r="AQ480" i="33260"/>
  <c r="AI480" i="33260"/>
  <c r="AA480" i="33260"/>
  <c r="S480" i="33260"/>
  <c r="K480" i="33260"/>
  <c r="BK479" i="33260"/>
  <c r="BC479" i="33260"/>
  <c r="AU479" i="33260"/>
  <c r="AM479" i="33260"/>
  <c r="AE479" i="33260"/>
  <c r="W479" i="33260"/>
  <c r="O479" i="33260"/>
  <c r="G479" i="33260"/>
  <c r="BG478" i="33260"/>
  <c r="AY478" i="33260"/>
  <c r="AQ478" i="33260"/>
  <c r="AI478" i="33260"/>
  <c r="AA478" i="33260"/>
  <c r="S478" i="33260"/>
  <c r="K478" i="33260"/>
  <c r="BK477" i="33260"/>
  <c r="BC477" i="33260"/>
  <c r="AU477" i="33260"/>
  <c r="AM477" i="33260"/>
  <c r="AE477" i="33260"/>
  <c r="W477" i="33260"/>
  <c r="O477" i="33260"/>
  <c r="G477" i="33260"/>
  <c r="BG476" i="33260"/>
  <c r="AY476" i="33260"/>
  <c r="AQ476" i="33260"/>
  <c r="AI476" i="33260"/>
  <c r="AA476" i="33260"/>
  <c r="S476" i="33260"/>
  <c r="K476" i="33260"/>
  <c r="BK475" i="33260"/>
  <c r="J522" i="33260"/>
  <c r="BJ519" i="33260"/>
  <c r="BB517" i="33260"/>
  <c r="AT515" i="33260"/>
  <c r="AL513" i="33260"/>
  <c r="BH511" i="33260"/>
  <c r="Z511" i="33260"/>
  <c r="BB510" i="33260"/>
  <c r="V510" i="33260"/>
  <c r="AX509" i="33260"/>
  <c r="R509" i="33260"/>
  <c r="AT508" i="33260"/>
  <c r="N508" i="33260"/>
  <c r="AP507" i="33260"/>
  <c r="J507" i="33260"/>
  <c r="AL506" i="33260"/>
  <c r="F506" i="33260"/>
  <c r="AH505" i="33260"/>
  <c r="BJ504" i="33260"/>
  <c r="AD504" i="33260"/>
  <c r="BF503" i="33260"/>
  <c r="Z503" i="33260"/>
  <c r="BB502" i="33260"/>
  <c r="V502" i="33260"/>
  <c r="AX501" i="33260"/>
  <c r="R501" i="33260"/>
  <c r="AT500" i="33260"/>
  <c r="N500" i="33260"/>
  <c r="AP499" i="33260"/>
  <c r="J499" i="33260"/>
  <c r="AL498" i="33260"/>
  <c r="F498" i="33260"/>
  <c r="AH497" i="33260"/>
  <c r="BJ496" i="33260"/>
  <c r="AD496" i="33260"/>
  <c r="G496" i="33260"/>
  <c r="AV495" i="33260"/>
  <c r="Z495" i="33260"/>
  <c r="BK494" i="33260"/>
  <c r="AR494" i="33260"/>
  <c r="V494" i="33260"/>
  <c r="BG493" i="33260"/>
  <c r="AN493" i="33260"/>
  <c r="R493" i="33260"/>
  <c r="BC492" i="33260"/>
  <c r="AJ492" i="33260"/>
  <c r="R492" i="33260"/>
  <c r="J492" i="33260"/>
  <c r="BJ491" i="33260"/>
  <c r="BB491" i="33260"/>
  <c r="AT491" i="33260"/>
  <c r="AL491" i="33260"/>
  <c r="AD491" i="33260"/>
  <c r="V491" i="33260"/>
  <c r="N491" i="33260"/>
  <c r="F491" i="33260"/>
  <c r="BF490" i="33260"/>
  <c r="AX490" i="33260"/>
  <c r="AP490" i="33260"/>
  <c r="AH490" i="33260"/>
  <c r="Z490" i="33260"/>
  <c r="R490" i="33260"/>
  <c r="J490" i="33260"/>
  <c r="BJ489" i="33260"/>
  <c r="BB489" i="33260"/>
  <c r="AT489" i="33260"/>
  <c r="AL489" i="33260"/>
  <c r="AD489" i="33260"/>
  <c r="V489" i="33260"/>
  <c r="N489" i="33260"/>
  <c r="F489" i="33260"/>
  <c r="BF488" i="33260"/>
  <c r="AX488" i="33260"/>
  <c r="AP488" i="33260"/>
  <c r="AH488" i="33260"/>
  <c r="Z488" i="33260"/>
  <c r="R488" i="33260"/>
  <c r="J488" i="33260"/>
  <c r="BJ487" i="33260"/>
  <c r="BB487" i="33260"/>
  <c r="AT487" i="33260"/>
  <c r="AL487" i="33260"/>
  <c r="AD487" i="33260"/>
  <c r="V487" i="33260"/>
  <c r="N487" i="33260"/>
  <c r="F487" i="33260"/>
  <c r="BF486" i="33260"/>
  <c r="AX486" i="33260"/>
  <c r="AP486" i="33260"/>
  <c r="AH486" i="33260"/>
  <c r="Z486" i="33260"/>
  <c r="R486" i="33260"/>
  <c r="J486" i="33260"/>
  <c r="BJ485" i="33260"/>
  <c r="BB485" i="33260"/>
  <c r="AT485" i="33260"/>
  <c r="AL485" i="33260"/>
  <c r="AD485" i="33260"/>
  <c r="V485" i="33260"/>
  <c r="N485" i="33260"/>
  <c r="F485" i="33260"/>
  <c r="BF484" i="33260"/>
  <c r="AX484" i="33260"/>
  <c r="AP484" i="33260"/>
  <c r="AH484" i="33260"/>
  <c r="Z484" i="33260"/>
  <c r="R484" i="33260"/>
  <c r="J484" i="33260"/>
  <c r="BJ483" i="33260"/>
  <c r="BB483" i="33260"/>
  <c r="AT483" i="33260"/>
  <c r="AL483" i="33260"/>
  <c r="AD483" i="33260"/>
  <c r="V483" i="33260"/>
  <c r="N483" i="33260"/>
  <c r="F483" i="33260"/>
  <c r="BF482" i="33260"/>
  <c r="AX482" i="33260"/>
  <c r="AP482" i="33260"/>
  <c r="AH482" i="33260"/>
  <c r="Z482" i="33260"/>
  <c r="R482" i="33260"/>
  <c r="J482" i="33260"/>
  <c r="BJ481" i="33260"/>
  <c r="BB481" i="33260"/>
  <c r="AT481" i="33260"/>
  <c r="AL481" i="33260"/>
  <c r="AD481" i="33260"/>
  <c r="V481" i="33260"/>
  <c r="N481" i="33260"/>
  <c r="F481" i="33260"/>
  <c r="BF480" i="33260"/>
  <c r="AX480" i="33260"/>
  <c r="AP480" i="33260"/>
  <c r="AH480" i="33260"/>
  <c r="Z480" i="33260"/>
  <c r="R480" i="33260"/>
  <c r="J480" i="33260"/>
  <c r="BJ479" i="33260"/>
  <c r="BB479" i="33260"/>
  <c r="AT479" i="33260"/>
  <c r="AL479" i="33260"/>
  <c r="AD479" i="33260"/>
  <c r="V479" i="33260"/>
  <c r="N479" i="33260"/>
  <c r="F479" i="33260"/>
  <c r="BF478" i="33260"/>
  <c r="AX478" i="33260"/>
  <c r="AP478" i="33260"/>
  <c r="AH478" i="33260"/>
  <c r="Z478" i="33260"/>
  <c r="R478" i="33260"/>
  <c r="J478" i="33260"/>
  <c r="BJ477" i="33260"/>
  <c r="BB477" i="33260"/>
  <c r="AT477" i="33260"/>
  <c r="AL477" i="33260"/>
  <c r="AD477" i="33260"/>
  <c r="V477" i="33260"/>
  <c r="N477" i="33260"/>
  <c r="F477" i="33260"/>
  <c r="BF476" i="33260"/>
  <c r="AX476" i="33260"/>
  <c r="AP476" i="33260"/>
  <c r="AH476" i="33260"/>
  <c r="Z476" i="33260"/>
  <c r="R476" i="33260"/>
  <c r="J476" i="33260"/>
  <c r="BJ475" i="33260"/>
  <c r="AM521" i="33260"/>
  <c r="G513" i="33260"/>
  <c r="O510" i="33260"/>
  <c r="G508" i="33260"/>
  <c r="BG505" i="33260"/>
  <c r="AY503" i="33260"/>
  <c r="AQ501" i="33260"/>
  <c r="AI499" i="33260"/>
  <c r="AA497" i="33260"/>
  <c r="AQ495" i="33260"/>
  <c r="T494" i="33260"/>
  <c r="BB492" i="33260"/>
  <c r="BI491" i="33260"/>
  <c r="AC491" i="33260"/>
  <c r="BE490" i="33260"/>
  <c r="Y490" i="33260"/>
  <c r="BA489" i="33260"/>
  <c r="U489" i="33260"/>
  <c r="AW488" i="33260"/>
  <c r="Q488" i="33260"/>
  <c r="AS487" i="33260"/>
  <c r="M487" i="33260"/>
  <c r="AO486" i="33260"/>
  <c r="I486" i="33260"/>
  <c r="AK485" i="33260"/>
  <c r="E485" i="33260"/>
  <c r="AG484" i="33260"/>
  <c r="BI483" i="33260"/>
  <c r="AC483" i="33260"/>
  <c r="BE482" i="33260"/>
  <c r="Y482" i="33260"/>
  <c r="BA481" i="33260"/>
  <c r="U481" i="33260"/>
  <c r="AW480" i="33260"/>
  <c r="Q480" i="33260"/>
  <c r="AS479" i="33260"/>
  <c r="M479" i="33260"/>
  <c r="AO478" i="33260"/>
  <c r="I478" i="33260"/>
  <c r="AK477" i="33260"/>
  <c r="E477" i="33260"/>
  <c r="AG476" i="33260"/>
  <c r="BI475" i="33260"/>
  <c r="AX475" i="33260"/>
  <c r="AP475" i="33260"/>
  <c r="AH475" i="33260"/>
  <c r="Z475" i="33260"/>
  <c r="R475" i="33260"/>
  <c r="J475" i="33260"/>
  <c r="BJ474" i="33260"/>
  <c r="BB474" i="33260"/>
  <c r="AT474" i="33260"/>
  <c r="AL474" i="33260"/>
  <c r="AD474" i="33260"/>
  <c r="V474" i="33260"/>
  <c r="N474" i="33260"/>
  <c r="F474" i="33260"/>
  <c r="BF473" i="33260"/>
  <c r="AX473" i="33260"/>
  <c r="AP473" i="33260"/>
  <c r="AH473" i="33260"/>
  <c r="Z473" i="33260"/>
  <c r="R473" i="33260"/>
  <c r="J473" i="33260"/>
  <c r="BJ472" i="33260"/>
  <c r="BB472" i="33260"/>
  <c r="AT472" i="33260"/>
  <c r="AL472" i="33260"/>
  <c r="AD472" i="33260"/>
  <c r="V472" i="33260"/>
  <c r="N472" i="33260"/>
  <c r="F472" i="33260"/>
  <c r="BF471" i="33260"/>
  <c r="AX471" i="33260"/>
  <c r="AP471" i="33260"/>
  <c r="AH471" i="33260"/>
  <c r="Z471" i="33260"/>
  <c r="R471" i="33260"/>
  <c r="J471" i="33260"/>
  <c r="BJ470" i="33260"/>
  <c r="BB470" i="33260"/>
  <c r="AT470" i="33260"/>
  <c r="AL470" i="33260"/>
  <c r="AD470" i="33260"/>
  <c r="V470" i="33260"/>
  <c r="N470" i="33260"/>
  <c r="F470" i="33260"/>
  <c r="BF469" i="33260"/>
  <c r="AE519" i="33260"/>
  <c r="AY511" i="33260"/>
  <c r="AQ509" i="33260"/>
  <c r="AI507" i="33260"/>
  <c r="AA505" i="33260"/>
  <c r="S503" i="33260"/>
  <c r="K501" i="33260"/>
  <c r="BK498" i="33260"/>
  <c r="BC496" i="33260"/>
  <c r="X495" i="33260"/>
  <c r="BF493" i="33260"/>
  <c r="AE492" i="33260"/>
  <c r="BA491" i="33260"/>
  <c r="U491" i="33260"/>
  <c r="AW490" i="33260"/>
  <c r="Q490" i="33260"/>
  <c r="AS489" i="33260"/>
  <c r="M489" i="33260"/>
  <c r="AO488" i="33260"/>
  <c r="I488" i="33260"/>
  <c r="AK487" i="33260"/>
  <c r="E487" i="33260"/>
  <c r="AG486" i="33260"/>
  <c r="BI485" i="33260"/>
  <c r="AC485" i="33260"/>
  <c r="BE484" i="33260"/>
  <c r="Y484" i="33260"/>
  <c r="BA483" i="33260"/>
  <c r="U483" i="33260"/>
  <c r="AW482" i="33260"/>
  <c r="Q482" i="33260"/>
  <c r="AS481" i="33260"/>
  <c r="M481" i="33260"/>
  <c r="AO480" i="33260"/>
  <c r="I480" i="33260"/>
  <c r="AK479" i="33260"/>
  <c r="E479" i="33260"/>
  <c r="AG478" i="33260"/>
  <c r="BI477" i="33260"/>
  <c r="AC477" i="33260"/>
  <c r="BE476" i="33260"/>
  <c r="Y476" i="33260"/>
  <c r="BD475" i="33260"/>
  <c r="AV475" i="33260"/>
  <c r="AN475" i="33260"/>
  <c r="AF475" i="33260"/>
  <c r="X475" i="33260"/>
  <c r="P475" i="33260"/>
  <c r="H475" i="33260"/>
  <c r="BH474" i="33260"/>
  <c r="AZ474" i="33260"/>
  <c r="AR474" i="33260"/>
  <c r="AJ474" i="33260"/>
  <c r="AB474" i="33260"/>
  <c r="T474" i="33260"/>
  <c r="L474" i="33260"/>
  <c r="D474" i="33260"/>
  <c r="BD473" i="33260"/>
  <c r="AV473" i="33260"/>
  <c r="AN473" i="33260"/>
  <c r="AF473" i="33260"/>
  <c r="X473" i="33260"/>
  <c r="P473" i="33260"/>
  <c r="H473" i="33260"/>
  <c r="BH472" i="33260"/>
  <c r="AZ472" i="33260"/>
  <c r="AR472" i="33260"/>
  <c r="AJ472" i="33260"/>
  <c r="AB472" i="33260"/>
  <c r="T472" i="33260"/>
  <c r="L472" i="33260"/>
  <c r="D472" i="33260"/>
  <c r="BD471" i="33260"/>
  <c r="AV471" i="33260"/>
  <c r="AN471" i="33260"/>
  <c r="AF471" i="33260"/>
  <c r="X471" i="33260"/>
  <c r="P471" i="33260"/>
  <c r="H471" i="33260"/>
  <c r="BH470" i="33260"/>
  <c r="AZ470" i="33260"/>
  <c r="AR470" i="33260"/>
  <c r="AJ470" i="33260"/>
  <c r="AB470" i="33260"/>
  <c r="T470" i="33260"/>
  <c r="L470" i="33260"/>
  <c r="W517" i="33260"/>
  <c r="S511" i="33260"/>
  <c r="K509" i="33260"/>
  <c r="BK506" i="33260"/>
  <c r="BC504" i="33260"/>
  <c r="AU502" i="33260"/>
  <c r="AM500" i="33260"/>
  <c r="AE498" i="33260"/>
  <c r="AB496" i="33260"/>
  <c r="BJ494" i="33260"/>
  <c r="AI493" i="33260"/>
  <c r="Q492" i="33260"/>
  <c r="AS491" i="33260"/>
  <c r="M491" i="33260"/>
  <c r="AO490" i="33260"/>
  <c r="I490" i="33260"/>
  <c r="AK489" i="33260"/>
  <c r="E489" i="33260"/>
  <c r="AG488" i="33260"/>
  <c r="BI487" i="33260"/>
  <c r="AC487" i="33260"/>
  <c r="BE486" i="33260"/>
  <c r="Y486" i="33260"/>
  <c r="BA485" i="33260"/>
  <c r="U485" i="33260"/>
  <c r="AW484" i="33260"/>
  <c r="Q484" i="33260"/>
  <c r="AS483" i="33260"/>
  <c r="M483" i="33260"/>
  <c r="AO482" i="33260"/>
  <c r="I482" i="33260"/>
  <c r="AK481" i="33260"/>
  <c r="E481" i="33260"/>
  <c r="AG480" i="33260"/>
  <c r="BI479" i="33260"/>
  <c r="AC479" i="33260"/>
  <c r="BE478" i="33260"/>
  <c r="Y478" i="33260"/>
  <c r="BA477" i="33260"/>
  <c r="U477" i="33260"/>
  <c r="AW476" i="33260"/>
  <c r="Q476" i="33260"/>
  <c r="BB475" i="33260"/>
  <c r="AT475" i="33260"/>
  <c r="AL475" i="33260"/>
  <c r="AD475" i="33260"/>
  <c r="V475" i="33260"/>
  <c r="N475" i="33260"/>
  <c r="F475" i="33260"/>
  <c r="BF474" i="33260"/>
  <c r="AX474" i="33260"/>
  <c r="AP474" i="33260"/>
  <c r="AH474" i="33260"/>
  <c r="Z474" i="33260"/>
  <c r="R474" i="33260"/>
  <c r="J474" i="33260"/>
  <c r="BJ473" i="33260"/>
  <c r="BB473" i="33260"/>
  <c r="AT473" i="33260"/>
  <c r="AL473" i="33260"/>
  <c r="AD473" i="33260"/>
  <c r="V473" i="33260"/>
  <c r="N473" i="33260"/>
  <c r="F473" i="33260"/>
  <c r="BF472" i="33260"/>
  <c r="AX472" i="33260"/>
  <c r="AP472" i="33260"/>
  <c r="AH472" i="33260"/>
  <c r="Z472" i="33260"/>
  <c r="R472" i="33260"/>
  <c r="J472" i="33260"/>
  <c r="BJ471" i="33260"/>
  <c r="BB471" i="33260"/>
  <c r="AT471" i="33260"/>
  <c r="AL471" i="33260"/>
  <c r="AD471" i="33260"/>
  <c r="V471" i="33260"/>
  <c r="N471" i="33260"/>
  <c r="F471" i="33260"/>
  <c r="BF470" i="33260"/>
  <c r="AX470" i="33260"/>
  <c r="AP470" i="33260"/>
  <c r="AH470" i="33260"/>
  <c r="Z470" i="33260"/>
  <c r="R470" i="33260"/>
  <c r="J470" i="33260"/>
  <c r="V517" i="33260"/>
  <c r="R511" i="33260"/>
  <c r="J509" i="33260"/>
  <c r="BJ506" i="33260"/>
  <c r="BB504" i="33260"/>
  <c r="AT502" i="33260"/>
  <c r="AL500" i="33260"/>
  <c r="AD498" i="33260"/>
  <c r="W496" i="33260"/>
  <c r="BH494" i="33260"/>
  <c r="AH493" i="33260"/>
  <c r="P492" i="33260"/>
  <c r="AR491" i="33260"/>
  <c r="L491" i="33260"/>
  <c r="AN490" i="33260"/>
  <c r="H490" i="33260"/>
  <c r="AJ489" i="33260"/>
  <c r="D489" i="33260"/>
  <c r="AF488" i="33260"/>
  <c r="BH487" i="33260"/>
  <c r="AB487" i="33260"/>
  <c r="BD486" i="33260"/>
  <c r="X486" i="33260"/>
  <c r="AZ485" i="33260"/>
  <c r="T485" i="33260"/>
  <c r="AV484" i="33260"/>
  <c r="P484" i="33260"/>
  <c r="AR483" i="33260"/>
  <c r="L483" i="33260"/>
  <c r="AN482" i="33260"/>
  <c r="H482" i="33260"/>
  <c r="AJ481" i="33260"/>
  <c r="D481" i="33260"/>
  <c r="AF480" i="33260"/>
  <c r="BH479" i="33260"/>
  <c r="AB479" i="33260"/>
  <c r="BD478" i="33260"/>
  <c r="X478" i="33260"/>
  <c r="AZ477" i="33260"/>
  <c r="T477" i="33260"/>
  <c r="AV476" i="33260"/>
  <c r="P476" i="33260"/>
  <c r="BA475" i="33260"/>
  <c r="AS475" i="33260"/>
  <c r="AK475" i="33260"/>
  <c r="AC475" i="33260"/>
  <c r="U475" i="33260"/>
  <c r="M475" i="33260"/>
  <c r="E475" i="33260"/>
  <c r="BE474" i="33260"/>
  <c r="AW474" i="33260"/>
  <c r="AO474" i="33260"/>
  <c r="AG474" i="33260"/>
  <c r="Y474" i="33260"/>
  <c r="Q474" i="33260"/>
  <c r="I474" i="33260"/>
  <c r="BI473" i="33260"/>
  <c r="BA473" i="33260"/>
  <c r="AS473" i="33260"/>
  <c r="AK473" i="33260"/>
  <c r="AC473" i="33260"/>
  <c r="U473" i="33260"/>
  <c r="M473" i="33260"/>
  <c r="E473" i="33260"/>
  <c r="BE472" i="33260"/>
  <c r="AW472" i="33260"/>
  <c r="AO472" i="33260"/>
  <c r="AG472" i="33260"/>
  <c r="Y472" i="33260"/>
  <c r="Q472" i="33260"/>
  <c r="I472" i="33260"/>
  <c r="BI471" i="33260"/>
  <c r="BA471" i="33260"/>
  <c r="AS471" i="33260"/>
  <c r="AK471" i="33260"/>
  <c r="AC471" i="33260"/>
  <c r="U471" i="33260"/>
  <c r="M471" i="33260"/>
  <c r="E471" i="33260"/>
  <c r="BE470" i="33260"/>
  <c r="AW470" i="33260"/>
  <c r="AO470" i="33260"/>
  <c r="AG470" i="33260"/>
  <c r="Y470" i="33260"/>
  <c r="Q470" i="33260"/>
  <c r="O515" i="33260"/>
  <c r="AU510" i="33260"/>
  <c r="AM508" i="33260"/>
  <c r="AE506" i="33260"/>
  <c r="W504" i="33260"/>
  <c r="O502" i="33260"/>
  <c r="G500" i="33260"/>
  <c r="BG497" i="33260"/>
  <c r="F496" i="33260"/>
  <c r="AM494" i="33260"/>
  <c r="P493" i="33260"/>
  <c r="I492" i="33260"/>
  <c r="AK491" i="33260"/>
  <c r="E491" i="33260"/>
  <c r="AG490" i="33260"/>
  <c r="BI489" i="33260"/>
  <c r="AC489" i="33260"/>
  <c r="BE488" i="33260"/>
  <c r="Y488" i="33260"/>
  <c r="BA487" i="33260"/>
  <c r="U487" i="33260"/>
  <c r="AW486" i="33260"/>
  <c r="Q486" i="33260"/>
  <c r="AS485" i="33260"/>
  <c r="M485" i="33260"/>
  <c r="AO484" i="33260"/>
  <c r="I484" i="33260"/>
  <c r="AK483" i="33260"/>
  <c r="E483" i="33260"/>
  <c r="AG482" i="33260"/>
  <c r="BI481" i="33260"/>
  <c r="AC481" i="33260"/>
  <c r="BE480" i="33260"/>
  <c r="Y480" i="33260"/>
  <c r="BA479" i="33260"/>
  <c r="U479" i="33260"/>
  <c r="AW478" i="33260"/>
  <c r="Q478" i="33260"/>
  <c r="AS477" i="33260"/>
  <c r="M477" i="33260"/>
  <c r="AO476" i="33260"/>
  <c r="I476" i="33260"/>
  <c r="AZ475" i="33260"/>
  <c r="AR475" i="33260"/>
  <c r="AJ475" i="33260"/>
  <c r="AB475" i="33260"/>
  <c r="T475" i="33260"/>
  <c r="L475" i="33260"/>
  <c r="D475" i="33260"/>
  <c r="BD474" i="33260"/>
  <c r="AV474" i="33260"/>
  <c r="AN474" i="33260"/>
  <c r="AF474" i="33260"/>
  <c r="X474" i="33260"/>
  <c r="P474" i="33260"/>
  <c r="H474" i="33260"/>
  <c r="BH473" i="33260"/>
  <c r="AZ473" i="33260"/>
  <c r="AR473" i="33260"/>
  <c r="AJ473" i="33260"/>
  <c r="AB473" i="33260"/>
  <c r="T473" i="33260"/>
  <c r="L473" i="33260"/>
  <c r="D473" i="33260"/>
  <c r="BD472" i="33260"/>
  <c r="AV472" i="33260"/>
  <c r="AN472" i="33260"/>
  <c r="AF472" i="33260"/>
  <c r="X472" i="33260"/>
  <c r="P472" i="33260"/>
  <c r="H472" i="33260"/>
  <c r="BH471" i="33260"/>
  <c r="AZ471" i="33260"/>
  <c r="AR471" i="33260"/>
  <c r="AJ471" i="33260"/>
  <c r="AB471" i="33260"/>
  <c r="T471" i="33260"/>
  <c r="L471" i="33260"/>
  <c r="D471" i="33260"/>
  <c r="BD470" i="33260"/>
  <c r="AV470" i="33260"/>
  <c r="AN470" i="33260"/>
  <c r="AF470" i="33260"/>
  <c r="X470" i="33260"/>
  <c r="P470" i="33260"/>
  <c r="AL521" i="33260"/>
  <c r="AL508" i="33260"/>
  <c r="R503" i="33260"/>
  <c r="Z497" i="33260"/>
  <c r="K493" i="33260"/>
  <c r="T491" i="33260"/>
  <c r="AZ489" i="33260"/>
  <c r="X488" i="33260"/>
  <c r="D487" i="33260"/>
  <c r="AJ485" i="33260"/>
  <c r="H484" i="33260"/>
  <c r="AV482" i="33260"/>
  <c r="T481" i="33260"/>
  <c r="AZ479" i="33260"/>
  <c r="AF478" i="33260"/>
  <c r="D477" i="33260"/>
  <c r="AY475" i="33260"/>
  <c r="AE475" i="33260"/>
  <c r="I475" i="33260"/>
  <c r="AU474" i="33260"/>
  <c r="AA474" i="33260"/>
  <c r="E474" i="33260"/>
  <c r="AQ473" i="33260"/>
  <c r="W473" i="33260"/>
  <c r="BI472" i="33260"/>
  <c r="AM472" i="33260"/>
  <c r="S472" i="33260"/>
  <c r="BE471" i="33260"/>
  <c r="AI471" i="33260"/>
  <c r="O471" i="33260"/>
  <c r="BA470" i="33260"/>
  <c r="AE470" i="33260"/>
  <c r="K470" i="33260"/>
  <c r="BI469" i="33260"/>
  <c r="AZ469" i="33260"/>
  <c r="AR469" i="33260"/>
  <c r="AJ469" i="33260"/>
  <c r="AB469" i="33260"/>
  <c r="T469" i="33260"/>
  <c r="L469" i="33260"/>
  <c r="D469" i="33260"/>
  <c r="BD468" i="33260"/>
  <c r="AV468" i="33260"/>
  <c r="AN468" i="33260"/>
  <c r="AF468" i="33260"/>
  <c r="X468" i="33260"/>
  <c r="P468" i="33260"/>
  <c r="H468" i="33260"/>
  <c r="BH467" i="33260"/>
  <c r="AZ467" i="33260"/>
  <c r="AR467" i="33260"/>
  <c r="AJ467" i="33260"/>
  <c r="AB467" i="33260"/>
  <c r="T467" i="33260"/>
  <c r="L467" i="33260"/>
  <c r="D467" i="33260"/>
  <c r="BD466" i="33260"/>
  <c r="AV466" i="33260"/>
  <c r="AN466" i="33260"/>
  <c r="AF466" i="33260"/>
  <c r="X466" i="33260"/>
  <c r="P466" i="33260"/>
  <c r="H466" i="33260"/>
  <c r="BH465" i="33260"/>
  <c r="AZ465" i="33260"/>
  <c r="AR465" i="33260"/>
  <c r="AJ465" i="33260"/>
  <c r="AB465" i="33260"/>
  <c r="T465" i="33260"/>
  <c r="L465" i="33260"/>
  <c r="D465" i="33260"/>
  <c r="BD464" i="33260"/>
  <c r="AV464" i="33260"/>
  <c r="AN464" i="33260"/>
  <c r="AF464" i="33260"/>
  <c r="X464" i="33260"/>
  <c r="P464" i="33260"/>
  <c r="H464" i="33260"/>
  <c r="BH463" i="33260"/>
  <c r="AZ463" i="33260"/>
  <c r="AR463" i="33260"/>
  <c r="AJ463" i="33260"/>
  <c r="AB463" i="33260"/>
  <c r="T463" i="33260"/>
  <c r="L463" i="33260"/>
  <c r="D463" i="33260"/>
  <c r="BD462" i="33260"/>
  <c r="AV462" i="33260"/>
  <c r="AN462" i="33260"/>
  <c r="AF462" i="33260"/>
  <c r="X462" i="33260"/>
  <c r="P462" i="33260"/>
  <c r="H462" i="33260"/>
  <c r="BH461" i="33260"/>
  <c r="AZ461" i="33260"/>
  <c r="AR461" i="33260"/>
  <c r="AJ461" i="33260"/>
  <c r="AB461" i="33260"/>
  <c r="T461" i="33260"/>
  <c r="L461" i="33260"/>
  <c r="D461" i="33260"/>
  <c r="BD460" i="33260"/>
  <c r="AV460" i="33260"/>
  <c r="AN460" i="33260"/>
  <c r="AF460" i="33260"/>
  <c r="X460" i="33260"/>
  <c r="P460" i="33260"/>
  <c r="H460" i="33260"/>
  <c r="BH459" i="33260"/>
  <c r="AZ459" i="33260"/>
  <c r="AR459" i="33260"/>
  <c r="AJ459" i="33260"/>
  <c r="AB459" i="33260"/>
  <c r="T459" i="33260"/>
  <c r="L459" i="33260"/>
  <c r="D459" i="33260"/>
  <c r="BD458" i="33260"/>
  <c r="AV458" i="33260"/>
  <c r="AN458" i="33260"/>
  <c r="AF458" i="33260"/>
  <c r="X458" i="33260"/>
  <c r="P458" i="33260"/>
  <c r="H458" i="33260"/>
  <c r="BH457" i="33260"/>
  <c r="AZ457" i="33260"/>
  <c r="AR457" i="33260"/>
  <c r="AJ457" i="33260"/>
  <c r="AB457" i="33260"/>
  <c r="T457" i="33260"/>
  <c r="L457" i="33260"/>
  <c r="D457" i="33260"/>
  <c r="BD456" i="33260"/>
  <c r="AV456" i="33260"/>
  <c r="AN456" i="33260"/>
  <c r="AF456" i="33260"/>
  <c r="X456" i="33260"/>
  <c r="P456" i="33260"/>
  <c r="H456" i="33260"/>
  <c r="BH455" i="33260"/>
  <c r="AZ455" i="33260"/>
  <c r="AR455" i="33260"/>
  <c r="AJ455" i="33260"/>
  <c r="AB455" i="33260"/>
  <c r="T455" i="33260"/>
  <c r="L455" i="33260"/>
  <c r="D455" i="33260"/>
  <c r="BD454" i="33260"/>
  <c r="AV454" i="33260"/>
  <c r="AN454" i="33260"/>
  <c r="AF454" i="33260"/>
  <c r="X454" i="33260"/>
  <c r="P454" i="33260"/>
  <c r="H454" i="33260"/>
  <c r="BH453" i="33260"/>
  <c r="AZ453" i="33260"/>
  <c r="AR453" i="33260"/>
  <c r="AJ453" i="33260"/>
  <c r="AB453" i="33260"/>
  <c r="T453" i="33260"/>
  <c r="L453" i="33260"/>
  <c r="D453" i="33260"/>
  <c r="BD452" i="33260"/>
  <c r="AV452" i="33260"/>
  <c r="AN452" i="33260"/>
  <c r="AF452" i="33260"/>
  <c r="X452" i="33260"/>
  <c r="P452" i="33260"/>
  <c r="H452" i="33260"/>
  <c r="BH451" i="33260"/>
  <c r="N515" i="33260"/>
  <c r="AH507" i="33260"/>
  <c r="AP501" i="33260"/>
  <c r="D496" i="33260"/>
  <c r="AD492" i="33260"/>
  <c r="BD490" i="33260"/>
  <c r="AB489" i="33260"/>
  <c r="H488" i="33260"/>
  <c r="AN486" i="33260"/>
  <c r="L485" i="33260"/>
  <c r="AZ483" i="33260"/>
  <c r="X482" i="33260"/>
  <c r="BD480" i="33260"/>
  <c r="AJ479" i="33260"/>
  <c r="H478" i="33260"/>
  <c r="AN476" i="33260"/>
  <c r="AU475" i="33260"/>
  <c r="Y475" i="33260"/>
  <c r="BK474" i="33260"/>
  <c r="AQ474" i="33260"/>
  <c r="U474" i="33260"/>
  <c r="BG473" i="33260"/>
  <c r="AM473" i="33260"/>
  <c r="Q473" i="33260"/>
  <c r="BC472" i="33260"/>
  <c r="AI472" i="33260"/>
  <c r="M472" i="33260"/>
  <c r="AY471" i="33260"/>
  <c r="AE471" i="33260"/>
  <c r="I471" i="33260"/>
  <c r="AU470" i="33260"/>
  <c r="AA470" i="33260"/>
  <c r="H470" i="33260"/>
  <c r="BG469" i="33260"/>
  <c r="AX469" i="33260"/>
  <c r="AP469" i="33260"/>
  <c r="AH469" i="33260"/>
  <c r="Z469" i="33260"/>
  <c r="R469" i="33260"/>
  <c r="J469" i="33260"/>
  <c r="BJ468" i="33260"/>
  <c r="BB468" i="33260"/>
  <c r="AT468" i="33260"/>
  <c r="AL468" i="33260"/>
  <c r="AD468" i="33260"/>
  <c r="V468" i="33260"/>
  <c r="N468" i="33260"/>
  <c r="F468" i="33260"/>
  <c r="BF467" i="33260"/>
  <c r="AX467" i="33260"/>
  <c r="AP467" i="33260"/>
  <c r="AH467" i="33260"/>
  <c r="Z467" i="33260"/>
  <c r="R467" i="33260"/>
  <c r="J467" i="33260"/>
  <c r="BJ466" i="33260"/>
  <c r="BB466" i="33260"/>
  <c r="AT466" i="33260"/>
  <c r="AL466" i="33260"/>
  <c r="AD466" i="33260"/>
  <c r="V466" i="33260"/>
  <c r="N466" i="33260"/>
  <c r="F466" i="33260"/>
  <c r="BF465" i="33260"/>
  <c r="AX465" i="33260"/>
  <c r="AP465" i="33260"/>
  <c r="AH465" i="33260"/>
  <c r="Z465" i="33260"/>
  <c r="R465" i="33260"/>
  <c r="J465" i="33260"/>
  <c r="BJ464" i="33260"/>
  <c r="BB464" i="33260"/>
  <c r="AT464" i="33260"/>
  <c r="AL464" i="33260"/>
  <c r="AD464" i="33260"/>
  <c r="V464" i="33260"/>
  <c r="N464" i="33260"/>
  <c r="F464" i="33260"/>
  <c r="BF463" i="33260"/>
  <c r="AX463" i="33260"/>
  <c r="AP463" i="33260"/>
  <c r="AH463" i="33260"/>
  <c r="Z463" i="33260"/>
  <c r="R463" i="33260"/>
  <c r="J463" i="33260"/>
  <c r="BJ462" i="33260"/>
  <c r="BB462" i="33260"/>
  <c r="AT462" i="33260"/>
  <c r="AL462" i="33260"/>
  <c r="AD462" i="33260"/>
  <c r="V462" i="33260"/>
  <c r="N462" i="33260"/>
  <c r="F462" i="33260"/>
  <c r="BF461" i="33260"/>
  <c r="AX461" i="33260"/>
  <c r="AP461" i="33260"/>
  <c r="AH461" i="33260"/>
  <c r="Z461" i="33260"/>
  <c r="R461" i="33260"/>
  <c r="J461" i="33260"/>
  <c r="BJ460" i="33260"/>
  <c r="BB460" i="33260"/>
  <c r="AT460" i="33260"/>
  <c r="AL460" i="33260"/>
  <c r="AD460" i="33260"/>
  <c r="V460" i="33260"/>
  <c r="N460" i="33260"/>
  <c r="F460" i="33260"/>
  <c r="BF459" i="33260"/>
  <c r="AX459" i="33260"/>
  <c r="AP459" i="33260"/>
  <c r="AH459" i="33260"/>
  <c r="Z459" i="33260"/>
  <c r="R459" i="33260"/>
  <c r="J459" i="33260"/>
  <c r="BJ458" i="33260"/>
  <c r="BB458" i="33260"/>
  <c r="AT458" i="33260"/>
  <c r="AL458" i="33260"/>
  <c r="AD458" i="33260"/>
  <c r="V458" i="33260"/>
  <c r="N458" i="33260"/>
  <c r="F458" i="33260"/>
  <c r="BF457" i="33260"/>
  <c r="AX457" i="33260"/>
  <c r="AP457" i="33260"/>
  <c r="AH457" i="33260"/>
  <c r="Z457" i="33260"/>
  <c r="R457" i="33260"/>
  <c r="J457" i="33260"/>
  <c r="BJ456" i="33260"/>
  <c r="BB456" i="33260"/>
  <c r="AT456" i="33260"/>
  <c r="AL456" i="33260"/>
  <c r="AD456" i="33260"/>
  <c r="V456" i="33260"/>
  <c r="N456" i="33260"/>
  <c r="F456" i="33260"/>
  <c r="BF455" i="33260"/>
  <c r="AX455" i="33260"/>
  <c r="AP455" i="33260"/>
  <c r="AH455" i="33260"/>
  <c r="Z455" i="33260"/>
  <c r="R455" i="33260"/>
  <c r="J455" i="33260"/>
  <c r="BJ454" i="33260"/>
  <c r="BB454" i="33260"/>
  <c r="AT454" i="33260"/>
  <c r="AL454" i="33260"/>
  <c r="AD454" i="33260"/>
  <c r="V454" i="33260"/>
  <c r="N454" i="33260"/>
  <c r="F454" i="33260"/>
  <c r="BF453" i="33260"/>
  <c r="AX453" i="33260"/>
  <c r="AP453" i="33260"/>
  <c r="AH453" i="33260"/>
  <c r="Z453" i="33260"/>
  <c r="R453" i="33260"/>
  <c r="J453" i="33260"/>
  <c r="BJ452" i="33260"/>
  <c r="BB452" i="33260"/>
  <c r="AT452" i="33260"/>
  <c r="AL452" i="33260"/>
  <c r="AD452" i="33260"/>
  <c r="V452" i="33260"/>
  <c r="N452" i="33260"/>
  <c r="F452" i="33260"/>
  <c r="BF451" i="33260"/>
  <c r="AX451" i="33260"/>
  <c r="AX511" i="33260"/>
  <c r="BF505" i="33260"/>
  <c r="F500" i="33260"/>
  <c r="S495" i="33260"/>
  <c r="BH491" i="33260"/>
  <c r="AF490" i="33260"/>
  <c r="L489" i="33260"/>
  <c r="AR487" i="33260"/>
  <c r="P486" i="33260"/>
  <c r="BD484" i="33260"/>
  <c r="AB483" i="33260"/>
  <c r="BH481" i="33260"/>
  <c r="AN480" i="33260"/>
  <c r="L479" i="33260"/>
  <c r="AR477" i="33260"/>
  <c r="X476" i="33260"/>
  <c r="AO475" i="33260"/>
  <c r="S475" i="33260"/>
  <c r="BG474" i="33260"/>
  <c r="AK474" i="33260"/>
  <c r="O474" i="33260"/>
  <c r="BC473" i="33260"/>
  <c r="AG473" i="33260"/>
  <c r="K473" i="33260"/>
  <c r="AY472" i="33260"/>
  <c r="AC472" i="33260"/>
  <c r="G472" i="33260"/>
  <c r="AU471" i="33260"/>
  <c r="Y471" i="33260"/>
  <c r="BK470" i="33260"/>
  <c r="AQ470" i="33260"/>
  <c r="U470" i="33260"/>
  <c r="E470" i="33260"/>
  <c r="BD469" i="33260"/>
  <c r="AV469" i="33260"/>
  <c r="AN469" i="33260"/>
  <c r="AF469" i="33260"/>
  <c r="X469" i="33260"/>
  <c r="P469" i="33260"/>
  <c r="H469" i="33260"/>
  <c r="BH468" i="33260"/>
  <c r="AZ468" i="33260"/>
  <c r="AR468" i="33260"/>
  <c r="AJ468" i="33260"/>
  <c r="AB468" i="33260"/>
  <c r="T468" i="33260"/>
  <c r="L468" i="33260"/>
  <c r="D468" i="33260"/>
  <c r="BD467" i="33260"/>
  <c r="AV467" i="33260"/>
  <c r="AN467" i="33260"/>
  <c r="AF467" i="33260"/>
  <c r="X467" i="33260"/>
  <c r="P467" i="33260"/>
  <c r="H467" i="33260"/>
  <c r="BH466" i="33260"/>
  <c r="AZ466" i="33260"/>
  <c r="AR466" i="33260"/>
  <c r="AJ466" i="33260"/>
  <c r="AB466" i="33260"/>
  <c r="T466" i="33260"/>
  <c r="L466" i="33260"/>
  <c r="D466" i="33260"/>
  <c r="BD465" i="33260"/>
  <c r="AV465" i="33260"/>
  <c r="AN465" i="33260"/>
  <c r="AF465" i="33260"/>
  <c r="X465" i="33260"/>
  <c r="P465" i="33260"/>
  <c r="H465" i="33260"/>
  <c r="BH464" i="33260"/>
  <c r="AZ464" i="33260"/>
  <c r="AR464" i="33260"/>
  <c r="AJ464" i="33260"/>
  <c r="AB464" i="33260"/>
  <c r="T464" i="33260"/>
  <c r="L464" i="33260"/>
  <c r="D464" i="33260"/>
  <c r="BD463" i="33260"/>
  <c r="AV463" i="33260"/>
  <c r="AN463" i="33260"/>
  <c r="AF463" i="33260"/>
  <c r="X463" i="33260"/>
  <c r="P463" i="33260"/>
  <c r="H463" i="33260"/>
  <c r="BH462" i="33260"/>
  <c r="AZ462" i="33260"/>
  <c r="AR462" i="33260"/>
  <c r="AJ462" i="33260"/>
  <c r="AB462" i="33260"/>
  <c r="T462" i="33260"/>
  <c r="L462" i="33260"/>
  <c r="D462" i="33260"/>
  <c r="BD461" i="33260"/>
  <c r="AV461" i="33260"/>
  <c r="AN461" i="33260"/>
  <c r="AF461" i="33260"/>
  <c r="X461" i="33260"/>
  <c r="P461" i="33260"/>
  <c r="H461" i="33260"/>
  <c r="BH460" i="33260"/>
  <c r="AZ460" i="33260"/>
  <c r="AR460" i="33260"/>
  <c r="AJ460" i="33260"/>
  <c r="AB460" i="33260"/>
  <c r="T460" i="33260"/>
  <c r="L460" i="33260"/>
  <c r="D460" i="33260"/>
  <c r="BD459" i="33260"/>
  <c r="AV459" i="33260"/>
  <c r="AN459" i="33260"/>
  <c r="AF459" i="33260"/>
  <c r="X459" i="33260"/>
  <c r="P459" i="33260"/>
  <c r="H459" i="33260"/>
  <c r="BH458" i="33260"/>
  <c r="AZ458" i="33260"/>
  <c r="AR458" i="33260"/>
  <c r="AJ458" i="33260"/>
  <c r="AB458" i="33260"/>
  <c r="T458" i="33260"/>
  <c r="L458" i="33260"/>
  <c r="D458" i="33260"/>
  <c r="BD457" i="33260"/>
  <c r="AV457" i="33260"/>
  <c r="AN457" i="33260"/>
  <c r="AF457" i="33260"/>
  <c r="X457" i="33260"/>
  <c r="P457" i="33260"/>
  <c r="H457" i="33260"/>
  <c r="BH456" i="33260"/>
  <c r="AZ456" i="33260"/>
  <c r="AR456" i="33260"/>
  <c r="AJ456" i="33260"/>
  <c r="AB456" i="33260"/>
  <c r="T456" i="33260"/>
  <c r="L456" i="33260"/>
  <c r="D456" i="33260"/>
  <c r="BD455" i="33260"/>
  <c r="AV455" i="33260"/>
  <c r="AN455" i="33260"/>
  <c r="AF455" i="33260"/>
  <c r="X455" i="33260"/>
  <c r="P455" i="33260"/>
  <c r="H455" i="33260"/>
  <c r="BH454" i="33260"/>
  <c r="AZ454" i="33260"/>
  <c r="AR454" i="33260"/>
  <c r="AJ454" i="33260"/>
  <c r="AB454" i="33260"/>
  <c r="T454" i="33260"/>
  <c r="L454" i="33260"/>
  <c r="D454" i="33260"/>
  <c r="BD453" i="33260"/>
  <c r="AV453" i="33260"/>
  <c r="AN453" i="33260"/>
  <c r="AF453" i="33260"/>
  <c r="X453" i="33260"/>
  <c r="P453" i="33260"/>
  <c r="H453" i="33260"/>
  <c r="BH452" i="33260"/>
  <c r="AZ452" i="33260"/>
  <c r="AR452" i="33260"/>
  <c r="AJ452" i="33260"/>
  <c r="AB452" i="33260"/>
  <c r="T452" i="33260"/>
  <c r="L452" i="33260"/>
  <c r="D452" i="33260"/>
  <c r="AT510" i="33260"/>
  <c r="Z505" i="33260"/>
  <c r="AH499" i="33260"/>
  <c r="AL494" i="33260"/>
  <c r="AZ491" i="33260"/>
  <c r="X490" i="33260"/>
  <c r="BD488" i="33260"/>
  <c r="AJ487" i="33260"/>
  <c r="H486" i="33260"/>
  <c r="AN484" i="33260"/>
  <c r="T483" i="33260"/>
  <c r="AZ481" i="33260"/>
  <c r="X480" i="33260"/>
  <c r="D479" i="33260"/>
  <c r="AJ477" i="33260"/>
  <c r="H476" i="33260"/>
  <c r="AM475" i="33260"/>
  <c r="Q475" i="33260"/>
  <c r="BC474" i="33260"/>
  <c r="AI474" i="33260"/>
  <c r="M474" i="33260"/>
  <c r="AY473" i="33260"/>
  <c r="AE473" i="33260"/>
  <c r="I473" i="33260"/>
  <c r="AU472" i="33260"/>
  <c r="AA472" i="33260"/>
  <c r="E472" i="33260"/>
  <c r="AQ471" i="33260"/>
  <c r="W471" i="33260"/>
  <c r="BI470" i="33260"/>
  <c r="AM470" i="33260"/>
  <c r="S470" i="33260"/>
  <c r="D470" i="33260"/>
  <c r="BC469" i="33260"/>
  <c r="AU469" i="33260"/>
  <c r="AM469" i="33260"/>
  <c r="AE469" i="33260"/>
  <c r="W469" i="33260"/>
  <c r="O469" i="33260"/>
  <c r="G469" i="33260"/>
  <c r="BG468" i="33260"/>
  <c r="AY468" i="33260"/>
  <c r="AQ468" i="33260"/>
  <c r="AI468" i="33260"/>
  <c r="AA468" i="33260"/>
  <c r="S468" i="33260"/>
  <c r="K468" i="33260"/>
  <c r="BK467" i="33260"/>
  <c r="BC467" i="33260"/>
  <c r="AU467" i="33260"/>
  <c r="AM467" i="33260"/>
  <c r="AE467" i="33260"/>
  <c r="W467" i="33260"/>
  <c r="O467" i="33260"/>
  <c r="G467" i="33260"/>
  <c r="BG466" i="33260"/>
  <c r="AY466" i="33260"/>
  <c r="AQ466" i="33260"/>
  <c r="AI466" i="33260"/>
  <c r="AA466" i="33260"/>
  <c r="S466" i="33260"/>
  <c r="K466" i="33260"/>
  <c r="BK465" i="33260"/>
  <c r="BC465" i="33260"/>
  <c r="AU465" i="33260"/>
  <c r="AM465" i="33260"/>
  <c r="AE465" i="33260"/>
  <c r="W465" i="33260"/>
  <c r="O465" i="33260"/>
  <c r="G465" i="33260"/>
  <c r="BG464" i="33260"/>
  <c r="AY464" i="33260"/>
  <c r="AQ464" i="33260"/>
  <c r="AI464" i="33260"/>
  <c r="AA464" i="33260"/>
  <c r="S464" i="33260"/>
  <c r="K464" i="33260"/>
  <c r="BK463" i="33260"/>
  <c r="BC463" i="33260"/>
  <c r="AU463" i="33260"/>
  <c r="AM463" i="33260"/>
  <c r="AE463" i="33260"/>
  <c r="W463" i="33260"/>
  <c r="O463" i="33260"/>
  <c r="G463" i="33260"/>
  <c r="BG462" i="33260"/>
  <c r="AY462" i="33260"/>
  <c r="AQ462" i="33260"/>
  <c r="AI462" i="33260"/>
  <c r="AA462" i="33260"/>
  <c r="S462" i="33260"/>
  <c r="K462" i="33260"/>
  <c r="BK461" i="33260"/>
  <c r="BC461" i="33260"/>
  <c r="AU461" i="33260"/>
  <c r="AM461" i="33260"/>
  <c r="AE461" i="33260"/>
  <c r="W461" i="33260"/>
  <c r="O461" i="33260"/>
  <c r="G461" i="33260"/>
  <c r="BG460" i="33260"/>
  <c r="AY460" i="33260"/>
  <c r="AQ460" i="33260"/>
  <c r="AI460" i="33260"/>
  <c r="AA460" i="33260"/>
  <c r="S460" i="33260"/>
  <c r="K460" i="33260"/>
  <c r="BK459" i="33260"/>
  <c r="BC459" i="33260"/>
  <c r="AU459" i="33260"/>
  <c r="AM459" i="33260"/>
  <c r="AE459" i="33260"/>
  <c r="W459" i="33260"/>
  <c r="O459" i="33260"/>
  <c r="G459" i="33260"/>
  <c r="BG458" i="33260"/>
  <c r="AY458" i="33260"/>
  <c r="AQ458" i="33260"/>
  <c r="AI458" i="33260"/>
  <c r="AA458" i="33260"/>
  <c r="S458" i="33260"/>
  <c r="K458" i="33260"/>
  <c r="BK457" i="33260"/>
  <c r="BC457" i="33260"/>
  <c r="AU457" i="33260"/>
  <c r="AM457" i="33260"/>
  <c r="AE457" i="33260"/>
  <c r="W457" i="33260"/>
  <c r="O457" i="33260"/>
  <c r="G457" i="33260"/>
  <c r="BG456" i="33260"/>
  <c r="AY456" i="33260"/>
  <c r="AQ456" i="33260"/>
  <c r="AI456" i="33260"/>
  <c r="AA456" i="33260"/>
  <c r="S456" i="33260"/>
  <c r="K456" i="33260"/>
  <c r="BK455" i="33260"/>
  <c r="BC455" i="33260"/>
  <c r="AU455" i="33260"/>
  <c r="AM455" i="33260"/>
  <c r="AE455" i="33260"/>
  <c r="W455" i="33260"/>
  <c r="O455" i="33260"/>
  <c r="G455" i="33260"/>
  <c r="BG454" i="33260"/>
  <c r="AY454" i="33260"/>
  <c r="AQ454" i="33260"/>
  <c r="AI454" i="33260"/>
  <c r="AA454" i="33260"/>
  <c r="S454" i="33260"/>
  <c r="K454" i="33260"/>
  <c r="BK453" i="33260"/>
  <c r="BC453" i="33260"/>
  <c r="AU453" i="33260"/>
  <c r="AM453" i="33260"/>
  <c r="AE453" i="33260"/>
  <c r="W453" i="33260"/>
  <c r="O453" i="33260"/>
  <c r="G453" i="33260"/>
  <c r="BG452" i="33260"/>
  <c r="AY452" i="33260"/>
  <c r="AQ452" i="33260"/>
  <c r="AI452" i="33260"/>
  <c r="AA452" i="33260"/>
  <c r="S452" i="33260"/>
  <c r="K452" i="33260"/>
  <c r="BK451" i="33260"/>
  <c r="BC451" i="33260"/>
  <c r="AU451" i="33260"/>
  <c r="N510" i="33260"/>
  <c r="V504" i="33260"/>
  <c r="BJ498" i="33260"/>
  <c r="O494" i="33260"/>
  <c r="AJ491" i="33260"/>
  <c r="P490" i="33260"/>
  <c r="AV488" i="33260"/>
  <c r="T487" i="33260"/>
  <c r="BH485" i="33260"/>
  <c r="AF484" i="33260"/>
  <c r="D483" i="33260"/>
  <c r="AR481" i="33260"/>
  <c r="P480" i="33260"/>
  <c r="AV478" i="33260"/>
  <c r="AB477" i="33260"/>
  <c r="BH475" i="33260"/>
  <c r="AI475" i="33260"/>
  <c r="O475" i="33260"/>
  <c r="BA474" i="33260"/>
  <c r="AE474" i="33260"/>
  <c r="K474" i="33260"/>
  <c r="AW473" i="33260"/>
  <c r="AA473" i="33260"/>
  <c r="G473" i="33260"/>
  <c r="AS472" i="33260"/>
  <c r="W472" i="33260"/>
  <c r="BK471" i="33260"/>
  <c r="AO471" i="33260"/>
  <c r="S471" i="33260"/>
  <c r="BG470" i="33260"/>
  <c r="AK470" i="33260"/>
  <c r="O470" i="33260"/>
  <c r="BK469" i="33260"/>
  <c r="BB469" i="33260"/>
  <c r="AT469" i="33260"/>
  <c r="AL469" i="33260"/>
  <c r="AD469" i="33260"/>
  <c r="V469" i="33260"/>
  <c r="N469" i="33260"/>
  <c r="F469" i="33260"/>
  <c r="BF468" i="33260"/>
  <c r="AX468" i="33260"/>
  <c r="AP468" i="33260"/>
  <c r="AH468" i="33260"/>
  <c r="Z468" i="33260"/>
  <c r="R468" i="33260"/>
  <c r="J468" i="33260"/>
  <c r="BJ467" i="33260"/>
  <c r="BB467" i="33260"/>
  <c r="AT467" i="33260"/>
  <c r="AL467" i="33260"/>
  <c r="AD467" i="33260"/>
  <c r="V467" i="33260"/>
  <c r="N467" i="33260"/>
  <c r="F467" i="33260"/>
  <c r="BF466" i="33260"/>
  <c r="AX466" i="33260"/>
  <c r="AP466" i="33260"/>
  <c r="AH466" i="33260"/>
  <c r="Z466" i="33260"/>
  <c r="R466" i="33260"/>
  <c r="J466" i="33260"/>
  <c r="BJ465" i="33260"/>
  <c r="BB465" i="33260"/>
  <c r="AT465" i="33260"/>
  <c r="AL465" i="33260"/>
  <c r="AD465" i="33260"/>
  <c r="V465" i="33260"/>
  <c r="N465" i="33260"/>
  <c r="F465" i="33260"/>
  <c r="BF464" i="33260"/>
  <c r="AX464" i="33260"/>
  <c r="AP464" i="33260"/>
  <c r="AH464" i="33260"/>
  <c r="Z464" i="33260"/>
  <c r="R464" i="33260"/>
  <c r="J464" i="33260"/>
  <c r="BJ463" i="33260"/>
  <c r="BB463" i="33260"/>
  <c r="AT463" i="33260"/>
  <c r="AL463" i="33260"/>
  <c r="AD463" i="33260"/>
  <c r="V463" i="33260"/>
  <c r="N463" i="33260"/>
  <c r="F463" i="33260"/>
  <c r="BF462" i="33260"/>
  <c r="AX462" i="33260"/>
  <c r="AP462" i="33260"/>
  <c r="AH462" i="33260"/>
  <c r="Z462" i="33260"/>
  <c r="R462" i="33260"/>
  <c r="J462" i="33260"/>
  <c r="BJ461" i="33260"/>
  <c r="BB461" i="33260"/>
  <c r="AT461" i="33260"/>
  <c r="AL461" i="33260"/>
  <c r="AD461" i="33260"/>
  <c r="V461" i="33260"/>
  <c r="N461" i="33260"/>
  <c r="F461" i="33260"/>
  <c r="BF460" i="33260"/>
  <c r="AX460" i="33260"/>
  <c r="AP460" i="33260"/>
  <c r="AH460" i="33260"/>
  <c r="Z460" i="33260"/>
  <c r="R460" i="33260"/>
  <c r="J460" i="33260"/>
  <c r="BJ459" i="33260"/>
  <c r="BB459" i="33260"/>
  <c r="AT459" i="33260"/>
  <c r="AL459" i="33260"/>
  <c r="AD459" i="33260"/>
  <c r="V459" i="33260"/>
  <c r="N459" i="33260"/>
  <c r="F459" i="33260"/>
  <c r="BF458" i="33260"/>
  <c r="AX458" i="33260"/>
  <c r="AP458" i="33260"/>
  <c r="AH458" i="33260"/>
  <c r="Z458" i="33260"/>
  <c r="R458" i="33260"/>
  <c r="J458" i="33260"/>
  <c r="BJ457" i="33260"/>
  <c r="BB457" i="33260"/>
  <c r="AT457" i="33260"/>
  <c r="AL457" i="33260"/>
  <c r="AD457" i="33260"/>
  <c r="V457" i="33260"/>
  <c r="N457" i="33260"/>
  <c r="F457" i="33260"/>
  <c r="BF456" i="33260"/>
  <c r="AX456" i="33260"/>
  <c r="AP456" i="33260"/>
  <c r="AH456" i="33260"/>
  <c r="Z456" i="33260"/>
  <c r="R456" i="33260"/>
  <c r="J456" i="33260"/>
  <c r="BJ455" i="33260"/>
  <c r="BB455" i="33260"/>
  <c r="AT455" i="33260"/>
  <c r="AL455" i="33260"/>
  <c r="AD455" i="33260"/>
  <c r="V455" i="33260"/>
  <c r="N455" i="33260"/>
  <c r="F455" i="33260"/>
  <c r="BF454" i="33260"/>
  <c r="AX454" i="33260"/>
  <c r="AP454" i="33260"/>
  <c r="AH454" i="33260"/>
  <c r="Z454" i="33260"/>
  <c r="R454" i="33260"/>
  <c r="J454" i="33260"/>
  <c r="BJ453" i="33260"/>
  <c r="BB453" i="33260"/>
  <c r="AT453" i="33260"/>
  <c r="AL453" i="33260"/>
  <c r="AD453" i="33260"/>
  <c r="V453" i="33260"/>
  <c r="N453" i="33260"/>
  <c r="F453" i="33260"/>
  <c r="BF452" i="33260"/>
  <c r="AX452" i="33260"/>
  <c r="AP452" i="33260"/>
  <c r="AH452" i="33260"/>
  <c r="Z452" i="33260"/>
  <c r="R452" i="33260"/>
  <c r="J452" i="33260"/>
  <c r="BJ451" i="33260"/>
  <c r="BB451" i="33260"/>
  <c r="AT451" i="33260"/>
  <c r="AD519" i="33260"/>
  <c r="BF497" i="33260"/>
  <c r="AV490" i="33260"/>
  <c r="AV486" i="33260"/>
  <c r="BD482" i="33260"/>
  <c r="T479" i="33260"/>
  <c r="AW475" i="33260"/>
  <c r="AY474" i="33260"/>
  <c r="BE473" i="33260"/>
  <c r="BG472" i="33260"/>
  <c r="BG471" i="33260"/>
  <c r="G471" i="33260"/>
  <c r="I470" i="33260"/>
  <c r="AS469" i="33260"/>
  <c r="Y469" i="33260"/>
  <c r="BK468" i="33260"/>
  <c r="AO468" i="33260"/>
  <c r="U468" i="33260"/>
  <c r="BG467" i="33260"/>
  <c r="AK467" i="33260"/>
  <c r="Q467" i="33260"/>
  <c r="BC466" i="33260"/>
  <c r="AG466" i="33260"/>
  <c r="M466" i="33260"/>
  <c r="AY465" i="33260"/>
  <c r="AC465" i="33260"/>
  <c r="I465" i="33260"/>
  <c r="AU464" i="33260"/>
  <c r="Y464" i="33260"/>
  <c r="E464" i="33260"/>
  <c r="AQ463" i="33260"/>
  <c r="U463" i="33260"/>
  <c r="BI462" i="33260"/>
  <c r="AM462" i="33260"/>
  <c r="Q462" i="33260"/>
  <c r="BE461" i="33260"/>
  <c r="AI461" i="33260"/>
  <c r="M461" i="33260"/>
  <c r="BA460" i="33260"/>
  <c r="AE460" i="33260"/>
  <c r="I460" i="33260"/>
  <c r="AW459" i="33260"/>
  <c r="AA459" i="33260"/>
  <c r="E459" i="33260"/>
  <c r="AS458" i="33260"/>
  <c r="W458" i="33260"/>
  <c r="BI457" i="33260"/>
  <c r="AO457" i="33260"/>
  <c r="S457" i="33260"/>
  <c r="BE456" i="33260"/>
  <c r="AK456" i="33260"/>
  <c r="O456" i="33260"/>
  <c r="BA455" i="33260"/>
  <c r="AG455" i="33260"/>
  <c r="K455" i="33260"/>
  <c r="AW454" i="33260"/>
  <c r="AC454" i="33260"/>
  <c r="G454" i="33260"/>
  <c r="AS453" i="33260"/>
  <c r="Y453" i="33260"/>
  <c r="BK452" i="33260"/>
  <c r="AO452" i="33260"/>
  <c r="U452" i="33260"/>
  <c r="BG451" i="33260"/>
  <c r="AS451" i="33260"/>
  <c r="AK451" i="33260"/>
  <c r="AC451" i="33260"/>
  <c r="U451" i="33260"/>
  <c r="M451" i="33260"/>
  <c r="E451" i="33260"/>
  <c r="BE450" i="33260"/>
  <c r="AW450" i="33260"/>
  <c r="AO450" i="33260"/>
  <c r="AG450" i="33260"/>
  <c r="Y450" i="33260"/>
  <c r="Q450" i="33260"/>
  <c r="I450" i="33260"/>
  <c r="BI449" i="33260"/>
  <c r="BA449" i="33260"/>
  <c r="AS449" i="33260"/>
  <c r="AK449" i="33260"/>
  <c r="AC449" i="33260"/>
  <c r="U449" i="33260"/>
  <c r="M449" i="33260"/>
  <c r="E449" i="33260"/>
  <c r="BE448" i="33260"/>
  <c r="AW448" i="33260"/>
  <c r="AO448" i="33260"/>
  <c r="AG448" i="33260"/>
  <c r="Y448" i="33260"/>
  <c r="Q448" i="33260"/>
  <c r="I448" i="33260"/>
  <c r="BI447" i="33260"/>
  <c r="BA447" i="33260"/>
  <c r="AS447" i="33260"/>
  <c r="AK447" i="33260"/>
  <c r="AC447" i="33260"/>
  <c r="U447" i="33260"/>
  <c r="M447" i="33260"/>
  <c r="E447" i="33260"/>
  <c r="BE446" i="33260"/>
  <c r="AW446" i="33260"/>
  <c r="AO446" i="33260"/>
  <c r="AG446" i="33260"/>
  <c r="Y446" i="33260"/>
  <c r="Q446" i="33260"/>
  <c r="I446" i="33260"/>
  <c r="BI445" i="33260"/>
  <c r="BA445" i="33260"/>
  <c r="AS445" i="33260"/>
  <c r="AK445" i="33260"/>
  <c r="AC445" i="33260"/>
  <c r="U445" i="33260"/>
  <c r="M445" i="33260"/>
  <c r="E445" i="33260"/>
  <c r="BE444" i="33260"/>
  <c r="AW444" i="33260"/>
  <c r="AO444" i="33260"/>
  <c r="AG444" i="33260"/>
  <c r="Y444" i="33260"/>
  <c r="Q444" i="33260"/>
  <c r="I444" i="33260"/>
  <c r="BI443" i="33260"/>
  <c r="BA443" i="33260"/>
  <c r="AS443" i="33260"/>
  <c r="AK443" i="33260"/>
  <c r="AC443" i="33260"/>
  <c r="U443" i="33260"/>
  <c r="M443" i="33260"/>
  <c r="E443" i="33260"/>
  <c r="BE442" i="33260"/>
  <c r="AW442" i="33260"/>
  <c r="AO442" i="33260"/>
  <c r="AG442" i="33260"/>
  <c r="Y442" i="33260"/>
  <c r="Q442" i="33260"/>
  <c r="I442" i="33260"/>
  <c r="BI441" i="33260"/>
  <c r="BA441" i="33260"/>
  <c r="AS441" i="33260"/>
  <c r="AK441" i="33260"/>
  <c r="AC441" i="33260"/>
  <c r="U441" i="33260"/>
  <c r="M441" i="33260"/>
  <c r="E441" i="33260"/>
  <c r="BE440" i="33260"/>
  <c r="AW440" i="33260"/>
  <c r="AO440" i="33260"/>
  <c r="AG440" i="33260"/>
  <c r="Y440" i="33260"/>
  <c r="Q440" i="33260"/>
  <c r="I440" i="33260"/>
  <c r="BI439" i="33260"/>
  <c r="BA439" i="33260"/>
  <c r="AS439" i="33260"/>
  <c r="AK439" i="33260"/>
  <c r="AC439" i="33260"/>
  <c r="U439" i="33260"/>
  <c r="M439" i="33260"/>
  <c r="E439" i="33260"/>
  <c r="BE438" i="33260"/>
  <c r="AW438" i="33260"/>
  <c r="AO438" i="33260"/>
  <c r="AG438" i="33260"/>
  <c r="Y438" i="33260"/>
  <c r="Q438" i="33260"/>
  <c r="I438" i="33260"/>
  <c r="BI437" i="33260"/>
  <c r="BA437" i="33260"/>
  <c r="AS437" i="33260"/>
  <c r="AK437" i="33260"/>
  <c r="AP509" i="33260"/>
  <c r="AP495" i="33260"/>
  <c r="AR489" i="33260"/>
  <c r="AR485" i="33260"/>
  <c r="P482" i="33260"/>
  <c r="P478" i="33260"/>
  <c r="AG475" i="33260"/>
  <c r="AM474" i="33260"/>
  <c r="AO473" i="33260"/>
  <c r="AQ472" i="33260"/>
  <c r="AW471" i="33260"/>
  <c r="AY470" i="33260"/>
  <c r="BJ469" i="33260"/>
  <c r="AO469" i="33260"/>
  <c r="S469" i="33260"/>
  <c r="BE468" i="33260"/>
  <c r="AK468" i="33260"/>
  <c r="O468" i="33260"/>
  <c r="BA467" i="33260"/>
  <c r="AG467" i="33260"/>
  <c r="K467" i="33260"/>
  <c r="AW466" i="33260"/>
  <c r="AC466" i="33260"/>
  <c r="G466" i="33260"/>
  <c r="AS465" i="33260"/>
  <c r="Y465" i="33260"/>
  <c r="BK464" i="33260"/>
  <c r="AO464" i="33260"/>
  <c r="U464" i="33260"/>
  <c r="BG463" i="33260"/>
  <c r="AK463" i="33260"/>
  <c r="Q463" i="33260"/>
  <c r="BC462" i="33260"/>
  <c r="AG462" i="33260"/>
  <c r="M462" i="33260"/>
  <c r="AY461" i="33260"/>
  <c r="AC461" i="33260"/>
  <c r="I461" i="33260"/>
  <c r="AU460" i="33260"/>
  <c r="Y460" i="33260"/>
  <c r="E460" i="33260"/>
  <c r="AQ459" i="33260"/>
  <c r="U459" i="33260"/>
  <c r="BI458" i="33260"/>
  <c r="AM458" i="33260"/>
  <c r="Q458" i="33260"/>
  <c r="BE457" i="33260"/>
  <c r="AI457" i="33260"/>
  <c r="M457" i="33260"/>
  <c r="BA456" i="33260"/>
  <c r="AE456" i="33260"/>
  <c r="I456" i="33260"/>
  <c r="AW455" i="33260"/>
  <c r="AA455" i="33260"/>
  <c r="E455" i="33260"/>
  <c r="AS454" i="33260"/>
  <c r="W454" i="33260"/>
  <c r="BI453" i="33260"/>
  <c r="AO453" i="33260"/>
  <c r="S453" i="33260"/>
  <c r="BE452" i="33260"/>
  <c r="AK452" i="33260"/>
  <c r="O452" i="33260"/>
  <c r="BD451" i="33260"/>
  <c r="AQ451" i="33260"/>
  <c r="AI451" i="33260"/>
  <c r="AA451" i="33260"/>
  <c r="S451" i="33260"/>
  <c r="K451" i="33260"/>
  <c r="BK450" i="33260"/>
  <c r="BC450" i="33260"/>
  <c r="AU450" i="33260"/>
  <c r="AM450" i="33260"/>
  <c r="AE450" i="33260"/>
  <c r="W450" i="33260"/>
  <c r="O450" i="33260"/>
  <c r="G450" i="33260"/>
  <c r="BG449" i="33260"/>
  <c r="AY449" i="33260"/>
  <c r="AQ449" i="33260"/>
  <c r="AI449" i="33260"/>
  <c r="AA449" i="33260"/>
  <c r="S449" i="33260"/>
  <c r="K449" i="33260"/>
  <c r="BK448" i="33260"/>
  <c r="BC448" i="33260"/>
  <c r="AU448" i="33260"/>
  <c r="AM448" i="33260"/>
  <c r="AE448" i="33260"/>
  <c r="W448" i="33260"/>
  <c r="O448" i="33260"/>
  <c r="G448" i="33260"/>
  <c r="BG447" i="33260"/>
  <c r="AY447" i="33260"/>
  <c r="AQ447" i="33260"/>
  <c r="AI447" i="33260"/>
  <c r="AA447" i="33260"/>
  <c r="S447" i="33260"/>
  <c r="K447" i="33260"/>
  <c r="BK446" i="33260"/>
  <c r="BC446" i="33260"/>
  <c r="AU446" i="33260"/>
  <c r="AM446" i="33260"/>
  <c r="AE446" i="33260"/>
  <c r="W446" i="33260"/>
  <c r="O446" i="33260"/>
  <c r="G446" i="33260"/>
  <c r="BG445" i="33260"/>
  <c r="AY445" i="33260"/>
  <c r="AQ445" i="33260"/>
  <c r="AI445" i="33260"/>
  <c r="AA445" i="33260"/>
  <c r="S445" i="33260"/>
  <c r="K445" i="33260"/>
  <c r="BK444" i="33260"/>
  <c r="BC444" i="33260"/>
  <c r="AU444" i="33260"/>
  <c r="AM444" i="33260"/>
  <c r="AE444" i="33260"/>
  <c r="W444" i="33260"/>
  <c r="O444" i="33260"/>
  <c r="G444" i="33260"/>
  <c r="BG443" i="33260"/>
  <c r="AY443" i="33260"/>
  <c r="AQ443" i="33260"/>
  <c r="AI443" i="33260"/>
  <c r="AA443" i="33260"/>
  <c r="S443" i="33260"/>
  <c r="K443" i="33260"/>
  <c r="BK442" i="33260"/>
  <c r="BC442" i="33260"/>
  <c r="AU442" i="33260"/>
  <c r="AM442" i="33260"/>
  <c r="AE442" i="33260"/>
  <c r="W442" i="33260"/>
  <c r="O442" i="33260"/>
  <c r="G442" i="33260"/>
  <c r="BG441" i="33260"/>
  <c r="AY441" i="33260"/>
  <c r="AQ441" i="33260"/>
  <c r="AI441" i="33260"/>
  <c r="AA441" i="33260"/>
  <c r="S441" i="33260"/>
  <c r="K441" i="33260"/>
  <c r="BK440" i="33260"/>
  <c r="BC440" i="33260"/>
  <c r="AU440" i="33260"/>
  <c r="AM440" i="33260"/>
  <c r="AE440" i="33260"/>
  <c r="W440" i="33260"/>
  <c r="O440" i="33260"/>
  <c r="G440" i="33260"/>
  <c r="BG439" i="33260"/>
  <c r="AY439" i="33260"/>
  <c r="AQ439" i="33260"/>
  <c r="AI439" i="33260"/>
  <c r="AA439" i="33260"/>
  <c r="S439" i="33260"/>
  <c r="K439" i="33260"/>
  <c r="BK438" i="33260"/>
  <c r="BC438" i="33260"/>
  <c r="AU438" i="33260"/>
  <c r="AM438" i="33260"/>
  <c r="AE438" i="33260"/>
  <c r="W438" i="33260"/>
  <c r="O438" i="33260"/>
  <c r="G438" i="33260"/>
  <c r="BG437" i="33260"/>
  <c r="AY437" i="33260"/>
  <c r="AQ437" i="33260"/>
  <c r="AI437" i="33260"/>
  <c r="AD506" i="33260"/>
  <c r="AZ492" i="33260"/>
  <c r="AN488" i="33260"/>
  <c r="D485" i="33260"/>
  <c r="L481" i="33260"/>
  <c r="L477" i="33260"/>
  <c r="W475" i="33260"/>
  <c r="W474" i="33260"/>
  <c r="Y473" i="33260"/>
  <c r="AE472" i="33260"/>
  <c r="AG471" i="33260"/>
  <c r="AI470" i="33260"/>
  <c r="BE469" i="33260"/>
  <c r="AI469" i="33260"/>
  <c r="M469" i="33260"/>
  <c r="BA468" i="33260"/>
  <c r="AE468" i="33260"/>
  <c r="I468" i="33260"/>
  <c r="AW467" i="33260"/>
  <c r="AA467" i="33260"/>
  <c r="E467" i="33260"/>
  <c r="AS466" i="33260"/>
  <c r="W466" i="33260"/>
  <c r="BI465" i="33260"/>
  <c r="AO465" i="33260"/>
  <c r="S465" i="33260"/>
  <c r="BE464" i="33260"/>
  <c r="AK464" i="33260"/>
  <c r="O464" i="33260"/>
  <c r="BA463" i="33260"/>
  <c r="AG463" i="33260"/>
  <c r="K463" i="33260"/>
  <c r="AW462" i="33260"/>
  <c r="AC462" i="33260"/>
  <c r="G462" i="33260"/>
  <c r="AS461" i="33260"/>
  <c r="Y461" i="33260"/>
  <c r="BK460" i="33260"/>
  <c r="AO460" i="33260"/>
  <c r="U460" i="33260"/>
  <c r="BG459" i="33260"/>
  <c r="AK459" i="33260"/>
  <c r="Q459" i="33260"/>
  <c r="BC458" i="33260"/>
  <c r="AG458" i="33260"/>
  <c r="M458" i="33260"/>
  <c r="AY457" i="33260"/>
  <c r="AC457" i="33260"/>
  <c r="I457" i="33260"/>
  <c r="AU456" i="33260"/>
  <c r="Y456" i="33260"/>
  <c r="E456" i="33260"/>
  <c r="AQ455" i="33260"/>
  <c r="U455" i="33260"/>
  <c r="BI454" i="33260"/>
  <c r="AM454" i="33260"/>
  <c r="Q454" i="33260"/>
  <c r="BE453" i="33260"/>
  <c r="AI453" i="33260"/>
  <c r="M453" i="33260"/>
  <c r="BA452" i="33260"/>
  <c r="AE452" i="33260"/>
  <c r="I452" i="33260"/>
  <c r="AZ451" i="33260"/>
  <c r="AO451" i="33260"/>
  <c r="AG451" i="33260"/>
  <c r="Y451" i="33260"/>
  <c r="Q451" i="33260"/>
  <c r="I451" i="33260"/>
  <c r="BI450" i="33260"/>
  <c r="BA450" i="33260"/>
  <c r="AS450" i="33260"/>
  <c r="AK450" i="33260"/>
  <c r="AC450" i="33260"/>
  <c r="U450" i="33260"/>
  <c r="M450" i="33260"/>
  <c r="E450" i="33260"/>
  <c r="BE449" i="33260"/>
  <c r="AW449" i="33260"/>
  <c r="AO449" i="33260"/>
  <c r="AG449" i="33260"/>
  <c r="Y449" i="33260"/>
  <c r="Q449" i="33260"/>
  <c r="I449" i="33260"/>
  <c r="BI448" i="33260"/>
  <c r="BA448" i="33260"/>
  <c r="AS448" i="33260"/>
  <c r="AK448" i="33260"/>
  <c r="AC448" i="33260"/>
  <c r="U448" i="33260"/>
  <c r="M448" i="33260"/>
  <c r="E448" i="33260"/>
  <c r="BE447" i="33260"/>
  <c r="AW447" i="33260"/>
  <c r="AO447" i="33260"/>
  <c r="AG447" i="33260"/>
  <c r="Y447" i="33260"/>
  <c r="Q447" i="33260"/>
  <c r="I447" i="33260"/>
  <c r="BI446" i="33260"/>
  <c r="BA446" i="33260"/>
  <c r="AS446" i="33260"/>
  <c r="AK446" i="33260"/>
  <c r="AC446" i="33260"/>
  <c r="U446" i="33260"/>
  <c r="M446" i="33260"/>
  <c r="E446" i="33260"/>
  <c r="BE445" i="33260"/>
  <c r="AW445" i="33260"/>
  <c r="AO445" i="33260"/>
  <c r="AG445" i="33260"/>
  <c r="Y445" i="33260"/>
  <c r="Q445" i="33260"/>
  <c r="I445" i="33260"/>
  <c r="BI444" i="33260"/>
  <c r="BA444" i="33260"/>
  <c r="AS444" i="33260"/>
  <c r="AK444" i="33260"/>
  <c r="AC444" i="33260"/>
  <c r="U444" i="33260"/>
  <c r="M444" i="33260"/>
  <c r="E444" i="33260"/>
  <c r="BE443" i="33260"/>
  <c r="AW443" i="33260"/>
  <c r="AO443" i="33260"/>
  <c r="AG443" i="33260"/>
  <c r="Y443" i="33260"/>
  <c r="Q443" i="33260"/>
  <c r="I443" i="33260"/>
  <c r="BI442" i="33260"/>
  <c r="BA442" i="33260"/>
  <c r="AS442" i="33260"/>
  <c r="AK442" i="33260"/>
  <c r="AC442" i="33260"/>
  <c r="U442" i="33260"/>
  <c r="M442" i="33260"/>
  <c r="E442" i="33260"/>
  <c r="BE441" i="33260"/>
  <c r="AW441" i="33260"/>
  <c r="AO441" i="33260"/>
  <c r="AG441" i="33260"/>
  <c r="Y441" i="33260"/>
  <c r="Q441" i="33260"/>
  <c r="I441" i="33260"/>
  <c r="BI440" i="33260"/>
  <c r="BA440" i="33260"/>
  <c r="AS440" i="33260"/>
  <c r="AK440" i="33260"/>
  <c r="AC440" i="33260"/>
  <c r="U440" i="33260"/>
  <c r="M440" i="33260"/>
  <c r="E440" i="33260"/>
  <c r="BE439" i="33260"/>
  <c r="AW439" i="33260"/>
  <c r="AO439" i="33260"/>
  <c r="AG439" i="33260"/>
  <c r="Y439" i="33260"/>
  <c r="Q439" i="33260"/>
  <c r="I439" i="33260"/>
  <c r="BI438" i="33260"/>
  <c r="BA438" i="33260"/>
  <c r="AS438" i="33260"/>
  <c r="AK438" i="33260"/>
  <c r="AC438" i="33260"/>
  <c r="U438" i="33260"/>
  <c r="M438" i="33260"/>
  <c r="E438" i="33260"/>
  <c r="BE437" i="33260"/>
  <c r="AW437" i="33260"/>
  <c r="AO437" i="33260"/>
  <c r="AG437" i="33260"/>
  <c r="AX503" i="33260"/>
  <c r="H492" i="33260"/>
  <c r="P488" i="33260"/>
  <c r="X484" i="33260"/>
  <c r="AV480" i="33260"/>
  <c r="BD476" i="33260"/>
  <c r="K475" i="33260"/>
  <c r="S474" i="33260"/>
  <c r="S473" i="33260"/>
  <c r="U472" i="33260"/>
  <c r="AA471" i="33260"/>
  <c r="AC470" i="33260"/>
  <c r="BA469" i="33260"/>
  <c r="AG469" i="33260"/>
  <c r="K469" i="33260"/>
  <c r="AW468" i="33260"/>
  <c r="AC468" i="33260"/>
  <c r="G468" i="33260"/>
  <c r="AS467" i="33260"/>
  <c r="Y467" i="33260"/>
  <c r="BK466" i="33260"/>
  <c r="AO466" i="33260"/>
  <c r="U466" i="33260"/>
  <c r="BG465" i="33260"/>
  <c r="AK465" i="33260"/>
  <c r="Q465" i="33260"/>
  <c r="BC464" i="33260"/>
  <c r="AG464" i="33260"/>
  <c r="M464" i="33260"/>
  <c r="AY463" i="33260"/>
  <c r="AC463" i="33260"/>
  <c r="I463" i="33260"/>
  <c r="AU462" i="33260"/>
  <c r="Y462" i="33260"/>
  <c r="E462" i="33260"/>
  <c r="AQ461" i="33260"/>
  <c r="U461" i="33260"/>
  <c r="BI460" i="33260"/>
  <c r="AM460" i="33260"/>
  <c r="Q460" i="33260"/>
  <c r="BE459" i="33260"/>
  <c r="AI459" i="33260"/>
  <c r="M459" i="33260"/>
  <c r="BA458" i="33260"/>
  <c r="AE458" i="33260"/>
  <c r="I458" i="33260"/>
  <c r="AW457" i="33260"/>
  <c r="AA457" i="33260"/>
  <c r="E457" i="33260"/>
  <c r="AS456" i="33260"/>
  <c r="W456" i="33260"/>
  <c r="BI455" i="33260"/>
  <c r="AO455" i="33260"/>
  <c r="S455" i="33260"/>
  <c r="BE454" i="33260"/>
  <c r="AK454" i="33260"/>
  <c r="O454" i="33260"/>
  <c r="BA453" i="33260"/>
  <c r="AG453" i="33260"/>
  <c r="K453" i="33260"/>
  <c r="AW452" i="33260"/>
  <c r="AC452" i="33260"/>
  <c r="G452" i="33260"/>
  <c r="AY451" i="33260"/>
  <c r="AN451" i="33260"/>
  <c r="AF451" i="33260"/>
  <c r="X451" i="33260"/>
  <c r="P451" i="33260"/>
  <c r="H451" i="33260"/>
  <c r="BH450" i="33260"/>
  <c r="AZ450" i="33260"/>
  <c r="AR450" i="33260"/>
  <c r="AJ450" i="33260"/>
  <c r="AB450" i="33260"/>
  <c r="T450" i="33260"/>
  <c r="L450" i="33260"/>
  <c r="D450" i="33260"/>
  <c r="BD449" i="33260"/>
  <c r="AV449" i="33260"/>
  <c r="AN449" i="33260"/>
  <c r="AF449" i="33260"/>
  <c r="X449" i="33260"/>
  <c r="P449" i="33260"/>
  <c r="H449" i="33260"/>
  <c r="BH448" i="33260"/>
  <c r="AZ448" i="33260"/>
  <c r="AR448" i="33260"/>
  <c r="AJ448" i="33260"/>
  <c r="AB448" i="33260"/>
  <c r="T448" i="33260"/>
  <c r="L448" i="33260"/>
  <c r="D448" i="33260"/>
  <c r="BD447" i="33260"/>
  <c r="AV447" i="33260"/>
  <c r="AN447" i="33260"/>
  <c r="AF447" i="33260"/>
  <c r="X447" i="33260"/>
  <c r="P447" i="33260"/>
  <c r="H447" i="33260"/>
  <c r="BH446" i="33260"/>
  <c r="AZ446" i="33260"/>
  <c r="AR446" i="33260"/>
  <c r="AJ446" i="33260"/>
  <c r="AB446" i="33260"/>
  <c r="T446" i="33260"/>
  <c r="L446" i="33260"/>
  <c r="D446" i="33260"/>
  <c r="BD445" i="33260"/>
  <c r="AV445" i="33260"/>
  <c r="AN445" i="33260"/>
  <c r="AF445" i="33260"/>
  <c r="X445" i="33260"/>
  <c r="P445" i="33260"/>
  <c r="H445" i="33260"/>
  <c r="BH444" i="33260"/>
  <c r="AZ444" i="33260"/>
  <c r="AR444" i="33260"/>
  <c r="AJ444" i="33260"/>
  <c r="AB444" i="33260"/>
  <c r="T444" i="33260"/>
  <c r="L444" i="33260"/>
  <c r="D444" i="33260"/>
  <c r="BD443" i="33260"/>
  <c r="AV443" i="33260"/>
  <c r="AN443" i="33260"/>
  <c r="AF443" i="33260"/>
  <c r="X443" i="33260"/>
  <c r="P443" i="33260"/>
  <c r="H443" i="33260"/>
  <c r="BH442" i="33260"/>
  <c r="AZ442" i="33260"/>
  <c r="AR442" i="33260"/>
  <c r="AJ442" i="33260"/>
  <c r="AB442" i="33260"/>
  <c r="T442" i="33260"/>
  <c r="L442" i="33260"/>
  <c r="D442" i="33260"/>
  <c r="BD441" i="33260"/>
  <c r="AV441" i="33260"/>
  <c r="AN441" i="33260"/>
  <c r="AF441" i="33260"/>
  <c r="X441" i="33260"/>
  <c r="P441" i="33260"/>
  <c r="H441" i="33260"/>
  <c r="BH440" i="33260"/>
  <c r="AZ440" i="33260"/>
  <c r="AR440" i="33260"/>
  <c r="AJ440" i="33260"/>
  <c r="AB440" i="33260"/>
  <c r="T440" i="33260"/>
  <c r="L440" i="33260"/>
  <c r="D440" i="33260"/>
  <c r="BD439" i="33260"/>
  <c r="AV439" i="33260"/>
  <c r="AN439" i="33260"/>
  <c r="AF439" i="33260"/>
  <c r="X439" i="33260"/>
  <c r="P439" i="33260"/>
  <c r="H439" i="33260"/>
  <c r="BH438" i="33260"/>
  <c r="AZ438" i="33260"/>
  <c r="AR438" i="33260"/>
  <c r="AJ438" i="33260"/>
  <c r="AB438" i="33260"/>
  <c r="T438" i="33260"/>
  <c r="L438" i="33260"/>
  <c r="D438" i="33260"/>
  <c r="BD437" i="33260"/>
  <c r="AV437" i="33260"/>
  <c r="AN437" i="33260"/>
  <c r="AF437" i="33260"/>
  <c r="X437" i="33260"/>
  <c r="N502" i="33260"/>
  <c r="AB491" i="33260"/>
  <c r="AZ487" i="33260"/>
  <c r="BH483" i="33260"/>
  <c r="H480" i="33260"/>
  <c r="AF476" i="33260"/>
  <c r="G475" i="33260"/>
  <c r="G474" i="33260"/>
  <c r="O473" i="33260"/>
  <c r="O472" i="33260"/>
  <c r="Q471" i="33260"/>
  <c r="W470" i="33260"/>
  <c r="AY469" i="33260"/>
  <c r="AC469" i="33260"/>
  <c r="I469" i="33260"/>
  <c r="AU468" i="33260"/>
  <c r="Y468" i="33260"/>
  <c r="E468" i="33260"/>
  <c r="AQ467" i="33260"/>
  <c r="U467" i="33260"/>
  <c r="BI466" i="33260"/>
  <c r="AM466" i="33260"/>
  <c r="Q466" i="33260"/>
  <c r="BE465" i="33260"/>
  <c r="AI465" i="33260"/>
  <c r="M465" i="33260"/>
  <c r="BA464" i="33260"/>
  <c r="AE464" i="33260"/>
  <c r="I464" i="33260"/>
  <c r="AW463" i="33260"/>
  <c r="AA463" i="33260"/>
  <c r="E463" i="33260"/>
  <c r="AS462" i="33260"/>
  <c r="W462" i="33260"/>
  <c r="BI461" i="33260"/>
  <c r="AO461" i="33260"/>
  <c r="S461" i="33260"/>
  <c r="BE460" i="33260"/>
  <c r="AK460" i="33260"/>
  <c r="O460" i="33260"/>
  <c r="BA459" i="33260"/>
  <c r="AG459" i="33260"/>
  <c r="K459" i="33260"/>
  <c r="AW458" i="33260"/>
  <c r="AC458" i="33260"/>
  <c r="G458" i="33260"/>
  <c r="AS457" i="33260"/>
  <c r="Y457" i="33260"/>
  <c r="BK456" i="33260"/>
  <c r="AO456" i="33260"/>
  <c r="U456" i="33260"/>
  <c r="BG455" i="33260"/>
  <c r="AK455" i="33260"/>
  <c r="Q455" i="33260"/>
  <c r="BC454" i="33260"/>
  <c r="AG454" i="33260"/>
  <c r="M454" i="33260"/>
  <c r="AY453" i="33260"/>
  <c r="AC453" i="33260"/>
  <c r="I453" i="33260"/>
  <c r="AU452" i="33260"/>
  <c r="Y452" i="33260"/>
  <c r="E452" i="33260"/>
  <c r="AW451" i="33260"/>
  <c r="AM451" i="33260"/>
  <c r="AE451" i="33260"/>
  <c r="W451" i="33260"/>
  <c r="O451" i="33260"/>
  <c r="G451" i="33260"/>
  <c r="BG450" i="33260"/>
  <c r="AY450" i="33260"/>
  <c r="AQ450" i="33260"/>
  <c r="AI450" i="33260"/>
  <c r="AA450" i="33260"/>
  <c r="S450" i="33260"/>
  <c r="K450" i="33260"/>
  <c r="BK449" i="33260"/>
  <c r="BC449" i="33260"/>
  <c r="AU449" i="33260"/>
  <c r="AM449" i="33260"/>
  <c r="AE449" i="33260"/>
  <c r="W449" i="33260"/>
  <c r="O449" i="33260"/>
  <c r="G449" i="33260"/>
  <c r="BG448" i="33260"/>
  <c r="AY448" i="33260"/>
  <c r="AQ448" i="33260"/>
  <c r="AI448" i="33260"/>
  <c r="AA448" i="33260"/>
  <c r="S448" i="33260"/>
  <c r="K448" i="33260"/>
  <c r="BK447" i="33260"/>
  <c r="BC447" i="33260"/>
  <c r="AU447" i="33260"/>
  <c r="AM447" i="33260"/>
  <c r="AE447" i="33260"/>
  <c r="W447" i="33260"/>
  <c r="O447" i="33260"/>
  <c r="G447" i="33260"/>
  <c r="BG446" i="33260"/>
  <c r="AY446" i="33260"/>
  <c r="AQ446" i="33260"/>
  <c r="AI446" i="33260"/>
  <c r="AA446" i="33260"/>
  <c r="S446" i="33260"/>
  <c r="K446" i="33260"/>
  <c r="BK445" i="33260"/>
  <c r="BC445" i="33260"/>
  <c r="AU445" i="33260"/>
  <c r="AM445" i="33260"/>
  <c r="AE445" i="33260"/>
  <c r="W445" i="33260"/>
  <c r="O445" i="33260"/>
  <c r="G445" i="33260"/>
  <c r="BG444" i="33260"/>
  <c r="AY444" i="33260"/>
  <c r="AQ444" i="33260"/>
  <c r="AI444" i="33260"/>
  <c r="AA444" i="33260"/>
  <c r="S444" i="33260"/>
  <c r="K444" i="33260"/>
  <c r="BK443" i="33260"/>
  <c r="BC443" i="33260"/>
  <c r="AU443" i="33260"/>
  <c r="AM443" i="33260"/>
  <c r="AE443" i="33260"/>
  <c r="W443" i="33260"/>
  <c r="O443" i="33260"/>
  <c r="G443" i="33260"/>
  <c r="BG442" i="33260"/>
  <c r="AY442" i="33260"/>
  <c r="AQ442" i="33260"/>
  <c r="AI442" i="33260"/>
  <c r="AA442" i="33260"/>
  <c r="S442" i="33260"/>
  <c r="K442" i="33260"/>
  <c r="BK441" i="33260"/>
  <c r="BC441" i="33260"/>
  <c r="AU441" i="33260"/>
  <c r="AM441" i="33260"/>
  <c r="AE441" i="33260"/>
  <c r="W441" i="33260"/>
  <c r="O441" i="33260"/>
  <c r="G441" i="33260"/>
  <c r="BG440" i="33260"/>
  <c r="AY440" i="33260"/>
  <c r="AQ440" i="33260"/>
  <c r="AI440" i="33260"/>
  <c r="AA440" i="33260"/>
  <c r="S440" i="33260"/>
  <c r="K440" i="33260"/>
  <c r="BK439" i="33260"/>
  <c r="BC439" i="33260"/>
  <c r="AU439" i="33260"/>
  <c r="AM439" i="33260"/>
  <c r="AE439" i="33260"/>
  <c r="W439" i="33260"/>
  <c r="O439" i="33260"/>
  <c r="G439" i="33260"/>
  <c r="BG438" i="33260"/>
  <c r="AY438" i="33260"/>
  <c r="AQ438" i="33260"/>
  <c r="AI438" i="33260"/>
  <c r="AA438" i="33260"/>
  <c r="S438" i="33260"/>
  <c r="K438" i="33260"/>
  <c r="BK437" i="33260"/>
  <c r="BC437" i="33260"/>
  <c r="AU437" i="33260"/>
  <c r="AM437" i="33260"/>
  <c r="F513" i="33260"/>
  <c r="L487" i="33260"/>
  <c r="BH477" i="33260"/>
  <c r="AU473" i="33260"/>
  <c r="K471" i="33260"/>
  <c r="AK469" i="33260"/>
  <c r="AM468" i="33260"/>
  <c r="AO467" i="33260"/>
  <c r="AU466" i="33260"/>
  <c r="AW465" i="33260"/>
  <c r="AW464" i="33260"/>
  <c r="BE463" i="33260"/>
  <c r="BE462" i="33260"/>
  <c r="BG461" i="33260"/>
  <c r="E461" i="33260"/>
  <c r="G460" i="33260"/>
  <c r="I459" i="33260"/>
  <c r="O458" i="33260"/>
  <c r="Q457" i="33260"/>
  <c r="Q456" i="33260"/>
  <c r="Y455" i="33260"/>
  <c r="Y454" i="33260"/>
  <c r="AA453" i="33260"/>
  <c r="AG452" i="33260"/>
  <c r="AR451" i="33260"/>
  <c r="V451" i="33260"/>
  <c r="BJ450" i="33260"/>
  <c r="AN450" i="33260"/>
  <c r="R450" i="33260"/>
  <c r="BF449" i="33260"/>
  <c r="AJ449" i="33260"/>
  <c r="N449" i="33260"/>
  <c r="BB448" i="33260"/>
  <c r="AF448" i="33260"/>
  <c r="J448" i="33260"/>
  <c r="AX447" i="33260"/>
  <c r="AB447" i="33260"/>
  <c r="F447" i="33260"/>
  <c r="AT446" i="33260"/>
  <c r="X446" i="33260"/>
  <c r="BJ445" i="33260"/>
  <c r="AP445" i="33260"/>
  <c r="T445" i="33260"/>
  <c r="BF444" i="33260"/>
  <c r="AL444" i="33260"/>
  <c r="P444" i="33260"/>
  <c r="BB443" i="33260"/>
  <c r="AH443" i="33260"/>
  <c r="L443" i="33260"/>
  <c r="AX442" i="33260"/>
  <c r="AD442" i="33260"/>
  <c r="H442" i="33260"/>
  <c r="AT441" i="33260"/>
  <c r="Z441" i="33260"/>
  <c r="D441" i="33260"/>
  <c r="AP440" i="33260"/>
  <c r="V440" i="33260"/>
  <c r="BH439" i="33260"/>
  <c r="AL439" i="33260"/>
  <c r="R439" i="33260"/>
  <c r="BD438" i="33260"/>
  <c r="AH438" i="33260"/>
  <c r="N438" i="33260"/>
  <c r="AZ437" i="33260"/>
  <c r="AE437" i="33260"/>
  <c r="V437" i="33260"/>
  <c r="N437" i="33260"/>
  <c r="F437" i="33260"/>
  <c r="BF436" i="33260"/>
  <c r="AX436" i="33260"/>
  <c r="AP436" i="33260"/>
  <c r="AH436" i="33260"/>
  <c r="Z436" i="33260"/>
  <c r="R436" i="33260"/>
  <c r="J436" i="33260"/>
  <c r="BJ435" i="33260"/>
  <c r="BB435" i="33260"/>
  <c r="AT435" i="33260"/>
  <c r="AL435" i="33260"/>
  <c r="AD435" i="33260"/>
  <c r="V435" i="33260"/>
  <c r="N435" i="33260"/>
  <c r="F435" i="33260"/>
  <c r="BF434" i="33260"/>
  <c r="AX434" i="33260"/>
  <c r="AP434" i="33260"/>
  <c r="AH434" i="33260"/>
  <c r="Z434" i="33260"/>
  <c r="R434" i="33260"/>
  <c r="J434" i="33260"/>
  <c r="BJ433" i="33260"/>
  <c r="BB433" i="33260"/>
  <c r="AT433" i="33260"/>
  <c r="AL433" i="33260"/>
  <c r="AD433" i="33260"/>
  <c r="V433" i="33260"/>
  <c r="N433" i="33260"/>
  <c r="F433" i="33260"/>
  <c r="BF432" i="33260"/>
  <c r="AX432" i="33260"/>
  <c r="AP432" i="33260"/>
  <c r="AH432" i="33260"/>
  <c r="Z432" i="33260"/>
  <c r="R432" i="33260"/>
  <c r="J432" i="33260"/>
  <c r="BJ431" i="33260"/>
  <c r="BB431" i="33260"/>
  <c r="AT431" i="33260"/>
  <c r="AL431" i="33260"/>
  <c r="AD431" i="33260"/>
  <c r="V431" i="33260"/>
  <c r="N431" i="33260"/>
  <c r="F431" i="33260"/>
  <c r="BF430" i="33260"/>
  <c r="AX430" i="33260"/>
  <c r="AP430" i="33260"/>
  <c r="AH430" i="33260"/>
  <c r="Z430" i="33260"/>
  <c r="R430" i="33260"/>
  <c r="J430" i="33260"/>
  <c r="BJ429" i="33260"/>
  <c r="BB429" i="33260"/>
  <c r="AT429" i="33260"/>
  <c r="AL429" i="33260"/>
  <c r="AD429" i="33260"/>
  <c r="V429" i="33260"/>
  <c r="N429" i="33260"/>
  <c r="F429" i="33260"/>
  <c r="BF428" i="33260"/>
  <c r="AX428" i="33260"/>
  <c r="AP428" i="33260"/>
  <c r="AH428" i="33260"/>
  <c r="Z428" i="33260"/>
  <c r="R428" i="33260"/>
  <c r="J428" i="33260"/>
  <c r="BJ427" i="33260"/>
  <c r="BB427" i="33260"/>
  <c r="AT427" i="33260"/>
  <c r="AL427" i="33260"/>
  <c r="AD427" i="33260"/>
  <c r="V427" i="33260"/>
  <c r="N427" i="33260"/>
  <c r="F427" i="33260"/>
  <c r="BF426" i="33260"/>
  <c r="AX426" i="33260"/>
  <c r="AP426" i="33260"/>
  <c r="AH426" i="33260"/>
  <c r="Z426" i="33260"/>
  <c r="R426" i="33260"/>
  <c r="J426" i="33260"/>
  <c r="BJ425" i="33260"/>
  <c r="BB425" i="33260"/>
  <c r="AT425" i="33260"/>
  <c r="AL425" i="33260"/>
  <c r="AD425" i="33260"/>
  <c r="V425" i="33260"/>
  <c r="N425" i="33260"/>
  <c r="F425" i="33260"/>
  <c r="BF424" i="33260"/>
  <c r="AX424" i="33260"/>
  <c r="AP424" i="33260"/>
  <c r="AH424" i="33260"/>
  <c r="Z424" i="33260"/>
  <c r="R424" i="33260"/>
  <c r="J424" i="33260"/>
  <c r="BJ423" i="33260"/>
  <c r="BB423" i="33260"/>
  <c r="AT423" i="33260"/>
  <c r="AL423" i="33260"/>
  <c r="AD423" i="33260"/>
  <c r="V423" i="33260"/>
  <c r="N423" i="33260"/>
  <c r="F423" i="33260"/>
  <c r="BF422" i="33260"/>
  <c r="AX422" i="33260"/>
  <c r="AP422" i="33260"/>
  <c r="AH422" i="33260"/>
  <c r="Z422" i="33260"/>
  <c r="R422" i="33260"/>
  <c r="J422" i="33260"/>
  <c r="BJ421" i="33260"/>
  <c r="BB421" i="33260"/>
  <c r="AT421" i="33260"/>
  <c r="AL421" i="33260"/>
  <c r="AD421" i="33260"/>
  <c r="V421" i="33260"/>
  <c r="N421" i="33260"/>
  <c r="F421" i="33260"/>
  <c r="BF420" i="33260"/>
  <c r="AX420" i="33260"/>
  <c r="AP420" i="33260"/>
  <c r="AH420" i="33260"/>
  <c r="Z420" i="33260"/>
  <c r="R420" i="33260"/>
  <c r="J420" i="33260"/>
  <c r="BJ419" i="33260"/>
  <c r="BB419" i="33260"/>
  <c r="AT419" i="33260"/>
  <c r="AL419" i="33260"/>
  <c r="AD419" i="33260"/>
  <c r="V419" i="33260"/>
  <c r="N419" i="33260"/>
  <c r="F419" i="33260"/>
  <c r="BF418" i="33260"/>
  <c r="AX418" i="33260"/>
  <c r="AP418" i="33260"/>
  <c r="AH418" i="33260"/>
  <c r="Z418" i="33260"/>
  <c r="R418" i="33260"/>
  <c r="J418" i="33260"/>
  <c r="BJ417" i="33260"/>
  <c r="BB417" i="33260"/>
  <c r="AT417" i="33260"/>
  <c r="AL417" i="33260"/>
  <c r="AD417" i="33260"/>
  <c r="V417" i="33260"/>
  <c r="N417" i="33260"/>
  <c r="F417" i="33260"/>
  <c r="BF416" i="33260"/>
  <c r="AX416" i="33260"/>
  <c r="AP416" i="33260"/>
  <c r="AH416" i="33260"/>
  <c r="Z416" i="33260"/>
  <c r="R416" i="33260"/>
  <c r="J416" i="33260"/>
  <c r="BJ415" i="33260"/>
  <c r="BB415" i="33260"/>
  <c r="AT415" i="33260"/>
  <c r="AL415" i="33260"/>
  <c r="AD415" i="33260"/>
  <c r="V415" i="33260"/>
  <c r="N415" i="33260"/>
  <c r="F415" i="33260"/>
  <c r="BF414" i="33260"/>
  <c r="AX414" i="33260"/>
  <c r="AP414" i="33260"/>
  <c r="AH414" i="33260"/>
  <c r="Z414" i="33260"/>
  <c r="R414" i="33260"/>
  <c r="J414" i="33260"/>
  <c r="BJ413" i="33260"/>
  <c r="BB413" i="33260"/>
  <c r="AT413" i="33260"/>
  <c r="AL413" i="33260"/>
  <c r="AD413" i="33260"/>
  <c r="V413" i="33260"/>
  <c r="N413" i="33260"/>
  <c r="F413" i="33260"/>
  <c r="BF412" i="33260"/>
  <c r="AX412" i="33260"/>
  <c r="AP412" i="33260"/>
  <c r="AH412" i="33260"/>
  <c r="Z412" i="33260"/>
  <c r="R412" i="33260"/>
  <c r="J412" i="33260"/>
  <c r="BJ411" i="33260"/>
  <c r="BB411" i="33260"/>
  <c r="AT411" i="33260"/>
  <c r="AL411" i="33260"/>
  <c r="AD411" i="33260"/>
  <c r="V411" i="33260"/>
  <c r="N411" i="33260"/>
  <c r="F411" i="33260"/>
  <c r="BF410" i="33260"/>
  <c r="AX410" i="33260"/>
  <c r="AP410" i="33260"/>
  <c r="AH410" i="33260"/>
  <c r="Z410" i="33260"/>
  <c r="R410" i="33260"/>
  <c r="J410" i="33260"/>
  <c r="BJ409" i="33260"/>
  <c r="BB409" i="33260"/>
  <c r="AT409" i="33260"/>
  <c r="AL409" i="33260"/>
  <c r="AD409" i="33260"/>
  <c r="V409" i="33260"/>
  <c r="N409" i="33260"/>
  <c r="F409" i="33260"/>
  <c r="BF408" i="33260"/>
  <c r="AX408" i="33260"/>
  <c r="AP408" i="33260"/>
  <c r="AH408" i="33260"/>
  <c r="Z408" i="33260"/>
  <c r="R408" i="33260"/>
  <c r="J408" i="33260"/>
  <c r="BJ407" i="33260"/>
  <c r="BB407" i="33260"/>
  <c r="AT407" i="33260"/>
  <c r="AL407" i="33260"/>
  <c r="AD407" i="33260"/>
  <c r="V407" i="33260"/>
  <c r="N407" i="33260"/>
  <c r="F407" i="33260"/>
  <c r="BF406" i="33260"/>
  <c r="AX406" i="33260"/>
  <c r="AP406" i="33260"/>
  <c r="AH406" i="33260"/>
  <c r="Z406" i="33260"/>
  <c r="R406" i="33260"/>
  <c r="J406" i="33260"/>
  <c r="BJ405" i="33260"/>
  <c r="BB405" i="33260"/>
  <c r="AT405" i="33260"/>
  <c r="AL405" i="33260"/>
  <c r="AD405" i="33260"/>
  <c r="V405" i="33260"/>
  <c r="N405" i="33260"/>
  <c r="F405" i="33260"/>
  <c r="BF404" i="33260"/>
  <c r="AX404" i="33260"/>
  <c r="AP404" i="33260"/>
  <c r="AH404" i="33260"/>
  <c r="Z404" i="33260"/>
  <c r="R404" i="33260"/>
  <c r="J404" i="33260"/>
  <c r="BJ403" i="33260"/>
  <c r="BB403" i="33260"/>
  <c r="AT403" i="33260"/>
  <c r="AL403" i="33260"/>
  <c r="AD403" i="33260"/>
  <c r="V403" i="33260"/>
  <c r="N403" i="33260"/>
  <c r="F403" i="33260"/>
  <c r="BF402" i="33260"/>
  <c r="AX402" i="33260"/>
  <c r="AP402" i="33260"/>
  <c r="AH402" i="33260"/>
  <c r="Z402" i="33260"/>
  <c r="R402" i="33260"/>
  <c r="J402" i="33260"/>
  <c r="BJ401" i="33260"/>
  <c r="BB401" i="33260"/>
  <c r="AT401" i="33260"/>
  <c r="AL401" i="33260"/>
  <c r="AD401" i="33260"/>
  <c r="V401" i="33260"/>
  <c r="N401" i="33260"/>
  <c r="F401" i="33260"/>
  <c r="BF400" i="33260"/>
  <c r="AX400" i="33260"/>
  <c r="F508" i="33260"/>
  <c r="AF486" i="33260"/>
  <c r="BC475" i="33260"/>
  <c r="AI473" i="33260"/>
  <c r="BC470" i="33260"/>
  <c r="AA469" i="33260"/>
  <c r="AG468" i="33260"/>
  <c r="AI467" i="33260"/>
  <c r="AK466" i="33260"/>
  <c r="AQ465" i="33260"/>
  <c r="AS464" i="33260"/>
  <c r="AS463" i="33260"/>
  <c r="BA462" i="33260"/>
  <c r="BA461" i="33260"/>
  <c r="BC460" i="33260"/>
  <c r="BI459" i="33260"/>
  <c r="BK458" i="33260"/>
  <c r="E458" i="33260"/>
  <c r="K457" i="33260"/>
  <c r="M456" i="33260"/>
  <c r="M455" i="33260"/>
  <c r="U454" i="33260"/>
  <c r="U453" i="33260"/>
  <c r="W452" i="33260"/>
  <c r="AP451" i="33260"/>
  <c r="T451" i="33260"/>
  <c r="BF450" i="33260"/>
  <c r="AL450" i="33260"/>
  <c r="P450" i="33260"/>
  <c r="BB449" i="33260"/>
  <c r="AH449" i="33260"/>
  <c r="L449" i="33260"/>
  <c r="AX448" i="33260"/>
  <c r="AD448" i="33260"/>
  <c r="H448" i="33260"/>
  <c r="AT447" i="33260"/>
  <c r="Z447" i="33260"/>
  <c r="D447" i="33260"/>
  <c r="AP446" i="33260"/>
  <c r="V446" i="33260"/>
  <c r="BH445" i="33260"/>
  <c r="AL445" i="33260"/>
  <c r="R445" i="33260"/>
  <c r="BD444" i="33260"/>
  <c r="AH444" i="33260"/>
  <c r="N444" i="33260"/>
  <c r="AZ443" i="33260"/>
  <c r="AD443" i="33260"/>
  <c r="J443" i="33260"/>
  <c r="AV442" i="33260"/>
  <c r="Z442" i="33260"/>
  <c r="F442" i="33260"/>
  <c r="AR441" i="33260"/>
  <c r="V441" i="33260"/>
  <c r="BJ440" i="33260"/>
  <c r="AN440" i="33260"/>
  <c r="R440" i="33260"/>
  <c r="BF439" i="33260"/>
  <c r="AJ439" i="33260"/>
  <c r="N439" i="33260"/>
  <c r="BB438" i="33260"/>
  <c r="AF438" i="33260"/>
  <c r="J438" i="33260"/>
  <c r="AX437" i="33260"/>
  <c r="AD437" i="33260"/>
  <c r="U437" i="33260"/>
  <c r="M437" i="33260"/>
  <c r="E437" i="33260"/>
  <c r="BE436" i="33260"/>
  <c r="AW436" i="33260"/>
  <c r="AO436" i="33260"/>
  <c r="AG436" i="33260"/>
  <c r="Y436" i="33260"/>
  <c r="Q436" i="33260"/>
  <c r="I436" i="33260"/>
  <c r="BI435" i="33260"/>
  <c r="BA435" i="33260"/>
  <c r="AS435" i="33260"/>
  <c r="AK435" i="33260"/>
  <c r="AC435" i="33260"/>
  <c r="U435" i="33260"/>
  <c r="M435" i="33260"/>
  <c r="E435" i="33260"/>
  <c r="BE434" i="33260"/>
  <c r="AW434" i="33260"/>
  <c r="AO434" i="33260"/>
  <c r="AG434" i="33260"/>
  <c r="Y434" i="33260"/>
  <c r="Q434" i="33260"/>
  <c r="I434" i="33260"/>
  <c r="BI433" i="33260"/>
  <c r="BA433" i="33260"/>
  <c r="AS433" i="33260"/>
  <c r="AK433" i="33260"/>
  <c r="AC433" i="33260"/>
  <c r="U433" i="33260"/>
  <c r="M433" i="33260"/>
  <c r="E433" i="33260"/>
  <c r="BE432" i="33260"/>
  <c r="AW432" i="33260"/>
  <c r="AO432" i="33260"/>
  <c r="AG432" i="33260"/>
  <c r="Y432" i="33260"/>
  <c r="Q432" i="33260"/>
  <c r="I432" i="33260"/>
  <c r="BI431" i="33260"/>
  <c r="BA431" i="33260"/>
  <c r="AS431" i="33260"/>
  <c r="AK431" i="33260"/>
  <c r="AC431" i="33260"/>
  <c r="U431" i="33260"/>
  <c r="M431" i="33260"/>
  <c r="E431" i="33260"/>
  <c r="BE430" i="33260"/>
  <c r="AW430" i="33260"/>
  <c r="AO430" i="33260"/>
  <c r="AG430" i="33260"/>
  <c r="Y430" i="33260"/>
  <c r="Q430" i="33260"/>
  <c r="I430" i="33260"/>
  <c r="BI429" i="33260"/>
  <c r="BA429" i="33260"/>
  <c r="AS429" i="33260"/>
  <c r="AK429" i="33260"/>
  <c r="AC429" i="33260"/>
  <c r="U429" i="33260"/>
  <c r="M429" i="33260"/>
  <c r="E429" i="33260"/>
  <c r="BE428" i="33260"/>
  <c r="AW428" i="33260"/>
  <c r="AO428" i="33260"/>
  <c r="AG428" i="33260"/>
  <c r="Y428" i="33260"/>
  <c r="Q428" i="33260"/>
  <c r="I428" i="33260"/>
  <c r="BI427" i="33260"/>
  <c r="BA427" i="33260"/>
  <c r="AS427" i="33260"/>
  <c r="AK427" i="33260"/>
  <c r="AC427" i="33260"/>
  <c r="U427" i="33260"/>
  <c r="M427" i="33260"/>
  <c r="E427" i="33260"/>
  <c r="BE426" i="33260"/>
  <c r="AW426" i="33260"/>
  <c r="AO426" i="33260"/>
  <c r="AG426" i="33260"/>
  <c r="Y426" i="33260"/>
  <c r="Q426" i="33260"/>
  <c r="I426" i="33260"/>
  <c r="BI425" i="33260"/>
  <c r="BA425" i="33260"/>
  <c r="AS425" i="33260"/>
  <c r="AK425" i="33260"/>
  <c r="AC425" i="33260"/>
  <c r="U425" i="33260"/>
  <c r="M425" i="33260"/>
  <c r="E425" i="33260"/>
  <c r="BE424" i="33260"/>
  <c r="AW424" i="33260"/>
  <c r="AO424" i="33260"/>
  <c r="J501" i="33260"/>
  <c r="AB485" i="33260"/>
  <c r="AQ475" i="33260"/>
  <c r="BK472" i="33260"/>
  <c r="AS470" i="33260"/>
  <c r="U469" i="33260"/>
  <c r="W468" i="33260"/>
  <c r="AC467" i="33260"/>
  <c r="AE466" i="33260"/>
  <c r="AG465" i="33260"/>
  <c r="AM464" i="33260"/>
  <c r="AO463" i="33260"/>
  <c r="AO462" i="33260"/>
  <c r="AW461" i="33260"/>
  <c r="AW460" i="33260"/>
  <c r="AY459" i="33260"/>
  <c r="BE458" i="33260"/>
  <c r="BG457" i="33260"/>
  <c r="BI456" i="33260"/>
  <c r="G456" i="33260"/>
  <c r="I455" i="33260"/>
  <c r="I454" i="33260"/>
  <c r="Q453" i="33260"/>
  <c r="Q452" i="33260"/>
  <c r="AL451" i="33260"/>
  <c r="R451" i="33260"/>
  <c r="BD450" i="33260"/>
  <c r="AH450" i="33260"/>
  <c r="N450" i="33260"/>
  <c r="AZ449" i="33260"/>
  <c r="AD449" i="33260"/>
  <c r="J449" i="33260"/>
  <c r="AV448" i="33260"/>
  <c r="Z448" i="33260"/>
  <c r="F448" i="33260"/>
  <c r="AR447" i="33260"/>
  <c r="V447" i="33260"/>
  <c r="BJ446" i="33260"/>
  <c r="AN446" i="33260"/>
  <c r="R446" i="33260"/>
  <c r="BF445" i="33260"/>
  <c r="AJ445" i="33260"/>
  <c r="N445" i="33260"/>
  <c r="BB444" i="33260"/>
  <c r="AF444" i="33260"/>
  <c r="J444" i="33260"/>
  <c r="AX443" i="33260"/>
  <c r="AB443" i="33260"/>
  <c r="F443" i="33260"/>
  <c r="AT442" i="33260"/>
  <c r="X442" i="33260"/>
  <c r="BJ441" i="33260"/>
  <c r="AP441" i="33260"/>
  <c r="T441" i="33260"/>
  <c r="BF440" i="33260"/>
  <c r="AL440" i="33260"/>
  <c r="P440" i="33260"/>
  <c r="BB439" i="33260"/>
  <c r="AH439" i="33260"/>
  <c r="L439" i="33260"/>
  <c r="AX438" i="33260"/>
  <c r="AD438" i="33260"/>
  <c r="H438" i="33260"/>
  <c r="AT437" i="33260"/>
  <c r="AC437" i="33260"/>
  <c r="T437" i="33260"/>
  <c r="L437" i="33260"/>
  <c r="D437" i="33260"/>
  <c r="BD436" i="33260"/>
  <c r="AV436" i="33260"/>
  <c r="AN436" i="33260"/>
  <c r="AF436" i="33260"/>
  <c r="X436" i="33260"/>
  <c r="P436" i="33260"/>
  <c r="H436" i="33260"/>
  <c r="BH435" i="33260"/>
  <c r="AZ435" i="33260"/>
  <c r="AR435" i="33260"/>
  <c r="AJ435" i="33260"/>
  <c r="AB435" i="33260"/>
  <c r="T435" i="33260"/>
  <c r="L435" i="33260"/>
  <c r="D435" i="33260"/>
  <c r="BD434" i="33260"/>
  <c r="AV434" i="33260"/>
  <c r="AN434" i="33260"/>
  <c r="AF434" i="33260"/>
  <c r="X434" i="33260"/>
  <c r="P434" i="33260"/>
  <c r="H434" i="33260"/>
  <c r="BH433" i="33260"/>
  <c r="AZ433" i="33260"/>
  <c r="AR433" i="33260"/>
  <c r="AJ433" i="33260"/>
  <c r="AB433" i="33260"/>
  <c r="T433" i="33260"/>
  <c r="L433" i="33260"/>
  <c r="D433" i="33260"/>
  <c r="BD432" i="33260"/>
  <c r="AV432" i="33260"/>
  <c r="AN432" i="33260"/>
  <c r="AF432" i="33260"/>
  <c r="X432" i="33260"/>
  <c r="P432" i="33260"/>
  <c r="H432" i="33260"/>
  <c r="BH431" i="33260"/>
  <c r="AZ431" i="33260"/>
  <c r="AR431" i="33260"/>
  <c r="AJ431" i="33260"/>
  <c r="AB431" i="33260"/>
  <c r="T431" i="33260"/>
  <c r="L431" i="33260"/>
  <c r="D431" i="33260"/>
  <c r="BD430" i="33260"/>
  <c r="AV430" i="33260"/>
  <c r="AN430" i="33260"/>
  <c r="AF430" i="33260"/>
  <c r="X430" i="33260"/>
  <c r="P430" i="33260"/>
  <c r="H430" i="33260"/>
  <c r="BH429" i="33260"/>
  <c r="AZ429" i="33260"/>
  <c r="AR429" i="33260"/>
  <c r="AJ429" i="33260"/>
  <c r="AB429" i="33260"/>
  <c r="T429" i="33260"/>
  <c r="L429" i="33260"/>
  <c r="D429" i="33260"/>
  <c r="BD428" i="33260"/>
  <c r="AV428" i="33260"/>
  <c r="AN428" i="33260"/>
  <c r="AF428" i="33260"/>
  <c r="X428" i="33260"/>
  <c r="P428" i="33260"/>
  <c r="H428" i="33260"/>
  <c r="BH427" i="33260"/>
  <c r="AZ427" i="33260"/>
  <c r="AR427" i="33260"/>
  <c r="AJ427" i="33260"/>
  <c r="AB427" i="33260"/>
  <c r="T427" i="33260"/>
  <c r="L427" i="33260"/>
  <c r="D427" i="33260"/>
  <c r="BD426" i="33260"/>
  <c r="AV426" i="33260"/>
  <c r="AN426" i="33260"/>
  <c r="AF426" i="33260"/>
  <c r="X426" i="33260"/>
  <c r="P426" i="33260"/>
  <c r="H426" i="33260"/>
  <c r="BH425" i="33260"/>
  <c r="AZ425" i="33260"/>
  <c r="AR425" i="33260"/>
  <c r="AJ425" i="33260"/>
  <c r="AB425" i="33260"/>
  <c r="T425" i="33260"/>
  <c r="L425" i="33260"/>
  <c r="D425" i="33260"/>
  <c r="BD424" i="33260"/>
  <c r="AV424" i="33260"/>
  <c r="AN424" i="33260"/>
  <c r="AF424" i="33260"/>
  <c r="X424" i="33260"/>
  <c r="P424" i="33260"/>
  <c r="H424" i="33260"/>
  <c r="BH423" i="33260"/>
  <c r="AZ423" i="33260"/>
  <c r="AR423" i="33260"/>
  <c r="AJ423" i="33260"/>
  <c r="AB423" i="33260"/>
  <c r="T423" i="33260"/>
  <c r="L423" i="33260"/>
  <c r="D423" i="33260"/>
  <c r="BD422" i="33260"/>
  <c r="AV422" i="33260"/>
  <c r="AN422" i="33260"/>
  <c r="AF422" i="33260"/>
  <c r="X422" i="33260"/>
  <c r="P422" i="33260"/>
  <c r="H422" i="33260"/>
  <c r="BH421" i="33260"/>
  <c r="AZ421" i="33260"/>
  <c r="AR421" i="33260"/>
  <c r="AJ421" i="33260"/>
  <c r="AB421" i="33260"/>
  <c r="T421" i="33260"/>
  <c r="L421" i="33260"/>
  <c r="D421" i="33260"/>
  <c r="BD420" i="33260"/>
  <c r="AV420" i="33260"/>
  <c r="AN420" i="33260"/>
  <c r="AF420" i="33260"/>
  <c r="X420" i="33260"/>
  <c r="P420" i="33260"/>
  <c r="H420" i="33260"/>
  <c r="BH419" i="33260"/>
  <c r="AZ419" i="33260"/>
  <c r="AR419" i="33260"/>
  <c r="AJ419" i="33260"/>
  <c r="AB419" i="33260"/>
  <c r="T419" i="33260"/>
  <c r="L419" i="33260"/>
  <c r="D419" i="33260"/>
  <c r="BD418" i="33260"/>
  <c r="AV418" i="33260"/>
  <c r="AN418" i="33260"/>
  <c r="AF418" i="33260"/>
  <c r="X418" i="33260"/>
  <c r="P418" i="33260"/>
  <c r="H418" i="33260"/>
  <c r="BH417" i="33260"/>
  <c r="AZ417" i="33260"/>
  <c r="AR417" i="33260"/>
  <c r="AJ417" i="33260"/>
  <c r="AB417" i="33260"/>
  <c r="T417" i="33260"/>
  <c r="L417" i="33260"/>
  <c r="D417" i="33260"/>
  <c r="BD416" i="33260"/>
  <c r="AV416" i="33260"/>
  <c r="AN416" i="33260"/>
  <c r="AF416" i="33260"/>
  <c r="X416" i="33260"/>
  <c r="P416" i="33260"/>
  <c r="H416" i="33260"/>
  <c r="BH415" i="33260"/>
  <c r="AZ415" i="33260"/>
  <c r="AR415" i="33260"/>
  <c r="AJ415" i="33260"/>
  <c r="AB415" i="33260"/>
  <c r="T415" i="33260"/>
  <c r="L415" i="33260"/>
  <c r="D415" i="33260"/>
  <c r="BD414" i="33260"/>
  <c r="AV414" i="33260"/>
  <c r="AN414" i="33260"/>
  <c r="AF414" i="33260"/>
  <c r="X414" i="33260"/>
  <c r="P414" i="33260"/>
  <c r="H414" i="33260"/>
  <c r="BH413" i="33260"/>
  <c r="AZ413" i="33260"/>
  <c r="AR413" i="33260"/>
  <c r="AJ413" i="33260"/>
  <c r="AB413" i="33260"/>
  <c r="T413" i="33260"/>
  <c r="L413" i="33260"/>
  <c r="D413" i="33260"/>
  <c r="BD412" i="33260"/>
  <c r="AV412" i="33260"/>
  <c r="AN412" i="33260"/>
  <c r="AF412" i="33260"/>
  <c r="X412" i="33260"/>
  <c r="P412" i="33260"/>
  <c r="H412" i="33260"/>
  <c r="BH411" i="33260"/>
  <c r="AZ411" i="33260"/>
  <c r="AR411" i="33260"/>
  <c r="AJ411" i="33260"/>
  <c r="AB411" i="33260"/>
  <c r="T411" i="33260"/>
  <c r="L411" i="33260"/>
  <c r="D411" i="33260"/>
  <c r="BD410" i="33260"/>
  <c r="AV410" i="33260"/>
  <c r="AN410" i="33260"/>
  <c r="AF410" i="33260"/>
  <c r="X410" i="33260"/>
  <c r="P410" i="33260"/>
  <c r="H410" i="33260"/>
  <c r="BH409" i="33260"/>
  <c r="AZ409" i="33260"/>
  <c r="AR409" i="33260"/>
  <c r="AJ409" i="33260"/>
  <c r="AB409" i="33260"/>
  <c r="T409" i="33260"/>
  <c r="L409" i="33260"/>
  <c r="D409" i="33260"/>
  <c r="BD408" i="33260"/>
  <c r="AV408" i="33260"/>
  <c r="AN408" i="33260"/>
  <c r="AF408" i="33260"/>
  <c r="X408" i="33260"/>
  <c r="P408" i="33260"/>
  <c r="H408" i="33260"/>
  <c r="BH407" i="33260"/>
  <c r="AZ407" i="33260"/>
  <c r="AR407" i="33260"/>
  <c r="AJ407" i="33260"/>
  <c r="AB407" i="33260"/>
  <c r="T407" i="33260"/>
  <c r="L407" i="33260"/>
  <c r="D407" i="33260"/>
  <c r="BD406" i="33260"/>
  <c r="AV406" i="33260"/>
  <c r="AN406" i="33260"/>
  <c r="AF406" i="33260"/>
  <c r="X406" i="33260"/>
  <c r="P406" i="33260"/>
  <c r="H406" i="33260"/>
  <c r="BH405" i="33260"/>
  <c r="AZ405" i="33260"/>
  <c r="AR405" i="33260"/>
  <c r="AJ405" i="33260"/>
  <c r="AB405" i="33260"/>
  <c r="T405" i="33260"/>
  <c r="L405" i="33260"/>
  <c r="D405" i="33260"/>
  <c r="BD404" i="33260"/>
  <c r="AV404" i="33260"/>
  <c r="AN404" i="33260"/>
  <c r="AF404" i="33260"/>
  <c r="X404" i="33260"/>
  <c r="P404" i="33260"/>
  <c r="H404" i="33260"/>
  <c r="BH403" i="33260"/>
  <c r="AZ403" i="33260"/>
  <c r="AR403" i="33260"/>
  <c r="AJ403" i="33260"/>
  <c r="AB403" i="33260"/>
  <c r="T403" i="33260"/>
  <c r="L403" i="33260"/>
  <c r="D403" i="33260"/>
  <c r="BD402" i="33260"/>
  <c r="AV402" i="33260"/>
  <c r="AN402" i="33260"/>
  <c r="AF402" i="33260"/>
  <c r="X402" i="33260"/>
  <c r="P402" i="33260"/>
  <c r="H402" i="33260"/>
  <c r="BH401" i="33260"/>
  <c r="AZ401" i="33260"/>
  <c r="AR401" i="33260"/>
  <c r="AJ401" i="33260"/>
  <c r="AB401" i="33260"/>
  <c r="T401" i="33260"/>
  <c r="L401" i="33260"/>
  <c r="D401" i="33260"/>
  <c r="BD400" i="33260"/>
  <c r="AV400" i="33260"/>
  <c r="AN400" i="33260"/>
  <c r="BB496" i="33260"/>
  <c r="AJ483" i="33260"/>
  <c r="AA475" i="33260"/>
  <c r="BA472" i="33260"/>
  <c r="M470" i="33260"/>
  <c r="Q469" i="33260"/>
  <c r="Q468" i="33260"/>
  <c r="S467" i="33260"/>
  <c r="Y466" i="33260"/>
  <c r="AA465" i="33260"/>
  <c r="AC464" i="33260"/>
  <c r="AI463" i="33260"/>
  <c r="AK462" i="33260"/>
  <c r="AK461" i="33260"/>
  <c r="AS460" i="33260"/>
  <c r="AS459" i="33260"/>
  <c r="AU458" i="33260"/>
  <c r="BA457" i="33260"/>
  <c r="BC456" i="33260"/>
  <c r="BE455" i="33260"/>
  <c r="BK454" i="33260"/>
  <c r="E454" i="33260"/>
  <c r="E453" i="33260"/>
  <c r="M452" i="33260"/>
  <c r="AJ451" i="33260"/>
  <c r="N451" i="33260"/>
  <c r="BB450" i="33260"/>
  <c r="AF450" i="33260"/>
  <c r="J450" i="33260"/>
  <c r="AX449" i="33260"/>
  <c r="AB449" i="33260"/>
  <c r="F449" i="33260"/>
  <c r="AT448" i="33260"/>
  <c r="X448" i="33260"/>
  <c r="BJ447" i="33260"/>
  <c r="AP447" i="33260"/>
  <c r="T447" i="33260"/>
  <c r="BF446" i="33260"/>
  <c r="AL446" i="33260"/>
  <c r="P446" i="33260"/>
  <c r="BB445" i="33260"/>
  <c r="AH445" i="33260"/>
  <c r="L445" i="33260"/>
  <c r="AX444" i="33260"/>
  <c r="AD444" i="33260"/>
  <c r="H444" i="33260"/>
  <c r="AT443" i="33260"/>
  <c r="Z443" i="33260"/>
  <c r="D443" i="33260"/>
  <c r="AP442" i="33260"/>
  <c r="V442" i="33260"/>
  <c r="BH441" i="33260"/>
  <c r="AL441" i="33260"/>
  <c r="R441" i="33260"/>
  <c r="BD440" i="33260"/>
  <c r="AH440" i="33260"/>
  <c r="N440" i="33260"/>
  <c r="AZ439" i="33260"/>
  <c r="AD439" i="33260"/>
  <c r="J439" i="33260"/>
  <c r="AV438" i="33260"/>
  <c r="Z438" i="33260"/>
  <c r="F438" i="33260"/>
  <c r="AR437" i="33260"/>
  <c r="AB437" i="33260"/>
  <c r="S437" i="33260"/>
  <c r="K437" i="33260"/>
  <c r="BK436" i="33260"/>
  <c r="BC436" i="33260"/>
  <c r="AU436" i="33260"/>
  <c r="AM436" i="33260"/>
  <c r="AE436" i="33260"/>
  <c r="W436" i="33260"/>
  <c r="O436" i="33260"/>
  <c r="G436" i="33260"/>
  <c r="BG435" i="33260"/>
  <c r="AY435" i="33260"/>
  <c r="AQ435" i="33260"/>
  <c r="AI435" i="33260"/>
  <c r="AA435" i="33260"/>
  <c r="S435" i="33260"/>
  <c r="K435" i="33260"/>
  <c r="BK434" i="33260"/>
  <c r="BC434" i="33260"/>
  <c r="AU434" i="33260"/>
  <c r="AM434" i="33260"/>
  <c r="AE434" i="33260"/>
  <c r="W434" i="33260"/>
  <c r="O434" i="33260"/>
  <c r="G434" i="33260"/>
  <c r="BG433" i="33260"/>
  <c r="AY433" i="33260"/>
  <c r="AQ433" i="33260"/>
  <c r="AI433" i="33260"/>
  <c r="AA433" i="33260"/>
  <c r="S433" i="33260"/>
  <c r="K433" i="33260"/>
  <c r="BK432" i="33260"/>
  <c r="BC432" i="33260"/>
  <c r="AU432" i="33260"/>
  <c r="AM432" i="33260"/>
  <c r="AE432" i="33260"/>
  <c r="W432" i="33260"/>
  <c r="O432" i="33260"/>
  <c r="G432" i="33260"/>
  <c r="BG431" i="33260"/>
  <c r="AY431" i="33260"/>
  <c r="AQ431" i="33260"/>
  <c r="AI431" i="33260"/>
  <c r="AA431" i="33260"/>
  <c r="S431" i="33260"/>
  <c r="K431" i="33260"/>
  <c r="BK430" i="33260"/>
  <c r="BC430" i="33260"/>
  <c r="AU430" i="33260"/>
  <c r="AM430" i="33260"/>
  <c r="AE430" i="33260"/>
  <c r="W430" i="33260"/>
  <c r="O430" i="33260"/>
  <c r="G430" i="33260"/>
  <c r="BG429" i="33260"/>
  <c r="AY429" i="33260"/>
  <c r="AQ429" i="33260"/>
  <c r="AI429" i="33260"/>
  <c r="AA429" i="33260"/>
  <c r="S429" i="33260"/>
  <c r="K429" i="33260"/>
  <c r="BK428" i="33260"/>
  <c r="BC428" i="33260"/>
  <c r="AU428" i="33260"/>
  <c r="AM428" i="33260"/>
  <c r="AE428" i="33260"/>
  <c r="W428" i="33260"/>
  <c r="O428" i="33260"/>
  <c r="G428" i="33260"/>
  <c r="BG427" i="33260"/>
  <c r="AY427" i="33260"/>
  <c r="AQ427" i="33260"/>
  <c r="AI427" i="33260"/>
  <c r="AA427" i="33260"/>
  <c r="S427" i="33260"/>
  <c r="K427" i="33260"/>
  <c r="BK426" i="33260"/>
  <c r="BC426" i="33260"/>
  <c r="AU426" i="33260"/>
  <c r="AM426" i="33260"/>
  <c r="AE426" i="33260"/>
  <c r="W426" i="33260"/>
  <c r="O426" i="33260"/>
  <c r="G426" i="33260"/>
  <c r="BG425" i="33260"/>
  <c r="AY425" i="33260"/>
  <c r="AQ425" i="33260"/>
  <c r="AI425" i="33260"/>
  <c r="AA425" i="33260"/>
  <c r="S425" i="33260"/>
  <c r="K425" i="33260"/>
  <c r="BK424" i="33260"/>
  <c r="BC424" i="33260"/>
  <c r="AU424" i="33260"/>
  <c r="AM424" i="33260"/>
  <c r="BD493" i="33260"/>
  <c r="AF482" i="33260"/>
  <c r="BI474" i="33260"/>
  <c r="AK472" i="33260"/>
  <c r="G470" i="33260"/>
  <c r="E469" i="33260"/>
  <c r="M468" i="33260"/>
  <c r="M467" i="33260"/>
  <c r="O466" i="33260"/>
  <c r="U465" i="33260"/>
  <c r="W464" i="33260"/>
  <c r="Y463" i="33260"/>
  <c r="AE462" i="33260"/>
  <c r="AG461" i="33260"/>
  <c r="AG460" i="33260"/>
  <c r="AO459" i="33260"/>
  <c r="AO458" i="33260"/>
  <c r="AQ457" i="33260"/>
  <c r="AW456" i="33260"/>
  <c r="AY455" i="33260"/>
  <c r="BA454" i="33260"/>
  <c r="BG453" i="33260"/>
  <c r="BI452" i="33260"/>
  <c r="BI451" i="33260"/>
  <c r="AH451" i="33260"/>
  <c r="L451" i="33260"/>
  <c r="AX450" i="33260"/>
  <c r="AD450" i="33260"/>
  <c r="H450" i="33260"/>
  <c r="AT449" i="33260"/>
  <c r="Z449" i="33260"/>
  <c r="D449" i="33260"/>
  <c r="AP448" i="33260"/>
  <c r="V448" i="33260"/>
  <c r="BH447" i="33260"/>
  <c r="AL447" i="33260"/>
  <c r="R447" i="33260"/>
  <c r="BD446" i="33260"/>
  <c r="AH446" i="33260"/>
  <c r="N446" i="33260"/>
  <c r="AZ445" i="33260"/>
  <c r="AD445" i="33260"/>
  <c r="J445" i="33260"/>
  <c r="AV444" i="33260"/>
  <c r="Z444" i="33260"/>
  <c r="F444" i="33260"/>
  <c r="AR443" i="33260"/>
  <c r="V443" i="33260"/>
  <c r="BJ442" i="33260"/>
  <c r="AN442" i="33260"/>
  <c r="R442" i="33260"/>
  <c r="BF441" i="33260"/>
  <c r="AJ441" i="33260"/>
  <c r="N441" i="33260"/>
  <c r="BB440" i="33260"/>
  <c r="AF440" i="33260"/>
  <c r="J440" i="33260"/>
  <c r="AX439" i="33260"/>
  <c r="AB439" i="33260"/>
  <c r="F439" i="33260"/>
  <c r="AT438" i="33260"/>
  <c r="X438" i="33260"/>
  <c r="BJ437" i="33260"/>
  <c r="AP437" i="33260"/>
  <c r="AA437" i="33260"/>
  <c r="R437" i="33260"/>
  <c r="J437" i="33260"/>
  <c r="BJ436" i="33260"/>
  <c r="BB436" i="33260"/>
  <c r="AT436" i="33260"/>
  <c r="AL436" i="33260"/>
  <c r="AD436" i="33260"/>
  <c r="V436" i="33260"/>
  <c r="N436" i="33260"/>
  <c r="F436" i="33260"/>
  <c r="BF435" i="33260"/>
  <c r="AX435" i="33260"/>
  <c r="AP435" i="33260"/>
  <c r="AH435" i="33260"/>
  <c r="Z435" i="33260"/>
  <c r="R435" i="33260"/>
  <c r="J435" i="33260"/>
  <c r="BJ434" i="33260"/>
  <c r="BB434" i="33260"/>
  <c r="AT434" i="33260"/>
  <c r="AL434" i="33260"/>
  <c r="AD434" i="33260"/>
  <c r="V434" i="33260"/>
  <c r="N434" i="33260"/>
  <c r="F434" i="33260"/>
  <c r="BF433" i="33260"/>
  <c r="AX433" i="33260"/>
  <c r="AP433" i="33260"/>
  <c r="AH433" i="33260"/>
  <c r="Z433" i="33260"/>
  <c r="R433" i="33260"/>
  <c r="J433" i="33260"/>
  <c r="BJ432" i="33260"/>
  <c r="BB432" i="33260"/>
  <c r="AT432" i="33260"/>
  <c r="AL432" i="33260"/>
  <c r="AD432" i="33260"/>
  <c r="V432" i="33260"/>
  <c r="N432" i="33260"/>
  <c r="F432" i="33260"/>
  <c r="BF431" i="33260"/>
  <c r="AX431" i="33260"/>
  <c r="AP431" i="33260"/>
  <c r="AH431" i="33260"/>
  <c r="Z431" i="33260"/>
  <c r="R431" i="33260"/>
  <c r="J431" i="33260"/>
  <c r="BJ430" i="33260"/>
  <c r="BB430" i="33260"/>
  <c r="AT430" i="33260"/>
  <c r="AL430" i="33260"/>
  <c r="AD430" i="33260"/>
  <c r="V430" i="33260"/>
  <c r="N430" i="33260"/>
  <c r="F430" i="33260"/>
  <c r="BF429" i="33260"/>
  <c r="AX429" i="33260"/>
  <c r="AP429" i="33260"/>
  <c r="AH429" i="33260"/>
  <c r="Z429" i="33260"/>
  <c r="R429" i="33260"/>
  <c r="J429" i="33260"/>
  <c r="BJ428" i="33260"/>
  <c r="BB428" i="33260"/>
  <c r="AT428" i="33260"/>
  <c r="AL428" i="33260"/>
  <c r="AD428" i="33260"/>
  <c r="V428" i="33260"/>
  <c r="N428" i="33260"/>
  <c r="F428" i="33260"/>
  <c r="BF427" i="33260"/>
  <c r="AX427" i="33260"/>
  <c r="AP427" i="33260"/>
  <c r="AH427" i="33260"/>
  <c r="Z427" i="33260"/>
  <c r="R427" i="33260"/>
  <c r="J427" i="33260"/>
  <c r="BJ426" i="33260"/>
  <c r="BB426" i="33260"/>
  <c r="AT426" i="33260"/>
  <c r="AL426" i="33260"/>
  <c r="AD426" i="33260"/>
  <c r="V426" i="33260"/>
  <c r="N426" i="33260"/>
  <c r="F426" i="33260"/>
  <c r="BF425" i="33260"/>
  <c r="AX425" i="33260"/>
  <c r="AP425" i="33260"/>
  <c r="AH425" i="33260"/>
  <c r="Z425" i="33260"/>
  <c r="R425" i="33260"/>
  <c r="J425" i="33260"/>
  <c r="BJ424" i="33260"/>
  <c r="BB424" i="33260"/>
  <c r="AT424" i="33260"/>
  <c r="AL424" i="33260"/>
  <c r="AD424" i="33260"/>
  <c r="V424" i="33260"/>
  <c r="N424" i="33260"/>
  <c r="F424" i="33260"/>
  <c r="BF423" i="33260"/>
  <c r="AX423" i="33260"/>
  <c r="AP423" i="33260"/>
  <c r="AH423" i="33260"/>
  <c r="Z423" i="33260"/>
  <c r="R423" i="33260"/>
  <c r="J423" i="33260"/>
  <c r="BJ422" i="33260"/>
  <c r="BB422" i="33260"/>
  <c r="AT422" i="33260"/>
  <c r="AL422" i="33260"/>
  <c r="AD422" i="33260"/>
  <c r="V422" i="33260"/>
  <c r="N422" i="33260"/>
  <c r="F422" i="33260"/>
  <c r="BF421" i="33260"/>
  <c r="AX421" i="33260"/>
  <c r="AP421" i="33260"/>
  <c r="AH421" i="33260"/>
  <c r="Z421" i="33260"/>
  <c r="R421" i="33260"/>
  <c r="J421" i="33260"/>
  <c r="BJ420" i="33260"/>
  <c r="BB420" i="33260"/>
  <c r="AT420" i="33260"/>
  <c r="AL420" i="33260"/>
  <c r="AD420" i="33260"/>
  <c r="V420" i="33260"/>
  <c r="N420" i="33260"/>
  <c r="F420" i="33260"/>
  <c r="BF419" i="33260"/>
  <c r="AX419" i="33260"/>
  <c r="AP419" i="33260"/>
  <c r="AH419" i="33260"/>
  <c r="Z419" i="33260"/>
  <c r="R419" i="33260"/>
  <c r="J419" i="33260"/>
  <c r="BJ418" i="33260"/>
  <c r="BB418" i="33260"/>
  <c r="AT418" i="33260"/>
  <c r="AL418" i="33260"/>
  <c r="AD418" i="33260"/>
  <c r="V418" i="33260"/>
  <c r="N418" i="33260"/>
  <c r="F418" i="33260"/>
  <c r="BF417" i="33260"/>
  <c r="AX417" i="33260"/>
  <c r="AP417" i="33260"/>
  <c r="AH417" i="33260"/>
  <c r="Z417" i="33260"/>
  <c r="R417" i="33260"/>
  <c r="J417" i="33260"/>
  <c r="BJ416" i="33260"/>
  <c r="BB416" i="33260"/>
  <c r="AT416" i="33260"/>
  <c r="AL416" i="33260"/>
  <c r="AD416" i="33260"/>
  <c r="V416" i="33260"/>
  <c r="N416" i="33260"/>
  <c r="F416" i="33260"/>
  <c r="BF415" i="33260"/>
  <c r="AX415" i="33260"/>
  <c r="AP415" i="33260"/>
  <c r="AH415" i="33260"/>
  <c r="Z415" i="33260"/>
  <c r="R415" i="33260"/>
  <c r="J415" i="33260"/>
  <c r="BJ414" i="33260"/>
  <c r="BB414" i="33260"/>
  <c r="AT414" i="33260"/>
  <c r="AL414" i="33260"/>
  <c r="AD414" i="33260"/>
  <c r="V414" i="33260"/>
  <c r="N414" i="33260"/>
  <c r="F414" i="33260"/>
  <c r="BF413" i="33260"/>
  <c r="AX413" i="33260"/>
  <c r="AP413" i="33260"/>
  <c r="AH413" i="33260"/>
  <c r="Z413" i="33260"/>
  <c r="R413" i="33260"/>
  <c r="J413" i="33260"/>
  <c r="BJ412" i="33260"/>
  <c r="BB412" i="33260"/>
  <c r="AT412" i="33260"/>
  <c r="AL412" i="33260"/>
  <c r="AD412" i="33260"/>
  <c r="V412" i="33260"/>
  <c r="N412" i="33260"/>
  <c r="F412" i="33260"/>
  <c r="BF411" i="33260"/>
  <c r="AX411" i="33260"/>
  <c r="AP411" i="33260"/>
  <c r="AH411" i="33260"/>
  <c r="Z411" i="33260"/>
  <c r="R411" i="33260"/>
  <c r="J411" i="33260"/>
  <c r="BJ410" i="33260"/>
  <c r="BB410" i="33260"/>
  <c r="AT410" i="33260"/>
  <c r="AL410" i="33260"/>
  <c r="AD410" i="33260"/>
  <c r="V410" i="33260"/>
  <c r="N410" i="33260"/>
  <c r="F410" i="33260"/>
  <c r="BF409" i="33260"/>
  <c r="AX409" i="33260"/>
  <c r="AP409" i="33260"/>
  <c r="AH409" i="33260"/>
  <c r="Z409" i="33260"/>
  <c r="R409" i="33260"/>
  <c r="J409" i="33260"/>
  <c r="BJ408" i="33260"/>
  <c r="BB408" i="33260"/>
  <c r="AT408" i="33260"/>
  <c r="AL408" i="33260"/>
  <c r="AD408" i="33260"/>
  <c r="V408" i="33260"/>
  <c r="N408" i="33260"/>
  <c r="F408" i="33260"/>
  <c r="BF407" i="33260"/>
  <c r="AX407" i="33260"/>
  <c r="AP407" i="33260"/>
  <c r="AH407" i="33260"/>
  <c r="Z407" i="33260"/>
  <c r="R407" i="33260"/>
  <c r="J407" i="33260"/>
  <c r="BJ406" i="33260"/>
  <c r="BB406" i="33260"/>
  <c r="AT406" i="33260"/>
  <c r="AL406" i="33260"/>
  <c r="AD406" i="33260"/>
  <c r="V406" i="33260"/>
  <c r="N406" i="33260"/>
  <c r="F406" i="33260"/>
  <c r="BF405" i="33260"/>
  <c r="AX405" i="33260"/>
  <c r="AP405" i="33260"/>
  <c r="AH405" i="33260"/>
  <c r="Z405" i="33260"/>
  <c r="R405" i="33260"/>
  <c r="J405" i="33260"/>
  <c r="BJ404" i="33260"/>
  <c r="BB404" i="33260"/>
  <c r="AT404" i="33260"/>
  <c r="AL404" i="33260"/>
  <c r="AD404" i="33260"/>
  <c r="V404" i="33260"/>
  <c r="N404" i="33260"/>
  <c r="F404" i="33260"/>
  <c r="BF403" i="33260"/>
  <c r="AX403" i="33260"/>
  <c r="AP403" i="33260"/>
  <c r="AH403" i="33260"/>
  <c r="Z403" i="33260"/>
  <c r="R403" i="33260"/>
  <c r="J403" i="33260"/>
  <c r="BJ402" i="33260"/>
  <c r="BB402" i="33260"/>
  <c r="AT402" i="33260"/>
  <c r="AL402" i="33260"/>
  <c r="AD402" i="33260"/>
  <c r="V402" i="33260"/>
  <c r="N402" i="33260"/>
  <c r="F402" i="33260"/>
  <c r="BF401" i="33260"/>
  <c r="AX401" i="33260"/>
  <c r="AP401" i="33260"/>
  <c r="AH401" i="33260"/>
  <c r="Z401" i="33260"/>
  <c r="R401" i="33260"/>
  <c r="J401" i="33260"/>
  <c r="BJ400" i="33260"/>
  <c r="BB400" i="33260"/>
  <c r="AT400" i="33260"/>
  <c r="AL400" i="33260"/>
  <c r="D491" i="33260"/>
  <c r="AB481" i="33260"/>
  <c r="AS474" i="33260"/>
  <c r="K472" i="33260"/>
  <c r="BH469" i="33260"/>
  <c r="BI468" i="33260"/>
  <c r="BI467" i="33260"/>
  <c r="I467" i="33260"/>
  <c r="I466" i="33260"/>
  <c r="K465" i="33260"/>
  <c r="Q464" i="33260"/>
  <c r="S463" i="33260"/>
  <c r="U462" i="33260"/>
  <c r="AA461" i="33260"/>
  <c r="AC460" i="33260"/>
  <c r="AC459" i="33260"/>
  <c r="AK458" i="33260"/>
  <c r="AK457" i="33260"/>
  <c r="AM456" i="33260"/>
  <c r="AS455" i="33260"/>
  <c r="AU454" i="33260"/>
  <c r="AW453" i="33260"/>
  <c r="BC452" i="33260"/>
  <c r="BE451" i="33260"/>
  <c r="AD451" i="33260"/>
  <c r="J451" i="33260"/>
  <c r="AV450" i="33260"/>
  <c r="Z450" i="33260"/>
  <c r="F450" i="33260"/>
  <c r="AR449" i="33260"/>
  <c r="V449" i="33260"/>
  <c r="BJ448" i="33260"/>
  <c r="AN448" i="33260"/>
  <c r="R448" i="33260"/>
  <c r="BF447" i="33260"/>
  <c r="AJ447" i="33260"/>
  <c r="N447" i="33260"/>
  <c r="BB446" i="33260"/>
  <c r="AF446" i="33260"/>
  <c r="J446" i="33260"/>
  <c r="AX445" i="33260"/>
  <c r="AB445" i="33260"/>
  <c r="F445" i="33260"/>
  <c r="AT444" i="33260"/>
  <c r="X444" i="33260"/>
  <c r="BJ443" i="33260"/>
  <c r="AP443" i="33260"/>
  <c r="T443" i="33260"/>
  <c r="BF442" i="33260"/>
  <c r="AL442" i="33260"/>
  <c r="P442" i="33260"/>
  <c r="BB441" i="33260"/>
  <c r="AH441" i="33260"/>
  <c r="L441" i="33260"/>
  <c r="AX440" i="33260"/>
  <c r="AD440" i="33260"/>
  <c r="H440" i="33260"/>
  <c r="AT439" i="33260"/>
  <c r="Z439" i="33260"/>
  <c r="D439" i="33260"/>
  <c r="AP438" i="33260"/>
  <c r="V438" i="33260"/>
  <c r="BH437" i="33260"/>
  <c r="AL437" i="33260"/>
  <c r="Z437" i="33260"/>
  <c r="Q437" i="33260"/>
  <c r="I437" i="33260"/>
  <c r="BI436" i="33260"/>
  <c r="BA436" i="33260"/>
  <c r="AS436" i="33260"/>
  <c r="AK436" i="33260"/>
  <c r="AC436" i="33260"/>
  <c r="U436" i="33260"/>
  <c r="M436" i="33260"/>
  <c r="E436" i="33260"/>
  <c r="BE435" i="33260"/>
  <c r="AW435" i="33260"/>
  <c r="AO435" i="33260"/>
  <c r="AG435" i="33260"/>
  <c r="Y435" i="33260"/>
  <c r="Q435" i="33260"/>
  <c r="I435" i="33260"/>
  <c r="BI434" i="33260"/>
  <c r="BA434" i="33260"/>
  <c r="AS434" i="33260"/>
  <c r="AK434" i="33260"/>
  <c r="AC434" i="33260"/>
  <c r="U434" i="33260"/>
  <c r="M434" i="33260"/>
  <c r="E434" i="33260"/>
  <c r="BE433" i="33260"/>
  <c r="AW433" i="33260"/>
  <c r="AO433" i="33260"/>
  <c r="AG433" i="33260"/>
  <c r="Y433" i="33260"/>
  <c r="Q433" i="33260"/>
  <c r="I433" i="33260"/>
  <c r="BI432" i="33260"/>
  <c r="BA432" i="33260"/>
  <c r="AS432" i="33260"/>
  <c r="AK432" i="33260"/>
  <c r="AC432" i="33260"/>
  <c r="U432" i="33260"/>
  <c r="M432" i="33260"/>
  <c r="E432" i="33260"/>
  <c r="BE431" i="33260"/>
  <c r="AW431" i="33260"/>
  <c r="AO431" i="33260"/>
  <c r="AG431" i="33260"/>
  <c r="Y431" i="33260"/>
  <c r="Q431" i="33260"/>
  <c r="I431" i="33260"/>
  <c r="BI430" i="33260"/>
  <c r="BA430" i="33260"/>
  <c r="AS430" i="33260"/>
  <c r="AK430" i="33260"/>
  <c r="AC430" i="33260"/>
  <c r="U430" i="33260"/>
  <c r="M430" i="33260"/>
  <c r="E430" i="33260"/>
  <c r="BE429" i="33260"/>
  <c r="AW429" i="33260"/>
  <c r="AO429" i="33260"/>
  <c r="AG429" i="33260"/>
  <c r="Y429" i="33260"/>
  <c r="Q429" i="33260"/>
  <c r="I429" i="33260"/>
  <c r="BI428" i="33260"/>
  <c r="BA428" i="33260"/>
  <c r="AS428" i="33260"/>
  <c r="AK428" i="33260"/>
  <c r="AC428" i="33260"/>
  <c r="U428" i="33260"/>
  <c r="M428" i="33260"/>
  <c r="E428" i="33260"/>
  <c r="BE427" i="33260"/>
  <c r="AW427" i="33260"/>
  <c r="AO427" i="33260"/>
  <c r="AG427" i="33260"/>
  <c r="Y427" i="33260"/>
  <c r="Q427" i="33260"/>
  <c r="I427" i="33260"/>
  <c r="BI426" i="33260"/>
  <c r="BA426" i="33260"/>
  <c r="AS426" i="33260"/>
  <c r="AK426" i="33260"/>
  <c r="AC426" i="33260"/>
  <c r="U426" i="33260"/>
  <c r="M426" i="33260"/>
  <c r="E426" i="33260"/>
  <c r="BE425" i="33260"/>
  <c r="AW425" i="33260"/>
  <c r="AO425" i="33260"/>
  <c r="AG425" i="33260"/>
  <c r="Y425" i="33260"/>
  <c r="Q425" i="33260"/>
  <c r="I425" i="33260"/>
  <c r="BI424" i="33260"/>
  <c r="BA424" i="33260"/>
  <c r="AS424" i="33260"/>
  <c r="AK424" i="33260"/>
  <c r="AC424" i="33260"/>
  <c r="U424" i="33260"/>
  <c r="M424" i="33260"/>
  <c r="E424" i="33260"/>
  <c r="BE423" i="33260"/>
  <c r="AW423" i="33260"/>
  <c r="AO423" i="33260"/>
  <c r="AG423" i="33260"/>
  <c r="Y423" i="33260"/>
  <c r="Q423" i="33260"/>
  <c r="I423" i="33260"/>
  <c r="BI422" i="33260"/>
  <c r="BA422" i="33260"/>
  <c r="AS422" i="33260"/>
  <c r="AK422" i="33260"/>
  <c r="AC422" i="33260"/>
  <c r="U422" i="33260"/>
  <c r="M422" i="33260"/>
  <c r="E422" i="33260"/>
  <c r="BE421" i="33260"/>
  <c r="AW421" i="33260"/>
  <c r="AO421" i="33260"/>
  <c r="AG421" i="33260"/>
  <c r="Y421" i="33260"/>
  <c r="Q421" i="33260"/>
  <c r="I421" i="33260"/>
  <c r="BI420" i="33260"/>
  <c r="BA420" i="33260"/>
  <c r="AS420" i="33260"/>
  <c r="AK420" i="33260"/>
  <c r="AC420" i="33260"/>
  <c r="U420" i="33260"/>
  <c r="M420" i="33260"/>
  <c r="E420" i="33260"/>
  <c r="BE419" i="33260"/>
  <c r="AW419" i="33260"/>
  <c r="AO419" i="33260"/>
  <c r="AG419" i="33260"/>
  <c r="Y419" i="33260"/>
  <c r="Q419" i="33260"/>
  <c r="I419" i="33260"/>
  <c r="BI418" i="33260"/>
  <c r="BA418" i="33260"/>
  <c r="AS418" i="33260"/>
  <c r="AK418" i="33260"/>
  <c r="AC418" i="33260"/>
  <c r="U418" i="33260"/>
  <c r="M418" i="33260"/>
  <c r="E418" i="33260"/>
  <c r="BE417" i="33260"/>
  <c r="AW417" i="33260"/>
  <c r="AO417" i="33260"/>
  <c r="AG417" i="33260"/>
  <c r="Y417" i="33260"/>
  <c r="Q417" i="33260"/>
  <c r="I417" i="33260"/>
  <c r="BI416" i="33260"/>
  <c r="BA416" i="33260"/>
  <c r="AS416" i="33260"/>
  <c r="AK416" i="33260"/>
  <c r="AC416" i="33260"/>
  <c r="U416" i="33260"/>
  <c r="M416" i="33260"/>
  <c r="E416" i="33260"/>
  <c r="BE415" i="33260"/>
  <c r="AW415" i="33260"/>
  <c r="AO415" i="33260"/>
  <c r="AG415" i="33260"/>
  <c r="Y415" i="33260"/>
  <c r="Q415" i="33260"/>
  <c r="I415" i="33260"/>
  <c r="BI414" i="33260"/>
  <c r="BA414" i="33260"/>
  <c r="AS414" i="33260"/>
  <c r="AK414" i="33260"/>
  <c r="AC414" i="33260"/>
  <c r="U414" i="33260"/>
  <c r="M414" i="33260"/>
  <c r="E414" i="33260"/>
  <c r="BE413" i="33260"/>
  <c r="AW413" i="33260"/>
  <c r="AO413" i="33260"/>
  <c r="AG413" i="33260"/>
  <c r="Y413" i="33260"/>
  <c r="Q413" i="33260"/>
  <c r="I413" i="33260"/>
  <c r="BI412" i="33260"/>
  <c r="BA412" i="33260"/>
  <c r="AS412" i="33260"/>
  <c r="AK412" i="33260"/>
  <c r="AC412" i="33260"/>
  <c r="U412" i="33260"/>
  <c r="M412" i="33260"/>
  <c r="E412" i="33260"/>
  <c r="BE411" i="33260"/>
  <c r="AW411" i="33260"/>
  <c r="AO411" i="33260"/>
  <c r="AG411" i="33260"/>
  <c r="Y411" i="33260"/>
  <c r="Q411" i="33260"/>
  <c r="I411" i="33260"/>
  <c r="BI410" i="33260"/>
  <c r="BA410" i="33260"/>
  <c r="AS410" i="33260"/>
  <c r="AK410" i="33260"/>
  <c r="AC410" i="33260"/>
  <c r="U410" i="33260"/>
  <c r="M410" i="33260"/>
  <c r="E410" i="33260"/>
  <c r="BE409" i="33260"/>
  <c r="AW409" i="33260"/>
  <c r="AO409" i="33260"/>
  <c r="AG409" i="33260"/>
  <c r="Y409" i="33260"/>
  <c r="Q409" i="33260"/>
  <c r="I409" i="33260"/>
  <c r="BI408" i="33260"/>
  <c r="BA408" i="33260"/>
  <c r="AS408" i="33260"/>
  <c r="AK408" i="33260"/>
  <c r="AC408" i="33260"/>
  <c r="U408" i="33260"/>
  <c r="M408" i="33260"/>
  <c r="E408" i="33260"/>
  <c r="BE407" i="33260"/>
  <c r="AW407" i="33260"/>
  <c r="AO407" i="33260"/>
  <c r="AG407" i="33260"/>
  <c r="Y407" i="33260"/>
  <c r="Q407" i="33260"/>
  <c r="I407" i="33260"/>
  <c r="BI406" i="33260"/>
  <c r="BA406" i="33260"/>
  <c r="AS406" i="33260"/>
  <c r="AK406" i="33260"/>
  <c r="AC406" i="33260"/>
  <c r="U406" i="33260"/>
  <c r="M406" i="33260"/>
  <c r="E406" i="33260"/>
  <c r="BE405" i="33260"/>
  <c r="AW405" i="33260"/>
  <c r="AO405" i="33260"/>
  <c r="AG405" i="33260"/>
  <c r="Y405" i="33260"/>
  <c r="Q405" i="33260"/>
  <c r="I405" i="33260"/>
  <c r="BI404" i="33260"/>
  <c r="BA404" i="33260"/>
  <c r="AS404" i="33260"/>
  <c r="AK404" i="33260"/>
  <c r="AC404" i="33260"/>
  <c r="U404" i="33260"/>
  <c r="M404" i="33260"/>
  <c r="E404" i="33260"/>
  <c r="BE403" i="33260"/>
  <c r="AW403" i="33260"/>
  <c r="AO403" i="33260"/>
  <c r="AG403" i="33260"/>
  <c r="Y403" i="33260"/>
  <c r="Q403" i="33260"/>
  <c r="I403" i="33260"/>
  <c r="BI402" i="33260"/>
  <c r="BA402" i="33260"/>
  <c r="AS402" i="33260"/>
  <c r="AK402" i="33260"/>
  <c r="AC402" i="33260"/>
  <c r="U402" i="33260"/>
  <c r="M402" i="33260"/>
  <c r="E402" i="33260"/>
  <c r="BE401" i="33260"/>
  <c r="AW401" i="33260"/>
  <c r="AO401" i="33260"/>
  <c r="AG401" i="33260"/>
  <c r="Y401" i="33260"/>
  <c r="Q401" i="33260"/>
  <c r="I401" i="33260"/>
  <c r="BI400" i="33260"/>
  <c r="BA400" i="33260"/>
  <c r="AS400" i="33260"/>
  <c r="AK400" i="33260"/>
  <c r="BH489" i="33260"/>
  <c r="AR479" i="33260"/>
  <c r="AC474" i="33260"/>
  <c r="BC471" i="33260"/>
  <c r="AW469" i="33260"/>
  <c r="BC468" i="33260"/>
  <c r="BE467" i="33260"/>
  <c r="BE466" i="33260"/>
  <c r="E466" i="33260"/>
  <c r="E465" i="33260"/>
  <c r="G464" i="33260"/>
  <c r="M463" i="33260"/>
  <c r="O462" i="33260"/>
  <c r="Q461" i="33260"/>
  <c r="W460" i="33260"/>
  <c r="Y459" i="33260"/>
  <c r="Y458" i="33260"/>
  <c r="AG457" i="33260"/>
  <c r="AG456" i="33260"/>
  <c r="AI455" i="33260"/>
  <c r="AO454" i="33260"/>
  <c r="AQ453" i="33260"/>
  <c r="AS452" i="33260"/>
  <c r="BA451" i="33260"/>
  <c r="AB451" i="33260"/>
  <c r="F451" i="33260"/>
  <c r="AT450" i="33260"/>
  <c r="X450" i="33260"/>
  <c r="BJ449" i="33260"/>
  <c r="AP449" i="33260"/>
  <c r="T449" i="33260"/>
  <c r="BF448" i="33260"/>
  <c r="AL448" i="33260"/>
  <c r="P448" i="33260"/>
  <c r="BB447" i="33260"/>
  <c r="AH447" i="33260"/>
  <c r="L447" i="33260"/>
  <c r="AX446" i="33260"/>
  <c r="AD446" i="33260"/>
  <c r="H446" i="33260"/>
  <c r="AT445" i="33260"/>
  <c r="Z445" i="33260"/>
  <c r="D445" i="33260"/>
  <c r="AP444" i="33260"/>
  <c r="V444" i="33260"/>
  <c r="BH443" i="33260"/>
  <c r="AL443" i="33260"/>
  <c r="R443" i="33260"/>
  <c r="BD442" i="33260"/>
  <c r="AH442" i="33260"/>
  <c r="N442" i="33260"/>
  <c r="AZ441" i="33260"/>
  <c r="AD441" i="33260"/>
  <c r="J441" i="33260"/>
  <c r="AV440" i="33260"/>
  <c r="Z440" i="33260"/>
  <c r="F440" i="33260"/>
  <c r="AR439" i="33260"/>
  <c r="V439" i="33260"/>
  <c r="BJ438" i="33260"/>
  <c r="AN438" i="33260"/>
  <c r="R438" i="33260"/>
  <c r="BF437" i="33260"/>
  <c r="AJ437" i="33260"/>
  <c r="Y437" i="33260"/>
  <c r="P437" i="33260"/>
  <c r="H437" i="33260"/>
  <c r="BH436" i="33260"/>
  <c r="AZ436" i="33260"/>
  <c r="AR436" i="33260"/>
  <c r="AJ436" i="33260"/>
  <c r="AB436" i="33260"/>
  <c r="T436" i="33260"/>
  <c r="L436" i="33260"/>
  <c r="D436" i="33260"/>
  <c r="BD435" i="33260"/>
  <c r="AV435" i="33260"/>
  <c r="AN435" i="33260"/>
  <c r="AF435" i="33260"/>
  <c r="X435" i="33260"/>
  <c r="P435" i="33260"/>
  <c r="H435" i="33260"/>
  <c r="BH434" i="33260"/>
  <c r="AZ434" i="33260"/>
  <c r="AR434" i="33260"/>
  <c r="AJ434" i="33260"/>
  <c r="AB434" i="33260"/>
  <c r="T434" i="33260"/>
  <c r="L434" i="33260"/>
  <c r="D434" i="33260"/>
  <c r="BD433" i="33260"/>
  <c r="AV433" i="33260"/>
  <c r="AN433" i="33260"/>
  <c r="AF433" i="33260"/>
  <c r="X433" i="33260"/>
  <c r="P433" i="33260"/>
  <c r="H433" i="33260"/>
  <c r="BH432" i="33260"/>
  <c r="AZ432" i="33260"/>
  <c r="AR432" i="33260"/>
  <c r="AJ432" i="33260"/>
  <c r="AB432" i="33260"/>
  <c r="T432" i="33260"/>
  <c r="L432" i="33260"/>
  <c r="D432" i="33260"/>
  <c r="BD431" i="33260"/>
  <c r="AV431" i="33260"/>
  <c r="AN431" i="33260"/>
  <c r="AF431" i="33260"/>
  <c r="X431" i="33260"/>
  <c r="P431" i="33260"/>
  <c r="H431" i="33260"/>
  <c r="BH430" i="33260"/>
  <c r="AZ430" i="33260"/>
  <c r="AR430" i="33260"/>
  <c r="AJ430" i="33260"/>
  <c r="AB430" i="33260"/>
  <c r="T430" i="33260"/>
  <c r="L430" i="33260"/>
  <c r="D430" i="33260"/>
  <c r="BD429" i="33260"/>
  <c r="AV429" i="33260"/>
  <c r="AN429" i="33260"/>
  <c r="AF429" i="33260"/>
  <c r="X429" i="33260"/>
  <c r="P429" i="33260"/>
  <c r="H429" i="33260"/>
  <c r="BH428" i="33260"/>
  <c r="AZ428" i="33260"/>
  <c r="AR428" i="33260"/>
  <c r="AJ428" i="33260"/>
  <c r="AB428" i="33260"/>
  <c r="T428" i="33260"/>
  <c r="L428" i="33260"/>
  <c r="D428" i="33260"/>
  <c r="BD427" i="33260"/>
  <c r="AV427" i="33260"/>
  <c r="AN427" i="33260"/>
  <c r="AF427" i="33260"/>
  <c r="X427" i="33260"/>
  <c r="P427" i="33260"/>
  <c r="H427" i="33260"/>
  <c r="BH426" i="33260"/>
  <c r="AZ426" i="33260"/>
  <c r="AR426" i="33260"/>
  <c r="AJ426" i="33260"/>
  <c r="AB426" i="33260"/>
  <c r="T426" i="33260"/>
  <c r="L426" i="33260"/>
  <c r="D426" i="33260"/>
  <c r="BD425" i="33260"/>
  <c r="AV425" i="33260"/>
  <c r="AN425" i="33260"/>
  <c r="AF425" i="33260"/>
  <c r="X425" i="33260"/>
  <c r="P425" i="33260"/>
  <c r="H425" i="33260"/>
  <c r="BH424" i="33260"/>
  <c r="AZ424" i="33260"/>
  <c r="AR424" i="33260"/>
  <c r="AJ424" i="33260"/>
  <c r="AB424" i="33260"/>
  <c r="T424" i="33260"/>
  <c r="L424" i="33260"/>
  <c r="D424" i="33260"/>
  <c r="BD423" i="33260"/>
  <c r="AV423" i="33260"/>
  <c r="AN423" i="33260"/>
  <c r="AF423" i="33260"/>
  <c r="X423" i="33260"/>
  <c r="P423" i="33260"/>
  <c r="H423" i="33260"/>
  <c r="BH422" i="33260"/>
  <c r="AZ422" i="33260"/>
  <c r="AR422" i="33260"/>
  <c r="AJ422" i="33260"/>
  <c r="AB422" i="33260"/>
  <c r="T422" i="33260"/>
  <c r="L422" i="33260"/>
  <c r="D422" i="33260"/>
  <c r="BD421" i="33260"/>
  <c r="AV421" i="33260"/>
  <c r="AN421" i="33260"/>
  <c r="AF421" i="33260"/>
  <c r="X421" i="33260"/>
  <c r="P421" i="33260"/>
  <c r="H421" i="33260"/>
  <c r="BH420" i="33260"/>
  <c r="AZ420" i="33260"/>
  <c r="AR420" i="33260"/>
  <c r="AJ420" i="33260"/>
  <c r="AB420" i="33260"/>
  <c r="T420" i="33260"/>
  <c r="L420" i="33260"/>
  <c r="D420" i="33260"/>
  <c r="BD419" i="33260"/>
  <c r="AV419" i="33260"/>
  <c r="AN419" i="33260"/>
  <c r="AF419" i="33260"/>
  <c r="X419" i="33260"/>
  <c r="P419" i="33260"/>
  <c r="H419" i="33260"/>
  <c r="BH418" i="33260"/>
  <c r="AZ418" i="33260"/>
  <c r="AR418" i="33260"/>
  <c r="AJ418" i="33260"/>
  <c r="AB418" i="33260"/>
  <c r="T418" i="33260"/>
  <c r="L418" i="33260"/>
  <c r="D418" i="33260"/>
  <c r="BD417" i="33260"/>
  <c r="AV417" i="33260"/>
  <c r="AN417" i="33260"/>
  <c r="AF417" i="33260"/>
  <c r="X417" i="33260"/>
  <c r="P417" i="33260"/>
  <c r="H417" i="33260"/>
  <c r="BH416" i="33260"/>
  <c r="AZ416" i="33260"/>
  <c r="AR416" i="33260"/>
  <c r="AJ416" i="33260"/>
  <c r="AB416" i="33260"/>
  <c r="T416" i="33260"/>
  <c r="L416" i="33260"/>
  <c r="D416" i="33260"/>
  <c r="BD415" i="33260"/>
  <c r="AV415" i="33260"/>
  <c r="AN415" i="33260"/>
  <c r="AF415" i="33260"/>
  <c r="X415" i="33260"/>
  <c r="P415" i="33260"/>
  <c r="H415" i="33260"/>
  <c r="BH414" i="33260"/>
  <c r="AZ414" i="33260"/>
  <c r="AR414" i="33260"/>
  <c r="AJ414" i="33260"/>
  <c r="AB414" i="33260"/>
  <c r="T414" i="33260"/>
  <c r="L414" i="33260"/>
  <c r="D414" i="33260"/>
  <c r="BD413" i="33260"/>
  <c r="AV413" i="33260"/>
  <c r="AN413" i="33260"/>
  <c r="AF413" i="33260"/>
  <c r="X413" i="33260"/>
  <c r="P413" i="33260"/>
  <c r="H413" i="33260"/>
  <c r="BH412" i="33260"/>
  <c r="AZ412" i="33260"/>
  <c r="AR412" i="33260"/>
  <c r="AJ412" i="33260"/>
  <c r="AB412" i="33260"/>
  <c r="T412" i="33260"/>
  <c r="L412" i="33260"/>
  <c r="D412" i="33260"/>
  <c r="BD411" i="33260"/>
  <c r="AV411" i="33260"/>
  <c r="AN411" i="33260"/>
  <c r="AF411" i="33260"/>
  <c r="X411" i="33260"/>
  <c r="P411" i="33260"/>
  <c r="H411" i="33260"/>
  <c r="BH410" i="33260"/>
  <c r="AZ410" i="33260"/>
  <c r="AR410" i="33260"/>
  <c r="AJ410" i="33260"/>
  <c r="AB410" i="33260"/>
  <c r="T410" i="33260"/>
  <c r="L410" i="33260"/>
  <c r="D410" i="33260"/>
  <c r="BD409" i="33260"/>
  <c r="AV409" i="33260"/>
  <c r="AN409" i="33260"/>
  <c r="AF409" i="33260"/>
  <c r="X409" i="33260"/>
  <c r="P409" i="33260"/>
  <c r="H409" i="33260"/>
  <c r="BH408" i="33260"/>
  <c r="AZ408" i="33260"/>
  <c r="AR408" i="33260"/>
  <c r="AJ408" i="33260"/>
  <c r="AB408" i="33260"/>
  <c r="T408" i="33260"/>
  <c r="L408" i="33260"/>
  <c r="D408" i="33260"/>
  <c r="BD407" i="33260"/>
  <c r="AV407" i="33260"/>
  <c r="AN407" i="33260"/>
  <c r="AF407" i="33260"/>
  <c r="X407" i="33260"/>
  <c r="P407" i="33260"/>
  <c r="H407" i="33260"/>
  <c r="BH406" i="33260"/>
  <c r="AZ406" i="33260"/>
  <c r="AR406" i="33260"/>
  <c r="AJ406" i="33260"/>
  <c r="AB406" i="33260"/>
  <c r="T406" i="33260"/>
  <c r="L406" i="33260"/>
  <c r="D406" i="33260"/>
  <c r="BD405" i="33260"/>
  <c r="AV405" i="33260"/>
  <c r="AN405" i="33260"/>
  <c r="AF405" i="33260"/>
  <c r="X405" i="33260"/>
  <c r="P405" i="33260"/>
  <c r="H405" i="33260"/>
  <c r="BH404" i="33260"/>
  <c r="AZ404" i="33260"/>
  <c r="AR404" i="33260"/>
  <c r="AJ404" i="33260"/>
  <c r="AB404" i="33260"/>
  <c r="T404" i="33260"/>
  <c r="L404" i="33260"/>
  <c r="D404" i="33260"/>
  <c r="BD403" i="33260"/>
  <c r="AV403" i="33260"/>
  <c r="AN403" i="33260"/>
  <c r="AF403" i="33260"/>
  <c r="X403" i="33260"/>
  <c r="P403" i="33260"/>
  <c r="H403" i="33260"/>
  <c r="BH402" i="33260"/>
  <c r="AZ402" i="33260"/>
  <c r="AR402" i="33260"/>
  <c r="AJ402" i="33260"/>
  <c r="AB402" i="33260"/>
  <c r="T402" i="33260"/>
  <c r="L402" i="33260"/>
  <c r="D402" i="33260"/>
  <c r="BD401" i="33260"/>
  <c r="AV401" i="33260"/>
  <c r="AN401" i="33260"/>
  <c r="AF401" i="33260"/>
  <c r="X401" i="33260"/>
  <c r="P401" i="33260"/>
  <c r="H401" i="33260"/>
  <c r="BH400" i="33260"/>
  <c r="AZ400" i="33260"/>
  <c r="AR400" i="33260"/>
  <c r="T489" i="33260"/>
  <c r="BA465" i="33260"/>
  <c r="U458" i="33260"/>
  <c r="Z451" i="33260"/>
  <c r="AH448" i="33260"/>
  <c r="AR445" i="33260"/>
  <c r="BB442" i="33260"/>
  <c r="BJ439" i="33260"/>
  <c r="W437" i="33260"/>
  <c r="S436" i="33260"/>
  <c r="O435" i="33260"/>
  <c r="K434" i="33260"/>
  <c r="G433" i="33260"/>
  <c r="BK431" i="33260"/>
  <c r="BG430" i="33260"/>
  <c r="BC429" i="33260"/>
  <c r="AY428" i="33260"/>
  <c r="AU427" i="33260"/>
  <c r="AQ426" i="33260"/>
  <c r="AM425" i="33260"/>
  <c r="AI424" i="33260"/>
  <c r="O424" i="33260"/>
  <c r="BA423" i="33260"/>
  <c r="AE423" i="33260"/>
  <c r="K423" i="33260"/>
  <c r="AW422" i="33260"/>
  <c r="AA422" i="33260"/>
  <c r="G422" i="33260"/>
  <c r="AS421" i="33260"/>
  <c r="W421" i="33260"/>
  <c r="BK420" i="33260"/>
  <c r="AO420" i="33260"/>
  <c r="S420" i="33260"/>
  <c r="BG419" i="33260"/>
  <c r="AK419" i="33260"/>
  <c r="O419" i="33260"/>
  <c r="BC418" i="33260"/>
  <c r="AG418" i="33260"/>
  <c r="K418" i="33260"/>
  <c r="AY417" i="33260"/>
  <c r="AC417" i="33260"/>
  <c r="G417" i="33260"/>
  <c r="AU416" i="33260"/>
  <c r="Y416" i="33260"/>
  <c r="BK415" i="33260"/>
  <c r="AQ415" i="33260"/>
  <c r="U415" i="33260"/>
  <c r="BG414" i="33260"/>
  <c r="AM414" i="33260"/>
  <c r="Q414" i="33260"/>
  <c r="BC413" i="33260"/>
  <c r="AI413" i="33260"/>
  <c r="M413" i="33260"/>
  <c r="AY412" i="33260"/>
  <c r="AE412" i="33260"/>
  <c r="I412" i="33260"/>
  <c r="AU411" i="33260"/>
  <c r="AA411" i="33260"/>
  <c r="E411" i="33260"/>
  <c r="AQ410" i="33260"/>
  <c r="W410" i="33260"/>
  <c r="BI409" i="33260"/>
  <c r="AM409" i="33260"/>
  <c r="S409" i="33260"/>
  <c r="BE408" i="33260"/>
  <c r="AI408" i="33260"/>
  <c r="O408" i="33260"/>
  <c r="BA407" i="33260"/>
  <c r="AE407" i="33260"/>
  <c r="K407" i="33260"/>
  <c r="AW406" i="33260"/>
  <c r="AA406" i="33260"/>
  <c r="G406" i="33260"/>
  <c r="AS405" i="33260"/>
  <c r="W405" i="33260"/>
  <c r="BK404" i="33260"/>
  <c r="AO404" i="33260"/>
  <c r="S404" i="33260"/>
  <c r="BG403" i="33260"/>
  <c r="AK403" i="33260"/>
  <c r="O403" i="33260"/>
  <c r="BC402" i="33260"/>
  <c r="AG402" i="33260"/>
  <c r="K402" i="33260"/>
  <c r="AY401" i="33260"/>
  <c r="AC401" i="33260"/>
  <c r="G401" i="33260"/>
  <c r="AU400" i="33260"/>
  <c r="AG400" i="33260"/>
  <c r="Y400" i="33260"/>
  <c r="Q400" i="33260"/>
  <c r="I400" i="33260"/>
  <c r="BI399" i="33260"/>
  <c r="BA399" i="33260"/>
  <c r="AS399" i="33260"/>
  <c r="AK399" i="33260"/>
  <c r="AC399" i="33260"/>
  <c r="U399" i="33260"/>
  <c r="M399" i="33260"/>
  <c r="E399" i="33260"/>
  <c r="BE398" i="33260"/>
  <c r="AW398" i="33260"/>
  <c r="AO398" i="33260"/>
  <c r="AG398" i="33260"/>
  <c r="Y398" i="33260"/>
  <c r="Q398" i="33260"/>
  <c r="I398" i="33260"/>
  <c r="BI397" i="33260"/>
  <c r="BA397" i="33260"/>
  <c r="AS397" i="33260"/>
  <c r="AK397" i="33260"/>
  <c r="AC397" i="33260"/>
  <c r="U397" i="33260"/>
  <c r="M397" i="33260"/>
  <c r="E397" i="33260"/>
  <c r="BE396" i="33260"/>
  <c r="AW396" i="33260"/>
  <c r="AO396" i="33260"/>
  <c r="AG396" i="33260"/>
  <c r="Y396" i="33260"/>
  <c r="Q396" i="33260"/>
  <c r="I396" i="33260"/>
  <c r="BI395" i="33260"/>
  <c r="BA395" i="33260"/>
  <c r="AS395" i="33260"/>
  <c r="AK395" i="33260"/>
  <c r="AC395" i="33260"/>
  <c r="U395" i="33260"/>
  <c r="M395" i="33260"/>
  <c r="E395" i="33260"/>
  <c r="BE394" i="33260"/>
  <c r="AW394" i="33260"/>
  <c r="AO394" i="33260"/>
  <c r="AG394" i="33260"/>
  <c r="Y394" i="33260"/>
  <c r="Q394" i="33260"/>
  <c r="I394" i="33260"/>
  <c r="BI393" i="33260"/>
  <c r="BA393" i="33260"/>
  <c r="AS393" i="33260"/>
  <c r="AK393" i="33260"/>
  <c r="AC393" i="33260"/>
  <c r="U393" i="33260"/>
  <c r="M393" i="33260"/>
  <c r="E393" i="33260"/>
  <c r="BE392" i="33260"/>
  <c r="AW392" i="33260"/>
  <c r="AO392" i="33260"/>
  <c r="AG392" i="33260"/>
  <c r="Y392" i="33260"/>
  <c r="Q392" i="33260"/>
  <c r="I392" i="33260"/>
  <c r="BI391" i="33260"/>
  <c r="BA391" i="33260"/>
  <c r="AS391" i="33260"/>
  <c r="AK391" i="33260"/>
  <c r="AC391" i="33260"/>
  <c r="U391" i="33260"/>
  <c r="M391" i="33260"/>
  <c r="E391" i="33260"/>
  <c r="BE390" i="33260"/>
  <c r="AW390" i="33260"/>
  <c r="AO390" i="33260"/>
  <c r="AG390" i="33260"/>
  <c r="Y390" i="33260"/>
  <c r="Q390" i="33260"/>
  <c r="I390" i="33260"/>
  <c r="BI389" i="33260"/>
  <c r="BA389" i="33260"/>
  <c r="AS389" i="33260"/>
  <c r="AK389" i="33260"/>
  <c r="AC389" i="33260"/>
  <c r="U389" i="33260"/>
  <c r="M389" i="33260"/>
  <c r="AN478" i="33260"/>
  <c r="BI464" i="33260"/>
  <c r="U457" i="33260"/>
  <c r="D451" i="33260"/>
  <c r="N448" i="33260"/>
  <c r="V445" i="33260"/>
  <c r="AF442" i="33260"/>
  <c r="AP439" i="33260"/>
  <c r="O437" i="33260"/>
  <c r="K436" i="33260"/>
  <c r="G435" i="33260"/>
  <c r="BK433" i="33260"/>
  <c r="BG432" i="33260"/>
  <c r="BC431" i="33260"/>
  <c r="AY430" i="33260"/>
  <c r="AU429" i="33260"/>
  <c r="AQ428" i="33260"/>
  <c r="AM427" i="33260"/>
  <c r="AI426" i="33260"/>
  <c r="AE425" i="33260"/>
  <c r="AG424" i="33260"/>
  <c r="K424" i="33260"/>
  <c r="AY423" i="33260"/>
  <c r="AC423" i="33260"/>
  <c r="G423" i="33260"/>
  <c r="AU422" i="33260"/>
  <c r="Y422" i="33260"/>
  <c r="BK421" i="33260"/>
  <c r="AQ421" i="33260"/>
  <c r="U421" i="33260"/>
  <c r="BG420" i="33260"/>
  <c r="AM420" i="33260"/>
  <c r="Q420" i="33260"/>
  <c r="BC419" i="33260"/>
  <c r="AI419" i="33260"/>
  <c r="M419" i="33260"/>
  <c r="AY418" i="33260"/>
  <c r="AE418" i="33260"/>
  <c r="I418" i="33260"/>
  <c r="AU417" i="33260"/>
  <c r="AA417" i="33260"/>
  <c r="E417" i="33260"/>
  <c r="AQ416" i="33260"/>
  <c r="W416" i="33260"/>
  <c r="BI415" i="33260"/>
  <c r="AM415" i="33260"/>
  <c r="S415" i="33260"/>
  <c r="BE414" i="33260"/>
  <c r="AI414" i="33260"/>
  <c r="O414" i="33260"/>
  <c r="BA413" i="33260"/>
  <c r="AE413" i="33260"/>
  <c r="K413" i="33260"/>
  <c r="AW412" i="33260"/>
  <c r="AA412" i="33260"/>
  <c r="G412" i="33260"/>
  <c r="AS411" i="33260"/>
  <c r="W411" i="33260"/>
  <c r="BK410" i="33260"/>
  <c r="AO410" i="33260"/>
  <c r="S410" i="33260"/>
  <c r="BG409" i="33260"/>
  <c r="AK409" i="33260"/>
  <c r="O409" i="33260"/>
  <c r="BC408" i="33260"/>
  <c r="AG408" i="33260"/>
  <c r="K408" i="33260"/>
  <c r="AY407" i="33260"/>
  <c r="AC407" i="33260"/>
  <c r="G407" i="33260"/>
  <c r="AU406" i="33260"/>
  <c r="Y406" i="33260"/>
  <c r="BK405" i="33260"/>
  <c r="AQ405" i="33260"/>
  <c r="U405" i="33260"/>
  <c r="BG404" i="33260"/>
  <c r="AM404" i="33260"/>
  <c r="Q404" i="33260"/>
  <c r="BC403" i="33260"/>
  <c r="AI403" i="33260"/>
  <c r="M403" i="33260"/>
  <c r="AY402" i="33260"/>
  <c r="AE402" i="33260"/>
  <c r="I402" i="33260"/>
  <c r="AU401" i="33260"/>
  <c r="AA401" i="33260"/>
  <c r="E401" i="33260"/>
  <c r="AQ400" i="33260"/>
  <c r="AF400" i="33260"/>
  <c r="X400" i="33260"/>
  <c r="P400" i="33260"/>
  <c r="H400" i="33260"/>
  <c r="BH399" i="33260"/>
  <c r="AZ399" i="33260"/>
  <c r="AR399" i="33260"/>
  <c r="AJ399" i="33260"/>
  <c r="AB399" i="33260"/>
  <c r="T399" i="33260"/>
  <c r="L399" i="33260"/>
  <c r="D399" i="33260"/>
  <c r="BD398" i="33260"/>
  <c r="AV398" i="33260"/>
  <c r="AN398" i="33260"/>
  <c r="AF398" i="33260"/>
  <c r="X398" i="33260"/>
  <c r="P398" i="33260"/>
  <c r="H398" i="33260"/>
  <c r="BH397" i="33260"/>
  <c r="AZ397" i="33260"/>
  <c r="AR397" i="33260"/>
  <c r="AJ397" i="33260"/>
  <c r="AB397" i="33260"/>
  <c r="T397" i="33260"/>
  <c r="L397" i="33260"/>
  <c r="D397" i="33260"/>
  <c r="BD396" i="33260"/>
  <c r="AV396" i="33260"/>
  <c r="AN396" i="33260"/>
  <c r="AF396" i="33260"/>
  <c r="X396" i="33260"/>
  <c r="P396" i="33260"/>
  <c r="H396" i="33260"/>
  <c r="BH395" i="33260"/>
  <c r="AZ395" i="33260"/>
  <c r="AR395" i="33260"/>
  <c r="AJ395" i="33260"/>
  <c r="AB395" i="33260"/>
  <c r="T395" i="33260"/>
  <c r="L395" i="33260"/>
  <c r="D395" i="33260"/>
  <c r="BD394" i="33260"/>
  <c r="AV394" i="33260"/>
  <c r="AN394" i="33260"/>
  <c r="AF394" i="33260"/>
  <c r="X394" i="33260"/>
  <c r="P394" i="33260"/>
  <c r="H394" i="33260"/>
  <c r="BH393" i="33260"/>
  <c r="AZ393" i="33260"/>
  <c r="AR393" i="33260"/>
  <c r="AJ393" i="33260"/>
  <c r="AB393" i="33260"/>
  <c r="T393" i="33260"/>
  <c r="L393" i="33260"/>
  <c r="D393" i="33260"/>
  <c r="BD392" i="33260"/>
  <c r="AV392" i="33260"/>
  <c r="AN392" i="33260"/>
  <c r="AF392" i="33260"/>
  <c r="X392" i="33260"/>
  <c r="P392" i="33260"/>
  <c r="H392" i="33260"/>
  <c r="BH391" i="33260"/>
  <c r="AZ391" i="33260"/>
  <c r="AR391" i="33260"/>
  <c r="AJ391" i="33260"/>
  <c r="AB391" i="33260"/>
  <c r="T391" i="33260"/>
  <c r="L391" i="33260"/>
  <c r="D391" i="33260"/>
  <c r="BD390" i="33260"/>
  <c r="AV390" i="33260"/>
  <c r="AN390" i="33260"/>
  <c r="AF390" i="33260"/>
  <c r="X390" i="33260"/>
  <c r="P390" i="33260"/>
  <c r="H390" i="33260"/>
  <c r="BH389" i="33260"/>
  <c r="AZ389" i="33260"/>
  <c r="AR389" i="33260"/>
  <c r="AJ389" i="33260"/>
  <c r="AB389" i="33260"/>
  <c r="T389" i="33260"/>
  <c r="L389" i="33260"/>
  <c r="BK473" i="33260"/>
  <c r="BI463" i="33260"/>
  <c r="AC456" i="33260"/>
  <c r="AP450" i="33260"/>
  <c r="AZ447" i="33260"/>
  <c r="BJ444" i="33260"/>
  <c r="J442" i="33260"/>
  <c r="T439" i="33260"/>
  <c r="G437" i="33260"/>
  <c r="BK435" i="33260"/>
  <c r="BG434" i="33260"/>
  <c r="BC433" i="33260"/>
  <c r="AY432" i="33260"/>
  <c r="AU431" i="33260"/>
  <c r="AQ430" i="33260"/>
  <c r="AM429" i="33260"/>
  <c r="AI428" i="33260"/>
  <c r="AE427" i="33260"/>
  <c r="AA426" i="33260"/>
  <c r="W425" i="33260"/>
  <c r="AE424" i="33260"/>
  <c r="I424" i="33260"/>
  <c r="AU423" i="33260"/>
  <c r="AA423" i="33260"/>
  <c r="E423" i="33260"/>
  <c r="AQ422" i="33260"/>
  <c r="W422" i="33260"/>
  <c r="BI421" i="33260"/>
  <c r="AM421" i="33260"/>
  <c r="S421" i="33260"/>
  <c r="BE420" i="33260"/>
  <c r="AI420" i="33260"/>
  <c r="O420" i="33260"/>
  <c r="BA419" i="33260"/>
  <c r="AE419" i="33260"/>
  <c r="K419" i="33260"/>
  <c r="AW418" i="33260"/>
  <c r="AA418" i="33260"/>
  <c r="G418" i="33260"/>
  <c r="AS417" i="33260"/>
  <c r="W417" i="33260"/>
  <c r="BK416" i="33260"/>
  <c r="AO416" i="33260"/>
  <c r="S416" i="33260"/>
  <c r="BG415" i="33260"/>
  <c r="AK415" i="33260"/>
  <c r="O415" i="33260"/>
  <c r="BC414" i="33260"/>
  <c r="AG414" i="33260"/>
  <c r="K414" i="33260"/>
  <c r="AY413" i="33260"/>
  <c r="AC413" i="33260"/>
  <c r="G413" i="33260"/>
  <c r="AU412" i="33260"/>
  <c r="Y412" i="33260"/>
  <c r="BK411" i="33260"/>
  <c r="AQ411" i="33260"/>
  <c r="U411" i="33260"/>
  <c r="BG410" i="33260"/>
  <c r="AM410" i="33260"/>
  <c r="Q410" i="33260"/>
  <c r="BC409" i="33260"/>
  <c r="AI409" i="33260"/>
  <c r="M409" i="33260"/>
  <c r="AY408" i="33260"/>
  <c r="AE408" i="33260"/>
  <c r="I408" i="33260"/>
  <c r="AU407" i="33260"/>
  <c r="AA407" i="33260"/>
  <c r="E407" i="33260"/>
  <c r="AQ406" i="33260"/>
  <c r="W406" i="33260"/>
  <c r="BI405" i="33260"/>
  <c r="AM405" i="33260"/>
  <c r="S405" i="33260"/>
  <c r="BE404" i="33260"/>
  <c r="AI404" i="33260"/>
  <c r="O404" i="33260"/>
  <c r="BA403" i="33260"/>
  <c r="AE403" i="33260"/>
  <c r="K403" i="33260"/>
  <c r="AW402" i="33260"/>
  <c r="AA402" i="33260"/>
  <c r="G402" i="33260"/>
  <c r="AS401" i="33260"/>
  <c r="W401" i="33260"/>
  <c r="BK400" i="33260"/>
  <c r="AP400" i="33260"/>
  <c r="AE400" i="33260"/>
  <c r="W400" i="33260"/>
  <c r="O400" i="33260"/>
  <c r="G400" i="33260"/>
  <c r="BG399" i="33260"/>
  <c r="AY399" i="33260"/>
  <c r="AQ399" i="33260"/>
  <c r="AI399" i="33260"/>
  <c r="AA399" i="33260"/>
  <c r="S399" i="33260"/>
  <c r="K399" i="33260"/>
  <c r="BK398" i="33260"/>
  <c r="BC398" i="33260"/>
  <c r="AU398" i="33260"/>
  <c r="AM398" i="33260"/>
  <c r="AE398" i="33260"/>
  <c r="W398" i="33260"/>
  <c r="O398" i="33260"/>
  <c r="G398" i="33260"/>
  <c r="BG397" i="33260"/>
  <c r="AY397" i="33260"/>
  <c r="AQ397" i="33260"/>
  <c r="AI397" i="33260"/>
  <c r="AA397" i="33260"/>
  <c r="S397" i="33260"/>
  <c r="K397" i="33260"/>
  <c r="BK396" i="33260"/>
  <c r="BC396" i="33260"/>
  <c r="AU396" i="33260"/>
  <c r="AM396" i="33260"/>
  <c r="AE396" i="33260"/>
  <c r="W396" i="33260"/>
  <c r="O396" i="33260"/>
  <c r="G396" i="33260"/>
  <c r="BG395" i="33260"/>
  <c r="AY395" i="33260"/>
  <c r="AQ395" i="33260"/>
  <c r="AI395" i="33260"/>
  <c r="AA395" i="33260"/>
  <c r="S395" i="33260"/>
  <c r="K395" i="33260"/>
  <c r="BK394" i="33260"/>
  <c r="BC394" i="33260"/>
  <c r="AU394" i="33260"/>
  <c r="AM394" i="33260"/>
  <c r="AE394" i="33260"/>
  <c r="W394" i="33260"/>
  <c r="O394" i="33260"/>
  <c r="G394" i="33260"/>
  <c r="BG393" i="33260"/>
  <c r="AY393" i="33260"/>
  <c r="AQ393" i="33260"/>
  <c r="AI393" i="33260"/>
  <c r="AA393" i="33260"/>
  <c r="S393" i="33260"/>
  <c r="K393" i="33260"/>
  <c r="BK392" i="33260"/>
  <c r="BC392" i="33260"/>
  <c r="AU392" i="33260"/>
  <c r="AM392" i="33260"/>
  <c r="AE392" i="33260"/>
  <c r="W392" i="33260"/>
  <c r="O392" i="33260"/>
  <c r="G392" i="33260"/>
  <c r="BG391" i="33260"/>
  <c r="AY391" i="33260"/>
  <c r="AQ391" i="33260"/>
  <c r="AI391" i="33260"/>
  <c r="AA391" i="33260"/>
  <c r="S391" i="33260"/>
  <c r="K391" i="33260"/>
  <c r="BK390" i="33260"/>
  <c r="BC390" i="33260"/>
  <c r="AU390" i="33260"/>
  <c r="AM390" i="33260"/>
  <c r="AE390" i="33260"/>
  <c r="W390" i="33260"/>
  <c r="O390" i="33260"/>
  <c r="G390" i="33260"/>
  <c r="BG389" i="33260"/>
  <c r="AY389" i="33260"/>
  <c r="AQ389" i="33260"/>
  <c r="AI389" i="33260"/>
  <c r="AA389" i="33260"/>
  <c r="S389" i="33260"/>
  <c r="AM471" i="33260"/>
  <c r="BK462" i="33260"/>
  <c r="AC455" i="33260"/>
  <c r="V450" i="33260"/>
  <c r="AD447" i="33260"/>
  <c r="AN444" i="33260"/>
  <c r="AX441" i="33260"/>
  <c r="BF438" i="33260"/>
  <c r="BG436" i="33260"/>
  <c r="BC435" i="33260"/>
  <c r="AY434" i="33260"/>
  <c r="AU433" i="33260"/>
  <c r="AQ432" i="33260"/>
  <c r="AM431" i="33260"/>
  <c r="AI430" i="33260"/>
  <c r="AE429" i="33260"/>
  <c r="AA428" i="33260"/>
  <c r="W427" i="33260"/>
  <c r="S426" i="33260"/>
  <c r="O425" i="33260"/>
  <c r="AA424" i="33260"/>
  <c r="G424" i="33260"/>
  <c r="AS423" i="33260"/>
  <c r="W423" i="33260"/>
  <c r="BK422" i="33260"/>
  <c r="AO422" i="33260"/>
  <c r="S422" i="33260"/>
  <c r="BG421" i="33260"/>
  <c r="AK421" i="33260"/>
  <c r="O421" i="33260"/>
  <c r="BC420" i="33260"/>
  <c r="AG420" i="33260"/>
  <c r="K420" i="33260"/>
  <c r="AY419" i="33260"/>
  <c r="AC419" i="33260"/>
  <c r="G419" i="33260"/>
  <c r="AU418" i="33260"/>
  <c r="Y418" i="33260"/>
  <c r="BK417" i="33260"/>
  <c r="AQ417" i="33260"/>
  <c r="U417" i="33260"/>
  <c r="BG416" i="33260"/>
  <c r="AM416" i="33260"/>
  <c r="Q416" i="33260"/>
  <c r="BC415" i="33260"/>
  <c r="AI415" i="33260"/>
  <c r="M415" i="33260"/>
  <c r="AY414" i="33260"/>
  <c r="AE414" i="33260"/>
  <c r="I414" i="33260"/>
  <c r="AU413" i="33260"/>
  <c r="AA413" i="33260"/>
  <c r="E413" i="33260"/>
  <c r="AQ412" i="33260"/>
  <c r="W412" i="33260"/>
  <c r="BI411" i="33260"/>
  <c r="AM411" i="33260"/>
  <c r="S411" i="33260"/>
  <c r="BE410" i="33260"/>
  <c r="AI410" i="33260"/>
  <c r="O410" i="33260"/>
  <c r="BA409" i="33260"/>
  <c r="AE409" i="33260"/>
  <c r="K409" i="33260"/>
  <c r="AW408" i="33260"/>
  <c r="AA408" i="33260"/>
  <c r="G408" i="33260"/>
  <c r="AS407" i="33260"/>
  <c r="W407" i="33260"/>
  <c r="BK406" i="33260"/>
  <c r="AO406" i="33260"/>
  <c r="S406" i="33260"/>
  <c r="BG405" i="33260"/>
  <c r="AK405" i="33260"/>
  <c r="O405" i="33260"/>
  <c r="BC404" i="33260"/>
  <c r="AG404" i="33260"/>
  <c r="K404" i="33260"/>
  <c r="AY403" i="33260"/>
  <c r="AC403" i="33260"/>
  <c r="G403" i="33260"/>
  <c r="AU402" i="33260"/>
  <c r="Y402" i="33260"/>
  <c r="BK401" i="33260"/>
  <c r="AQ401" i="33260"/>
  <c r="U401" i="33260"/>
  <c r="BG400" i="33260"/>
  <c r="AO400" i="33260"/>
  <c r="AD400" i="33260"/>
  <c r="V400" i="33260"/>
  <c r="N400" i="33260"/>
  <c r="F400" i="33260"/>
  <c r="BF399" i="33260"/>
  <c r="AX399" i="33260"/>
  <c r="AP399" i="33260"/>
  <c r="AH399" i="33260"/>
  <c r="Z399" i="33260"/>
  <c r="R399" i="33260"/>
  <c r="J399" i="33260"/>
  <c r="BJ398" i="33260"/>
  <c r="BB398" i="33260"/>
  <c r="AT398" i="33260"/>
  <c r="AL398" i="33260"/>
  <c r="AD398" i="33260"/>
  <c r="V398" i="33260"/>
  <c r="N398" i="33260"/>
  <c r="F398" i="33260"/>
  <c r="BF397" i="33260"/>
  <c r="AX397" i="33260"/>
  <c r="AP397" i="33260"/>
  <c r="AH397" i="33260"/>
  <c r="Z397" i="33260"/>
  <c r="R397" i="33260"/>
  <c r="J397" i="33260"/>
  <c r="BJ396" i="33260"/>
  <c r="BB396" i="33260"/>
  <c r="AT396" i="33260"/>
  <c r="AL396" i="33260"/>
  <c r="AD396" i="33260"/>
  <c r="V396" i="33260"/>
  <c r="N396" i="33260"/>
  <c r="F396" i="33260"/>
  <c r="BF395" i="33260"/>
  <c r="AX395" i="33260"/>
  <c r="AP395" i="33260"/>
  <c r="AH395" i="33260"/>
  <c r="Z395" i="33260"/>
  <c r="R395" i="33260"/>
  <c r="J395" i="33260"/>
  <c r="BJ394" i="33260"/>
  <c r="BB394" i="33260"/>
  <c r="AT394" i="33260"/>
  <c r="AL394" i="33260"/>
  <c r="AD394" i="33260"/>
  <c r="V394" i="33260"/>
  <c r="N394" i="33260"/>
  <c r="F394" i="33260"/>
  <c r="BF393" i="33260"/>
  <c r="AX393" i="33260"/>
  <c r="AP393" i="33260"/>
  <c r="AH393" i="33260"/>
  <c r="Z393" i="33260"/>
  <c r="R393" i="33260"/>
  <c r="J393" i="33260"/>
  <c r="BJ392" i="33260"/>
  <c r="BB392" i="33260"/>
  <c r="AT392" i="33260"/>
  <c r="AL392" i="33260"/>
  <c r="AD392" i="33260"/>
  <c r="V392" i="33260"/>
  <c r="N392" i="33260"/>
  <c r="F392" i="33260"/>
  <c r="BF391" i="33260"/>
  <c r="AX391" i="33260"/>
  <c r="AP391" i="33260"/>
  <c r="AH391" i="33260"/>
  <c r="Z391" i="33260"/>
  <c r="R391" i="33260"/>
  <c r="J391" i="33260"/>
  <c r="BJ390" i="33260"/>
  <c r="BB390" i="33260"/>
  <c r="AT390" i="33260"/>
  <c r="AL390" i="33260"/>
  <c r="AD390" i="33260"/>
  <c r="V390" i="33260"/>
  <c r="N390" i="33260"/>
  <c r="F390" i="33260"/>
  <c r="BF389" i="33260"/>
  <c r="AX389" i="33260"/>
  <c r="AP389" i="33260"/>
  <c r="AH389" i="33260"/>
  <c r="Z389" i="33260"/>
  <c r="R389" i="33260"/>
  <c r="AQ469" i="33260"/>
  <c r="I462" i="33260"/>
  <c r="AE454" i="33260"/>
  <c r="BH449" i="33260"/>
  <c r="J447" i="33260"/>
  <c r="R444" i="33260"/>
  <c r="AB441" i="33260"/>
  <c r="AL438" i="33260"/>
  <c r="AY436" i="33260"/>
  <c r="AU435" i="33260"/>
  <c r="AQ434" i="33260"/>
  <c r="AM433" i="33260"/>
  <c r="AI432" i="33260"/>
  <c r="AE431" i="33260"/>
  <c r="AA430" i="33260"/>
  <c r="W429" i="33260"/>
  <c r="S428" i="33260"/>
  <c r="O427" i="33260"/>
  <c r="K426" i="33260"/>
  <c r="G425" i="33260"/>
  <c r="Y424" i="33260"/>
  <c r="BK423" i="33260"/>
  <c r="AQ423" i="33260"/>
  <c r="U423" i="33260"/>
  <c r="BG422" i="33260"/>
  <c r="AM422" i="33260"/>
  <c r="Q422" i="33260"/>
  <c r="BC421" i="33260"/>
  <c r="AI421" i="33260"/>
  <c r="M421" i="33260"/>
  <c r="AY420" i="33260"/>
  <c r="AE420" i="33260"/>
  <c r="I420" i="33260"/>
  <c r="AU419" i="33260"/>
  <c r="AA419" i="33260"/>
  <c r="E419" i="33260"/>
  <c r="AQ418" i="33260"/>
  <c r="W418" i="33260"/>
  <c r="BI417" i="33260"/>
  <c r="AM417" i="33260"/>
  <c r="S417" i="33260"/>
  <c r="BE416" i="33260"/>
  <c r="AI416" i="33260"/>
  <c r="O416" i="33260"/>
  <c r="BA415" i="33260"/>
  <c r="AE415" i="33260"/>
  <c r="K415" i="33260"/>
  <c r="AW414" i="33260"/>
  <c r="AA414" i="33260"/>
  <c r="G414" i="33260"/>
  <c r="AS413" i="33260"/>
  <c r="W413" i="33260"/>
  <c r="BK412" i="33260"/>
  <c r="AO412" i="33260"/>
  <c r="S412" i="33260"/>
  <c r="BG411" i="33260"/>
  <c r="AK411" i="33260"/>
  <c r="O411" i="33260"/>
  <c r="BC410" i="33260"/>
  <c r="AG410" i="33260"/>
  <c r="K410" i="33260"/>
  <c r="AY409" i="33260"/>
  <c r="AC409" i="33260"/>
  <c r="G409" i="33260"/>
  <c r="AU408" i="33260"/>
  <c r="Y408" i="33260"/>
  <c r="BK407" i="33260"/>
  <c r="AQ407" i="33260"/>
  <c r="U407" i="33260"/>
  <c r="BG406" i="33260"/>
  <c r="AM406" i="33260"/>
  <c r="Q406" i="33260"/>
  <c r="BC405" i="33260"/>
  <c r="AI405" i="33260"/>
  <c r="M405" i="33260"/>
  <c r="AY404" i="33260"/>
  <c r="AE404" i="33260"/>
  <c r="I404" i="33260"/>
  <c r="AU403" i="33260"/>
  <c r="AA403" i="33260"/>
  <c r="E403" i="33260"/>
  <c r="AQ402" i="33260"/>
  <c r="W402" i="33260"/>
  <c r="BI401" i="33260"/>
  <c r="AM401" i="33260"/>
  <c r="S401" i="33260"/>
  <c r="BE400" i="33260"/>
  <c r="AM400" i="33260"/>
  <c r="AC400" i="33260"/>
  <c r="U400" i="33260"/>
  <c r="M400" i="33260"/>
  <c r="E400" i="33260"/>
  <c r="BE399" i="33260"/>
  <c r="AW399" i="33260"/>
  <c r="AO399" i="33260"/>
  <c r="AG399" i="33260"/>
  <c r="Y399" i="33260"/>
  <c r="Q399" i="33260"/>
  <c r="I399" i="33260"/>
  <c r="BI398" i="33260"/>
  <c r="BA398" i="33260"/>
  <c r="AS398" i="33260"/>
  <c r="AK398" i="33260"/>
  <c r="AC398" i="33260"/>
  <c r="U398" i="33260"/>
  <c r="M398" i="33260"/>
  <c r="E398" i="33260"/>
  <c r="BE397" i="33260"/>
  <c r="AW397" i="33260"/>
  <c r="AO397" i="33260"/>
  <c r="AG397" i="33260"/>
  <c r="Y397" i="33260"/>
  <c r="Q397" i="33260"/>
  <c r="I397" i="33260"/>
  <c r="BI396" i="33260"/>
  <c r="BA396" i="33260"/>
  <c r="AS396" i="33260"/>
  <c r="AK396" i="33260"/>
  <c r="AC396" i="33260"/>
  <c r="U396" i="33260"/>
  <c r="M396" i="33260"/>
  <c r="E396" i="33260"/>
  <c r="BE395" i="33260"/>
  <c r="AW395" i="33260"/>
  <c r="AO395" i="33260"/>
  <c r="AG395" i="33260"/>
  <c r="Y395" i="33260"/>
  <c r="Q395" i="33260"/>
  <c r="I395" i="33260"/>
  <c r="BI394" i="33260"/>
  <c r="BA394" i="33260"/>
  <c r="AS394" i="33260"/>
  <c r="AK394" i="33260"/>
  <c r="AC394" i="33260"/>
  <c r="U394" i="33260"/>
  <c r="M394" i="33260"/>
  <c r="E394" i="33260"/>
  <c r="BE393" i="33260"/>
  <c r="AW393" i="33260"/>
  <c r="AO393" i="33260"/>
  <c r="AG393" i="33260"/>
  <c r="Y393" i="33260"/>
  <c r="Q393" i="33260"/>
  <c r="I393" i="33260"/>
  <c r="BI392" i="33260"/>
  <c r="BA392" i="33260"/>
  <c r="AS392" i="33260"/>
  <c r="AK392" i="33260"/>
  <c r="AC392" i="33260"/>
  <c r="U392" i="33260"/>
  <c r="M392" i="33260"/>
  <c r="E392" i="33260"/>
  <c r="BE391" i="33260"/>
  <c r="AW391" i="33260"/>
  <c r="AO391" i="33260"/>
  <c r="AG391" i="33260"/>
  <c r="Y391" i="33260"/>
  <c r="Q391" i="33260"/>
  <c r="I391" i="33260"/>
  <c r="BI390" i="33260"/>
  <c r="BA390" i="33260"/>
  <c r="AS390" i="33260"/>
  <c r="AK390" i="33260"/>
  <c r="AC390" i="33260"/>
  <c r="U390" i="33260"/>
  <c r="M390" i="33260"/>
  <c r="E390" i="33260"/>
  <c r="BE389" i="33260"/>
  <c r="AW389" i="33260"/>
  <c r="AO389" i="33260"/>
  <c r="AG389" i="33260"/>
  <c r="Y389" i="33260"/>
  <c r="Q389" i="33260"/>
  <c r="I389" i="33260"/>
  <c r="AS468" i="33260"/>
  <c r="K461" i="33260"/>
  <c r="AK453" i="33260"/>
  <c r="AL449" i="33260"/>
  <c r="AV446" i="33260"/>
  <c r="BF443" i="33260"/>
  <c r="F441" i="33260"/>
  <c r="P438" i="33260"/>
  <c r="AQ436" i="33260"/>
  <c r="AM435" i="33260"/>
  <c r="AI434" i="33260"/>
  <c r="AE433" i="33260"/>
  <c r="AA432" i="33260"/>
  <c r="W431" i="33260"/>
  <c r="S430" i="33260"/>
  <c r="O429" i="33260"/>
  <c r="K428" i="33260"/>
  <c r="G427" i="33260"/>
  <c r="BK425" i="33260"/>
  <c r="BG424" i="33260"/>
  <c r="W424" i="33260"/>
  <c r="BI423" i="33260"/>
  <c r="AM423" i="33260"/>
  <c r="S423" i="33260"/>
  <c r="BE422" i="33260"/>
  <c r="AI422" i="33260"/>
  <c r="O422" i="33260"/>
  <c r="BA421" i="33260"/>
  <c r="AE421" i="33260"/>
  <c r="K421" i="33260"/>
  <c r="AW420" i="33260"/>
  <c r="AA420" i="33260"/>
  <c r="G420" i="33260"/>
  <c r="AS419" i="33260"/>
  <c r="W419" i="33260"/>
  <c r="BK418" i="33260"/>
  <c r="AO418" i="33260"/>
  <c r="S418" i="33260"/>
  <c r="BG417" i="33260"/>
  <c r="AK417" i="33260"/>
  <c r="O417" i="33260"/>
  <c r="BC416" i="33260"/>
  <c r="AG416" i="33260"/>
  <c r="K416" i="33260"/>
  <c r="AY415" i="33260"/>
  <c r="AC415" i="33260"/>
  <c r="G415" i="33260"/>
  <c r="AU414" i="33260"/>
  <c r="Y414" i="33260"/>
  <c r="BK413" i="33260"/>
  <c r="AQ413" i="33260"/>
  <c r="U413" i="33260"/>
  <c r="BG412" i="33260"/>
  <c r="AM412" i="33260"/>
  <c r="Q412" i="33260"/>
  <c r="BC411" i="33260"/>
  <c r="AI411" i="33260"/>
  <c r="M411" i="33260"/>
  <c r="AY410" i="33260"/>
  <c r="AE410" i="33260"/>
  <c r="I410" i="33260"/>
  <c r="AU409" i="33260"/>
  <c r="AA409" i="33260"/>
  <c r="E409" i="33260"/>
  <c r="AQ408" i="33260"/>
  <c r="W408" i="33260"/>
  <c r="BI407" i="33260"/>
  <c r="AM407" i="33260"/>
  <c r="S407" i="33260"/>
  <c r="BE406" i="33260"/>
  <c r="AI406" i="33260"/>
  <c r="O406" i="33260"/>
  <c r="BA405" i="33260"/>
  <c r="AE405" i="33260"/>
  <c r="K405" i="33260"/>
  <c r="AW404" i="33260"/>
  <c r="AA404" i="33260"/>
  <c r="G404" i="33260"/>
  <c r="AS403" i="33260"/>
  <c r="W403" i="33260"/>
  <c r="BK402" i="33260"/>
  <c r="AO402" i="33260"/>
  <c r="S402" i="33260"/>
  <c r="BG401" i="33260"/>
  <c r="AK401" i="33260"/>
  <c r="O401" i="33260"/>
  <c r="BC400" i="33260"/>
  <c r="AJ400" i="33260"/>
  <c r="AB400" i="33260"/>
  <c r="T400" i="33260"/>
  <c r="L400" i="33260"/>
  <c r="D400" i="33260"/>
  <c r="BD399" i="33260"/>
  <c r="AV399" i="33260"/>
  <c r="AN399" i="33260"/>
  <c r="AF399" i="33260"/>
  <c r="X399" i="33260"/>
  <c r="P399" i="33260"/>
  <c r="H399" i="33260"/>
  <c r="BH398" i="33260"/>
  <c r="AZ398" i="33260"/>
  <c r="AR398" i="33260"/>
  <c r="AJ398" i="33260"/>
  <c r="AB398" i="33260"/>
  <c r="T398" i="33260"/>
  <c r="L398" i="33260"/>
  <c r="D398" i="33260"/>
  <c r="BD397" i="33260"/>
  <c r="AV397" i="33260"/>
  <c r="AN397" i="33260"/>
  <c r="AF397" i="33260"/>
  <c r="X397" i="33260"/>
  <c r="P397" i="33260"/>
  <c r="H397" i="33260"/>
  <c r="BH396" i="33260"/>
  <c r="AZ396" i="33260"/>
  <c r="AR396" i="33260"/>
  <c r="AJ396" i="33260"/>
  <c r="AB396" i="33260"/>
  <c r="T396" i="33260"/>
  <c r="L396" i="33260"/>
  <c r="D396" i="33260"/>
  <c r="BD395" i="33260"/>
  <c r="AV395" i="33260"/>
  <c r="AN395" i="33260"/>
  <c r="AF395" i="33260"/>
  <c r="X395" i="33260"/>
  <c r="P395" i="33260"/>
  <c r="H395" i="33260"/>
  <c r="BH394" i="33260"/>
  <c r="AZ394" i="33260"/>
  <c r="AR394" i="33260"/>
  <c r="AJ394" i="33260"/>
  <c r="AB394" i="33260"/>
  <c r="T394" i="33260"/>
  <c r="L394" i="33260"/>
  <c r="D394" i="33260"/>
  <c r="BD393" i="33260"/>
  <c r="AV393" i="33260"/>
  <c r="AN393" i="33260"/>
  <c r="AF393" i="33260"/>
  <c r="X393" i="33260"/>
  <c r="P393" i="33260"/>
  <c r="H393" i="33260"/>
  <c r="BH392" i="33260"/>
  <c r="AZ392" i="33260"/>
  <c r="AR392" i="33260"/>
  <c r="AJ392" i="33260"/>
  <c r="AB392" i="33260"/>
  <c r="T392" i="33260"/>
  <c r="L392" i="33260"/>
  <c r="D392" i="33260"/>
  <c r="BD391" i="33260"/>
  <c r="AV391" i="33260"/>
  <c r="AN391" i="33260"/>
  <c r="AF391" i="33260"/>
  <c r="X391" i="33260"/>
  <c r="P391" i="33260"/>
  <c r="H391" i="33260"/>
  <c r="BH390" i="33260"/>
  <c r="AZ390" i="33260"/>
  <c r="AR390" i="33260"/>
  <c r="AJ390" i="33260"/>
  <c r="AB390" i="33260"/>
  <c r="T390" i="33260"/>
  <c r="L390" i="33260"/>
  <c r="D390" i="33260"/>
  <c r="BD389" i="33260"/>
  <c r="AV389" i="33260"/>
  <c r="AN389" i="33260"/>
  <c r="AF389" i="33260"/>
  <c r="X389" i="33260"/>
  <c r="P389" i="33260"/>
  <c r="H389" i="33260"/>
  <c r="BH388" i="33260"/>
  <c r="AZ388" i="33260"/>
  <c r="BA466" i="33260"/>
  <c r="S459" i="33260"/>
  <c r="AV451" i="33260"/>
  <c r="BD448" i="33260"/>
  <c r="F446" i="33260"/>
  <c r="N443" i="33260"/>
  <c r="X440" i="33260"/>
  <c r="AH437" i="33260"/>
  <c r="AA436" i="33260"/>
  <c r="W435" i="33260"/>
  <c r="S434" i="33260"/>
  <c r="O433" i="33260"/>
  <c r="K432" i="33260"/>
  <c r="G431" i="33260"/>
  <c r="BK429" i="33260"/>
  <c r="BG428" i="33260"/>
  <c r="BC427" i="33260"/>
  <c r="AY426" i="33260"/>
  <c r="AU425" i="33260"/>
  <c r="AQ424" i="33260"/>
  <c r="Q424" i="33260"/>
  <c r="BC423" i="33260"/>
  <c r="AI423" i="33260"/>
  <c r="M423" i="33260"/>
  <c r="AY422" i="33260"/>
  <c r="AE422" i="33260"/>
  <c r="I422" i="33260"/>
  <c r="AU421" i="33260"/>
  <c r="AA421" i="33260"/>
  <c r="E421" i="33260"/>
  <c r="AQ420" i="33260"/>
  <c r="W420" i="33260"/>
  <c r="BI419" i="33260"/>
  <c r="AM419" i="33260"/>
  <c r="S419" i="33260"/>
  <c r="BE418" i="33260"/>
  <c r="AI418" i="33260"/>
  <c r="O418" i="33260"/>
  <c r="BA417" i="33260"/>
  <c r="AE417" i="33260"/>
  <c r="K417" i="33260"/>
  <c r="AW416" i="33260"/>
  <c r="AA416" i="33260"/>
  <c r="G416" i="33260"/>
  <c r="AS415" i="33260"/>
  <c r="W415" i="33260"/>
  <c r="BK414" i="33260"/>
  <c r="AO414" i="33260"/>
  <c r="S414" i="33260"/>
  <c r="BG413" i="33260"/>
  <c r="AK413" i="33260"/>
  <c r="O413" i="33260"/>
  <c r="BC412" i="33260"/>
  <c r="AG412" i="33260"/>
  <c r="K412" i="33260"/>
  <c r="AY411" i="33260"/>
  <c r="AC411" i="33260"/>
  <c r="G411" i="33260"/>
  <c r="AU410" i="33260"/>
  <c r="Y410" i="33260"/>
  <c r="BK409" i="33260"/>
  <c r="AQ409" i="33260"/>
  <c r="U409" i="33260"/>
  <c r="BG408" i="33260"/>
  <c r="AM408" i="33260"/>
  <c r="Q408" i="33260"/>
  <c r="BC407" i="33260"/>
  <c r="AI407" i="33260"/>
  <c r="M407" i="33260"/>
  <c r="AY406" i="33260"/>
  <c r="AE406" i="33260"/>
  <c r="I406" i="33260"/>
  <c r="AU405" i="33260"/>
  <c r="AA405" i="33260"/>
  <c r="E405" i="33260"/>
  <c r="AQ404" i="33260"/>
  <c r="W404" i="33260"/>
  <c r="BI403" i="33260"/>
  <c r="AM403" i="33260"/>
  <c r="S403" i="33260"/>
  <c r="BE402" i="33260"/>
  <c r="AI402" i="33260"/>
  <c r="O402" i="33260"/>
  <c r="BA401" i="33260"/>
  <c r="AE401" i="33260"/>
  <c r="K401" i="33260"/>
  <c r="AW400" i="33260"/>
  <c r="AH400" i="33260"/>
  <c r="Z400" i="33260"/>
  <c r="R400" i="33260"/>
  <c r="J400" i="33260"/>
  <c r="BJ399" i="33260"/>
  <c r="BB399" i="33260"/>
  <c r="AT399" i="33260"/>
  <c r="AL399" i="33260"/>
  <c r="AD399" i="33260"/>
  <c r="V399" i="33260"/>
  <c r="N399" i="33260"/>
  <c r="F399" i="33260"/>
  <c r="BF398" i="33260"/>
  <c r="AX398" i="33260"/>
  <c r="AP398" i="33260"/>
  <c r="AH398" i="33260"/>
  <c r="Z398" i="33260"/>
  <c r="R398" i="33260"/>
  <c r="J398" i="33260"/>
  <c r="BJ397" i="33260"/>
  <c r="BB397" i="33260"/>
  <c r="AT397" i="33260"/>
  <c r="AL397" i="33260"/>
  <c r="AD397" i="33260"/>
  <c r="V397" i="33260"/>
  <c r="N397" i="33260"/>
  <c r="F397" i="33260"/>
  <c r="BF396" i="33260"/>
  <c r="AX396" i="33260"/>
  <c r="AP396" i="33260"/>
  <c r="AH396" i="33260"/>
  <c r="Z396" i="33260"/>
  <c r="R396" i="33260"/>
  <c r="J396" i="33260"/>
  <c r="BJ395" i="33260"/>
  <c r="BB395" i="33260"/>
  <c r="AT395" i="33260"/>
  <c r="AL395" i="33260"/>
  <c r="AD395" i="33260"/>
  <c r="V395" i="33260"/>
  <c r="N395" i="33260"/>
  <c r="F395" i="33260"/>
  <c r="BF394" i="33260"/>
  <c r="AX394" i="33260"/>
  <c r="AP394" i="33260"/>
  <c r="AH394" i="33260"/>
  <c r="Z394" i="33260"/>
  <c r="R394" i="33260"/>
  <c r="J394" i="33260"/>
  <c r="BJ393" i="33260"/>
  <c r="BB393" i="33260"/>
  <c r="AT393" i="33260"/>
  <c r="AL393" i="33260"/>
  <c r="AD393" i="33260"/>
  <c r="V393" i="33260"/>
  <c r="N393" i="33260"/>
  <c r="F393" i="33260"/>
  <c r="BF392" i="33260"/>
  <c r="AX392" i="33260"/>
  <c r="AP392" i="33260"/>
  <c r="AH392" i="33260"/>
  <c r="Z392" i="33260"/>
  <c r="R392" i="33260"/>
  <c r="J392" i="33260"/>
  <c r="BJ391" i="33260"/>
  <c r="BB391" i="33260"/>
  <c r="AT391" i="33260"/>
  <c r="AL391" i="33260"/>
  <c r="AD391" i="33260"/>
  <c r="V391" i="33260"/>
  <c r="N391" i="33260"/>
  <c r="F391" i="33260"/>
  <c r="BF390" i="33260"/>
  <c r="AX390" i="33260"/>
  <c r="AP390" i="33260"/>
  <c r="AH390" i="33260"/>
  <c r="Z390" i="33260"/>
  <c r="R390" i="33260"/>
  <c r="J390" i="33260"/>
  <c r="BJ389" i="33260"/>
  <c r="BB389" i="33260"/>
  <c r="AT389" i="33260"/>
  <c r="AL389" i="33260"/>
  <c r="AY467" i="33260"/>
  <c r="AI436" i="33260"/>
  <c r="BK427" i="33260"/>
  <c r="BC422" i="33260"/>
  <c r="BK419" i="33260"/>
  <c r="M417" i="33260"/>
  <c r="W414" i="33260"/>
  <c r="AE411" i="33260"/>
  <c r="AO408" i="33260"/>
  <c r="AY405" i="33260"/>
  <c r="BG402" i="33260"/>
  <c r="AA400" i="33260"/>
  <c r="W399" i="33260"/>
  <c r="S398" i="33260"/>
  <c r="O397" i="33260"/>
  <c r="K396" i="33260"/>
  <c r="G395" i="33260"/>
  <c r="BK393" i="33260"/>
  <c r="BG392" i="33260"/>
  <c r="BC391" i="33260"/>
  <c r="AY390" i="33260"/>
  <c r="AU389" i="33260"/>
  <c r="K389" i="33260"/>
  <c r="BI388" i="33260"/>
  <c r="AY388" i="33260"/>
  <c r="AQ388" i="33260"/>
  <c r="AI388" i="33260"/>
  <c r="AA388" i="33260"/>
  <c r="S388" i="33260"/>
  <c r="K388" i="33260"/>
  <c r="BK387" i="33260"/>
  <c r="BC387" i="33260"/>
  <c r="AU387" i="33260"/>
  <c r="AM387" i="33260"/>
  <c r="AE387" i="33260"/>
  <c r="W387" i="33260"/>
  <c r="O387" i="33260"/>
  <c r="G387" i="33260"/>
  <c r="BG386" i="33260"/>
  <c r="AY386" i="33260"/>
  <c r="AQ386" i="33260"/>
  <c r="AI386" i="33260"/>
  <c r="AA386" i="33260"/>
  <c r="S386" i="33260"/>
  <c r="K386" i="33260"/>
  <c r="BK385" i="33260"/>
  <c r="BC385" i="33260"/>
  <c r="AU385" i="33260"/>
  <c r="AM385" i="33260"/>
  <c r="AE385" i="33260"/>
  <c r="W385" i="33260"/>
  <c r="O385" i="33260"/>
  <c r="G385" i="33260"/>
  <c r="BG384" i="33260"/>
  <c r="AY384" i="33260"/>
  <c r="AQ384" i="33260"/>
  <c r="AI384" i="33260"/>
  <c r="AA384" i="33260"/>
  <c r="S384" i="33260"/>
  <c r="K384" i="33260"/>
  <c r="BK383" i="33260"/>
  <c r="BC383" i="33260"/>
  <c r="AU383" i="33260"/>
  <c r="AM383" i="33260"/>
  <c r="AE383" i="33260"/>
  <c r="W383" i="33260"/>
  <c r="O383" i="33260"/>
  <c r="G383" i="33260"/>
  <c r="BG382" i="33260"/>
  <c r="AY382" i="33260"/>
  <c r="AQ382" i="33260"/>
  <c r="AI382" i="33260"/>
  <c r="AA382" i="33260"/>
  <c r="S382" i="33260"/>
  <c r="K382" i="33260"/>
  <c r="BK381" i="33260"/>
  <c r="BC381" i="33260"/>
  <c r="AU381" i="33260"/>
  <c r="AM381" i="33260"/>
  <c r="AE381" i="33260"/>
  <c r="W381" i="33260"/>
  <c r="O381" i="33260"/>
  <c r="G381" i="33260"/>
  <c r="BG380" i="33260"/>
  <c r="AY380" i="33260"/>
  <c r="AQ380" i="33260"/>
  <c r="AI380" i="33260"/>
  <c r="AA380" i="33260"/>
  <c r="S380" i="33260"/>
  <c r="K380" i="33260"/>
  <c r="BK379" i="33260"/>
  <c r="BC379" i="33260"/>
  <c r="AU379" i="33260"/>
  <c r="AM379" i="33260"/>
  <c r="AE379" i="33260"/>
  <c r="W379" i="33260"/>
  <c r="O379" i="33260"/>
  <c r="G379" i="33260"/>
  <c r="BG378" i="33260"/>
  <c r="AY378" i="33260"/>
  <c r="AQ378" i="33260"/>
  <c r="AI378" i="33260"/>
  <c r="AA378" i="33260"/>
  <c r="S378" i="33260"/>
  <c r="K378" i="33260"/>
  <c r="BK377" i="33260"/>
  <c r="BC377" i="33260"/>
  <c r="AU377" i="33260"/>
  <c r="AM377" i="33260"/>
  <c r="AE377" i="33260"/>
  <c r="W377" i="33260"/>
  <c r="O377" i="33260"/>
  <c r="G377" i="33260"/>
  <c r="BG376" i="33260"/>
  <c r="AY376" i="33260"/>
  <c r="AQ376" i="33260"/>
  <c r="AI376" i="33260"/>
  <c r="AA376" i="33260"/>
  <c r="S376" i="33260"/>
  <c r="K376" i="33260"/>
  <c r="BK375" i="33260"/>
  <c r="BC375" i="33260"/>
  <c r="AU375" i="33260"/>
  <c r="AM375" i="33260"/>
  <c r="AE375" i="33260"/>
  <c r="W375" i="33260"/>
  <c r="O375" i="33260"/>
  <c r="G375" i="33260"/>
  <c r="BG374" i="33260"/>
  <c r="AY374" i="33260"/>
  <c r="AQ374" i="33260"/>
  <c r="AI374" i="33260"/>
  <c r="AA374" i="33260"/>
  <c r="S374" i="33260"/>
  <c r="K374" i="33260"/>
  <c r="BK373" i="33260"/>
  <c r="BC373" i="33260"/>
  <c r="AU373" i="33260"/>
  <c r="AM373" i="33260"/>
  <c r="AE373" i="33260"/>
  <c r="W373" i="33260"/>
  <c r="O373" i="33260"/>
  <c r="G373" i="33260"/>
  <c r="BG372" i="33260"/>
  <c r="AY372" i="33260"/>
  <c r="AQ372" i="33260"/>
  <c r="AI372" i="33260"/>
  <c r="AA372" i="33260"/>
  <c r="S372" i="33260"/>
  <c r="K372" i="33260"/>
  <c r="BK371" i="33260"/>
  <c r="BC371" i="33260"/>
  <c r="AU371" i="33260"/>
  <c r="AM371" i="33260"/>
  <c r="AE371" i="33260"/>
  <c r="W371" i="33260"/>
  <c r="O371" i="33260"/>
  <c r="G371" i="33260"/>
  <c r="BG370" i="33260"/>
  <c r="AY370" i="33260"/>
  <c r="AQ370" i="33260"/>
  <c r="AI370" i="33260"/>
  <c r="AA370" i="33260"/>
  <c r="S370" i="33260"/>
  <c r="K370" i="33260"/>
  <c r="BK369" i="33260"/>
  <c r="BC369" i="33260"/>
  <c r="AU369" i="33260"/>
  <c r="AM369" i="33260"/>
  <c r="AE369" i="33260"/>
  <c r="W369" i="33260"/>
  <c r="O369" i="33260"/>
  <c r="G369" i="33260"/>
  <c r="BG368" i="33260"/>
  <c r="AY368" i="33260"/>
  <c r="AQ368" i="33260"/>
  <c r="AI368" i="33260"/>
  <c r="AA368" i="33260"/>
  <c r="S368" i="33260"/>
  <c r="K368" i="33260"/>
  <c r="BK367" i="33260"/>
  <c r="BC367" i="33260"/>
  <c r="AU367" i="33260"/>
  <c r="AM367" i="33260"/>
  <c r="AE367" i="33260"/>
  <c r="W367" i="33260"/>
  <c r="O367" i="33260"/>
  <c r="G367" i="33260"/>
  <c r="BG366" i="33260"/>
  <c r="AY366" i="33260"/>
  <c r="AQ366" i="33260"/>
  <c r="AI366" i="33260"/>
  <c r="AA366" i="33260"/>
  <c r="S366" i="33260"/>
  <c r="K366" i="33260"/>
  <c r="BK365" i="33260"/>
  <c r="BC365" i="33260"/>
  <c r="AU365" i="33260"/>
  <c r="AM365" i="33260"/>
  <c r="AE365" i="33260"/>
  <c r="W365" i="33260"/>
  <c r="O365" i="33260"/>
  <c r="G365" i="33260"/>
  <c r="BG364" i="33260"/>
  <c r="AY364" i="33260"/>
  <c r="AQ364" i="33260"/>
  <c r="AI364" i="33260"/>
  <c r="AA364" i="33260"/>
  <c r="S364" i="33260"/>
  <c r="K364" i="33260"/>
  <c r="BK363" i="33260"/>
  <c r="BC363" i="33260"/>
  <c r="AU363" i="33260"/>
  <c r="AM363" i="33260"/>
  <c r="AE363" i="33260"/>
  <c r="W363" i="33260"/>
  <c r="O363" i="33260"/>
  <c r="G363" i="33260"/>
  <c r="BG362" i="33260"/>
  <c r="AY362" i="33260"/>
  <c r="AQ362" i="33260"/>
  <c r="AI362" i="33260"/>
  <c r="AA362" i="33260"/>
  <c r="S362" i="33260"/>
  <c r="K362" i="33260"/>
  <c r="BK361" i="33260"/>
  <c r="BC361" i="33260"/>
  <c r="AU361" i="33260"/>
  <c r="AM361" i="33260"/>
  <c r="AE361" i="33260"/>
  <c r="W361" i="33260"/>
  <c r="O361" i="33260"/>
  <c r="G361" i="33260"/>
  <c r="BG360" i="33260"/>
  <c r="AY360" i="33260"/>
  <c r="AQ360" i="33260"/>
  <c r="AI360" i="33260"/>
  <c r="AA360" i="33260"/>
  <c r="S360" i="33260"/>
  <c r="K360" i="33260"/>
  <c r="BK359" i="33260"/>
  <c r="BC359" i="33260"/>
  <c r="AU359" i="33260"/>
  <c r="AM359" i="33260"/>
  <c r="AE359" i="33260"/>
  <c r="W359" i="33260"/>
  <c r="O359" i="33260"/>
  <c r="G359" i="33260"/>
  <c r="BG358" i="33260"/>
  <c r="AY358" i="33260"/>
  <c r="AQ358" i="33260"/>
  <c r="AI358" i="33260"/>
  <c r="AA358" i="33260"/>
  <c r="S358" i="33260"/>
  <c r="K358" i="33260"/>
  <c r="BK357" i="33260"/>
  <c r="BC357" i="33260"/>
  <c r="AU357" i="33260"/>
  <c r="AM357" i="33260"/>
  <c r="AE357" i="33260"/>
  <c r="W357" i="33260"/>
  <c r="O357" i="33260"/>
  <c r="G357" i="33260"/>
  <c r="BG356" i="33260"/>
  <c r="AY356" i="33260"/>
  <c r="AQ356" i="33260"/>
  <c r="AI356" i="33260"/>
  <c r="AA356" i="33260"/>
  <c r="S356" i="33260"/>
  <c r="K356" i="33260"/>
  <c r="BK355" i="33260"/>
  <c r="BC355" i="33260"/>
  <c r="AU355" i="33260"/>
  <c r="AM355" i="33260"/>
  <c r="AE355" i="33260"/>
  <c r="W355" i="33260"/>
  <c r="O355" i="33260"/>
  <c r="G355" i="33260"/>
  <c r="BG354" i="33260"/>
  <c r="AY354" i="33260"/>
  <c r="AQ354" i="33260"/>
  <c r="AI354" i="33260"/>
  <c r="AA354" i="33260"/>
  <c r="S354" i="33260"/>
  <c r="K354" i="33260"/>
  <c r="BK353" i="33260"/>
  <c r="BC353" i="33260"/>
  <c r="AU353" i="33260"/>
  <c r="AM353" i="33260"/>
  <c r="AE353" i="33260"/>
  <c r="W353" i="33260"/>
  <c r="O353" i="33260"/>
  <c r="G353" i="33260"/>
  <c r="BG352" i="33260"/>
  <c r="AY352" i="33260"/>
  <c r="AQ352" i="33260"/>
  <c r="AI352" i="33260"/>
  <c r="AA352" i="33260"/>
  <c r="S352" i="33260"/>
  <c r="K352" i="33260"/>
  <c r="BK351" i="33260"/>
  <c r="BC351" i="33260"/>
  <c r="AU351" i="33260"/>
  <c r="AM351" i="33260"/>
  <c r="AE351" i="33260"/>
  <c r="W351" i="33260"/>
  <c r="O351" i="33260"/>
  <c r="G351" i="33260"/>
  <c r="BG350" i="33260"/>
  <c r="AY350" i="33260"/>
  <c r="AQ350" i="33260"/>
  <c r="AI350" i="33260"/>
  <c r="AA350" i="33260"/>
  <c r="S350" i="33260"/>
  <c r="K350" i="33260"/>
  <c r="BK349" i="33260"/>
  <c r="BC349" i="33260"/>
  <c r="AU349" i="33260"/>
  <c r="AM349" i="33260"/>
  <c r="AE349" i="33260"/>
  <c r="W349" i="33260"/>
  <c r="O349" i="33260"/>
  <c r="G349" i="33260"/>
  <c r="BG348" i="33260"/>
  <c r="AY348" i="33260"/>
  <c r="AQ348" i="33260"/>
  <c r="AI348" i="33260"/>
  <c r="AA348" i="33260"/>
  <c r="S348" i="33260"/>
  <c r="K348" i="33260"/>
  <c r="BK347" i="33260"/>
  <c r="BC347" i="33260"/>
  <c r="AU347" i="33260"/>
  <c r="AM347" i="33260"/>
  <c r="AE347" i="33260"/>
  <c r="W347" i="33260"/>
  <c r="O347" i="33260"/>
  <c r="G347" i="33260"/>
  <c r="BG346" i="33260"/>
  <c r="AY346" i="33260"/>
  <c r="AQ346" i="33260"/>
  <c r="M460" i="33260"/>
  <c r="AE435" i="33260"/>
  <c r="BG426" i="33260"/>
  <c r="AG422" i="33260"/>
  <c r="AQ419" i="33260"/>
  <c r="AY416" i="33260"/>
  <c r="BI413" i="33260"/>
  <c r="K411" i="33260"/>
  <c r="S408" i="33260"/>
  <c r="AC405" i="33260"/>
  <c r="AM402" i="33260"/>
  <c r="S400" i="33260"/>
  <c r="O399" i="33260"/>
  <c r="K398" i="33260"/>
  <c r="G397" i="33260"/>
  <c r="BK395" i="33260"/>
  <c r="BG394" i="33260"/>
  <c r="BC393" i="33260"/>
  <c r="AY392" i="33260"/>
  <c r="AU391" i="33260"/>
  <c r="AQ390" i="33260"/>
  <c r="AM389" i="33260"/>
  <c r="J389" i="33260"/>
  <c r="BG388" i="33260"/>
  <c r="AX388" i="33260"/>
  <c r="AP388" i="33260"/>
  <c r="AH388" i="33260"/>
  <c r="Z388" i="33260"/>
  <c r="R388" i="33260"/>
  <c r="J388" i="33260"/>
  <c r="BJ387" i="33260"/>
  <c r="BB387" i="33260"/>
  <c r="AT387" i="33260"/>
  <c r="AL387" i="33260"/>
  <c r="AD387" i="33260"/>
  <c r="V387" i="33260"/>
  <c r="N387" i="33260"/>
  <c r="F387" i="33260"/>
  <c r="BF386" i="33260"/>
  <c r="AX386" i="33260"/>
  <c r="AP386" i="33260"/>
  <c r="AH386" i="33260"/>
  <c r="Z386" i="33260"/>
  <c r="R386" i="33260"/>
  <c r="J386" i="33260"/>
  <c r="BJ385" i="33260"/>
  <c r="BB385" i="33260"/>
  <c r="AT385" i="33260"/>
  <c r="AL385" i="33260"/>
  <c r="AD385" i="33260"/>
  <c r="V385" i="33260"/>
  <c r="N385" i="33260"/>
  <c r="F385" i="33260"/>
  <c r="BF384" i="33260"/>
  <c r="AX384" i="33260"/>
  <c r="AP384" i="33260"/>
  <c r="AH384" i="33260"/>
  <c r="Z384" i="33260"/>
  <c r="R384" i="33260"/>
  <c r="J384" i="33260"/>
  <c r="BJ383" i="33260"/>
  <c r="BB383" i="33260"/>
  <c r="AT383" i="33260"/>
  <c r="AL383" i="33260"/>
  <c r="AD383" i="33260"/>
  <c r="V383" i="33260"/>
  <c r="N383" i="33260"/>
  <c r="F383" i="33260"/>
  <c r="BF382" i="33260"/>
  <c r="AX382" i="33260"/>
  <c r="AP382" i="33260"/>
  <c r="AH382" i="33260"/>
  <c r="Z382" i="33260"/>
  <c r="R382" i="33260"/>
  <c r="J382" i="33260"/>
  <c r="BJ381" i="33260"/>
  <c r="BB381" i="33260"/>
  <c r="AT381" i="33260"/>
  <c r="AL381" i="33260"/>
  <c r="AD381" i="33260"/>
  <c r="V381" i="33260"/>
  <c r="N381" i="33260"/>
  <c r="F381" i="33260"/>
  <c r="BF380" i="33260"/>
  <c r="AX380" i="33260"/>
  <c r="AP380" i="33260"/>
  <c r="AH380" i="33260"/>
  <c r="Z380" i="33260"/>
  <c r="R380" i="33260"/>
  <c r="J380" i="33260"/>
  <c r="BJ379" i="33260"/>
  <c r="BB379" i="33260"/>
  <c r="AT379" i="33260"/>
  <c r="AL379" i="33260"/>
  <c r="AD379" i="33260"/>
  <c r="V379" i="33260"/>
  <c r="N379" i="33260"/>
  <c r="F379" i="33260"/>
  <c r="BF378" i="33260"/>
  <c r="AX378" i="33260"/>
  <c r="AP378" i="33260"/>
  <c r="AH378" i="33260"/>
  <c r="Z378" i="33260"/>
  <c r="R378" i="33260"/>
  <c r="J378" i="33260"/>
  <c r="BJ377" i="33260"/>
  <c r="BB377" i="33260"/>
  <c r="AT377" i="33260"/>
  <c r="AL377" i="33260"/>
  <c r="AD377" i="33260"/>
  <c r="V377" i="33260"/>
  <c r="N377" i="33260"/>
  <c r="F377" i="33260"/>
  <c r="BF376" i="33260"/>
  <c r="AX376" i="33260"/>
  <c r="AP376" i="33260"/>
  <c r="AH376" i="33260"/>
  <c r="Z376" i="33260"/>
  <c r="R376" i="33260"/>
  <c r="J376" i="33260"/>
  <c r="BJ375" i="33260"/>
  <c r="BB375" i="33260"/>
  <c r="AT375" i="33260"/>
  <c r="AL375" i="33260"/>
  <c r="AD375" i="33260"/>
  <c r="V375" i="33260"/>
  <c r="N375" i="33260"/>
  <c r="F375" i="33260"/>
  <c r="BF374" i="33260"/>
  <c r="AX374" i="33260"/>
  <c r="AP374" i="33260"/>
  <c r="AH374" i="33260"/>
  <c r="Z374" i="33260"/>
  <c r="R374" i="33260"/>
  <c r="J374" i="33260"/>
  <c r="BJ373" i="33260"/>
  <c r="BB373" i="33260"/>
  <c r="AT373" i="33260"/>
  <c r="AL373" i="33260"/>
  <c r="AD373" i="33260"/>
  <c r="V373" i="33260"/>
  <c r="N373" i="33260"/>
  <c r="F373" i="33260"/>
  <c r="BF372" i="33260"/>
  <c r="AX372" i="33260"/>
  <c r="AP372" i="33260"/>
  <c r="AH372" i="33260"/>
  <c r="Z372" i="33260"/>
  <c r="R372" i="33260"/>
  <c r="J372" i="33260"/>
  <c r="BJ371" i="33260"/>
  <c r="BB371" i="33260"/>
  <c r="AT371" i="33260"/>
  <c r="AL371" i="33260"/>
  <c r="AD371" i="33260"/>
  <c r="V371" i="33260"/>
  <c r="N371" i="33260"/>
  <c r="F371" i="33260"/>
  <c r="BF370" i="33260"/>
  <c r="AX370" i="33260"/>
  <c r="AP370" i="33260"/>
  <c r="AH370" i="33260"/>
  <c r="Z370" i="33260"/>
  <c r="R370" i="33260"/>
  <c r="J370" i="33260"/>
  <c r="BJ369" i="33260"/>
  <c r="BB369" i="33260"/>
  <c r="AT369" i="33260"/>
  <c r="AL369" i="33260"/>
  <c r="AD369" i="33260"/>
  <c r="V369" i="33260"/>
  <c r="N369" i="33260"/>
  <c r="F369" i="33260"/>
  <c r="BF368" i="33260"/>
  <c r="AX368" i="33260"/>
  <c r="AP368" i="33260"/>
  <c r="AM452" i="33260"/>
  <c r="AA434" i="33260"/>
  <c r="BC425" i="33260"/>
  <c r="K422" i="33260"/>
  <c r="U419" i="33260"/>
  <c r="AE416" i="33260"/>
  <c r="AM413" i="33260"/>
  <c r="AW410" i="33260"/>
  <c r="BG407" i="33260"/>
  <c r="G405" i="33260"/>
  <c r="Q402" i="33260"/>
  <c r="K400" i="33260"/>
  <c r="G399" i="33260"/>
  <c r="BK397" i="33260"/>
  <c r="BG396" i="33260"/>
  <c r="BC395" i="33260"/>
  <c r="AY394" i="33260"/>
  <c r="AU393" i="33260"/>
  <c r="AQ392" i="33260"/>
  <c r="AM391" i="33260"/>
  <c r="AI390" i="33260"/>
  <c r="AE389" i="33260"/>
  <c r="G389" i="33260"/>
  <c r="BF388" i="33260"/>
  <c r="AW388" i="33260"/>
  <c r="AO388" i="33260"/>
  <c r="AG388" i="33260"/>
  <c r="Y388" i="33260"/>
  <c r="Q388" i="33260"/>
  <c r="I388" i="33260"/>
  <c r="BI387" i="33260"/>
  <c r="BA387" i="33260"/>
  <c r="AS387" i="33260"/>
  <c r="AK387" i="33260"/>
  <c r="AC387" i="33260"/>
  <c r="U387" i="33260"/>
  <c r="M387" i="33260"/>
  <c r="E387" i="33260"/>
  <c r="BE386" i="33260"/>
  <c r="AW386" i="33260"/>
  <c r="AO386" i="33260"/>
  <c r="AG386" i="33260"/>
  <c r="Y386" i="33260"/>
  <c r="Q386" i="33260"/>
  <c r="I386" i="33260"/>
  <c r="BI385" i="33260"/>
  <c r="BA385" i="33260"/>
  <c r="AS385" i="33260"/>
  <c r="AK385" i="33260"/>
  <c r="AC385" i="33260"/>
  <c r="U385" i="33260"/>
  <c r="M385" i="33260"/>
  <c r="E385" i="33260"/>
  <c r="BE384" i="33260"/>
  <c r="AW384" i="33260"/>
  <c r="AO384" i="33260"/>
  <c r="AG384" i="33260"/>
  <c r="Y384" i="33260"/>
  <c r="Q384" i="33260"/>
  <c r="I384" i="33260"/>
  <c r="BI383" i="33260"/>
  <c r="BA383" i="33260"/>
  <c r="AS383" i="33260"/>
  <c r="AK383" i="33260"/>
  <c r="AC383" i="33260"/>
  <c r="U383" i="33260"/>
  <c r="M383" i="33260"/>
  <c r="E383" i="33260"/>
  <c r="BE382" i="33260"/>
  <c r="AW382" i="33260"/>
  <c r="AO382" i="33260"/>
  <c r="AG382" i="33260"/>
  <c r="Y382" i="33260"/>
  <c r="Q382" i="33260"/>
  <c r="I382" i="33260"/>
  <c r="BI381" i="33260"/>
  <c r="BA381" i="33260"/>
  <c r="AS381" i="33260"/>
  <c r="AK381" i="33260"/>
  <c r="AC381" i="33260"/>
  <c r="U381" i="33260"/>
  <c r="M381" i="33260"/>
  <c r="E381" i="33260"/>
  <c r="BE380" i="33260"/>
  <c r="AW380" i="33260"/>
  <c r="AO380" i="33260"/>
  <c r="AG380" i="33260"/>
  <c r="Y380" i="33260"/>
  <c r="Q380" i="33260"/>
  <c r="I380" i="33260"/>
  <c r="BI379" i="33260"/>
  <c r="BA379" i="33260"/>
  <c r="AS379" i="33260"/>
  <c r="AK379" i="33260"/>
  <c r="AC379" i="33260"/>
  <c r="U379" i="33260"/>
  <c r="M379" i="33260"/>
  <c r="E379" i="33260"/>
  <c r="BE378" i="33260"/>
  <c r="AW378" i="33260"/>
  <c r="AO378" i="33260"/>
  <c r="AG378" i="33260"/>
  <c r="Y378" i="33260"/>
  <c r="Q378" i="33260"/>
  <c r="I378" i="33260"/>
  <c r="BI377" i="33260"/>
  <c r="BA377" i="33260"/>
  <c r="AS377" i="33260"/>
  <c r="AK377" i="33260"/>
  <c r="AC377" i="33260"/>
  <c r="U377" i="33260"/>
  <c r="M377" i="33260"/>
  <c r="E377" i="33260"/>
  <c r="BE376" i="33260"/>
  <c r="AW376" i="33260"/>
  <c r="AO376" i="33260"/>
  <c r="AG376" i="33260"/>
  <c r="Y376" i="33260"/>
  <c r="Q376" i="33260"/>
  <c r="I376" i="33260"/>
  <c r="BI375" i="33260"/>
  <c r="BA375" i="33260"/>
  <c r="AS375" i="33260"/>
  <c r="AK375" i="33260"/>
  <c r="AC375" i="33260"/>
  <c r="U375" i="33260"/>
  <c r="M375" i="33260"/>
  <c r="E375" i="33260"/>
  <c r="BE374" i="33260"/>
  <c r="AW374" i="33260"/>
  <c r="AO374" i="33260"/>
  <c r="AG374" i="33260"/>
  <c r="Y374" i="33260"/>
  <c r="Q374" i="33260"/>
  <c r="I374" i="33260"/>
  <c r="BI373" i="33260"/>
  <c r="BA373" i="33260"/>
  <c r="AS373" i="33260"/>
  <c r="AK373" i="33260"/>
  <c r="AC373" i="33260"/>
  <c r="U373" i="33260"/>
  <c r="M373" i="33260"/>
  <c r="E373" i="33260"/>
  <c r="BE372" i="33260"/>
  <c r="AW372" i="33260"/>
  <c r="AO372" i="33260"/>
  <c r="AG372" i="33260"/>
  <c r="Y372" i="33260"/>
  <c r="Q372" i="33260"/>
  <c r="I372" i="33260"/>
  <c r="BI371" i="33260"/>
  <c r="BA371" i="33260"/>
  <c r="AS371" i="33260"/>
  <c r="AK371" i="33260"/>
  <c r="AC371" i="33260"/>
  <c r="U371" i="33260"/>
  <c r="M371" i="33260"/>
  <c r="E371" i="33260"/>
  <c r="BE370" i="33260"/>
  <c r="AW370" i="33260"/>
  <c r="AO370" i="33260"/>
  <c r="AG370" i="33260"/>
  <c r="Y370" i="33260"/>
  <c r="Q370" i="33260"/>
  <c r="I370" i="33260"/>
  <c r="BI369" i="33260"/>
  <c r="BA369" i="33260"/>
  <c r="AS369" i="33260"/>
  <c r="AK369" i="33260"/>
  <c r="AC369" i="33260"/>
  <c r="U369" i="33260"/>
  <c r="M369" i="33260"/>
  <c r="E369" i="33260"/>
  <c r="BE368" i="33260"/>
  <c r="AW368" i="33260"/>
  <c r="AO368" i="33260"/>
  <c r="AG368" i="33260"/>
  <c r="Y368" i="33260"/>
  <c r="Q368" i="33260"/>
  <c r="I368" i="33260"/>
  <c r="BI367" i="33260"/>
  <c r="BA367" i="33260"/>
  <c r="AS367" i="33260"/>
  <c r="AK367" i="33260"/>
  <c r="AC367" i="33260"/>
  <c r="U367" i="33260"/>
  <c r="M367" i="33260"/>
  <c r="E367" i="33260"/>
  <c r="BE366" i="33260"/>
  <c r="AW366" i="33260"/>
  <c r="AO366" i="33260"/>
  <c r="AG366" i="33260"/>
  <c r="Y366" i="33260"/>
  <c r="Q366" i="33260"/>
  <c r="I366" i="33260"/>
  <c r="BI365" i="33260"/>
  <c r="BA365" i="33260"/>
  <c r="AS365" i="33260"/>
  <c r="AK365" i="33260"/>
  <c r="AC365" i="33260"/>
  <c r="U365" i="33260"/>
  <c r="M365" i="33260"/>
  <c r="E365" i="33260"/>
  <c r="BE364" i="33260"/>
  <c r="AW364" i="33260"/>
  <c r="AO364" i="33260"/>
  <c r="AG364" i="33260"/>
  <c r="Y364" i="33260"/>
  <c r="Q364" i="33260"/>
  <c r="I364" i="33260"/>
  <c r="BI363" i="33260"/>
  <c r="BA363" i="33260"/>
  <c r="AS363" i="33260"/>
  <c r="AK363" i="33260"/>
  <c r="AC363" i="33260"/>
  <c r="U363" i="33260"/>
  <c r="M363" i="33260"/>
  <c r="E363" i="33260"/>
  <c r="BE362" i="33260"/>
  <c r="AW362" i="33260"/>
  <c r="AO362" i="33260"/>
  <c r="AG362" i="33260"/>
  <c r="Y362" i="33260"/>
  <c r="Q362" i="33260"/>
  <c r="I362" i="33260"/>
  <c r="BI361" i="33260"/>
  <c r="BA361" i="33260"/>
  <c r="AS361" i="33260"/>
  <c r="AK361" i="33260"/>
  <c r="AC361" i="33260"/>
  <c r="U361" i="33260"/>
  <c r="M361" i="33260"/>
  <c r="E361" i="33260"/>
  <c r="BE360" i="33260"/>
  <c r="AW360" i="33260"/>
  <c r="AO360" i="33260"/>
  <c r="AG360" i="33260"/>
  <c r="Y360" i="33260"/>
  <c r="Q360" i="33260"/>
  <c r="I360" i="33260"/>
  <c r="BI359" i="33260"/>
  <c r="BA359" i="33260"/>
  <c r="AS359" i="33260"/>
  <c r="AK359" i="33260"/>
  <c r="AC359" i="33260"/>
  <c r="U359" i="33260"/>
  <c r="M359" i="33260"/>
  <c r="E359" i="33260"/>
  <c r="BE358" i="33260"/>
  <c r="AW358" i="33260"/>
  <c r="AO358" i="33260"/>
  <c r="AG358" i="33260"/>
  <c r="Y358" i="33260"/>
  <c r="Q358" i="33260"/>
  <c r="I358" i="33260"/>
  <c r="BI357" i="33260"/>
  <c r="BA357" i="33260"/>
  <c r="AS357" i="33260"/>
  <c r="AK357" i="33260"/>
  <c r="AC357" i="33260"/>
  <c r="U357" i="33260"/>
  <c r="M357" i="33260"/>
  <c r="E357" i="33260"/>
  <c r="BE356" i="33260"/>
  <c r="AW356" i="33260"/>
  <c r="AO356" i="33260"/>
  <c r="AG356" i="33260"/>
  <c r="Y356" i="33260"/>
  <c r="Q356" i="33260"/>
  <c r="I356" i="33260"/>
  <c r="BI355" i="33260"/>
  <c r="BA355" i="33260"/>
  <c r="AS355" i="33260"/>
  <c r="AK355" i="33260"/>
  <c r="AC355" i="33260"/>
  <c r="U355" i="33260"/>
  <c r="M355" i="33260"/>
  <c r="E355" i="33260"/>
  <c r="BE354" i="33260"/>
  <c r="AW354" i="33260"/>
  <c r="AO354" i="33260"/>
  <c r="AG354" i="33260"/>
  <c r="Y354" i="33260"/>
  <c r="Q354" i="33260"/>
  <c r="I354" i="33260"/>
  <c r="BI353" i="33260"/>
  <c r="BA353" i="33260"/>
  <c r="AS353" i="33260"/>
  <c r="AK353" i="33260"/>
  <c r="AC353" i="33260"/>
  <c r="U353" i="33260"/>
  <c r="M353" i="33260"/>
  <c r="E353" i="33260"/>
  <c r="BE352" i="33260"/>
  <c r="AW352" i="33260"/>
  <c r="AO352" i="33260"/>
  <c r="AG352" i="33260"/>
  <c r="Y352" i="33260"/>
  <c r="Q352" i="33260"/>
  <c r="I352" i="33260"/>
  <c r="BI351" i="33260"/>
  <c r="BA351" i="33260"/>
  <c r="AS351" i="33260"/>
  <c r="AK351" i="33260"/>
  <c r="AC351" i="33260"/>
  <c r="U351" i="33260"/>
  <c r="M351" i="33260"/>
  <c r="E351" i="33260"/>
  <c r="BE350" i="33260"/>
  <c r="AW350" i="33260"/>
  <c r="AO350" i="33260"/>
  <c r="AG350" i="33260"/>
  <c r="Y350" i="33260"/>
  <c r="Q350" i="33260"/>
  <c r="I350" i="33260"/>
  <c r="BI349" i="33260"/>
  <c r="BA349" i="33260"/>
  <c r="AS349" i="33260"/>
  <c r="AK349" i="33260"/>
  <c r="AC349" i="33260"/>
  <c r="U349" i="33260"/>
  <c r="M349" i="33260"/>
  <c r="E349" i="33260"/>
  <c r="BE348" i="33260"/>
  <c r="AW348" i="33260"/>
  <c r="AO348" i="33260"/>
  <c r="AG348" i="33260"/>
  <c r="Y348" i="33260"/>
  <c r="Q348" i="33260"/>
  <c r="I348" i="33260"/>
  <c r="BI347" i="33260"/>
  <c r="BA347" i="33260"/>
  <c r="AS347" i="33260"/>
  <c r="AK347" i="33260"/>
  <c r="AC347" i="33260"/>
  <c r="U347" i="33260"/>
  <c r="M347" i="33260"/>
  <c r="E347" i="33260"/>
  <c r="BE346" i="33260"/>
  <c r="AW346" i="33260"/>
  <c r="AO346" i="33260"/>
  <c r="R449" i="33260"/>
  <c r="W433" i="33260"/>
  <c r="AY424" i="33260"/>
  <c r="AY421" i="33260"/>
  <c r="BG418" i="33260"/>
  <c r="I416" i="33260"/>
  <c r="S413" i="33260"/>
  <c r="AA410" i="33260"/>
  <c r="AK407" i="33260"/>
  <c r="AU404" i="33260"/>
  <c r="BC401" i="33260"/>
  <c r="BK399" i="33260"/>
  <c r="BG398" i="33260"/>
  <c r="BC397" i="33260"/>
  <c r="AY396" i="33260"/>
  <c r="AU395" i="33260"/>
  <c r="AQ394" i="33260"/>
  <c r="AM393" i="33260"/>
  <c r="AI392" i="33260"/>
  <c r="AE391" i="33260"/>
  <c r="AA390" i="33260"/>
  <c r="AD389" i="33260"/>
  <c r="F389" i="33260"/>
  <c r="BE388" i="33260"/>
  <c r="AV388" i="33260"/>
  <c r="AN388" i="33260"/>
  <c r="AF388" i="33260"/>
  <c r="X388" i="33260"/>
  <c r="P388" i="33260"/>
  <c r="H388" i="33260"/>
  <c r="BH387" i="33260"/>
  <c r="AZ387" i="33260"/>
  <c r="AR387" i="33260"/>
  <c r="AJ387" i="33260"/>
  <c r="AB387" i="33260"/>
  <c r="T387" i="33260"/>
  <c r="L387" i="33260"/>
  <c r="D387" i="33260"/>
  <c r="BD386" i="33260"/>
  <c r="AV386" i="33260"/>
  <c r="AN386" i="33260"/>
  <c r="AF386" i="33260"/>
  <c r="X386" i="33260"/>
  <c r="P386" i="33260"/>
  <c r="H386" i="33260"/>
  <c r="BH385" i="33260"/>
  <c r="AZ385" i="33260"/>
  <c r="AR385" i="33260"/>
  <c r="AJ385" i="33260"/>
  <c r="AB385" i="33260"/>
  <c r="T385" i="33260"/>
  <c r="L385" i="33260"/>
  <c r="D385" i="33260"/>
  <c r="BD384" i="33260"/>
  <c r="AV384" i="33260"/>
  <c r="AN384" i="33260"/>
  <c r="AF384" i="33260"/>
  <c r="X384" i="33260"/>
  <c r="P384" i="33260"/>
  <c r="H384" i="33260"/>
  <c r="BH383" i="33260"/>
  <c r="AZ383" i="33260"/>
  <c r="AR383" i="33260"/>
  <c r="AJ383" i="33260"/>
  <c r="AB383" i="33260"/>
  <c r="T383" i="33260"/>
  <c r="L383" i="33260"/>
  <c r="D383" i="33260"/>
  <c r="BD382" i="33260"/>
  <c r="AV382" i="33260"/>
  <c r="AN382" i="33260"/>
  <c r="AF382" i="33260"/>
  <c r="X382" i="33260"/>
  <c r="P382" i="33260"/>
  <c r="H382" i="33260"/>
  <c r="BH381" i="33260"/>
  <c r="AZ381" i="33260"/>
  <c r="AR381" i="33260"/>
  <c r="AJ381" i="33260"/>
  <c r="AB381" i="33260"/>
  <c r="T381" i="33260"/>
  <c r="L381" i="33260"/>
  <c r="D381" i="33260"/>
  <c r="BD380" i="33260"/>
  <c r="AV380" i="33260"/>
  <c r="AN380" i="33260"/>
  <c r="AF380" i="33260"/>
  <c r="X380" i="33260"/>
  <c r="P380" i="33260"/>
  <c r="H380" i="33260"/>
  <c r="BH379" i="33260"/>
  <c r="AZ379" i="33260"/>
  <c r="AR379" i="33260"/>
  <c r="AJ379" i="33260"/>
  <c r="AB379" i="33260"/>
  <c r="T379" i="33260"/>
  <c r="L379" i="33260"/>
  <c r="D379" i="33260"/>
  <c r="BD378" i="33260"/>
  <c r="AV378" i="33260"/>
  <c r="AN378" i="33260"/>
  <c r="AF378" i="33260"/>
  <c r="X378" i="33260"/>
  <c r="P378" i="33260"/>
  <c r="H378" i="33260"/>
  <c r="BH377" i="33260"/>
  <c r="AZ377" i="33260"/>
  <c r="AR377" i="33260"/>
  <c r="AJ377" i="33260"/>
  <c r="AB377" i="33260"/>
  <c r="T377" i="33260"/>
  <c r="L377" i="33260"/>
  <c r="D377" i="33260"/>
  <c r="BD376" i="33260"/>
  <c r="AV376" i="33260"/>
  <c r="AN376" i="33260"/>
  <c r="AF376" i="33260"/>
  <c r="X376" i="33260"/>
  <c r="P376" i="33260"/>
  <c r="H376" i="33260"/>
  <c r="BH375" i="33260"/>
  <c r="AZ375" i="33260"/>
  <c r="AR375" i="33260"/>
  <c r="AJ375" i="33260"/>
  <c r="AB375" i="33260"/>
  <c r="T375" i="33260"/>
  <c r="L375" i="33260"/>
  <c r="D375" i="33260"/>
  <c r="BD374" i="33260"/>
  <c r="AV374" i="33260"/>
  <c r="AN374" i="33260"/>
  <c r="AF374" i="33260"/>
  <c r="X374" i="33260"/>
  <c r="P374" i="33260"/>
  <c r="H374" i="33260"/>
  <c r="BH373" i="33260"/>
  <c r="AZ373" i="33260"/>
  <c r="AR373" i="33260"/>
  <c r="AJ373" i="33260"/>
  <c r="AB373" i="33260"/>
  <c r="T373" i="33260"/>
  <c r="L373" i="33260"/>
  <c r="D373" i="33260"/>
  <c r="BD372" i="33260"/>
  <c r="AV372" i="33260"/>
  <c r="AN372" i="33260"/>
  <c r="AF372" i="33260"/>
  <c r="X372" i="33260"/>
  <c r="P372" i="33260"/>
  <c r="H372" i="33260"/>
  <c r="BH371" i="33260"/>
  <c r="AZ371" i="33260"/>
  <c r="AR371" i="33260"/>
  <c r="AJ371" i="33260"/>
  <c r="AB371" i="33260"/>
  <c r="T371" i="33260"/>
  <c r="L371" i="33260"/>
  <c r="D371" i="33260"/>
  <c r="BD370" i="33260"/>
  <c r="AV370" i="33260"/>
  <c r="AN370" i="33260"/>
  <c r="AF370" i="33260"/>
  <c r="X370" i="33260"/>
  <c r="P370" i="33260"/>
  <c r="H370" i="33260"/>
  <c r="BH369" i="33260"/>
  <c r="AZ369" i="33260"/>
  <c r="AR369" i="33260"/>
  <c r="AJ369" i="33260"/>
  <c r="AB369" i="33260"/>
  <c r="T369" i="33260"/>
  <c r="L369" i="33260"/>
  <c r="D369" i="33260"/>
  <c r="BD368" i="33260"/>
  <c r="AV368" i="33260"/>
  <c r="Z446" i="33260"/>
  <c r="S432" i="33260"/>
  <c r="S424" i="33260"/>
  <c r="AC421" i="33260"/>
  <c r="AM418" i="33260"/>
  <c r="AU415" i="33260"/>
  <c r="BE412" i="33260"/>
  <c r="G410" i="33260"/>
  <c r="O407" i="33260"/>
  <c r="Y404" i="33260"/>
  <c r="AI401" i="33260"/>
  <c r="BC399" i="33260"/>
  <c r="AY398" i="33260"/>
  <c r="AU397" i="33260"/>
  <c r="AQ396" i="33260"/>
  <c r="AM395" i="33260"/>
  <c r="AI394" i="33260"/>
  <c r="AE393" i="33260"/>
  <c r="AA392" i="33260"/>
  <c r="W391" i="33260"/>
  <c r="S390" i="33260"/>
  <c r="W389" i="33260"/>
  <c r="E389" i="33260"/>
  <c r="BD388" i="33260"/>
  <c r="AU388" i="33260"/>
  <c r="AM388" i="33260"/>
  <c r="AE388" i="33260"/>
  <c r="W388" i="33260"/>
  <c r="O388" i="33260"/>
  <c r="G388" i="33260"/>
  <c r="BG387" i="33260"/>
  <c r="AY387" i="33260"/>
  <c r="AQ387" i="33260"/>
  <c r="AI387" i="33260"/>
  <c r="AA387" i="33260"/>
  <c r="S387" i="33260"/>
  <c r="K387" i="33260"/>
  <c r="BK386" i="33260"/>
  <c r="BC386" i="33260"/>
  <c r="AU386" i="33260"/>
  <c r="AM386" i="33260"/>
  <c r="AE386" i="33260"/>
  <c r="W386" i="33260"/>
  <c r="O386" i="33260"/>
  <c r="G386" i="33260"/>
  <c r="BG385" i="33260"/>
  <c r="AY385" i="33260"/>
  <c r="AQ385" i="33260"/>
  <c r="AI385" i="33260"/>
  <c r="AA385" i="33260"/>
  <c r="S385" i="33260"/>
  <c r="K385" i="33260"/>
  <c r="BK384" i="33260"/>
  <c r="BC384" i="33260"/>
  <c r="AU384" i="33260"/>
  <c r="AM384" i="33260"/>
  <c r="AE384" i="33260"/>
  <c r="W384" i="33260"/>
  <c r="O384" i="33260"/>
  <c r="G384" i="33260"/>
  <c r="BG383" i="33260"/>
  <c r="AY383" i="33260"/>
  <c r="AQ383" i="33260"/>
  <c r="AI383" i="33260"/>
  <c r="AA383" i="33260"/>
  <c r="S383" i="33260"/>
  <c r="K383" i="33260"/>
  <c r="BK382" i="33260"/>
  <c r="BC382" i="33260"/>
  <c r="AU382" i="33260"/>
  <c r="AM382" i="33260"/>
  <c r="AE382" i="33260"/>
  <c r="W382" i="33260"/>
  <c r="O382" i="33260"/>
  <c r="G382" i="33260"/>
  <c r="BG381" i="33260"/>
  <c r="AY381" i="33260"/>
  <c r="AQ381" i="33260"/>
  <c r="AI381" i="33260"/>
  <c r="AA381" i="33260"/>
  <c r="S381" i="33260"/>
  <c r="K381" i="33260"/>
  <c r="BK380" i="33260"/>
  <c r="BC380" i="33260"/>
  <c r="AU380" i="33260"/>
  <c r="AM380" i="33260"/>
  <c r="AE380" i="33260"/>
  <c r="W380" i="33260"/>
  <c r="O380" i="33260"/>
  <c r="G380" i="33260"/>
  <c r="BG379" i="33260"/>
  <c r="AY379" i="33260"/>
  <c r="AQ379" i="33260"/>
  <c r="AI379" i="33260"/>
  <c r="AA379" i="33260"/>
  <c r="S379" i="33260"/>
  <c r="K379" i="33260"/>
  <c r="BK378" i="33260"/>
  <c r="BC378" i="33260"/>
  <c r="AU378" i="33260"/>
  <c r="AM378" i="33260"/>
  <c r="AE378" i="33260"/>
  <c r="W378" i="33260"/>
  <c r="O378" i="33260"/>
  <c r="G378" i="33260"/>
  <c r="BG377" i="33260"/>
  <c r="AY377" i="33260"/>
  <c r="AQ377" i="33260"/>
  <c r="AI377" i="33260"/>
  <c r="AA377" i="33260"/>
  <c r="S377" i="33260"/>
  <c r="K377" i="33260"/>
  <c r="BK376" i="33260"/>
  <c r="BC376" i="33260"/>
  <c r="AU376" i="33260"/>
  <c r="AM376" i="33260"/>
  <c r="AE376" i="33260"/>
  <c r="W376" i="33260"/>
  <c r="O376" i="33260"/>
  <c r="G376" i="33260"/>
  <c r="BG375" i="33260"/>
  <c r="AY375" i="33260"/>
  <c r="AQ375" i="33260"/>
  <c r="AI375" i="33260"/>
  <c r="AA375" i="33260"/>
  <c r="S375" i="33260"/>
  <c r="K375" i="33260"/>
  <c r="BK374" i="33260"/>
  <c r="BC374" i="33260"/>
  <c r="AU374" i="33260"/>
  <c r="AM374" i="33260"/>
  <c r="AE374" i="33260"/>
  <c r="W374" i="33260"/>
  <c r="O374" i="33260"/>
  <c r="G374" i="33260"/>
  <c r="BG373" i="33260"/>
  <c r="AY373" i="33260"/>
  <c r="AQ373" i="33260"/>
  <c r="AI373" i="33260"/>
  <c r="AA373" i="33260"/>
  <c r="S373" i="33260"/>
  <c r="K373" i="33260"/>
  <c r="BK372" i="33260"/>
  <c r="BC372" i="33260"/>
  <c r="AU372" i="33260"/>
  <c r="AM372" i="33260"/>
  <c r="AE372" i="33260"/>
  <c r="W372" i="33260"/>
  <c r="O372" i="33260"/>
  <c r="G372" i="33260"/>
  <c r="BG371" i="33260"/>
  <c r="AY371" i="33260"/>
  <c r="AQ371" i="33260"/>
  <c r="AI371" i="33260"/>
  <c r="AA371" i="33260"/>
  <c r="S371" i="33260"/>
  <c r="K371" i="33260"/>
  <c r="BK370" i="33260"/>
  <c r="BC370" i="33260"/>
  <c r="AU370" i="33260"/>
  <c r="AM370" i="33260"/>
  <c r="AE370" i="33260"/>
  <c r="W370" i="33260"/>
  <c r="O370" i="33260"/>
  <c r="G370" i="33260"/>
  <c r="BG369" i="33260"/>
  <c r="AY369" i="33260"/>
  <c r="AQ369" i="33260"/>
  <c r="AI369" i="33260"/>
  <c r="AA369" i="33260"/>
  <c r="S369" i="33260"/>
  <c r="K369" i="33260"/>
  <c r="BK368" i="33260"/>
  <c r="BC368" i="33260"/>
  <c r="AU368" i="33260"/>
  <c r="AM368" i="33260"/>
  <c r="AE368" i="33260"/>
  <c r="W368" i="33260"/>
  <c r="O368" i="33260"/>
  <c r="G368" i="33260"/>
  <c r="BG367" i="33260"/>
  <c r="AY367" i="33260"/>
  <c r="AQ367" i="33260"/>
  <c r="AI367" i="33260"/>
  <c r="AA367" i="33260"/>
  <c r="S367" i="33260"/>
  <c r="K367" i="33260"/>
  <c r="BK366" i="33260"/>
  <c r="BC366" i="33260"/>
  <c r="AU366" i="33260"/>
  <c r="AM366" i="33260"/>
  <c r="AE366" i="33260"/>
  <c r="W366" i="33260"/>
  <c r="O366" i="33260"/>
  <c r="G366" i="33260"/>
  <c r="BG365" i="33260"/>
  <c r="AY365" i="33260"/>
  <c r="AQ365" i="33260"/>
  <c r="AI365" i="33260"/>
  <c r="AA365" i="33260"/>
  <c r="S365" i="33260"/>
  <c r="K365" i="33260"/>
  <c r="BK364" i="33260"/>
  <c r="BC364" i="33260"/>
  <c r="AU364" i="33260"/>
  <c r="AM364" i="33260"/>
  <c r="AE364" i="33260"/>
  <c r="W364" i="33260"/>
  <c r="O364" i="33260"/>
  <c r="G364" i="33260"/>
  <c r="BG363" i="33260"/>
  <c r="AY363" i="33260"/>
  <c r="AQ363" i="33260"/>
  <c r="AI363" i="33260"/>
  <c r="AA363" i="33260"/>
  <c r="S363" i="33260"/>
  <c r="K363" i="33260"/>
  <c r="BK362" i="33260"/>
  <c r="BC362" i="33260"/>
  <c r="AU362" i="33260"/>
  <c r="AM362" i="33260"/>
  <c r="AE362" i="33260"/>
  <c r="W362" i="33260"/>
  <c r="O362" i="33260"/>
  <c r="G362" i="33260"/>
  <c r="BG361" i="33260"/>
  <c r="AY361" i="33260"/>
  <c r="AQ361" i="33260"/>
  <c r="AI361" i="33260"/>
  <c r="AA361" i="33260"/>
  <c r="S361" i="33260"/>
  <c r="K361" i="33260"/>
  <c r="BK360" i="33260"/>
  <c r="BC360" i="33260"/>
  <c r="AU360" i="33260"/>
  <c r="AM360" i="33260"/>
  <c r="AE360" i="33260"/>
  <c r="W360" i="33260"/>
  <c r="O360" i="33260"/>
  <c r="G360" i="33260"/>
  <c r="BG359" i="33260"/>
  <c r="AY359" i="33260"/>
  <c r="AQ359" i="33260"/>
  <c r="AI359" i="33260"/>
  <c r="AA359" i="33260"/>
  <c r="S359" i="33260"/>
  <c r="K359" i="33260"/>
  <c r="BK358" i="33260"/>
  <c r="BC358" i="33260"/>
  <c r="AU358" i="33260"/>
  <c r="AM358" i="33260"/>
  <c r="AE358" i="33260"/>
  <c r="W358" i="33260"/>
  <c r="O358" i="33260"/>
  <c r="G358" i="33260"/>
  <c r="BG357" i="33260"/>
  <c r="AY357" i="33260"/>
  <c r="AQ357" i="33260"/>
  <c r="AI357" i="33260"/>
  <c r="AA357" i="33260"/>
  <c r="S357" i="33260"/>
  <c r="K357" i="33260"/>
  <c r="BK356" i="33260"/>
  <c r="BC356" i="33260"/>
  <c r="AU356" i="33260"/>
  <c r="AM356" i="33260"/>
  <c r="AE356" i="33260"/>
  <c r="W356" i="33260"/>
  <c r="O356" i="33260"/>
  <c r="G356" i="33260"/>
  <c r="BG355" i="33260"/>
  <c r="AY355" i="33260"/>
  <c r="AQ355" i="33260"/>
  <c r="AI355" i="33260"/>
  <c r="AA355" i="33260"/>
  <c r="S355" i="33260"/>
  <c r="K355" i="33260"/>
  <c r="BK354" i="33260"/>
  <c r="BC354" i="33260"/>
  <c r="AU354" i="33260"/>
  <c r="AM354" i="33260"/>
  <c r="AE354" i="33260"/>
  <c r="W354" i="33260"/>
  <c r="O354" i="33260"/>
  <c r="G354" i="33260"/>
  <c r="BG353" i="33260"/>
  <c r="AY353" i="33260"/>
  <c r="AQ353" i="33260"/>
  <c r="AI353" i="33260"/>
  <c r="AA353" i="33260"/>
  <c r="S353" i="33260"/>
  <c r="K353" i="33260"/>
  <c r="BK352" i="33260"/>
  <c r="BC352" i="33260"/>
  <c r="AU352" i="33260"/>
  <c r="AM352" i="33260"/>
  <c r="AE352" i="33260"/>
  <c r="W352" i="33260"/>
  <c r="O352" i="33260"/>
  <c r="G352" i="33260"/>
  <c r="BG351" i="33260"/>
  <c r="AY351" i="33260"/>
  <c r="AQ351" i="33260"/>
  <c r="AI351" i="33260"/>
  <c r="AA351" i="33260"/>
  <c r="S351" i="33260"/>
  <c r="K351" i="33260"/>
  <c r="BK350" i="33260"/>
  <c r="BC350" i="33260"/>
  <c r="AU350" i="33260"/>
  <c r="AM350" i="33260"/>
  <c r="AE350" i="33260"/>
  <c r="W350" i="33260"/>
  <c r="O350" i="33260"/>
  <c r="G350" i="33260"/>
  <c r="BG349" i="33260"/>
  <c r="AY349" i="33260"/>
  <c r="AQ349" i="33260"/>
  <c r="AI349" i="33260"/>
  <c r="AA349" i="33260"/>
  <c r="S349" i="33260"/>
  <c r="K349" i="33260"/>
  <c r="BK348" i="33260"/>
  <c r="BC348" i="33260"/>
  <c r="AU348" i="33260"/>
  <c r="AM348" i="33260"/>
  <c r="AE348" i="33260"/>
  <c r="W348" i="33260"/>
  <c r="O348" i="33260"/>
  <c r="G348" i="33260"/>
  <c r="BG347" i="33260"/>
  <c r="AY347" i="33260"/>
  <c r="AQ347" i="33260"/>
  <c r="AI347" i="33260"/>
  <c r="AA347" i="33260"/>
  <c r="S347" i="33260"/>
  <c r="K347" i="33260"/>
  <c r="BK346" i="33260"/>
  <c r="BC346" i="33260"/>
  <c r="AU346" i="33260"/>
  <c r="AM346" i="33260"/>
  <c r="AJ443" i="33260"/>
  <c r="O431" i="33260"/>
  <c r="BG423" i="33260"/>
  <c r="G421" i="33260"/>
  <c r="Q418" i="33260"/>
  <c r="AA415" i="33260"/>
  <c r="AI412" i="33260"/>
  <c r="AS409" i="33260"/>
  <c r="BC406" i="33260"/>
  <c r="BK403" i="33260"/>
  <c r="M401" i="33260"/>
  <c r="AU399" i="33260"/>
  <c r="AQ398" i="33260"/>
  <c r="AM397" i="33260"/>
  <c r="AI396" i="33260"/>
  <c r="AE395" i="33260"/>
  <c r="AA394" i="33260"/>
  <c r="W393" i="33260"/>
  <c r="S392" i="33260"/>
  <c r="O391" i="33260"/>
  <c r="K390" i="33260"/>
  <c r="V389" i="33260"/>
  <c r="D389" i="33260"/>
  <c r="BC388" i="33260"/>
  <c r="AT388" i="33260"/>
  <c r="AL388" i="33260"/>
  <c r="AD388" i="33260"/>
  <c r="V388" i="33260"/>
  <c r="N388" i="33260"/>
  <c r="F388" i="33260"/>
  <c r="BF387" i="33260"/>
  <c r="AX387" i="33260"/>
  <c r="AP387" i="33260"/>
  <c r="AH387" i="33260"/>
  <c r="Z387" i="33260"/>
  <c r="R387" i="33260"/>
  <c r="J387" i="33260"/>
  <c r="BJ386" i="33260"/>
  <c r="BB386" i="33260"/>
  <c r="AT386" i="33260"/>
  <c r="AL386" i="33260"/>
  <c r="AD386" i="33260"/>
  <c r="V386" i="33260"/>
  <c r="N386" i="33260"/>
  <c r="F386" i="33260"/>
  <c r="BF385" i="33260"/>
  <c r="AX385" i="33260"/>
  <c r="AP385" i="33260"/>
  <c r="AH385" i="33260"/>
  <c r="Z385" i="33260"/>
  <c r="R385" i="33260"/>
  <c r="J385" i="33260"/>
  <c r="BJ384" i="33260"/>
  <c r="BB384" i="33260"/>
  <c r="AT384" i="33260"/>
  <c r="AL384" i="33260"/>
  <c r="AD384" i="33260"/>
  <c r="V384" i="33260"/>
  <c r="N384" i="33260"/>
  <c r="F384" i="33260"/>
  <c r="BF383" i="33260"/>
  <c r="AX383" i="33260"/>
  <c r="AP383" i="33260"/>
  <c r="AH383" i="33260"/>
  <c r="Z383" i="33260"/>
  <c r="R383" i="33260"/>
  <c r="J383" i="33260"/>
  <c r="BJ382" i="33260"/>
  <c r="BB382" i="33260"/>
  <c r="AT382" i="33260"/>
  <c r="AL382" i="33260"/>
  <c r="AD382" i="33260"/>
  <c r="V382" i="33260"/>
  <c r="N382" i="33260"/>
  <c r="F382" i="33260"/>
  <c r="BF381" i="33260"/>
  <c r="AX381" i="33260"/>
  <c r="AP381" i="33260"/>
  <c r="AH381" i="33260"/>
  <c r="Z381" i="33260"/>
  <c r="R381" i="33260"/>
  <c r="J381" i="33260"/>
  <c r="BJ380" i="33260"/>
  <c r="BB380" i="33260"/>
  <c r="AT380" i="33260"/>
  <c r="AL380" i="33260"/>
  <c r="AD380" i="33260"/>
  <c r="V380" i="33260"/>
  <c r="N380" i="33260"/>
  <c r="F380" i="33260"/>
  <c r="BF379" i="33260"/>
  <c r="AX379" i="33260"/>
  <c r="AP379" i="33260"/>
  <c r="AH379" i="33260"/>
  <c r="Z379" i="33260"/>
  <c r="R379" i="33260"/>
  <c r="J379" i="33260"/>
  <c r="BJ378" i="33260"/>
  <c r="BB378" i="33260"/>
  <c r="AT378" i="33260"/>
  <c r="AL378" i="33260"/>
  <c r="AD378" i="33260"/>
  <c r="V378" i="33260"/>
  <c r="N378" i="33260"/>
  <c r="F378" i="33260"/>
  <c r="BF377" i="33260"/>
  <c r="AX377" i="33260"/>
  <c r="AP377" i="33260"/>
  <c r="AH377" i="33260"/>
  <c r="Z377" i="33260"/>
  <c r="R377" i="33260"/>
  <c r="J377" i="33260"/>
  <c r="BJ376" i="33260"/>
  <c r="BB376" i="33260"/>
  <c r="AT376" i="33260"/>
  <c r="AL376" i="33260"/>
  <c r="AD376" i="33260"/>
  <c r="V376" i="33260"/>
  <c r="N376" i="33260"/>
  <c r="F376" i="33260"/>
  <c r="BF375" i="33260"/>
  <c r="AX375" i="33260"/>
  <c r="AP375" i="33260"/>
  <c r="AH375" i="33260"/>
  <c r="Z375" i="33260"/>
  <c r="R375" i="33260"/>
  <c r="J375" i="33260"/>
  <c r="BJ374" i="33260"/>
  <c r="BB374" i="33260"/>
  <c r="AT374" i="33260"/>
  <c r="AL374" i="33260"/>
  <c r="AD374" i="33260"/>
  <c r="V374" i="33260"/>
  <c r="N374" i="33260"/>
  <c r="F374" i="33260"/>
  <c r="BF373" i="33260"/>
  <c r="AX373" i="33260"/>
  <c r="AP373" i="33260"/>
  <c r="AH373" i="33260"/>
  <c r="Z373" i="33260"/>
  <c r="R373" i="33260"/>
  <c r="J373" i="33260"/>
  <c r="BJ372" i="33260"/>
  <c r="BB372" i="33260"/>
  <c r="AT372" i="33260"/>
  <c r="AL372" i="33260"/>
  <c r="AD372" i="33260"/>
  <c r="V372" i="33260"/>
  <c r="N372" i="33260"/>
  <c r="F372" i="33260"/>
  <c r="BF371" i="33260"/>
  <c r="AX371" i="33260"/>
  <c r="AP371" i="33260"/>
  <c r="AH371" i="33260"/>
  <c r="Z371" i="33260"/>
  <c r="R371" i="33260"/>
  <c r="J371" i="33260"/>
  <c r="BJ370" i="33260"/>
  <c r="BB370" i="33260"/>
  <c r="AT370" i="33260"/>
  <c r="AL370" i="33260"/>
  <c r="AD370" i="33260"/>
  <c r="V370" i="33260"/>
  <c r="N370" i="33260"/>
  <c r="F370" i="33260"/>
  <c r="BF369" i="33260"/>
  <c r="AX369" i="33260"/>
  <c r="AP369" i="33260"/>
  <c r="AH369" i="33260"/>
  <c r="Z369" i="33260"/>
  <c r="R369" i="33260"/>
  <c r="J369" i="33260"/>
  <c r="BJ368" i="33260"/>
  <c r="BB368" i="33260"/>
  <c r="AT368" i="33260"/>
  <c r="AL368" i="33260"/>
  <c r="AD368" i="33260"/>
  <c r="V368" i="33260"/>
  <c r="N368" i="33260"/>
  <c r="F368" i="33260"/>
  <c r="BF367" i="33260"/>
  <c r="AX367" i="33260"/>
  <c r="AP367" i="33260"/>
  <c r="AH367" i="33260"/>
  <c r="Z367" i="33260"/>
  <c r="R367" i="33260"/>
  <c r="J367" i="33260"/>
  <c r="BJ366" i="33260"/>
  <c r="BB366" i="33260"/>
  <c r="AT366" i="33260"/>
  <c r="AL366" i="33260"/>
  <c r="AD366" i="33260"/>
  <c r="V366" i="33260"/>
  <c r="N366" i="33260"/>
  <c r="F366" i="33260"/>
  <c r="BF365" i="33260"/>
  <c r="AX365" i="33260"/>
  <c r="AP365" i="33260"/>
  <c r="AH365" i="33260"/>
  <c r="Z365" i="33260"/>
  <c r="R365" i="33260"/>
  <c r="J365" i="33260"/>
  <c r="BJ364" i="33260"/>
  <c r="BB364" i="33260"/>
  <c r="AT364" i="33260"/>
  <c r="AL364" i="33260"/>
  <c r="AD364" i="33260"/>
  <c r="V364" i="33260"/>
  <c r="N364" i="33260"/>
  <c r="F364" i="33260"/>
  <c r="BF363" i="33260"/>
  <c r="AX363" i="33260"/>
  <c r="AP363" i="33260"/>
  <c r="AH363" i="33260"/>
  <c r="Z363" i="33260"/>
  <c r="R363" i="33260"/>
  <c r="J363" i="33260"/>
  <c r="BJ362" i="33260"/>
  <c r="BB362" i="33260"/>
  <c r="AT362" i="33260"/>
  <c r="AL362" i="33260"/>
  <c r="AD362" i="33260"/>
  <c r="V362" i="33260"/>
  <c r="N362" i="33260"/>
  <c r="F362" i="33260"/>
  <c r="BF361" i="33260"/>
  <c r="AX361" i="33260"/>
  <c r="AP361" i="33260"/>
  <c r="AH361" i="33260"/>
  <c r="Z361" i="33260"/>
  <c r="R361" i="33260"/>
  <c r="J361" i="33260"/>
  <c r="BJ360" i="33260"/>
  <c r="BB360" i="33260"/>
  <c r="AT360" i="33260"/>
  <c r="AL360" i="33260"/>
  <c r="AD360" i="33260"/>
  <c r="V360" i="33260"/>
  <c r="N360" i="33260"/>
  <c r="F360" i="33260"/>
  <c r="BF359" i="33260"/>
  <c r="AX359" i="33260"/>
  <c r="AP359" i="33260"/>
  <c r="AH359" i="33260"/>
  <c r="Z359" i="33260"/>
  <c r="R359" i="33260"/>
  <c r="J359" i="33260"/>
  <c r="BJ358" i="33260"/>
  <c r="BB358" i="33260"/>
  <c r="AT358" i="33260"/>
  <c r="AL358" i="33260"/>
  <c r="AD358" i="33260"/>
  <c r="V358" i="33260"/>
  <c r="N358" i="33260"/>
  <c r="F358" i="33260"/>
  <c r="BF357" i="33260"/>
  <c r="AX357" i="33260"/>
  <c r="AP357" i="33260"/>
  <c r="AH357" i="33260"/>
  <c r="Z357" i="33260"/>
  <c r="R357" i="33260"/>
  <c r="J357" i="33260"/>
  <c r="BJ356" i="33260"/>
  <c r="BB356" i="33260"/>
  <c r="AT356" i="33260"/>
  <c r="AL356" i="33260"/>
  <c r="AD356" i="33260"/>
  <c r="V356" i="33260"/>
  <c r="N356" i="33260"/>
  <c r="F356" i="33260"/>
  <c r="BF355" i="33260"/>
  <c r="AX355" i="33260"/>
  <c r="AP355" i="33260"/>
  <c r="AH355" i="33260"/>
  <c r="Z355" i="33260"/>
  <c r="R355" i="33260"/>
  <c r="J355" i="33260"/>
  <c r="BJ354" i="33260"/>
  <c r="BB354" i="33260"/>
  <c r="AT354" i="33260"/>
  <c r="AL354" i="33260"/>
  <c r="AD354" i="33260"/>
  <c r="V354" i="33260"/>
  <c r="N354" i="33260"/>
  <c r="F354" i="33260"/>
  <c r="BF353" i="33260"/>
  <c r="AX353" i="33260"/>
  <c r="AP353" i="33260"/>
  <c r="AH353" i="33260"/>
  <c r="Z353" i="33260"/>
  <c r="R353" i="33260"/>
  <c r="J353" i="33260"/>
  <c r="BJ352" i="33260"/>
  <c r="BB352" i="33260"/>
  <c r="AT352" i="33260"/>
  <c r="AL352" i="33260"/>
  <c r="AD352" i="33260"/>
  <c r="V352" i="33260"/>
  <c r="N352" i="33260"/>
  <c r="F352" i="33260"/>
  <c r="BF351" i="33260"/>
  <c r="AX351" i="33260"/>
  <c r="AP351" i="33260"/>
  <c r="AH351" i="33260"/>
  <c r="Z351" i="33260"/>
  <c r="R351" i="33260"/>
  <c r="J351" i="33260"/>
  <c r="BJ350" i="33260"/>
  <c r="BB350" i="33260"/>
  <c r="AT350" i="33260"/>
  <c r="AL350" i="33260"/>
  <c r="AD350" i="33260"/>
  <c r="V350" i="33260"/>
  <c r="N350" i="33260"/>
  <c r="F350" i="33260"/>
  <c r="BF349" i="33260"/>
  <c r="AX349" i="33260"/>
  <c r="AP349" i="33260"/>
  <c r="AH349" i="33260"/>
  <c r="Z349" i="33260"/>
  <c r="R349" i="33260"/>
  <c r="J349" i="33260"/>
  <c r="BJ348" i="33260"/>
  <c r="BB348" i="33260"/>
  <c r="AT348" i="33260"/>
  <c r="AL348" i="33260"/>
  <c r="AD348" i="33260"/>
  <c r="V348" i="33260"/>
  <c r="N348" i="33260"/>
  <c r="F348" i="33260"/>
  <c r="BF347" i="33260"/>
  <c r="AX347" i="33260"/>
  <c r="AP347" i="33260"/>
  <c r="AH347" i="33260"/>
  <c r="Z347" i="33260"/>
  <c r="R347" i="33260"/>
  <c r="J347" i="33260"/>
  <c r="BJ346" i="33260"/>
  <c r="BB346" i="33260"/>
  <c r="AT346" i="33260"/>
  <c r="AL346" i="33260"/>
  <c r="AD346" i="33260"/>
  <c r="V346" i="33260"/>
  <c r="AT440" i="33260"/>
  <c r="K430" i="33260"/>
  <c r="AK423" i="33260"/>
  <c r="AU420" i="33260"/>
  <c r="BC417" i="33260"/>
  <c r="E415" i="33260"/>
  <c r="O412" i="33260"/>
  <c r="W409" i="33260"/>
  <c r="AG406" i="33260"/>
  <c r="AQ403" i="33260"/>
  <c r="AY400" i="33260"/>
  <c r="AM399" i="33260"/>
  <c r="AI398" i="33260"/>
  <c r="AE397" i="33260"/>
  <c r="AA396" i="33260"/>
  <c r="W395" i="33260"/>
  <c r="S394" i="33260"/>
  <c r="O393" i="33260"/>
  <c r="K392" i="33260"/>
  <c r="G391" i="33260"/>
  <c r="BK389" i="33260"/>
  <c r="O389" i="33260"/>
  <c r="BK388" i="33260"/>
  <c r="BB388" i="33260"/>
  <c r="AS388" i="33260"/>
  <c r="AK388" i="33260"/>
  <c r="AC388" i="33260"/>
  <c r="U388" i="33260"/>
  <c r="M388" i="33260"/>
  <c r="E388" i="33260"/>
  <c r="BE387" i="33260"/>
  <c r="AW387" i="33260"/>
  <c r="AO387" i="33260"/>
  <c r="AG387" i="33260"/>
  <c r="Y387" i="33260"/>
  <c r="Q387" i="33260"/>
  <c r="I387" i="33260"/>
  <c r="BI386" i="33260"/>
  <c r="BA386" i="33260"/>
  <c r="AS386" i="33260"/>
  <c r="AK386" i="33260"/>
  <c r="AC386" i="33260"/>
  <c r="U386" i="33260"/>
  <c r="M386" i="33260"/>
  <c r="E386" i="33260"/>
  <c r="BE385" i="33260"/>
  <c r="AW385" i="33260"/>
  <c r="AO385" i="33260"/>
  <c r="AG385" i="33260"/>
  <c r="Y385" i="33260"/>
  <c r="Q385" i="33260"/>
  <c r="I385" i="33260"/>
  <c r="BI384" i="33260"/>
  <c r="BA384" i="33260"/>
  <c r="AS384" i="33260"/>
  <c r="AK384" i="33260"/>
  <c r="AC384" i="33260"/>
  <c r="U384" i="33260"/>
  <c r="M384" i="33260"/>
  <c r="E384" i="33260"/>
  <c r="BE383" i="33260"/>
  <c r="AW383" i="33260"/>
  <c r="AO383" i="33260"/>
  <c r="AG383" i="33260"/>
  <c r="Y383" i="33260"/>
  <c r="Q383" i="33260"/>
  <c r="I383" i="33260"/>
  <c r="BI382" i="33260"/>
  <c r="BA382" i="33260"/>
  <c r="AS382" i="33260"/>
  <c r="AK382" i="33260"/>
  <c r="AC382" i="33260"/>
  <c r="U382" i="33260"/>
  <c r="M382" i="33260"/>
  <c r="E382" i="33260"/>
  <c r="BE381" i="33260"/>
  <c r="AW381" i="33260"/>
  <c r="AO381" i="33260"/>
  <c r="AG381" i="33260"/>
  <c r="Y381" i="33260"/>
  <c r="Q381" i="33260"/>
  <c r="I381" i="33260"/>
  <c r="BI380" i="33260"/>
  <c r="BA380" i="33260"/>
  <c r="AS380" i="33260"/>
  <c r="AK380" i="33260"/>
  <c r="AC380" i="33260"/>
  <c r="U380" i="33260"/>
  <c r="M380" i="33260"/>
  <c r="E380" i="33260"/>
  <c r="BE379" i="33260"/>
  <c r="AW379" i="33260"/>
  <c r="AO379" i="33260"/>
  <c r="AG379" i="33260"/>
  <c r="Y379" i="33260"/>
  <c r="Q379" i="33260"/>
  <c r="I379" i="33260"/>
  <c r="BI378" i="33260"/>
  <c r="BA378" i="33260"/>
  <c r="AS378" i="33260"/>
  <c r="AK378" i="33260"/>
  <c r="AC378" i="33260"/>
  <c r="U378" i="33260"/>
  <c r="M378" i="33260"/>
  <c r="E378" i="33260"/>
  <c r="BE377" i="33260"/>
  <c r="AW377" i="33260"/>
  <c r="AO377" i="33260"/>
  <c r="AG377" i="33260"/>
  <c r="Y377" i="33260"/>
  <c r="Q377" i="33260"/>
  <c r="I377" i="33260"/>
  <c r="BI376" i="33260"/>
  <c r="BA376" i="33260"/>
  <c r="AS376" i="33260"/>
  <c r="AK376" i="33260"/>
  <c r="AC376" i="33260"/>
  <c r="U376" i="33260"/>
  <c r="M376" i="33260"/>
  <c r="E376" i="33260"/>
  <c r="BE375" i="33260"/>
  <c r="AW375" i="33260"/>
  <c r="AO375" i="33260"/>
  <c r="AG375" i="33260"/>
  <c r="Y375" i="33260"/>
  <c r="Q375" i="33260"/>
  <c r="I375" i="33260"/>
  <c r="BI374" i="33260"/>
  <c r="BA374" i="33260"/>
  <c r="AS374" i="33260"/>
  <c r="AK374" i="33260"/>
  <c r="AC374" i="33260"/>
  <c r="U374" i="33260"/>
  <c r="M374" i="33260"/>
  <c r="E374" i="33260"/>
  <c r="BE373" i="33260"/>
  <c r="AW373" i="33260"/>
  <c r="AO373" i="33260"/>
  <c r="AG373" i="33260"/>
  <c r="Y373" i="33260"/>
  <c r="Q373" i="33260"/>
  <c r="I373" i="33260"/>
  <c r="BI372" i="33260"/>
  <c r="BA372" i="33260"/>
  <c r="AS372" i="33260"/>
  <c r="AK372" i="33260"/>
  <c r="AC372" i="33260"/>
  <c r="U372" i="33260"/>
  <c r="M372" i="33260"/>
  <c r="E372" i="33260"/>
  <c r="BE371" i="33260"/>
  <c r="AW371" i="33260"/>
  <c r="AO371" i="33260"/>
  <c r="AG371" i="33260"/>
  <c r="Y371" i="33260"/>
  <c r="Q371" i="33260"/>
  <c r="I371" i="33260"/>
  <c r="BI370" i="33260"/>
  <c r="BA370" i="33260"/>
  <c r="AS370" i="33260"/>
  <c r="AK370" i="33260"/>
  <c r="AC370" i="33260"/>
  <c r="U370" i="33260"/>
  <c r="M370" i="33260"/>
  <c r="E370" i="33260"/>
  <c r="BE369" i="33260"/>
  <c r="AW369" i="33260"/>
  <c r="AO369" i="33260"/>
  <c r="AG369" i="33260"/>
  <c r="Y369" i="33260"/>
  <c r="Q369" i="33260"/>
  <c r="I369" i="33260"/>
  <c r="BI368" i="33260"/>
  <c r="BA368" i="33260"/>
  <c r="AS368" i="33260"/>
  <c r="AK368" i="33260"/>
  <c r="AC368" i="33260"/>
  <c r="U368" i="33260"/>
  <c r="M368" i="33260"/>
  <c r="E368" i="33260"/>
  <c r="BE367" i="33260"/>
  <c r="AW367" i="33260"/>
  <c r="AO367" i="33260"/>
  <c r="AG367" i="33260"/>
  <c r="Y367" i="33260"/>
  <c r="Q367" i="33260"/>
  <c r="I367" i="33260"/>
  <c r="BI366" i="33260"/>
  <c r="BA366" i="33260"/>
  <c r="AS366" i="33260"/>
  <c r="AK366" i="33260"/>
  <c r="AC366" i="33260"/>
  <c r="U366" i="33260"/>
  <c r="M366" i="33260"/>
  <c r="E366" i="33260"/>
  <c r="BE365" i="33260"/>
  <c r="AW365" i="33260"/>
  <c r="AO365" i="33260"/>
  <c r="AG365" i="33260"/>
  <c r="Y365" i="33260"/>
  <c r="Q365" i="33260"/>
  <c r="I365" i="33260"/>
  <c r="BI364" i="33260"/>
  <c r="BA364" i="33260"/>
  <c r="AS364" i="33260"/>
  <c r="AK364" i="33260"/>
  <c r="AC364" i="33260"/>
  <c r="U364" i="33260"/>
  <c r="M364" i="33260"/>
  <c r="E364" i="33260"/>
  <c r="BE363" i="33260"/>
  <c r="AW363" i="33260"/>
  <c r="AO363" i="33260"/>
  <c r="AG363" i="33260"/>
  <c r="Y363" i="33260"/>
  <c r="Q363" i="33260"/>
  <c r="I363" i="33260"/>
  <c r="BI362" i="33260"/>
  <c r="BA362" i="33260"/>
  <c r="AS362" i="33260"/>
  <c r="AK362" i="33260"/>
  <c r="AC362" i="33260"/>
  <c r="U362" i="33260"/>
  <c r="M362" i="33260"/>
  <c r="E362" i="33260"/>
  <c r="BE361" i="33260"/>
  <c r="AW361" i="33260"/>
  <c r="AO361" i="33260"/>
  <c r="AG361" i="33260"/>
  <c r="Y361" i="33260"/>
  <c r="Q361" i="33260"/>
  <c r="I361" i="33260"/>
  <c r="BI360" i="33260"/>
  <c r="BA360" i="33260"/>
  <c r="AS360" i="33260"/>
  <c r="AK360" i="33260"/>
  <c r="AC360" i="33260"/>
  <c r="U360" i="33260"/>
  <c r="M360" i="33260"/>
  <c r="E360" i="33260"/>
  <c r="BE359" i="33260"/>
  <c r="AW359" i="33260"/>
  <c r="AO359" i="33260"/>
  <c r="AG359" i="33260"/>
  <c r="Y359" i="33260"/>
  <c r="Q359" i="33260"/>
  <c r="I359" i="33260"/>
  <c r="BI358" i="33260"/>
  <c r="BA358" i="33260"/>
  <c r="AS358" i="33260"/>
  <c r="AK358" i="33260"/>
  <c r="AC358" i="33260"/>
  <c r="U358" i="33260"/>
  <c r="M358" i="33260"/>
  <c r="E358" i="33260"/>
  <c r="BE357" i="33260"/>
  <c r="AW357" i="33260"/>
  <c r="AO357" i="33260"/>
  <c r="AG357" i="33260"/>
  <c r="Y357" i="33260"/>
  <c r="Q357" i="33260"/>
  <c r="I357" i="33260"/>
  <c r="BI356" i="33260"/>
  <c r="BA356" i="33260"/>
  <c r="AS356" i="33260"/>
  <c r="AK356" i="33260"/>
  <c r="AC356" i="33260"/>
  <c r="U356" i="33260"/>
  <c r="M356" i="33260"/>
  <c r="E356" i="33260"/>
  <c r="BE355" i="33260"/>
  <c r="AW355" i="33260"/>
  <c r="AO355" i="33260"/>
  <c r="AG355" i="33260"/>
  <c r="Y355" i="33260"/>
  <c r="Q355" i="33260"/>
  <c r="I355" i="33260"/>
  <c r="BI354" i="33260"/>
  <c r="BA354" i="33260"/>
  <c r="AS354" i="33260"/>
  <c r="AK354" i="33260"/>
  <c r="AC354" i="33260"/>
  <c r="U354" i="33260"/>
  <c r="M354" i="33260"/>
  <c r="E354" i="33260"/>
  <c r="BE353" i="33260"/>
  <c r="AW353" i="33260"/>
  <c r="AO353" i="33260"/>
  <c r="AG353" i="33260"/>
  <c r="Y353" i="33260"/>
  <c r="Q353" i="33260"/>
  <c r="I353" i="33260"/>
  <c r="BI352" i="33260"/>
  <c r="BA352" i="33260"/>
  <c r="AS352" i="33260"/>
  <c r="AK352" i="33260"/>
  <c r="AC352" i="33260"/>
  <c r="U352" i="33260"/>
  <c r="M352" i="33260"/>
  <c r="E352" i="33260"/>
  <c r="BE351" i="33260"/>
  <c r="AW351" i="33260"/>
  <c r="AO351" i="33260"/>
  <c r="AG351" i="33260"/>
  <c r="Y351" i="33260"/>
  <c r="Q351" i="33260"/>
  <c r="I351" i="33260"/>
  <c r="BI350" i="33260"/>
  <c r="BA350" i="33260"/>
  <c r="AS350" i="33260"/>
  <c r="AK350" i="33260"/>
  <c r="AC350" i="33260"/>
  <c r="U350" i="33260"/>
  <c r="M350" i="33260"/>
  <c r="E350" i="33260"/>
  <c r="BE349" i="33260"/>
  <c r="AW349" i="33260"/>
  <c r="AO349" i="33260"/>
  <c r="AG349" i="33260"/>
  <c r="Y349" i="33260"/>
  <c r="Q349" i="33260"/>
  <c r="I349" i="33260"/>
  <c r="BI348" i="33260"/>
  <c r="BA348" i="33260"/>
  <c r="AS348" i="33260"/>
  <c r="AK348" i="33260"/>
  <c r="AC348" i="33260"/>
  <c r="U348" i="33260"/>
  <c r="M348" i="33260"/>
  <c r="E348" i="33260"/>
  <c r="BE347" i="33260"/>
  <c r="AW347" i="33260"/>
  <c r="AO347" i="33260"/>
  <c r="AG347" i="33260"/>
  <c r="Y347" i="33260"/>
  <c r="Q347" i="33260"/>
  <c r="I347" i="33260"/>
  <c r="BI346" i="33260"/>
  <c r="BA346" i="33260"/>
  <c r="AS346" i="33260"/>
  <c r="AK346" i="33260"/>
  <c r="BB437" i="33260"/>
  <c r="K406" i="33260"/>
  <c r="K394" i="33260"/>
  <c r="AR388" i="33260"/>
  <c r="AN387" i="33260"/>
  <c r="AJ386" i="33260"/>
  <c r="AF385" i="33260"/>
  <c r="AB384" i="33260"/>
  <c r="X383" i="33260"/>
  <c r="T382" i="33260"/>
  <c r="P381" i="33260"/>
  <c r="L380" i="33260"/>
  <c r="H379" i="33260"/>
  <c r="D378" i="33260"/>
  <c r="BH376" i="33260"/>
  <c r="BD375" i="33260"/>
  <c r="AZ374" i="33260"/>
  <c r="AV373" i="33260"/>
  <c r="AR372" i="33260"/>
  <c r="AN371" i="33260"/>
  <c r="AJ370" i="33260"/>
  <c r="AF369" i="33260"/>
  <c r="AJ368" i="33260"/>
  <c r="P368" i="33260"/>
  <c r="BB367" i="33260"/>
  <c r="AF367" i="33260"/>
  <c r="L367" i="33260"/>
  <c r="AX366" i="33260"/>
  <c r="AB366" i="33260"/>
  <c r="H366" i="33260"/>
  <c r="AT365" i="33260"/>
  <c r="X365" i="33260"/>
  <c r="D365" i="33260"/>
  <c r="AP364" i="33260"/>
  <c r="T364" i="33260"/>
  <c r="BH363" i="33260"/>
  <c r="AL363" i="33260"/>
  <c r="P363" i="33260"/>
  <c r="BD362" i="33260"/>
  <c r="AH362" i="33260"/>
  <c r="L362" i="33260"/>
  <c r="AZ361" i="33260"/>
  <c r="AD361" i="33260"/>
  <c r="H361" i="33260"/>
  <c r="AV360" i="33260"/>
  <c r="Z360" i="33260"/>
  <c r="D360" i="33260"/>
  <c r="AR359" i="33260"/>
  <c r="V359" i="33260"/>
  <c r="BH358" i="33260"/>
  <c r="AN358" i="33260"/>
  <c r="R358" i="33260"/>
  <c r="BD357" i="33260"/>
  <c r="AJ357" i="33260"/>
  <c r="N357" i="33260"/>
  <c r="AZ356" i="33260"/>
  <c r="AF356" i="33260"/>
  <c r="J356" i="33260"/>
  <c r="AV355" i="33260"/>
  <c r="AB355" i="33260"/>
  <c r="F355" i="33260"/>
  <c r="AR354" i="33260"/>
  <c r="X354" i="33260"/>
  <c r="BJ353" i="33260"/>
  <c r="AN353" i="33260"/>
  <c r="T353" i="33260"/>
  <c r="BF352" i="33260"/>
  <c r="AJ352" i="33260"/>
  <c r="P352" i="33260"/>
  <c r="BB351" i="33260"/>
  <c r="AF351" i="33260"/>
  <c r="L351" i="33260"/>
  <c r="AX350" i="33260"/>
  <c r="AB350" i="33260"/>
  <c r="H350" i="33260"/>
  <c r="AT349" i="33260"/>
  <c r="X349" i="33260"/>
  <c r="D349" i="33260"/>
  <c r="AP348" i="33260"/>
  <c r="T348" i="33260"/>
  <c r="BH347" i="33260"/>
  <c r="AL347" i="33260"/>
  <c r="P347" i="33260"/>
  <c r="BD346" i="33260"/>
  <c r="AI346" i="33260"/>
  <c r="Z346" i="33260"/>
  <c r="Q346" i="33260"/>
  <c r="I346" i="33260"/>
  <c r="BI345" i="33260"/>
  <c r="BA345" i="33260"/>
  <c r="AS345" i="33260"/>
  <c r="AK345" i="33260"/>
  <c r="AC345" i="33260"/>
  <c r="U345" i="33260"/>
  <c r="M345" i="33260"/>
  <c r="E345" i="33260"/>
  <c r="BE344" i="33260"/>
  <c r="AW344" i="33260"/>
  <c r="AO344" i="33260"/>
  <c r="AG344" i="33260"/>
  <c r="Y344" i="33260"/>
  <c r="Q344" i="33260"/>
  <c r="I344" i="33260"/>
  <c r="BI343" i="33260"/>
  <c r="BA343" i="33260"/>
  <c r="AS343" i="33260"/>
  <c r="AK343" i="33260"/>
  <c r="AC343" i="33260"/>
  <c r="U343" i="33260"/>
  <c r="M343" i="33260"/>
  <c r="E343" i="33260"/>
  <c r="BE342" i="33260"/>
  <c r="AW342" i="33260"/>
  <c r="AO342" i="33260"/>
  <c r="AG342" i="33260"/>
  <c r="Y342" i="33260"/>
  <c r="Q342" i="33260"/>
  <c r="I342" i="33260"/>
  <c r="BI341" i="33260"/>
  <c r="BA341" i="33260"/>
  <c r="AS341" i="33260"/>
  <c r="AK341" i="33260"/>
  <c r="AC341" i="33260"/>
  <c r="U341" i="33260"/>
  <c r="M341" i="33260"/>
  <c r="E341" i="33260"/>
  <c r="BE340" i="33260"/>
  <c r="AW340" i="33260"/>
  <c r="AO340" i="33260"/>
  <c r="AG340" i="33260"/>
  <c r="Y340" i="33260"/>
  <c r="Q340" i="33260"/>
  <c r="I340" i="33260"/>
  <c r="BI339" i="33260"/>
  <c r="BA339" i="33260"/>
  <c r="AS339" i="33260"/>
  <c r="AK339" i="33260"/>
  <c r="AC339" i="33260"/>
  <c r="U339" i="33260"/>
  <c r="M339" i="33260"/>
  <c r="E339" i="33260"/>
  <c r="BE338" i="33260"/>
  <c r="AW338" i="33260"/>
  <c r="AO338" i="33260"/>
  <c r="AG338" i="33260"/>
  <c r="Y338" i="33260"/>
  <c r="Q338" i="33260"/>
  <c r="I338" i="33260"/>
  <c r="BI337" i="33260"/>
  <c r="BA337" i="33260"/>
  <c r="AS337" i="33260"/>
  <c r="AK337" i="33260"/>
  <c r="AC337" i="33260"/>
  <c r="U337" i="33260"/>
  <c r="M337" i="33260"/>
  <c r="E337" i="33260"/>
  <c r="BE336" i="33260"/>
  <c r="AW336" i="33260"/>
  <c r="AO336" i="33260"/>
  <c r="AG336" i="33260"/>
  <c r="Y336" i="33260"/>
  <c r="Q336" i="33260"/>
  <c r="I336" i="33260"/>
  <c r="BI335" i="33260"/>
  <c r="BA335" i="33260"/>
  <c r="AS335" i="33260"/>
  <c r="AK335" i="33260"/>
  <c r="AC335" i="33260"/>
  <c r="U335" i="33260"/>
  <c r="M335" i="33260"/>
  <c r="E335" i="33260"/>
  <c r="BE334" i="33260"/>
  <c r="AW334" i="33260"/>
  <c r="AO334" i="33260"/>
  <c r="AG334" i="33260"/>
  <c r="Y334" i="33260"/>
  <c r="Q334" i="33260"/>
  <c r="I334" i="33260"/>
  <c r="BI333" i="33260"/>
  <c r="BA333" i="33260"/>
  <c r="AS333" i="33260"/>
  <c r="AK333" i="33260"/>
  <c r="AC333" i="33260"/>
  <c r="U333" i="33260"/>
  <c r="M333" i="33260"/>
  <c r="E333" i="33260"/>
  <c r="BE332" i="33260"/>
  <c r="AW332" i="33260"/>
  <c r="AO332" i="33260"/>
  <c r="AG332" i="33260"/>
  <c r="Y332" i="33260"/>
  <c r="Q332" i="33260"/>
  <c r="I332" i="33260"/>
  <c r="BI331" i="33260"/>
  <c r="BA331" i="33260"/>
  <c r="AS331" i="33260"/>
  <c r="AK331" i="33260"/>
  <c r="AC331" i="33260"/>
  <c r="U331" i="33260"/>
  <c r="M331" i="33260"/>
  <c r="E331" i="33260"/>
  <c r="BE330" i="33260"/>
  <c r="AW330" i="33260"/>
  <c r="AO330" i="33260"/>
  <c r="AG330" i="33260"/>
  <c r="Y330" i="33260"/>
  <c r="Q330" i="33260"/>
  <c r="I330" i="33260"/>
  <c r="BI329" i="33260"/>
  <c r="BA329" i="33260"/>
  <c r="AS329" i="33260"/>
  <c r="AK329" i="33260"/>
  <c r="AC329" i="33260"/>
  <c r="U329" i="33260"/>
  <c r="M329" i="33260"/>
  <c r="E329" i="33260"/>
  <c r="BE328" i="33260"/>
  <c r="AW328" i="33260"/>
  <c r="AO328" i="33260"/>
  <c r="AG328" i="33260"/>
  <c r="Y328" i="33260"/>
  <c r="Q328" i="33260"/>
  <c r="I328" i="33260"/>
  <c r="BI327" i="33260"/>
  <c r="BA327" i="33260"/>
  <c r="AS327" i="33260"/>
  <c r="AK327" i="33260"/>
  <c r="AC327" i="33260"/>
  <c r="U327" i="33260"/>
  <c r="M327" i="33260"/>
  <c r="E327" i="33260"/>
  <c r="BE326" i="33260"/>
  <c r="AW326" i="33260"/>
  <c r="AO326" i="33260"/>
  <c r="AG326" i="33260"/>
  <c r="Y326" i="33260"/>
  <c r="Q326" i="33260"/>
  <c r="I326" i="33260"/>
  <c r="BI325" i="33260"/>
  <c r="BA325" i="33260"/>
  <c r="AS325" i="33260"/>
  <c r="AK325" i="33260"/>
  <c r="AC325" i="33260"/>
  <c r="U325" i="33260"/>
  <c r="M325" i="33260"/>
  <c r="E325" i="33260"/>
  <c r="BE324" i="33260"/>
  <c r="AW324" i="33260"/>
  <c r="AO324" i="33260"/>
  <c r="AG324" i="33260"/>
  <c r="Y324" i="33260"/>
  <c r="Q324" i="33260"/>
  <c r="I324" i="33260"/>
  <c r="BI323" i="33260"/>
  <c r="BA323" i="33260"/>
  <c r="AS323" i="33260"/>
  <c r="AK323" i="33260"/>
  <c r="AC323" i="33260"/>
  <c r="U323" i="33260"/>
  <c r="M323" i="33260"/>
  <c r="E323" i="33260"/>
  <c r="BE322" i="33260"/>
  <c r="AW322" i="33260"/>
  <c r="AO322" i="33260"/>
  <c r="AG322" i="33260"/>
  <c r="Y322" i="33260"/>
  <c r="Q322" i="33260"/>
  <c r="I322" i="33260"/>
  <c r="BI321" i="33260"/>
  <c r="BA321" i="33260"/>
  <c r="AS321" i="33260"/>
  <c r="AK321" i="33260"/>
  <c r="AC321" i="33260"/>
  <c r="U321" i="33260"/>
  <c r="M321" i="33260"/>
  <c r="E321" i="33260"/>
  <c r="BE320" i="33260"/>
  <c r="AW320" i="33260"/>
  <c r="AO320" i="33260"/>
  <c r="AG320" i="33260"/>
  <c r="Y320" i="33260"/>
  <c r="Q320" i="33260"/>
  <c r="I320" i="33260"/>
  <c r="BI319" i="33260"/>
  <c r="BA319" i="33260"/>
  <c r="AS319" i="33260"/>
  <c r="AK319" i="33260"/>
  <c r="AC319" i="33260"/>
  <c r="U319" i="33260"/>
  <c r="M319" i="33260"/>
  <c r="E319" i="33260"/>
  <c r="BE318" i="33260"/>
  <c r="AW318" i="33260"/>
  <c r="AO318" i="33260"/>
  <c r="AG318" i="33260"/>
  <c r="Y318" i="33260"/>
  <c r="Q318" i="33260"/>
  <c r="I318" i="33260"/>
  <c r="BI317" i="33260"/>
  <c r="BA317" i="33260"/>
  <c r="AS317" i="33260"/>
  <c r="AK317" i="33260"/>
  <c r="AC317" i="33260"/>
  <c r="U317" i="33260"/>
  <c r="M317" i="33260"/>
  <c r="E317" i="33260"/>
  <c r="BE316" i="33260"/>
  <c r="AW316" i="33260"/>
  <c r="AO316" i="33260"/>
  <c r="AG316" i="33260"/>
  <c r="Y316" i="33260"/>
  <c r="Q316" i="33260"/>
  <c r="I316" i="33260"/>
  <c r="BI315" i="33260"/>
  <c r="BA315" i="33260"/>
  <c r="AS315" i="33260"/>
  <c r="AK315" i="33260"/>
  <c r="AC315" i="33260"/>
  <c r="U315" i="33260"/>
  <c r="M315" i="33260"/>
  <c r="E315" i="33260"/>
  <c r="BE314" i="33260"/>
  <c r="AW314" i="33260"/>
  <c r="AO314" i="33260"/>
  <c r="AG314" i="33260"/>
  <c r="Y314" i="33260"/>
  <c r="Q314" i="33260"/>
  <c r="I314" i="33260"/>
  <c r="BI313" i="33260"/>
  <c r="BA313" i="33260"/>
  <c r="AS313" i="33260"/>
  <c r="AK313" i="33260"/>
  <c r="AC313" i="33260"/>
  <c r="U313" i="33260"/>
  <c r="M313" i="33260"/>
  <c r="E313" i="33260"/>
  <c r="BE312" i="33260"/>
  <c r="AW312" i="33260"/>
  <c r="AO312" i="33260"/>
  <c r="AG312" i="33260"/>
  <c r="Y312" i="33260"/>
  <c r="G429" i="33260"/>
  <c r="U403" i="33260"/>
  <c r="G393" i="33260"/>
  <c r="AJ388" i="33260"/>
  <c r="AF387" i="33260"/>
  <c r="AB386" i="33260"/>
  <c r="X385" i="33260"/>
  <c r="T384" i="33260"/>
  <c r="P383" i="33260"/>
  <c r="L382" i="33260"/>
  <c r="H381" i="33260"/>
  <c r="D380" i="33260"/>
  <c r="BH378" i="33260"/>
  <c r="BD377" i="33260"/>
  <c r="AZ376" i="33260"/>
  <c r="AV375" i="33260"/>
  <c r="AR374" i="33260"/>
  <c r="AN373" i="33260"/>
  <c r="AJ372" i="33260"/>
  <c r="AF371" i="33260"/>
  <c r="AB370" i="33260"/>
  <c r="X369" i="33260"/>
  <c r="AH368" i="33260"/>
  <c r="L368" i="33260"/>
  <c r="AZ367" i="33260"/>
  <c r="AD367" i="33260"/>
  <c r="H367" i="33260"/>
  <c r="AV366" i="33260"/>
  <c r="Z366" i="33260"/>
  <c r="D366" i="33260"/>
  <c r="AR365" i="33260"/>
  <c r="V365" i="33260"/>
  <c r="BH364" i="33260"/>
  <c r="AN364" i="33260"/>
  <c r="R364" i="33260"/>
  <c r="BD363" i="33260"/>
  <c r="AJ363" i="33260"/>
  <c r="N363" i="33260"/>
  <c r="AZ362" i="33260"/>
  <c r="AF362" i="33260"/>
  <c r="J362" i="33260"/>
  <c r="AV361" i="33260"/>
  <c r="AB361" i="33260"/>
  <c r="F361" i="33260"/>
  <c r="AR360" i="33260"/>
  <c r="X360" i="33260"/>
  <c r="BJ359" i="33260"/>
  <c r="AN359" i="33260"/>
  <c r="T359" i="33260"/>
  <c r="BF358" i="33260"/>
  <c r="AJ358" i="33260"/>
  <c r="P358" i="33260"/>
  <c r="BB357" i="33260"/>
  <c r="AF357" i="33260"/>
  <c r="L357" i="33260"/>
  <c r="AX356" i="33260"/>
  <c r="AB356" i="33260"/>
  <c r="H356" i="33260"/>
  <c r="AT355" i="33260"/>
  <c r="X355" i="33260"/>
  <c r="D355" i="33260"/>
  <c r="AP354" i="33260"/>
  <c r="T354" i="33260"/>
  <c r="BH353" i="33260"/>
  <c r="AL353" i="33260"/>
  <c r="P353" i="33260"/>
  <c r="BD352" i="33260"/>
  <c r="AH352" i="33260"/>
  <c r="L352" i="33260"/>
  <c r="AZ351" i="33260"/>
  <c r="AD351" i="33260"/>
  <c r="H351" i="33260"/>
  <c r="AV350" i="33260"/>
  <c r="Z350" i="33260"/>
  <c r="D350" i="33260"/>
  <c r="AR349" i="33260"/>
  <c r="V349" i="33260"/>
  <c r="BH348" i="33260"/>
  <c r="AN348" i="33260"/>
  <c r="R348" i="33260"/>
  <c r="BD347" i="33260"/>
  <c r="AJ347" i="33260"/>
  <c r="N347" i="33260"/>
  <c r="AZ346" i="33260"/>
  <c r="AH346" i="33260"/>
  <c r="Y346" i="33260"/>
  <c r="P346" i="33260"/>
  <c r="H346" i="33260"/>
  <c r="BH345" i="33260"/>
  <c r="AZ345" i="33260"/>
  <c r="AR345" i="33260"/>
  <c r="AJ345" i="33260"/>
  <c r="AB345" i="33260"/>
  <c r="T345" i="33260"/>
  <c r="L345" i="33260"/>
  <c r="D345" i="33260"/>
  <c r="BD344" i="33260"/>
  <c r="AV344" i="33260"/>
  <c r="AN344" i="33260"/>
  <c r="AF344" i="33260"/>
  <c r="X344" i="33260"/>
  <c r="P344" i="33260"/>
  <c r="H344" i="33260"/>
  <c r="BH343" i="33260"/>
  <c r="AZ343" i="33260"/>
  <c r="AR343" i="33260"/>
  <c r="AJ343" i="33260"/>
  <c r="AB343" i="33260"/>
  <c r="T343" i="33260"/>
  <c r="L343" i="33260"/>
  <c r="D343" i="33260"/>
  <c r="BD342" i="33260"/>
  <c r="AV342" i="33260"/>
  <c r="AN342" i="33260"/>
  <c r="AF342" i="33260"/>
  <c r="X342" i="33260"/>
  <c r="P342" i="33260"/>
  <c r="H342" i="33260"/>
  <c r="BH341" i="33260"/>
  <c r="AZ341" i="33260"/>
  <c r="AR341" i="33260"/>
  <c r="AJ341" i="33260"/>
  <c r="AB341" i="33260"/>
  <c r="T341" i="33260"/>
  <c r="L341" i="33260"/>
  <c r="D341" i="33260"/>
  <c r="BD340" i="33260"/>
  <c r="AV340" i="33260"/>
  <c r="AN340" i="33260"/>
  <c r="AF340" i="33260"/>
  <c r="X340" i="33260"/>
  <c r="P340" i="33260"/>
  <c r="H340" i="33260"/>
  <c r="BH339" i="33260"/>
  <c r="AZ339" i="33260"/>
  <c r="AR339" i="33260"/>
  <c r="AJ339" i="33260"/>
  <c r="AB339" i="33260"/>
  <c r="T339" i="33260"/>
  <c r="L339" i="33260"/>
  <c r="D339" i="33260"/>
  <c r="BD338" i="33260"/>
  <c r="AV338" i="33260"/>
  <c r="AN338" i="33260"/>
  <c r="AF338" i="33260"/>
  <c r="X338" i="33260"/>
  <c r="P338" i="33260"/>
  <c r="H338" i="33260"/>
  <c r="BH337" i="33260"/>
  <c r="AZ337" i="33260"/>
  <c r="AR337" i="33260"/>
  <c r="AJ337" i="33260"/>
  <c r="AB337" i="33260"/>
  <c r="T337" i="33260"/>
  <c r="L337" i="33260"/>
  <c r="D337" i="33260"/>
  <c r="BD336" i="33260"/>
  <c r="AV336" i="33260"/>
  <c r="AN336" i="33260"/>
  <c r="AF336" i="33260"/>
  <c r="X336" i="33260"/>
  <c r="P336" i="33260"/>
  <c r="H336" i="33260"/>
  <c r="BH335" i="33260"/>
  <c r="AZ335" i="33260"/>
  <c r="AR335" i="33260"/>
  <c r="AJ335" i="33260"/>
  <c r="AB335" i="33260"/>
  <c r="T335" i="33260"/>
  <c r="L335" i="33260"/>
  <c r="D335" i="33260"/>
  <c r="BD334" i="33260"/>
  <c r="AV334" i="33260"/>
  <c r="AN334" i="33260"/>
  <c r="AF334" i="33260"/>
  <c r="X334" i="33260"/>
  <c r="P334" i="33260"/>
  <c r="H334" i="33260"/>
  <c r="BH333" i="33260"/>
  <c r="AZ333" i="33260"/>
  <c r="AR333" i="33260"/>
  <c r="AJ333" i="33260"/>
  <c r="AB333" i="33260"/>
  <c r="T333" i="33260"/>
  <c r="L333" i="33260"/>
  <c r="D333" i="33260"/>
  <c r="BD332" i="33260"/>
  <c r="AV332" i="33260"/>
  <c r="AN332" i="33260"/>
  <c r="AF332" i="33260"/>
  <c r="X332" i="33260"/>
  <c r="P332" i="33260"/>
  <c r="H332" i="33260"/>
  <c r="BH331" i="33260"/>
  <c r="AZ331" i="33260"/>
  <c r="AR331" i="33260"/>
  <c r="AJ331" i="33260"/>
  <c r="AB331" i="33260"/>
  <c r="T331" i="33260"/>
  <c r="L331" i="33260"/>
  <c r="D331" i="33260"/>
  <c r="BD330" i="33260"/>
  <c r="AV330" i="33260"/>
  <c r="AN330" i="33260"/>
  <c r="AF330" i="33260"/>
  <c r="X330" i="33260"/>
  <c r="P330" i="33260"/>
  <c r="H330" i="33260"/>
  <c r="BH329" i="33260"/>
  <c r="AZ329" i="33260"/>
  <c r="AR329" i="33260"/>
  <c r="AJ329" i="33260"/>
  <c r="AB329" i="33260"/>
  <c r="T329" i="33260"/>
  <c r="L329" i="33260"/>
  <c r="D329" i="33260"/>
  <c r="BD328" i="33260"/>
  <c r="AV328" i="33260"/>
  <c r="AN328" i="33260"/>
  <c r="AF328" i="33260"/>
  <c r="X328" i="33260"/>
  <c r="P328" i="33260"/>
  <c r="H328" i="33260"/>
  <c r="BH327" i="33260"/>
  <c r="AZ327" i="33260"/>
  <c r="AR327" i="33260"/>
  <c r="AJ327" i="33260"/>
  <c r="AB327" i="33260"/>
  <c r="T327" i="33260"/>
  <c r="L327" i="33260"/>
  <c r="D327" i="33260"/>
  <c r="BD326" i="33260"/>
  <c r="AV326" i="33260"/>
  <c r="AN326" i="33260"/>
  <c r="AF326" i="33260"/>
  <c r="X326" i="33260"/>
  <c r="P326" i="33260"/>
  <c r="H326" i="33260"/>
  <c r="BH325" i="33260"/>
  <c r="AZ325" i="33260"/>
  <c r="AR325" i="33260"/>
  <c r="AJ325" i="33260"/>
  <c r="AB325" i="33260"/>
  <c r="T325" i="33260"/>
  <c r="L325" i="33260"/>
  <c r="D325" i="33260"/>
  <c r="BD324" i="33260"/>
  <c r="AV324" i="33260"/>
  <c r="AN324" i="33260"/>
  <c r="AF324" i="33260"/>
  <c r="X324" i="33260"/>
  <c r="P324" i="33260"/>
  <c r="H324" i="33260"/>
  <c r="BH323" i="33260"/>
  <c r="AZ323" i="33260"/>
  <c r="AR323" i="33260"/>
  <c r="AJ323" i="33260"/>
  <c r="AB323" i="33260"/>
  <c r="T323" i="33260"/>
  <c r="L323" i="33260"/>
  <c r="D323" i="33260"/>
  <c r="BD322" i="33260"/>
  <c r="AV322" i="33260"/>
  <c r="AN322" i="33260"/>
  <c r="AF322" i="33260"/>
  <c r="X322" i="33260"/>
  <c r="P322" i="33260"/>
  <c r="H322" i="33260"/>
  <c r="BH321" i="33260"/>
  <c r="AZ321" i="33260"/>
  <c r="AR321" i="33260"/>
  <c r="AJ321" i="33260"/>
  <c r="AB321" i="33260"/>
  <c r="T321" i="33260"/>
  <c r="L321" i="33260"/>
  <c r="D321" i="33260"/>
  <c r="BD320" i="33260"/>
  <c r="AV320" i="33260"/>
  <c r="AN320" i="33260"/>
  <c r="AF320" i="33260"/>
  <c r="X320" i="33260"/>
  <c r="P320" i="33260"/>
  <c r="H320" i="33260"/>
  <c r="BH319" i="33260"/>
  <c r="AZ319" i="33260"/>
  <c r="AR319" i="33260"/>
  <c r="AJ319" i="33260"/>
  <c r="AB319" i="33260"/>
  <c r="T319" i="33260"/>
  <c r="L319" i="33260"/>
  <c r="D319" i="33260"/>
  <c r="BD318" i="33260"/>
  <c r="AV318" i="33260"/>
  <c r="AN318" i="33260"/>
  <c r="AF318" i="33260"/>
  <c r="X318" i="33260"/>
  <c r="P318" i="33260"/>
  <c r="H318" i="33260"/>
  <c r="BH317" i="33260"/>
  <c r="AZ317" i="33260"/>
  <c r="AR317" i="33260"/>
  <c r="AJ317" i="33260"/>
  <c r="AB317" i="33260"/>
  <c r="T317" i="33260"/>
  <c r="L317" i="33260"/>
  <c r="D317" i="33260"/>
  <c r="BD316" i="33260"/>
  <c r="AV316" i="33260"/>
  <c r="AN316" i="33260"/>
  <c r="AF316" i="33260"/>
  <c r="X316" i="33260"/>
  <c r="P316" i="33260"/>
  <c r="H316" i="33260"/>
  <c r="BH315" i="33260"/>
  <c r="AZ315" i="33260"/>
  <c r="AR315" i="33260"/>
  <c r="AJ315" i="33260"/>
  <c r="AB315" i="33260"/>
  <c r="T315" i="33260"/>
  <c r="L315" i="33260"/>
  <c r="D315" i="33260"/>
  <c r="BD314" i="33260"/>
  <c r="AV314" i="33260"/>
  <c r="AN314" i="33260"/>
  <c r="AF314" i="33260"/>
  <c r="X314" i="33260"/>
  <c r="P314" i="33260"/>
  <c r="H314" i="33260"/>
  <c r="BH313" i="33260"/>
  <c r="AZ313" i="33260"/>
  <c r="AR313" i="33260"/>
  <c r="AJ313" i="33260"/>
  <c r="AB313" i="33260"/>
  <c r="T313" i="33260"/>
  <c r="L313" i="33260"/>
  <c r="D313" i="33260"/>
  <c r="BD312" i="33260"/>
  <c r="AV312" i="33260"/>
  <c r="AN312" i="33260"/>
  <c r="AF312" i="33260"/>
  <c r="X312" i="33260"/>
  <c r="O423" i="33260"/>
  <c r="AI400" i="33260"/>
  <c r="BK391" i="33260"/>
  <c r="AB388" i="33260"/>
  <c r="X387" i="33260"/>
  <c r="T386" i="33260"/>
  <c r="P385" i="33260"/>
  <c r="L384" i="33260"/>
  <c r="H383" i="33260"/>
  <c r="D382" i="33260"/>
  <c r="BH380" i="33260"/>
  <c r="BD379" i="33260"/>
  <c r="AZ378" i="33260"/>
  <c r="AV377" i="33260"/>
  <c r="AR376" i="33260"/>
  <c r="AN375" i="33260"/>
  <c r="AJ374" i="33260"/>
  <c r="AF373" i="33260"/>
  <c r="AB372" i="33260"/>
  <c r="X371" i="33260"/>
  <c r="T370" i="33260"/>
  <c r="P369" i="33260"/>
  <c r="AF368" i="33260"/>
  <c r="J368" i="33260"/>
  <c r="AV367" i="33260"/>
  <c r="AB367" i="33260"/>
  <c r="F367" i="33260"/>
  <c r="AR366" i="33260"/>
  <c r="X366" i="33260"/>
  <c r="BJ365" i="33260"/>
  <c r="AN365" i="33260"/>
  <c r="T365" i="33260"/>
  <c r="BF364" i="33260"/>
  <c r="AJ364" i="33260"/>
  <c r="P364" i="33260"/>
  <c r="BB363" i="33260"/>
  <c r="AF363" i="33260"/>
  <c r="L363" i="33260"/>
  <c r="AX362" i="33260"/>
  <c r="AB362" i="33260"/>
  <c r="H362" i="33260"/>
  <c r="AT361" i="33260"/>
  <c r="X361" i="33260"/>
  <c r="D361" i="33260"/>
  <c r="AP360" i="33260"/>
  <c r="T360" i="33260"/>
  <c r="BH359" i="33260"/>
  <c r="AL359" i="33260"/>
  <c r="P359" i="33260"/>
  <c r="BD358" i="33260"/>
  <c r="AH358" i="33260"/>
  <c r="L358" i="33260"/>
  <c r="AZ357" i="33260"/>
  <c r="AD357" i="33260"/>
  <c r="H357" i="33260"/>
  <c r="AV356" i="33260"/>
  <c r="Z356" i="33260"/>
  <c r="D356" i="33260"/>
  <c r="AR355" i="33260"/>
  <c r="V355" i="33260"/>
  <c r="BH354" i="33260"/>
  <c r="AN354" i="33260"/>
  <c r="R354" i="33260"/>
  <c r="BD353" i="33260"/>
  <c r="AJ353" i="33260"/>
  <c r="N353" i="33260"/>
  <c r="AZ352" i="33260"/>
  <c r="AF352" i="33260"/>
  <c r="J352" i="33260"/>
  <c r="AV351" i="33260"/>
  <c r="AB351" i="33260"/>
  <c r="F351" i="33260"/>
  <c r="AR350" i="33260"/>
  <c r="X350" i="33260"/>
  <c r="BJ349" i="33260"/>
  <c r="AN349" i="33260"/>
  <c r="T349" i="33260"/>
  <c r="BF348" i="33260"/>
  <c r="AJ348" i="33260"/>
  <c r="P348" i="33260"/>
  <c r="BB347" i="33260"/>
  <c r="AF347" i="33260"/>
  <c r="L347" i="33260"/>
  <c r="AX346" i="33260"/>
  <c r="AG346" i="33260"/>
  <c r="X346" i="33260"/>
  <c r="O346" i="33260"/>
  <c r="G346" i="33260"/>
  <c r="BG345" i="33260"/>
  <c r="AY345" i="33260"/>
  <c r="AQ345" i="33260"/>
  <c r="AI345" i="33260"/>
  <c r="AA345" i="33260"/>
  <c r="S345" i="33260"/>
  <c r="K345" i="33260"/>
  <c r="BK344" i="33260"/>
  <c r="BC344" i="33260"/>
  <c r="AU344" i="33260"/>
  <c r="AM344" i="33260"/>
  <c r="AE344" i="33260"/>
  <c r="W344" i="33260"/>
  <c r="O344" i="33260"/>
  <c r="G344" i="33260"/>
  <c r="BG343" i="33260"/>
  <c r="AY343" i="33260"/>
  <c r="AQ343" i="33260"/>
  <c r="AI343" i="33260"/>
  <c r="AA343" i="33260"/>
  <c r="S343" i="33260"/>
  <c r="K343" i="33260"/>
  <c r="BK342" i="33260"/>
  <c r="BC342" i="33260"/>
  <c r="AU342" i="33260"/>
  <c r="AM342" i="33260"/>
  <c r="AE342" i="33260"/>
  <c r="W342" i="33260"/>
  <c r="O342" i="33260"/>
  <c r="G342" i="33260"/>
  <c r="BG341" i="33260"/>
  <c r="AY341" i="33260"/>
  <c r="AQ341" i="33260"/>
  <c r="AI341" i="33260"/>
  <c r="AA341" i="33260"/>
  <c r="S341" i="33260"/>
  <c r="K341" i="33260"/>
  <c r="BK340" i="33260"/>
  <c r="BC340" i="33260"/>
  <c r="AU340" i="33260"/>
  <c r="AM340" i="33260"/>
  <c r="AE340" i="33260"/>
  <c r="W340" i="33260"/>
  <c r="O340" i="33260"/>
  <c r="G340" i="33260"/>
  <c r="BG339" i="33260"/>
  <c r="AY339" i="33260"/>
  <c r="AQ339" i="33260"/>
  <c r="AI339" i="33260"/>
  <c r="AA339" i="33260"/>
  <c r="S339" i="33260"/>
  <c r="K339" i="33260"/>
  <c r="BK338" i="33260"/>
  <c r="BC338" i="33260"/>
  <c r="AU338" i="33260"/>
  <c r="AM338" i="33260"/>
  <c r="AE338" i="33260"/>
  <c r="W338" i="33260"/>
  <c r="O338" i="33260"/>
  <c r="G338" i="33260"/>
  <c r="BG337" i="33260"/>
  <c r="AY337" i="33260"/>
  <c r="AQ337" i="33260"/>
  <c r="AI337" i="33260"/>
  <c r="AA337" i="33260"/>
  <c r="S337" i="33260"/>
  <c r="K337" i="33260"/>
  <c r="BK336" i="33260"/>
  <c r="BC336" i="33260"/>
  <c r="AU336" i="33260"/>
  <c r="AM336" i="33260"/>
  <c r="AE336" i="33260"/>
  <c r="W336" i="33260"/>
  <c r="O336" i="33260"/>
  <c r="G336" i="33260"/>
  <c r="BG335" i="33260"/>
  <c r="AY335" i="33260"/>
  <c r="AQ335" i="33260"/>
  <c r="AI335" i="33260"/>
  <c r="AA335" i="33260"/>
  <c r="S335" i="33260"/>
  <c r="K335" i="33260"/>
  <c r="BK334" i="33260"/>
  <c r="BC334" i="33260"/>
  <c r="AU334" i="33260"/>
  <c r="AM334" i="33260"/>
  <c r="AE334" i="33260"/>
  <c r="W334" i="33260"/>
  <c r="O334" i="33260"/>
  <c r="G334" i="33260"/>
  <c r="BG333" i="33260"/>
  <c r="AY333" i="33260"/>
  <c r="AQ333" i="33260"/>
  <c r="AI333" i="33260"/>
  <c r="AA333" i="33260"/>
  <c r="S333" i="33260"/>
  <c r="K333" i="33260"/>
  <c r="BK332" i="33260"/>
  <c r="BC332" i="33260"/>
  <c r="AU332" i="33260"/>
  <c r="AM332" i="33260"/>
  <c r="AE332" i="33260"/>
  <c r="W332" i="33260"/>
  <c r="O332" i="33260"/>
  <c r="G332" i="33260"/>
  <c r="BG331" i="33260"/>
  <c r="AY331" i="33260"/>
  <c r="AQ331" i="33260"/>
  <c r="AI331" i="33260"/>
  <c r="AA331" i="33260"/>
  <c r="S331" i="33260"/>
  <c r="K331" i="33260"/>
  <c r="BK330" i="33260"/>
  <c r="BC330" i="33260"/>
  <c r="AU330" i="33260"/>
  <c r="AM330" i="33260"/>
  <c r="AE330" i="33260"/>
  <c r="W330" i="33260"/>
  <c r="O330" i="33260"/>
  <c r="G330" i="33260"/>
  <c r="BG329" i="33260"/>
  <c r="AY329" i="33260"/>
  <c r="AQ329" i="33260"/>
  <c r="AI329" i="33260"/>
  <c r="AA329" i="33260"/>
  <c r="S329" i="33260"/>
  <c r="K329" i="33260"/>
  <c r="BK328" i="33260"/>
  <c r="BC328" i="33260"/>
  <c r="AU328" i="33260"/>
  <c r="AM328" i="33260"/>
  <c r="AE328" i="33260"/>
  <c r="W328" i="33260"/>
  <c r="O328" i="33260"/>
  <c r="G328" i="33260"/>
  <c r="BG327" i="33260"/>
  <c r="AY327" i="33260"/>
  <c r="AQ327" i="33260"/>
  <c r="AI327" i="33260"/>
  <c r="AA327" i="33260"/>
  <c r="S327" i="33260"/>
  <c r="K327" i="33260"/>
  <c r="BK326" i="33260"/>
  <c r="BC326" i="33260"/>
  <c r="AU326" i="33260"/>
  <c r="AM326" i="33260"/>
  <c r="AE326" i="33260"/>
  <c r="W326" i="33260"/>
  <c r="O326" i="33260"/>
  <c r="G326" i="33260"/>
  <c r="BG325" i="33260"/>
  <c r="AY325" i="33260"/>
  <c r="AQ325" i="33260"/>
  <c r="AI325" i="33260"/>
  <c r="AA325" i="33260"/>
  <c r="S325" i="33260"/>
  <c r="K325" i="33260"/>
  <c r="BK324" i="33260"/>
  <c r="BC324" i="33260"/>
  <c r="AU324" i="33260"/>
  <c r="AM324" i="33260"/>
  <c r="AE324" i="33260"/>
  <c r="W324" i="33260"/>
  <c r="O324" i="33260"/>
  <c r="G324" i="33260"/>
  <c r="BG323" i="33260"/>
  <c r="AY323" i="33260"/>
  <c r="AQ323" i="33260"/>
  <c r="AI323" i="33260"/>
  <c r="AA323" i="33260"/>
  <c r="S323" i="33260"/>
  <c r="K323" i="33260"/>
  <c r="BK322" i="33260"/>
  <c r="BC322" i="33260"/>
  <c r="AU322" i="33260"/>
  <c r="AM322" i="33260"/>
  <c r="AE322" i="33260"/>
  <c r="W322" i="33260"/>
  <c r="O322" i="33260"/>
  <c r="G322" i="33260"/>
  <c r="BG321" i="33260"/>
  <c r="AY321" i="33260"/>
  <c r="AQ321" i="33260"/>
  <c r="AI321" i="33260"/>
  <c r="AA321" i="33260"/>
  <c r="S321" i="33260"/>
  <c r="K321" i="33260"/>
  <c r="BK320" i="33260"/>
  <c r="BC320" i="33260"/>
  <c r="AU320" i="33260"/>
  <c r="AM320" i="33260"/>
  <c r="AE320" i="33260"/>
  <c r="W320" i="33260"/>
  <c r="O320" i="33260"/>
  <c r="G320" i="33260"/>
  <c r="BG319" i="33260"/>
  <c r="AY319" i="33260"/>
  <c r="AQ319" i="33260"/>
  <c r="AI319" i="33260"/>
  <c r="AA319" i="33260"/>
  <c r="S319" i="33260"/>
  <c r="K319" i="33260"/>
  <c r="BK318" i="33260"/>
  <c r="BC318" i="33260"/>
  <c r="AU318" i="33260"/>
  <c r="AM318" i="33260"/>
  <c r="AE318" i="33260"/>
  <c r="W318" i="33260"/>
  <c r="O318" i="33260"/>
  <c r="G318" i="33260"/>
  <c r="BG317" i="33260"/>
  <c r="AY317" i="33260"/>
  <c r="AQ317" i="33260"/>
  <c r="AI317" i="33260"/>
  <c r="AA317" i="33260"/>
  <c r="S317" i="33260"/>
  <c r="K317" i="33260"/>
  <c r="BK316" i="33260"/>
  <c r="BC316" i="33260"/>
  <c r="AU316" i="33260"/>
  <c r="AM316" i="33260"/>
  <c r="AE316" i="33260"/>
  <c r="W316" i="33260"/>
  <c r="O316" i="33260"/>
  <c r="G316" i="33260"/>
  <c r="BG315" i="33260"/>
  <c r="AY315" i="33260"/>
  <c r="AQ315" i="33260"/>
  <c r="AI315" i="33260"/>
  <c r="AA315" i="33260"/>
  <c r="S315" i="33260"/>
  <c r="K315" i="33260"/>
  <c r="BK314" i="33260"/>
  <c r="BC314" i="33260"/>
  <c r="AU314" i="33260"/>
  <c r="AM314" i="33260"/>
  <c r="AE314" i="33260"/>
  <c r="W314" i="33260"/>
  <c r="O314" i="33260"/>
  <c r="G314" i="33260"/>
  <c r="BG313" i="33260"/>
  <c r="AY313" i="33260"/>
  <c r="AQ313" i="33260"/>
  <c r="AI313" i="33260"/>
  <c r="AA313" i="33260"/>
  <c r="S313" i="33260"/>
  <c r="K313" i="33260"/>
  <c r="BK312" i="33260"/>
  <c r="BC312" i="33260"/>
  <c r="AU312" i="33260"/>
  <c r="AM312" i="33260"/>
  <c r="AE312" i="33260"/>
  <c r="W312" i="33260"/>
  <c r="Y420" i="33260"/>
  <c r="AE399" i="33260"/>
  <c r="BG390" i="33260"/>
  <c r="T388" i="33260"/>
  <c r="P387" i="33260"/>
  <c r="L386" i="33260"/>
  <c r="H385" i="33260"/>
  <c r="D384" i="33260"/>
  <c r="BH382" i="33260"/>
  <c r="BD381" i="33260"/>
  <c r="AZ380" i="33260"/>
  <c r="AV379" i="33260"/>
  <c r="AR378" i="33260"/>
  <c r="AN377" i="33260"/>
  <c r="AJ376" i="33260"/>
  <c r="AF375" i="33260"/>
  <c r="AB374" i="33260"/>
  <c r="X373" i="33260"/>
  <c r="T372" i="33260"/>
  <c r="P371" i="33260"/>
  <c r="L370" i="33260"/>
  <c r="H369" i="33260"/>
  <c r="AB368" i="33260"/>
  <c r="H368" i="33260"/>
  <c r="AT367" i="33260"/>
  <c r="X367" i="33260"/>
  <c r="D367" i="33260"/>
  <c r="AP366" i="33260"/>
  <c r="T366" i="33260"/>
  <c r="BH365" i="33260"/>
  <c r="AL365" i="33260"/>
  <c r="P365" i="33260"/>
  <c r="BD364" i="33260"/>
  <c r="AH364" i="33260"/>
  <c r="L364" i="33260"/>
  <c r="AZ363" i="33260"/>
  <c r="AD363" i="33260"/>
  <c r="H363" i="33260"/>
  <c r="AV362" i="33260"/>
  <c r="Z362" i="33260"/>
  <c r="D362" i="33260"/>
  <c r="AR361" i="33260"/>
  <c r="V361" i="33260"/>
  <c r="BH360" i="33260"/>
  <c r="AN360" i="33260"/>
  <c r="R360" i="33260"/>
  <c r="BD359" i="33260"/>
  <c r="AJ359" i="33260"/>
  <c r="N359" i="33260"/>
  <c r="AZ358" i="33260"/>
  <c r="AF358" i="33260"/>
  <c r="J358" i="33260"/>
  <c r="AV357" i="33260"/>
  <c r="AB357" i="33260"/>
  <c r="F357" i="33260"/>
  <c r="AR356" i="33260"/>
  <c r="X356" i="33260"/>
  <c r="BJ355" i="33260"/>
  <c r="AN355" i="33260"/>
  <c r="T355" i="33260"/>
  <c r="BF354" i="33260"/>
  <c r="AJ354" i="33260"/>
  <c r="P354" i="33260"/>
  <c r="BB353" i="33260"/>
  <c r="AF353" i="33260"/>
  <c r="L353" i="33260"/>
  <c r="AX352" i="33260"/>
  <c r="AB352" i="33260"/>
  <c r="H352" i="33260"/>
  <c r="AT351" i="33260"/>
  <c r="X351" i="33260"/>
  <c r="D351" i="33260"/>
  <c r="AP350" i="33260"/>
  <c r="T350" i="33260"/>
  <c r="BH349" i="33260"/>
  <c r="AL349" i="33260"/>
  <c r="P349" i="33260"/>
  <c r="BD348" i="33260"/>
  <c r="AH348" i="33260"/>
  <c r="L348" i="33260"/>
  <c r="AZ347" i="33260"/>
  <c r="AD347" i="33260"/>
  <c r="H347" i="33260"/>
  <c r="AV346" i="33260"/>
  <c r="AF346" i="33260"/>
  <c r="W346" i="33260"/>
  <c r="N346" i="33260"/>
  <c r="F346" i="33260"/>
  <c r="BF345" i="33260"/>
  <c r="AX345" i="33260"/>
  <c r="AP345" i="33260"/>
  <c r="AH345" i="33260"/>
  <c r="Z345" i="33260"/>
  <c r="R345" i="33260"/>
  <c r="J345" i="33260"/>
  <c r="BJ344" i="33260"/>
  <c r="BB344" i="33260"/>
  <c r="AT344" i="33260"/>
  <c r="AL344" i="33260"/>
  <c r="AD344" i="33260"/>
  <c r="V344" i="33260"/>
  <c r="N344" i="33260"/>
  <c r="F344" i="33260"/>
  <c r="BF343" i="33260"/>
  <c r="AX343" i="33260"/>
  <c r="AP343" i="33260"/>
  <c r="AH343" i="33260"/>
  <c r="Z343" i="33260"/>
  <c r="R343" i="33260"/>
  <c r="J343" i="33260"/>
  <c r="BJ342" i="33260"/>
  <c r="BB342" i="33260"/>
  <c r="AT342" i="33260"/>
  <c r="AL342" i="33260"/>
  <c r="AD342" i="33260"/>
  <c r="V342" i="33260"/>
  <c r="N342" i="33260"/>
  <c r="F342" i="33260"/>
  <c r="BF341" i="33260"/>
  <c r="AX341" i="33260"/>
  <c r="AP341" i="33260"/>
  <c r="AH341" i="33260"/>
  <c r="Z341" i="33260"/>
  <c r="R341" i="33260"/>
  <c r="J341" i="33260"/>
  <c r="BJ340" i="33260"/>
  <c r="BB340" i="33260"/>
  <c r="AT340" i="33260"/>
  <c r="AL340" i="33260"/>
  <c r="AD340" i="33260"/>
  <c r="V340" i="33260"/>
  <c r="N340" i="33260"/>
  <c r="F340" i="33260"/>
  <c r="BF339" i="33260"/>
  <c r="AX339" i="33260"/>
  <c r="AP339" i="33260"/>
  <c r="AH339" i="33260"/>
  <c r="Z339" i="33260"/>
  <c r="R339" i="33260"/>
  <c r="J339" i="33260"/>
  <c r="BJ338" i="33260"/>
  <c r="BB338" i="33260"/>
  <c r="AT338" i="33260"/>
  <c r="AL338" i="33260"/>
  <c r="AD338" i="33260"/>
  <c r="V338" i="33260"/>
  <c r="N338" i="33260"/>
  <c r="F338" i="33260"/>
  <c r="BF337" i="33260"/>
  <c r="AX337" i="33260"/>
  <c r="AP337" i="33260"/>
  <c r="AH337" i="33260"/>
  <c r="Z337" i="33260"/>
  <c r="R337" i="33260"/>
  <c r="J337" i="33260"/>
  <c r="BJ336" i="33260"/>
  <c r="BB336" i="33260"/>
  <c r="AT336" i="33260"/>
  <c r="AL336" i="33260"/>
  <c r="AD336" i="33260"/>
  <c r="V336" i="33260"/>
  <c r="N336" i="33260"/>
  <c r="F336" i="33260"/>
  <c r="BF335" i="33260"/>
  <c r="AX335" i="33260"/>
  <c r="AP335" i="33260"/>
  <c r="AH335" i="33260"/>
  <c r="Z335" i="33260"/>
  <c r="R335" i="33260"/>
  <c r="J335" i="33260"/>
  <c r="BJ334" i="33260"/>
  <c r="BB334" i="33260"/>
  <c r="AT334" i="33260"/>
  <c r="AL334" i="33260"/>
  <c r="AD334" i="33260"/>
  <c r="V334" i="33260"/>
  <c r="N334" i="33260"/>
  <c r="F334" i="33260"/>
  <c r="BF333" i="33260"/>
  <c r="AX333" i="33260"/>
  <c r="AP333" i="33260"/>
  <c r="AH333" i="33260"/>
  <c r="Z333" i="33260"/>
  <c r="R333" i="33260"/>
  <c r="J333" i="33260"/>
  <c r="BJ332" i="33260"/>
  <c r="BB332" i="33260"/>
  <c r="AT332" i="33260"/>
  <c r="AL332" i="33260"/>
  <c r="AD332" i="33260"/>
  <c r="V332" i="33260"/>
  <c r="N332" i="33260"/>
  <c r="F332" i="33260"/>
  <c r="BF331" i="33260"/>
  <c r="AX331" i="33260"/>
  <c r="AP331" i="33260"/>
  <c r="AH331" i="33260"/>
  <c r="Z331" i="33260"/>
  <c r="R331" i="33260"/>
  <c r="J331" i="33260"/>
  <c r="BJ330" i="33260"/>
  <c r="BB330" i="33260"/>
  <c r="AT330" i="33260"/>
  <c r="AL330" i="33260"/>
  <c r="AD330" i="33260"/>
  <c r="V330" i="33260"/>
  <c r="N330" i="33260"/>
  <c r="F330" i="33260"/>
  <c r="BF329" i="33260"/>
  <c r="AX329" i="33260"/>
  <c r="AP329" i="33260"/>
  <c r="AH329" i="33260"/>
  <c r="Z329" i="33260"/>
  <c r="R329" i="33260"/>
  <c r="J329" i="33260"/>
  <c r="BJ328" i="33260"/>
  <c r="BB328" i="33260"/>
  <c r="AT328" i="33260"/>
  <c r="AL328" i="33260"/>
  <c r="AD328" i="33260"/>
  <c r="V328" i="33260"/>
  <c r="N328" i="33260"/>
  <c r="F328" i="33260"/>
  <c r="BF327" i="33260"/>
  <c r="AX327" i="33260"/>
  <c r="AP327" i="33260"/>
  <c r="AH327" i="33260"/>
  <c r="Z327" i="33260"/>
  <c r="R327" i="33260"/>
  <c r="J327" i="33260"/>
  <c r="BJ326" i="33260"/>
  <c r="BB326" i="33260"/>
  <c r="AT326" i="33260"/>
  <c r="AL326" i="33260"/>
  <c r="AD326" i="33260"/>
  <c r="V326" i="33260"/>
  <c r="N326" i="33260"/>
  <c r="F326" i="33260"/>
  <c r="BF325" i="33260"/>
  <c r="AX325" i="33260"/>
  <c r="AP325" i="33260"/>
  <c r="AH325" i="33260"/>
  <c r="Z325" i="33260"/>
  <c r="R325" i="33260"/>
  <c r="J325" i="33260"/>
  <c r="BJ324" i="33260"/>
  <c r="BB324" i="33260"/>
  <c r="AT324" i="33260"/>
  <c r="AL324" i="33260"/>
  <c r="AD324" i="33260"/>
  <c r="V324" i="33260"/>
  <c r="N324" i="33260"/>
  <c r="F324" i="33260"/>
  <c r="BF323" i="33260"/>
  <c r="AX323" i="33260"/>
  <c r="AP323" i="33260"/>
  <c r="AH323" i="33260"/>
  <c r="Z323" i="33260"/>
  <c r="R323" i="33260"/>
  <c r="J323" i="33260"/>
  <c r="BJ322" i="33260"/>
  <c r="BB322" i="33260"/>
  <c r="AT322" i="33260"/>
  <c r="AL322" i="33260"/>
  <c r="AD322" i="33260"/>
  <c r="V322" i="33260"/>
  <c r="N322" i="33260"/>
  <c r="F322" i="33260"/>
  <c r="BF321" i="33260"/>
  <c r="AX321" i="33260"/>
  <c r="AP321" i="33260"/>
  <c r="AH321" i="33260"/>
  <c r="Z321" i="33260"/>
  <c r="R321" i="33260"/>
  <c r="J321" i="33260"/>
  <c r="BJ320" i="33260"/>
  <c r="BB320" i="33260"/>
  <c r="AT320" i="33260"/>
  <c r="AL320" i="33260"/>
  <c r="AD320" i="33260"/>
  <c r="V320" i="33260"/>
  <c r="N320" i="33260"/>
  <c r="F320" i="33260"/>
  <c r="BF319" i="33260"/>
  <c r="AX319" i="33260"/>
  <c r="AP319" i="33260"/>
  <c r="AH319" i="33260"/>
  <c r="Z319" i="33260"/>
  <c r="R319" i="33260"/>
  <c r="J319" i="33260"/>
  <c r="BJ318" i="33260"/>
  <c r="BB318" i="33260"/>
  <c r="AT318" i="33260"/>
  <c r="AL318" i="33260"/>
  <c r="AD318" i="33260"/>
  <c r="V318" i="33260"/>
  <c r="N318" i="33260"/>
  <c r="F318" i="33260"/>
  <c r="BF317" i="33260"/>
  <c r="AX317" i="33260"/>
  <c r="AP317" i="33260"/>
  <c r="AH317" i="33260"/>
  <c r="Z317" i="33260"/>
  <c r="R317" i="33260"/>
  <c r="J317" i="33260"/>
  <c r="BJ316" i="33260"/>
  <c r="BB316" i="33260"/>
  <c r="AT316" i="33260"/>
  <c r="AL316" i="33260"/>
  <c r="AD316" i="33260"/>
  <c r="V316" i="33260"/>
  <c r="N316" i="33260"/>
  <c r="F316" i="33260"/>
  <c r="BF315" i="33260"/>
  <c r="AX315" i="33260"/>
  <c r="AP315" i="33260"/>
  <c r="AH315" i="33260"/>
  <c r="Z315" i="33260"/>
  <c r="R315" i="33260"/>
  <c r="J315" i="33260"/>
  <c r="BJ314" i="33260"/>
  <c r="BB314" i="33260"/>
  <c r="AT314" i="33260"/>
  <c r="AL314" i="33260"/>
  <c r="AD314" i="33260"/>
  <c r="V314" i="33260"/>
  <c r="N314" i="33260"/>
  <c r="F314" i="33260"/>
  <c r="BF313" i="33260"/>
  <c r="AX313" i="33260"/>
  <c r="AP313" i="33260"/>
  <c r="AH313" i="33260"/>
  <c r="Z313" i="33260"/>
  <c r="R313" i="33260"/>
  <c r="J313" i="33260"/>
  <c r="BJ312" i="33260"/>
  <c r="BB312" i="33260"/>
  <c r="AT312" i="33260"/>
  <c r="AL312" i="33260"/>
  <c r="AD312" i="33260"/>
  <c r="V312" i="33260"/>
  <c r="AI417" i="33260"/>
  <c r="AA398" i="33260"/>
  <c r="BC389" i="33260"/>
  <c r="L388" i="33260"/>
  <c r="H387" i="33260"/>
  <c r="D386" i="33260"/>
  <c r="BH384" i="33260"/>
  <c r="BD383" i="33260"/>
  <c r="AZ382" i="33260"/>
  <c r="AV381" i="33260"/>
  <c r="AR380" i="33260"/>
  <c r="AN379" i="33260"/>
  <c r="AJ378" i="33260"/>
  <c r="AF377" i="33260"/>
  <c r="AB376" i="33260"/>
  <c r="X375" i="33260"/>
  <c r="T374" i="33260"/>
  <c r="P373" i="33260"/>
  <c r="L372" i="33260"/>
  <c r="H371" i="33260"/>
  <c r="D370" i="33260"/>
  <c r="BH368" i="33260"/>
  <c r="Z368" i="33260"/>
  <c r="D368" i="33260"/>
  <c r="AR367" i="33260"/>
  <c r="V367" i="33260"/>
  <c r="BH366" i="33260"/>
  <c r="AN366" i="33260"/>
  <c r="R366" i="33260"/>
  <c r="BD365" i="33260"/>
  <c r="AJ365" i="33260"/>
  <c r="N365" i="33260"/>
  <c r="AZ364" i="33260"/>
  <c r="AF364" i="33260"/>
  <c r="J364" i="33260"/>
  <c r="AV363" i="33260"/>
  <c r="AB363" i="33260"/>
  <c r="F363" i="33260"/>
  <c r="AR362" i="33260"/>
  <c r="X362" i="33260"/>
  <c r="BJ361" i="33260"/>
  <c r="AN361" i="33260"/>
  <c r="T361" i="33260"/>
  <c r="BF360" i="33260"/>
  <c r="AJ360" i="33260"/>
  <c r="P360" i="33260"/>
  <c r="BB359" i="33260"/>
  <c r="AF359" i="33260"/>
  <c r="L359" i="33260"/>
  <c r="AX358" i="33260"/>
  <c r="AB358" i="33260"/>
  <c r="H358" i="33260"/>
  <c r="AT357" i="33260"/>
  <c r="X357" i="33260"/>
  <c r="D357" i="33260"/>
  <c r="AP356" i="33260"/>
  <c r="T356" i="33260"/>
  <c r="BH355" i="33260"/>
  <c r="AL355" i="33260"/>
  <c r="P355" i="33260"/>
  <c r="BD354" i="33260"/>
  <c r="AH354" i="33260"/>
  <c r="L354" i="33260"/>
  <c r="AZ353" i="33260"/>
  <c r="AD353" i="33260"/>
  <c r="H353" i="33260"/>
  <c r="AV352" i="33260"/>
  <c r="Z352" i="33260"/>
  <c r="D352" i="33260"/>
  <c r="AR351" i="33260"/>
  <c r="V351" i="33260"/>
  <c r="BH350" i="33260"/>
  <c r="AN350" i="33260"/>
  <c r="R350" i="33260"/>
  <c r="BD349" i="33260"/>
  <c r="AJ349" i="33260"/>
  <c r="N349" i="33260"/>
  <c r="AZ348" i="33260"/>
  <c r="AF348" i="33260"/>
  <c r="J348" i="33260"/>
  <c r="AV347" i="33260"/>
  <c r="AB347" i="33260"/>
  <c r="F347" i="33260"/>
  <c r="AR346" i="33260"/>
  <c r="AE346" i="33260"/>
  <c r="U346" i="33260"/>
  <c r="M346" i="33260"/>
  <c r="E346" i="33260"/>
  <c r="BE345" i="33260"/>
  <c r="AW345" i="33260"/>
  <c r="AO345" i="33260"/>
  <c r="AG345" i="33260"/>
  <c r="Y345" i="33260"/>
  <c r="Q345" i="33260"/>
  <c r="I345" i="33260"/>
  <c r="BI344" i="33260"/>
  <c r="BA344" i="33260"/>
  <c r="AS344" i="33260"/>
  <c r="AK344" i="33260"/>
  <c r="AC344" i="33260"/>
  <c r="U344" i="33260"/>
  <c r="M344" i="33260"/>
  <c r="E344" i="33260"/>
  <c r="BE343" i="33260"/>
  <c r="AW343" i="33260"/>
  <c r="AO343" i="33260"/>
  <c r="AG343" i="33260"/>
  <c r="Y343" i="33260"/>
  <c r="Q343" i="33260"/>
  <c r="I343" i="33260"/>
  <c r="BI342" i="33260"/>
  <c r="BA342" i="33260"/>
  <c r="AS342" i="33260"/>
  <c r="AK342" i="33260"/>
  <c r="AC342" i="33260"/>
  <c r="U342" i="33260"/>
  <c r="M342" i="33260"/>
  <c r="E342" i="33260"/>
  <c r="BE341" i="33260"/>
  <c r="AW341" i="33260"/>
  <c r="AO341" i="33260"/>
  <c r="AG341" i="33260"/>
  <c r="Y341" i="33260"/>
  <c r="Q341" i="33260"/>
  <c r="I341" i="33260"/>
  <c r="BI340" i="33260"/>
  <c r="BA340" i="33260"/>
  <c r="AS340" i="33260"/>
  <c r="AK340" i="33260"/>
  <c r="AC340" i="33260"/>
  <c r="U340" i="33260"/>
  <c r="M340" i="33260"/>
  <c r="E340" i="33260"/>
  <c r="BE339" i="33260"/>
  <c r="AW339" i="33260"/>
  <c r="AO339" i="33260"/>
  <c r="AG339" i="33260"/>
  <c r="Y339" i="33260"/>
  <c r="Q339" i="33260"/>
  <c r="I339" i="33260"/>
  <c r="BI338" i="33260"/>
  <c r="BA338" i="33260"/>
  <c r="AS338" i="33260"/>
  <c r="AK338" i="33260"/>
  <c r="AC338" i="33260"/>
  <c r="U338" i="33260"/>
  <c r="M338" i="33260"/>
  <c r="E338" i="33260"/>
  <c r="BE337" i="33260"/>
  <c r="AW337" i="33260"/>
  <c r="AO337" i="33260"/>
  <c r="AG337" i="33260"/>
  <c r="Y337" i="33260"/>
  <c r="Q337" i="33260"/>
  <c r="I337" i="33260"/>
  <c r="BI336" i="33260"/>
  <c r="BA336" i="33260"/>
  <c r="AS336" i="33260"/>
  <c r="AK336" i="33260"/>
  <c r="AC336" i="33260"/>
  <c r="U336" i="33260"/>
  <c r="M336" i="33260"/>
  <c r="E336" i="33260"/>
  <c r="BE335" i="33260"/>
  <c r="AW335" i="33260"/>
  <c r="AO335" i="33260"/>
  <c r="AG335" i="33260"/>
  <c r="Y335" i="33260"/>
  <c r="Q335" i="33260"/>
  <c r="I335" i="33260"/>
  <c r="BI334" i="33260"/>
  <c r="BA334" i="33260"/>
  <c r="AS334" i="33260"/>
  <c r="AK334" i="33260"/>
  <c r="AC334" i="33260"/>
  <c r="U334" i="33260"/>
  <c r="M334" i="33260"/>
  <c r="E334" i="33260"/>
  <c r="BE333" i="33260"/>
  <c r="AW333" i="33260"/>
  <c r="AO333" i="33260"/>
  <c r="AG333" i="33260"/>
  <c r="Y333" i="33260"/>
  <c r="Q333" i="33260"/>
  <c r="I333" i="33260"/>
  <c r="BI332" i="33260"/>
  <c r="BA332" i="33260"/>
  <c r="AS332" i="33260"/>
  <c r="AK332" i="33260"/>
  <c r="AC332" i="33260"/>
  <c r="U332" i="33260"/>
  <c r="M332" i="33260"/>
  <c r="E332" i="33260"/>
  <c r="BE331" i="33260"/>
  <c r="AW331" i="33260"/>
  <c r="AO331" i="33260"/>
  <c r="AG331" i="33260"/>
  <c r="Y331" i="33260"/>
  <c r="Q331" i="33260"/>
  <c r="I331" i="33260"/>
  <c r="BI330" i="33260"/>
  <c r="BA330" i="33260"/>
  <c r="AS330" i="33260"/>
  <c r="AK330" i="33260"/>
  <c r="AC330" i="33260"/>
  <c r="U330" i="33260"/>
  <c r="M330" i="33260"/>
  <c r="E330" i="33260"/>
  <c r="BE329" i="33260"/>
  <c r="AW329" i="33260"/>
  <c r="AO329" i="33260"/>
  <c r="AG329" i="33260"/>
  <c r="Y329" i="33260"/>
  <c r="Q329" i="33260"/>
  <c r="I329" i="33260"/>
  <c r="BI328" i="33260"/>
  <c r="BA328" i="33260"/>
  <c r="AS328" i="33260"/>
  <c r="AK328" i="33260"/>
  <c r="AC328" i="33260"/>
  <c r="U328" i="33260"/>
  <c r="M328" i="33260"/>
  <c r="E328" i="33260"/>
  <c r="BE327" i="33260"/>
  <c r="AW327" i="33260"/>
  <c r="AO327" i="33260"/>
  <c r="AG327" i="33260"/>
  <c r="Y327" i="33260"/>
  <c r="Q327" i="33260"/>
  <c r="I327" i="33260"/>
  <c r="BI326" i="33260"/>
  <c r="BA326" i="33260"/>
  <c r="AS326" i="33260"/>
  <c r="AK326" i="33260"/>
  <c r="AC326" i="33260"/>
  <c r="U326" i="33260"/>
  <c r="M326" i="33260"/>
  <c r="E326" i="33260"/>
  <c r="BE325" i="33260"/>
  <c r="AW325" i="33260"/>
  <c r="AO325" i="33260"/>
  <c r="AG325" i="33260"/>
  <c r="Y325" i="33260"/>
  <c r="Q325" i="33260"/>
  <c r="I325" i="33260"/>
  <c r="BI324" i="33260"/>
  <c r="BA324" i="33260"/>
  <c r="AS324" i="33260"/>
  <c r="AK324" i="33260"/>
  <c r="AC324" i="33260"/>
  <c r="U324" i="33260"/>
  <c r="M324" i="33260"/>
  <c r="E324" i="33260"/>
  <c r="BE323" i="33260"/>
  <c r="AW323" i="33260"/>
  <c r="AO323" i="33260"/>
  <c r="AG323" i="33260"/>
  <c r="Y323" i="33260"/>
  <c r="Q323" i="33260"/>
  <c r="I323" i="33260"/>
  <c r="BI322" i="33260"/>
  <c r="BA322" i="33260"/>
  <c r="AS322" i="33260"/>
  <c r="AK322" i="33260"/>
  <c r="AC322" i="33260"/>
  <c r="U322" i="33260"/>
  <c r="M322" i="33260"/>
  <c r="E322" i="33260"/>
  <c r="BE321" i="33260"/>
  <c r="AW321" i="33260"/>
  <c r="AO321" i="33260"/>
  <c r="AG321" i="33260"/>
  <c r="Y321" i="33260"/>
  <c r="Q321" i="33260"/>
  <c r="I321" i="33260"/>
  <c r="BI320" i="33260"/>
  <c r="BA320" i="33260"/>
  <c r="AS320" i="33260"/>
  <c r="AK320" i="33260"/>
  <c r="AC320" i="33260"/>
  <c r="U320" i="33260"/>
  <c r="M320" i="33260"/>
  <c r="E320" i="33260"/>
  <c r="BE319" i="33260"/>
  <c r="AW319" i="33260"/>
  <c r="AO319" i="33260"/>
  <c r="AG319" i="33260"/>
  <c r="Y319" i="33260"/>
  <c r="Q319" i="33260"/>
  <c r="I319" i="33260"/>
  <c r="BI318" i="33260"/>
  <c r="BA318" i="33260"/>
  <c r="AS318" i="33260"/>
  <c r="AK318" i="33260"/>
  <c r="AC318" i="33260"/>
  <c r="U318" i="33260"/>
  <c r="M318" i="33260"/>
  <c r="E318" i="33260"/>
  <c r="BE317" i="33260"/>
  <c r="AW317" i="33260"/>
  <c r="AO317" i="33260"/>
  <c r="AG317" i="33260"/>
  <c r="Y317" i="33260"/>
  <c r="Q317" i="33260"/>
  <c r="I317" i="33260"/>
  <c r="BI316" i="33260"/>
  <c r="BA316" i="33260"/>
  <c r="AS316" i="33260"/>
  <c r="AK316" i="33260"/>
  <c r="AC316" i="33260"/>
  <c r="U316" i="33260"/>
  <c r="M316" i="33260"/>
  <c r="E316" i="33260"/>
  <c r="BE315" i="33260"/>
  <c r="AW315" i="33260"/>
  <c r="AO315" i="33260"/>
  <c r="AG315" i="33260"/>
  <c r="Y315" i="33260"/>
  <c r="Q315" i="33260"/>
  <c r="I315" i="33260"/>
  <c r="BI314" i="33260"/>
  <c r="BA314" i="33260"/>
  <c r="AS314" i="33260"/>
  <c r="AK314" i="33260"/>
  <c r="AC314" i="33260"/>
  <c r="U314" i="33260"/>
  <c r="M314" i="33260"/>
  <c r="E314" i="33260"/>
  <c r="BE313" i="33260"/>
  <c r="AW313" i="33260"/>
  <c r="AO313" i="33260"/>
  <c r="AG313" i="33260"/>
  <c r="Y313" i="33260"/>
  <c r="Q313" i="33260"/>
  <c r="I313" i="33260"/>
  <c r="BI312" i="33260"/>
  <c r="BA312" i="33260"/>
  <c r="AS312" i="33260"/>
  <c r="AK312" i="33260"/>
  <c r="AC312" i="33260"/>
  <c r="U312" i="33260"/>
  <c r="AQ414" i="33260"/>
  <c r="W397" i="33260"/>
  <c r="N389" i="33260"/>
  <c r="D388" i="33260"/>
  <c r="BH386" i="33260"/>
  <c r="BD385" i="33260"/>
  <c r="AZ384" i="33260"/>
  <c r="AV383" i="33260"/>
  <c r="AR382" i="33260"/>
  <c r="AN381" i="33260"/>
  <c r="AJ380" i="33260"/>
  <c r="AF379" i="33260"/>
  <c r="AB378" i="33260"/>
  <c r="X377" i="33260"/>
  <c r="T376" i="33260"/>
  <c r="P375" i="33260"/>
  <c r="L374" i="33260"/>
  <c r="H373" i="33260"/>
  <c r="D372" i="33260"/>
  <c r="BH370" i="33260"/>
  <c r="BD369" i="33260"/>
  <c r="AZ368" i="33260"/>
  <c r="X368" i="33260"/>
  <c r="BJ367" i="33260"/>
  <c r="AN367" i="33260"/>
  <c r="T367" i="33260"/>
  <c r="BF366" i="33260"/>
  <c r="AJ366" i="33260"/>
  <c r="P366" i="33260"/>
  <c r="BB365" i="33260"/>
  <c r="AF365" i="33260"/>
  <c r="L365" i="33260"/>
  <c r="AX364" i="33260"/>
  <c r="AB364" i="33260"/>
  <c r="H364" i="33260"/>
  <c r="AT363" i="33260"/>
  <c r="X363" i="33260"/>
  <c r="D363" i="33260"/>
  <c r="AP362" i="33260"/>
  <c r="T362" i="33260"/>
  <c r="BH361" i="33260"/>
  <c r="AL361" i="33260"/>
  <c r="P361" i="33260"/>
  <c r="BD360" i="33260"/>
  <c r="AH360" i="33260"/>
  <c r="L360" i="33260"/>
  <c r="AZ359" i="33260"/>
  <c r="AD359" i="33260"/>
  <c r="H359" i="33260"/>
  <c r="AV358" i="33260"/>
  <c r="Z358" i="33260"/>
  <c r="D358" i="33260"/>
  <c r="AR357" i="33260"/>
  <c r="V357" i="33260"/>
  <c r="BH356" i="33260"/>
  <c r="AN356" i="33260"/>
  <c r="R356" i="33260"/>
  <c r="BD355" i="33260"/>
  <c r="AJ355" i="33260"/>
  <c r="N355" i="33260"/>
  <c r="AZ354" i="33260"/>
  <c r="AF354" i="33260"/>
  <c r="J354" i="33260"/>
  <c r="AV353" i="33260"/>
  <c r="AB353" i="33260"/>
  <c r="F353" i="33260"/>
  <c r="AR352" i="33260"/>
  <c r="X352" i="33260"/>
  <c r="BJ351" i="33260"/>
  <c r="AN351" i="33260"/>
  <c r="T351" i="33260"/>
  <c r="BF350" i="33260"/>
  <c r="AJ350" i="33260"/>
  <c r="P350" i="33260"/>
  <c r="BB349" i="33260"/>
  <c r="AF349" i="33260"/>
  <c r="L349" i="33260"/>
  <c r="AX348" i="33260"/>
  <c r="AB348" i="33260"/>
  <c r="H348" i="33260"/>
  <c r="AT347" i="33260"/>
  <c r="X347" i="33260"/>
  <c r="D347" i="33260"/>
  <c r="AP346" i="33260"/>
  <c r="AC346" i="33260"/>
  <c r="T346" i="33260"/>
  <c r="L346" i="33260"/>
  <c r="D346" i="33260"/>
  <c r="BD345" i="33260"/>
  <c r="AV345" i="33260"/>
  <c r="AN345" i="33260"/>
  <c r="AF345" i="33260"/>
  <c r="X345" i="33260"/>
  <c r="P345" i="33260"/>
  <c r="H345" i="33260"/>
  <c r="BH344" i="33260"/>
  <c r="AZ344" i="33260"/>
  <c r="AR344" i="33260"/>
  <c r="AJ344" i="33260"/>
  <c r="AB344" i="33260"/>
  <c r="T344" i="33260"/>
  <c r="L344" i="33260"/>
  <c r="D344" i="33260"/>
  <c r="BD343" i="33260"/>
  <c r="AV343" i="33260"/>
  <c r="AN343" i="33260"/>
  <c r="AF343" i="33260"/>
  <c r="X343" i="33260"/>
  <c r="P343" i="33260"/>
  <c r="H343" i="33260"/>
  <c r="BH342" i="33260"/>
  <c r="AZ342" i="33260"/>
  <c r="AR342" i="33260"/>
  <c r="AJ342" i="33260"/>
  <c r="AB342" i="33260"/>
  <c r="T342" i="33260"/>
  <c r="L342" i="33260"/>
  <c r="D342" i="33260"/>
  <c r="BD341" i="33260"/>
  <c r="AV341" i="33260"/>
  <c r="AN341" i="33260"/>
  <c r="AF341" i="33260"/>
  <c r="X341" i="33260"/>
  <c r="P341" i="33260"/>
  <c r="H341" i="33260"/>
  <c r="BH340" i="33260"/>
  <c r="AZ340" i="33260"/>
  <c r="AR340" i="33260"/>
  <c r="AJ340" i="33260"/>
  <c r="AB340" i="33260"/>
  <c r="T340" i="33260"/>
  <c r="L340" i="33260"/>
  <c r="D340" i="33260"/>
  <c r="BD339" i="33260"/>
  <c r="AV339" i="33260"/>
  <c r="AN339" i="33260"/>
  <c r="AF339" i="33260"/>
  <c r="X339" i="33260"/>
  <c r="P339" i="33260"/>
  <c r="H339" i="33260"/>
  <c r="BH338" i="33260"/>
  <c r="AZ338" i="33260"/>
  <c r="AR338" i="33260"/>
  <c r="AJ338" i="33260"/>
  <c r="AB338" i="33260"/>
  <c r="T338" i="33260"/>
  <c r="L338" i="33260"/>
  <c r="D338" i="33260"/>
  <c r="BD337" i="33260"/>
  <c r="AV337" i="33260"/>
  <c r="AN337" i="33260"/>
  <c r="AF337" i="33260"/>
  <c r="X337" i="33260"/>
  <c r="P337" i="33260"/>
  <c r="H337" i="33260"/>
  <c r="BH336" i="33260"/>
  <c r="AZ336" i="33260"/>
  <c r="AR336" i="33260"/>
  <c r="AJ336" i="33260"/>
  <c r="AB336" i="33260"/>
  <c r="T336" i="33260"/>
  <c r="L336" i="33260"/>
  <c r="D336" i="33260"/>
  <c r="BD335" i="33260"/>
  <c r="AV335" i="33260"/>
  <c r="AN335" i="33260"/>
  <c r="AF335" i="33260"/>
  <c r="X335" i="33260"/>
  <c r="P335" i="33260"/>
  <c r="H335" i="33260"/>
  <c r="BH334" i="33260"/>
  <c r="AZ334" i="33260"/>
  <c r="AR334" i="33260"/>
  <c r="AJ334" i="33260"/>
  <c r="AB334" i="33260"/>
  <c r="T334" i="33260"/>
  <c r="L334" i="33260"/>
  <c r="D334" i="33260"/>
  <c r="BD333" i="33260"/>
  <c r="AV333" i="33260"/>
  <c r="AN333" i="33260"/>
  <c r="AF333" i="33260"/>
  <c r="X333" i="33260"/>
  <c r="P333" i="33260"/>
  <c r="H333" i="33260"/>
  <c r="BH332" i="33260"/>
  <c r="AZ332" i="33260"/>
  <c r="AR332" i="33260"/>
  <c r="AJ332" i="33260"/>
  <c r="AB332" i="33260"/>
  <c r="T332" i="33260"/>
  <c r="L332" i="33260"/>
  <c r="D332" i="33260"/>
  <c r="BD331" i="33260"/>
  <c r="AV331" i="33260"/>
  <c r="AN331" i="33260"/>
  <c r="AF331" i="33260"/>
  <c r="X331" i="33260"/>
  <c r="P331" i="33260"/>
  <c r="H331" i="33260"/>
  <c r="BH330" i="33260"/>
  <c r="AZ330" i="33260"/>
  <c r="AR330" i="33260"/>
  <c r="AJ330" i="33260"/>
  <c r="AB330" i="33260"/>
  <c r="T330" i="33260"/>
  <c r="L330" i="33260"/>
  <c r="D330" i="33260"/>
  <c r="BD329" i="33260"/>
  <c r="AV329" i="33260"/>
  <c r="AN329" i="33260"/>
  <c r="AF329" i="33260"/>
  <c r="X329" i="33260"/>
  <c r="P329" i="33260"/>
  <c r="H329" i="33260"/>
  <c r="BH328" i="33260"/>
  <c r="AZ328" i="33260"/>
  <c r="AR328" i="33260"/>
  <c r="AJ328" i="33260"/>
  <c r="AB328" i="33260"/>
  <c r="T328" i="33260"/>
  <c r="L328" i="33260"/>
  <c r="D328" i="33260"/>
  <c r="BD327" i="33260"/>
  <c r="AV327" i="33260"/>
  <c r="AN327" i="33260"/>
  <c r="AF327" i="33260"/>
  <c r="X327" i="33260"/>
  <c r="P327" i="33260"/>
  <c r="H327" i="33260"/>
  <c r="BH326" i="33260"/>
  <c r="AZ326" i="33260"/>
  <c r="AR326" i="33260"/>
  <c r="AJ326" i="33260"/>
  <c r="AB326" i="33260"/>
  <c r="T326" i="33260"/>
  <c r="L326" i="33260"/>
  <c r="D326" i="33260"/>
  <c r="BD325" i="33260"/>
  <c r="AV325" i="33260"/>
  <c r="AN325" i="33260"/>
  <c r="AF325" i="33260"/>
  <c r="X325" i="33260"/>
  <c r="P325" i="33260"/>
  <c r="H325" i="33260"/>
  <c r="BH324" i="33260"/>
  <c r="AZ324" i="33260"/>
  <c r="AR324" i="33260"/>
  <c r="AJ324" i="33260"/>
  <c r="AB324" i="33260"/>
  <c r="T324" i="33260"/>
  <c r="L324" i="33260"/>
  <c r="D324" i="33260"/>
  <c r="BD323" i="33260"/>
  <c r="AV323" i="33260"/>
  <c r="AN323" i="33260"/>
  <c r="AF323" i="33260"/>
  <c r="X323" i="33260"/>
  <c r="P323" i="33260"/>
  <c r="H323" i="33260"/>
  <c r="BH322" i="33260"/>
  <c r="AZ322" i="33260"/>
  <c r="AR322" i="33260"/>
  <c r="AJ322" i="33260"/>
  <c r="AB322" i="33260"/>
  <c r="T322" i="33260"/>
  <c r="L322" i="33260"/>
  <c r="D322" i="33260"/>
  <c r="BD321" i="33260"/>
  <c r="AV321" i="33260"/>
  <c r="AN321" i="33260"/>
  <c r="AF321" i="33260"/>
  <c r="X321" i="33260"/>
  <c r="P321" i="33260"/>
  <c r="H321" i="33260"/>
  <c r="BH320" i="33260"/>
  <c r="AZ320" i="33260"/>
  <c r="AR320" i="33260"/>
  <c r="AJ320" i="33260"/>
  <c r="AB320" i="33260"/>
  <c r="T320" i="33260"/>
  <c r="L320" i="33260"/>
  <c r="D320" i="33260"/>
  <c r="BD319" i="33260"/>
  <c r="AV319" i="33260"/>
  <c r="AN319" i="33260"/>
  <c r="AF319" i="33260"/>
  <c r="X319" i="33260"/>
  <c r="P319" i="33260"/>
  <c r="H319" i="33260"/>
  <c r="BH318" i="33260"/>
  <c r="AZ318" i="33260"/>
  <c r="AR318" i="33260"/>
  <c r="AJ318" i="33260"/>
  <c r="AB318" i="33260"/>
  <c r="T318" i="33260"/>
  <c r="L318" i="33260"/>
  <c r="D318" i="33260"/>
  <c r="BD317" i="33260"/>
  <c r="AV317" i="33260"/>
  <c r="AN317" i="33260"/>
  <c r="AF317" i="33260"/>
  <c r="X317" i="33260"/>
  <c r="P317" i="33260"/>
  <c r="H317" i="33260"/>
  <c r="BH316" i="33260"/>
  <c r="AZ316" i="33260"/>
  <c r="AR316" i="33260"/>
  <c r="AJ316" i="33260"/>
  <c r="AB316" i="33260"/>
  <c r="T316" i="33260"/>
  <c r="L316" i="33260"/>
  <c r="D316" i="33260"/>
  <c r="BD315" i="33260"/>
  <c r="AV315" i="33260"/>
  <c r="AN315" i="33260"/>
  <c r="AF315" i="33260"/>
  <c r="X315" i="33260"/>
  <c r="P315" i="33260"/>
  <c r="H315" i="33260"/>
  <c r="BH314" i="33260"/>
  <c r="AZ314" i="33260"/>
  <c r="AR314" i="33260"/>
  <c r="AJ314" i="33260"/>
  <c r="AB314" i="33260"/>
  <c r="T314" i="33260"/>
  <c r="L314" i="33260"/>
  <c r="D314" i="33260"/>
  <c r="BD313" i="33260"/>
  <c r="AV313" i="33260"/>
  <c r="AN313" i="33260"/>
  <c r="AF313" i="33260"/>
  <c r="X313" i="33260"/>
  <c r="P313" i="33260"/>
  <c r="H313" i="33260"/>
  <c r="BH312" i="33260"/>
  <c r="AZ312" i="33260"/>
  <c r="AR312" i="33260"/>
  <c r="AJ312" i="33260"/>
  <c r="AB312" i="33260"/>
  <c r="T312" i="33260"/>
  <c r="BK408" i="33260"/>
  <c r="O395" i="33260"/>
  <c r="BA388" i="33260"/>
  <c r="AV387" i="33260"/>
  <c r="AR386" i="33260"/>
  <c r="AN385" i="33260"/>
  <c r="AJ384" i="33260"/>
  <c r="AF383" i="33260"/>
  <c r="AB382" i="33260"/>
  <c r="X381" i="33260"/>
  <c r="T380" i="33260"/>
  <c r="P379" i="33260"/>
  <c r="L378" i="33260"/>
  <c r="H377" i="33260"/>
  <c r="D376" i="33260"/>
  <c r="BH374" i="33260"/>
  <c r="BD373" i="33260"/>
  <c r="AZ372" i="33260"/>
  <c r="AV371" i="33260"/>
  <c r="AR370" i="33260"/>
  <c r="AN369" i="33260"/>
  <c r="AN368" i="33260"/>
  <c r="R368" i="33260"/>
  <c r="BD367" i="33260"/>
  <c r="AJ367" i="33260"/>
  <c r="N367" i="33260"/>
  <c r="AZ366" i="33260"/>
  <c r="AF366" i="33260"/>
  <c r="J366" i="33260"/>
  <c r="AV365" i="33260"/>
  <c r="AB365" i="33260"/>
  <c r="F365" i="33260"/>
  <c r="AR364" i="33260"/>
  <c r="X364" i="33260"/>
  <c r="BJ363" i="33260"/>
  <c r="AN363" i="33260"/>
  <c r="T363" i="33260"/>
  <c r="BF362" i="33260"/>
  <c r="AJ362" i="33260"/>
  <c r="P362" i="33260"/>
  <c r="BB361" i="33260"/>
  <c r="AF361" i="33260"/>
  <c r="L361" i="33260"/>
  <c r="AX360" i="33260"/>
  <c r="AB360" i="33260"/>
  <c r="H360" i="33260"/>
  <c r="AT359" i="33260"/>
  <c r="X359" i="33260"/>
  <c r="D359" i="33260"/>
  <c r="AP358" i="33260"/>
  <c r="T358" i="33260"/>
  <c r="BH357" i="33260"/>
  <c r="AL357" i="33260"/>
  <c r="P357" i="33260"/>
  <c r="BD356" i="33260"/>
  <c r="AH356" i="33260"/>
  <c r="L356" i="33260"/>
  <c r="AZ355" i="33260"/>
  <c r="AD355" i="33260"/>
  <c r="H355" i="33260"/>
  <c r="AV354" i="33260"/>
  <c r="Z354" i="33260"/>
  <c r="D354" i="33260"/>
  <c r="AR353" i="33260"/>
  <c r="V353" i="33260"/>
  <c r="BH352" i="33260"/>
  <c r="AN352" i="33260"/>
  <c r="R352" i="33260"/>
  <c r="BD351" i="33260"/>
  <c r="AJ351" i="33260"/>
  <c r="N351" i="33260"/>
  <c r="AZ350" i="33260"/>
  <c r="AF350" i="33260"/>
  <c r="J350" i="33260"/>
  <c r="AV349" i="33260"/>
  <c r="AB349" i="33260"/>
  <c r="F349" i="33260"/>
  <c r="AR348" i="33260"/>
  <c r="X348" i="33260"/>
  <c r="BJ347" i="33260"/>
  <c r="AN347" i="33260"/>
  <c r="T347" i="33260"/>
  <c r="BF346" i="33260"/>
  <c r="AJ346" i="33260"/>
  <c r="AA346" i="33260"/>
  <c r="R346" i="33260"/>
  <c r="J346" i="33260"/>
  <c r="BJ345" i="33260"/>
  <c r="BB345" i="33260"/>
  <c r="AT345" i="33260"/>
  <c r="AL345" i="33260"/>
  <c r="AD345" i="33260"/>
  <c r="V345" i="33260"/>
  <c r="N345" i="33260"/>
  <c r="F345" i="33260"/>
  <c r="BF344" i="33260"/>
  <c r="AX344" i="33260"/>
  <c r="AP344" i="33260"/>
  <c r="AH344" i="33260"/>
  <c r="Z344" i="33260"/>
  <c r="R344" i="33260"/>
  <c r="J344" i="33260"/>
  <c r="BJ343" i="33260"/>
  <c r="BB343" i="33260"/>
  <c r="AT343" i="33260"/>
  <c r="AL343" i="33260"/>
  <c r="AD343" i="33260"/>
  <c r="V343" i="33260"/>
  <c r="N343" i="33260"/>
  <c r="F343" i="33260"/>
  <c r="BF342" i="33260"/>
  <c r="AX342" i="33260"/>
  <c r="AP342" i="33260"/>
  <c r="AH342" i="33260"/>
  <c r="Z342" i="33260"/>
  <c r="R342" i="33260"/>
  <c r="J342" i="33260"/>
  <c r="BJ341" i="33260"/>
  <c r="BB341" i="33260"/>
  <c r="AT341" i="33260"/>
  <c r="AL341" i="33260"/>
  <c r="AD341" i="33260"/>
  <c r="V341" i="33260"/>
  <c r="N341" i="33260"/>
  <c r="F341" i="33260"/>
  <c r="BF340" i="33260"/>
  <c r="AX340" i="33260"/>
  <c r="AP340" i="33260"/>
  <c r="AH340" i="33260"/>
  <c r="Z340" i="33260"/>
  <c r="R340" i="33260"/>
  <c r="J340" i="33260"/>
  <c r="BJ339" i="33260"/>
  <c r="BB339" i="33260"/>
  <c r="AT339" i="33260"/>
  <c r="AL339" i="33260"/>
  <c r="AD339" i="33260"/>
  <c r="V339" i="33260"/>
  <c r="N339" i="33260"/>
  <c r="F339" i="33260"/>
  <c r="BF338" i="33260"/>
  <c r="AX338" i="33260"/>
  <c r="AP338" i="33260"/>
  <c r="AH338" i="33260"/>
  <c r="Z338" i="33260"/>
  <c r="R338" i="33260"/>
  <c r="J338" i="33260"/>
  <c r="BJ337" i="33260"/>
  <c r="BB337" i="33260"/>
  <c r="AT337" i="33260"/>
  <c r="AL337" i="33260"/>
  <c r="AD337" i="33260"/>
  <c r="V337" i="33260"/>
  <c r="N337" i="33260"/>
  <c r="F337" i="33260"/>
  <c r="BF336" i="33260"/>
  <c r="AX336" i="33260"/>
  <c r="AP336" i="33260"/>
  <c r="AH336" i="33260"/>
  <c r="Z336" i="33260"/>
  <c r="R336" i="33260"/>
  <c r="J336" i="33260"/>
  <c r="BJ335" i="33260"/>
  <c r="BB335" i="33260"/>
  <c r="AT335" i="33260"/>
  <c r="AL335" i="33260"/>
  <c r="AD335" i="33260"/>
  <c r="V335" i="33260"/>
  <c r="N335" i="33260"/>
  <c r="F335" i="33260"/>
  <c r="BF334" i="33260"/>
  <c r="AX334" i="33260"/>
  <c r="AP334" i="33260"/>
  <c r="AH334" i="33260"/>
  <c r="Z334" i="33260"/>
  <c r="R334" i="33260"/>
  <c r="J334" i="33260"/>
  <c r="BJ333" i="33260"/>
  <c r="BB333" i="33260"/>
  <c r="AT333" i="33260"/>
  <c r="AL333" i="33260"/>
  <c r="AD333" i="33260"/>
  <c r="V333" i="33260"/>
  <c r="N333" i="33260"/>
  <c r="F333" i="33260"/>
  <c r="BF332" i="33260"/>
  <c r="AX332" i="33260"/>
  <c r="AP332" i="33260"/>
  <c r="AH332" i="33260"/>
  <c r="Z332" i="33260"/>
  <c r="R332" i="33260"/>
  <c r="J332" i="33260"/>
  <c r="BJ331" i="33260"/>
  <c r="BB331" i="33260"/>
  <c r="AT331" i="33260"/>
  <c r="AL331" i="33260"/>
  <c r="AD331" i="33260"/>
  <c r="V331" i="33260"/>
  <c r="N331" i="33260"/>
  <c r="F331" i="33260"/>
  <c r="BF330" i="33260"/>
  <c r="AX330" i="33260"/>
  <c r="AP330" i="33260"/>
  <c r="AH330" i="33260"/>
  <c r="Z330" i="33260"/>
  <c r="R330" i="33260"/>
  <c r="J330" i="33260"/>
  <c r="BJ329" i="33260"/>
  <c r="BB329" i="33260"/>
  <c r="AT329" i="33260"/>
  <c r="AL329" i="33260"/>
  <c r="AD329" i="33260"/>
  <c r="V329" i="33260"/>
  <c r="N329" i="33260"/>
  <c r="F329" i="33260"/>
  <c r="BF328" i="33260"/>
  <c r="AX328" i="33260"/>
  <c r="AP328" i="33260"/>
  <c r="AH328" i="33260"/>
  <c r="Z328" i="33260"/>
  <c r="R328" i="33260"/>
  <c r="J328" i="33260"/>
  <c r="BJ327" i="33260"/>
  <c r="BB327" i="33260"/>
  <c r="AT327" i="33260"/>
  <c r="AL327" i="33260"/>
  <c r="AD327" i="33260"/>
  <c r="V327" i="33260"/>
  <c r="N327" i="33260"/>
  <c r="F327" i="33260"/>
  <c r="BF326" i="33260"/>
  <c r="AX326" i="33260"/>
  <c r="AP326" i="33260"/>
  <c r="AH326" i="33260"/>
  <c r="Z326" i="33260"/>
  <c r="R326" i="33260"/>
  <c r="J326" i="33260"/>
  <c r="BJ325" i="33260"/>
  <c r="BB325" i="33260"/>
  <c r="AT325" i="33260"/>
  <c r="AL325" i="33260"/>
  <c r="AD325" i="33260"/>
  <c r="V325" i="33260"/>
  <c r="N325" i="33260"/>
  <c r="F325" i="33260"/>
  <c r="BF324" i="33260"/>
  <c r="AX324" i="33260"/>
  <c r="AP324" i="33260"/>
  <c r="AH324" i="33260"/>
  <c r="Z324" i="33260"/>
  <c r="R324" i="33260"/>
  <c r="J324" i="33260"/>
  <c r="BJ323" i="33260"/>
  <c r="BB323" i="33260"/>
  <c r="AT323" i="33260"/>
  <c r="AL323" i="33260"/>
  <c r="AD323" i="33260"/>
  <c r="V323" i="33260"/>
  <c r="N323" i="33260"/>
  <c r="F323" i="33260"/>
  <c r="BF322" i="33260"/>
  <c r="AX322" i="33260"/>
  <c r="AP322" i="33260"/>
  <c r="AH322" i="33260"/>
  <c r="Z322" i="33260"/>
  <c r="R322" i="33260"/>
  <c r="J322" i="33260"/>
  <c r="BJ321" i="33260"/>
  <c r="BB321" i="33260"/>
  <c r="AT321" i="33260"/>
  <c r="AL321" i="33260"/>
  <c r="AD321" i="33260"/>
  <c r="V321" i="33260"/>
  <c r="N321" i="33260"/>
  <c r="F321" i="33260"/>
  <c r="BF320" i="33260"/>
  <c r="AX320" i="33260"/>
  <c r="AP320" i="33260"/>
  <c r="AH320" i="33260"/>
  <c r="Z320" i="33260"/>
  <c r="R320" i="33260"/>
  <c r="J320" i="33260"/>
  <c r="BJ319" i="33260"/>
  <c r="BB319" i="33260"/>
  <c r="AT319" i="33260"/>
  <c r="AL319" i="33260"/>
  <c r="AD319" i="33260"/>
  <c r="V319" i="33260"/>
  <c r="N319" i="33260"/>
  <c r="F319" i="33260"/>
  <c r="BF318" i="33260"/>
  <c r="AX318" i="33260"/>
  <c r="AP318" i="33260"/>
  <c r="AH318" i="33260"/>
  <c r="Z318" i="33260"/>
  <c r="R318" i="33260"/>
  <c r="J318" i="33260"/>
  <c r="BJ317" i="33260"/>
  <c r="BB317" i="33260"/>
  <c r="AT317" i="33260"/>
  <c r="AL317" i="33260"/>
  <c r="AD317" i="33260"/>
  <c r="V317" i="33260"/>
  <c r="N317" i="33260"/>
  <c r="F317" i="33260"/>
  <c r="BF316" i="33260"/>
  <c r="AX316" i="33260"/>
  <c r="AP316" i="33260"/>
  <c r="AH316" i="33260"/>
  <c r="Z316" i="33260"/>
  <c r="R316" i="33260"/>
  <c r="J316" i="33260"/>
  <c r="BJ315" i="33260"/>
  <c r="BB315" i="33260"/>
  <c r="AT315" i="33260"/>
  <c r="AL315" i="33260"/>
  <c r="AD315" i="33260"/>
  <c r="V315" i="33260"/>
  <c r="N315" i="33260"/>
  <c r="F315" i="33260"/>
  <c r="BF314" i="33260"/>
  <c r="AX314" i="33260"/>
  <c r="AP314" i="33260"/>
  <c r="AH314" i="33260"/>
  <c r="Z314" i="33260"/>
  <c r="R314" i="33260"/>
  <c r="J314" i="33260"/>
  <c r="BJ313" i="33260"/>
  <c r="BB313" i="33260"/>
  <c r="AT313" i="33260"/>
  <c r="AL313" i="33260"/>
  <c r="AD313" i="33260"/>
  <c r="V313" i="33260"/>
  <c r="N313" i="33260"/>
  <c r="F313" i="33260"/>
  <c r="BF312" i="33260"/>
  <c r="AX312" i="33260"/>
  <c r="AP312" i="33260"/>
  <c r="AH312" i="33260"/>
  <c r="Z312" i="33260"/>
  <c r="BA411" i="33260"/>
  <c r="AJ382" i="33260"/>
  <c r="D374" i="33260"/>
  <c r="AL367" i="33260"/>
  <c r="AV364" i="33260"/>
  <c r="BD361" i="33260"/>
  <c r="F359" i="33260"/>
  <c r="P356" i="33260"/>
  <c r="X353" i="33260"/>
  <c r="AH350" i="33260"/>
  <c r="AR347" i="33260"/>
  <c r="BC345" i="33260"/>
  <c r="AY344" i="33260"/>
  <c r="AU343" i="33260"/>
  <c r="AQ342" i="33260"/>
  <c r="AM341" i="33260"/>
  <c r="AI340" i="33260"/>
  <c r="AE339" i="33260"/>
  <c r="AA338" i="33260"/>
  <c r="W337" i="33260"/>
  <c r="S336" i="33260"/>
  <c r="O335" i="33260"/>
  <c r="K334" i="33260"/>
  <c r="G333" i="33260"/>
  <c r="BK331" i="33260"/>
  <c r="BG330" i="33260"/>
  <c r="BC329" i="33260"/>
  <c r="AY328" i="33260"/>
  <c r="AU327" i="33260"/>
  <c r="AQ326" i="33260"/>
  <c r="AM325" i="33260"/>
  <c r="AI324" i="33260"/>
  <c r="AE323" i="33260"/>
  <c r="AA322" i="33260"/>
  <c r="W321" i="33260"/>
  <c r="S320" i="33260"/>
  <c r="O319" i="33260"/>
  <c r="K318" i="33260"/>
  <c r="G317" i="33260"/>
  <c r="BK315" i="33260"/>
  <c r="BG314" i="33260"/>
  <c r="BC313" i="33260"/>
  <c r="AY312" i="33260"/>
  <c r="O312" i="33260"/>
  <c r="G312" i="33260"/>
  <c r="BG311" i="33260"/>
  <c r="AY311" i="33260"/>
  <c r="AQ311" i="33260"/>
  <c r="AI311" i="33260"/>
  <c r="AA311" i="33260"/>
  <c r="S311" i="33260"/>
  <c r="K311" i="33260"/>
  <c r="BK310" i="33260"/>
  <c r="BC310" i="33260"/>
  <c r="AU310" i="33260"/>
  <c r="AM310" i="33260"/>
  <c r="AE310" i="33260"/>
  <c r="W310" i="33260"/>
  <c r="O310" i="33260"/>
  <c r="G310" i="33260"/>
  <c r="BG309" i="33260"/>
  <c r="AY309" i="33260"/>
  <c r="AQ309" i="33260"/>
  <c r="AI309" i="33260"/>
  <c r="AA309" i="33260"/>
  <c r="S309" i="33260"/>
  <c r="K309" i="33260"/>
  <c r="BK308" i="33260"/>
  <c r="BC308" i="33260"/>
  <c r="AU308" i="33260"/>
  <c r="AM308" i="33260"/>
  <c r="AE308" i="33260"/>
  <c r="W308" i="33260"/>
  <c r="O308" i="33260"/>
  <c r="G308" i="33260"/>
  <c r="BG307" i="33260"/>
  <c r="AY307" i="33260"/>
  <c r="AQ307" i="33260"/>
  <c r="AI307" i="33260"/>
  <c r="AA307" i="33260"/>
  <c r="S307" i="33260"/>
  <c r="K307" i="33260"/>
  <c r="S396" i="33260"/>
  <c r="AF381" i="33260"/>
  <c r="BH372" i="33260"/>
  <c r="P367" i="33260"/>
  <c r="Z364" i="33260"/>
  <c r="AJ361" i="33260"/>
  <c r="AR358" i="33260"/>
  <c r="BB355" i="33260"/>
  <c r="D353" i="33260"/>
  <c r="L350" i="33260"/>
  <c r="V347" i="33260"/>
  <c r="AU345" i="33260"/>
  <c r="AQ344" i="33260"/>
  <c r="AM343" i="33260"/>
  <c r="AI342" i="33260"/>
  <c r="AE341" i="33260"/>
  <c r="AA340" i="33260"/>
  <c r="W339" i="33260"/>
  <c r="S338" i="33260"/>
  <c r="O337" i="33260"/>
  <c r="K336" i="33260"/>
  <c r="G335" i="33260"/>
  <c r="BK333" i="33260"/>
  <c r="BG332" i="33260"/>
  <c r="BC331" i="33260"/>
  <c r="AY330" i="33260"/>
  <c r="AU329" i="33260"/>
  <c r="AQ328" i="33260"/>
  <c r="AM327" i="33260"/>
  <c r="AI326" i="33260"/>
  <c r="AE325" i="33260"/>
  <c r="AA324" i="33260"/>
  <c r="W323" i="33260"/>
  <c r="S322" i="33260"/>
  <c r="O321" i="33260"/>
  <c r="K320" i="33260"/>
  <c r="G319" i="33260"/>
  <c r="BG316" i="33260"/>
  <c r="AU313" i="33260"/>
  <c r="AQ312" i="33260"/>
  <c r="F312" i="33260"/>
  <c r="AP311" i="33260"/>
  <c r="J311" i="33260"/>
  <c r="AL310" i="33260"/>
  <c r="F310" i="33260"/>
  <c r="AH309" i="33260"/>
  <c r="BJ308" i="33260"/>
  <c r="V308" i="33260"/>
  <c r="AX307" i="33260"/>
  <c r="R307" i="33260"/>
  <c r="BD309" i="33260"/>
  <c r="BH308" i="33260"/>
  <c r="T308" i="33260"/>
  <c r="AF307" i="33260"/>
  <c r="BJ388" i="33260"/>
  <c r="AB380" i="33260"/>
  <c r="BD371" i="33260"/>
  <c r="BD366" i="33260"/>
  <c r="D364" i="33260"/>
  <c r="N361" i="33260"/>
  <c r="X358" i="33260"/>
  <c r="AF355" i="33260"/>
  <c r="AP352" i="33260"/>
  <c r="AZ349" i="33260"/>
  <c r="BH346" i="33260"/>
  <c r="AM345" i="33260"/>
  <c r="AI344" i="33260"/>
  <c r="AE343" i="33260"/>
  <c r="AA342" i="33260"/>
  <c r="W341" i="33260"/>
  <c r="S340" i="33260"/>
  <c r="O339" i="33260"/>
  <c r="K338" i="33260"/>
  <c r="G337" i="33260"/>
  <c r="BK335" i="33260"/>
  <c r="BG334" i="33260"/>
  <c r="BC333" i="33260"/>
  <c r="AY332" i="33260"/>
  <c r="AU331" i="33260"/>
  <c r="AQ330" i="33260"/>
  <c r="AM329" i="33260"/>
  <c r="AI328" i="33260"/>
  <c r="AE327" i="33260"/>
  <c r="AA326" i="33260"/>
  <c r="W325" i="33260"/>
  <c r="S324" i="33260"/>
  <c r="O323" i="33260"/>
  <c r="K322" i="33260"/>
  <c r="G321" i="33260"/>
  <c r="BK319" i="33260"/>
  <c r="BG318" i="33260"/>
  <c r="BC317" i="33260"/>
  <c r="AY316" i="33260"/>
  <c r="AU315" i="33260"/>
  <c r="AQ314" i="33260"/>
  <c r="AM313" i="33260"/>
  <c r="AI312" i="33260"/>
  <c r="M312" i="33260"/>
  <c r="E312" i="33260"/>
  <c r="BE311" i="33260"/>
  <c r="AW311" i="33260"/>
  <c r="AO311" i="33260"/>
  <c r="AG311" i="33260"/>
  <c r="Y311" i="33260"/>
  <c r="Q311" i="33260"/>
  <c r="I311" i="33260"/>
  <c r="BI310" i="33260"/>
  <c r="BA310" i="33260"/>
  <c r="AS310" i="33260"/>
  <c r="AK310" i="33260"/>
  <c r="AC310" i="33260"/>
  <c r="U310" i="33260"/>
  <c r="M310" i="33260"/>
  <c r="E310" i="33260"/>
  <c r="BE309" i="33260"/>
  <c r="AW309" i="33260"/>
  <c r="AO309" i="33260"/>
  <c r="AG309" i="33260"/>
  <c r="Y309" i="33260"/>
  <c r="Q309" i="33260"/>
  <c r="I309" i="33260"/>
  <c r="BI308" i="33260"/>
  <c r="BA308" i="33260"/>
  <c r="AS308" i="33260"/>
  <c r="AK308" i="33260"/>
  <c r="AC308" i="33260"/>
  <c r="U308" i="33260"/>
  <c r="M308" i="33260"/>
  <c r="E308" i="33260"/>
  <c r="BE307" i="33260"/>
  <c r="AW307" i="33260"/>
  <c r="AO307" i="33260"/>
  <c r="AG307" i="33260"/>
  <c r="Y307" i="33260"/>
  <c r="Q307" i="33260"/>
  <c r="I307" i="33260"/>
  <c r="BD387" i="33260"/>
  <c r="X379" i="33260"/>
  <c r="AZ370" i="33260"/>
  <c r="AH366" i="33260"/>
  <c r="AR363" i="33260"/>
  <c r="AZ360" i="33260"/>
  <c r="BJ357" i="33260"/>
  <c r="L355" i="33260"/>
  <c r="T352" i="33260"/>
  <c r="AD349" i="33260"/>
  <c r="AN346" i="33260"/>
  <c r="AE345" i="33260"/>
  <c r="AA344" i="33260"/>
  <c r="W343" i="33260"/>
  <c r="S342" i="33260"/>
  <c r="O341" i="33260"/>
  <c r="K340" i="33260"/>
  <c r="G339" i="33260"/>
  <c r="BK337" i="33260"/>
  <c r="BG336" i="33260"/>
  <c r="BC335" i="33260"/>
  <c r="AY334" i="33260"/>
  <c r="AU333" i="33260"/>
  <c r="AQ332" i="33260"/>
  <c r="AM331" i="33260"/>
  <c r="AI330" i="33260"/>
  <c r="AE329" i="33260"/>
  <c r="AA328" i="33260"/>
  <c r="W327" i="33260"/>
  <c r="S326" i="33260"/>
  <c r="O325" i="33260"/>
  <c r="K324" i="33260"/>
  <c r="G323" i="33260"/>
  <c r="BK321" i="33260"/>
  <c r="BG320" i="33260"/>
  <c r="BC319" i="33260"/>
  <c r="AY318" i="33260"/>
  <c r="AU317" i="33260"/>
  <c r="AQ316" i="33260"/>
  <c r="AM315" i="33260"/>
  <c r="AI314" i="33260"/>
  <c r="AE313" i="33260"/>
  <c r="AA312" i="33260"/>
  <c r="L312" i="33260"/>
  <c r="D312" i="33260"/>
  <c r="BD311" i="33260"/>
  <c r="AV311" i="33260"/>
  <c r="AN311" i="33260"/>
  <c r="AF311" i="33260"/>
  <c r="X311" i="33260"/>
  <c r="P311" i="33260"/>
  <c r="H311" i="33260"/>
  <c r="BH310" i="33260"/>
  <c r="AZ310" i="33260"/>
  <c r="AR310" i="33260"/>
  <c r="AJ310" i="33260"/>
  <c r="AB310" i="33260"/>
  <c r="T310" i="33260"/>
  <c r="AN309" i="33260"/>
  <c r="X309" i="33260"/>
  <c r="AZ308" i="33260"/>
  <c r="L308" i="33260"/>
  <c r="AN307" i="33260"/>
  <c r="AZ386" i="33260"/>
  <c r="T378" i="33260"/>
  <c r="AV369" i="33260"/>
  <c r="L366" i="33260"/>
  <c r="V363" i="33260"/>
  <c r="AF360" i="33260"/>
  <c r="AN357" i="33260"/>
  <c r="AX354" i="33260"/>
  <c r="BH351" i="33260"/>
  <c r="H349" i="33260"/>
  <c r="AB346" i="33260"/>
  <c r="W345" i="33260"/>
  <c r="S344" i="33260"/>
  <c r="O343" i="33260"/>
  <c r="K342" i="33260"/>
  <c r="G341" i="33260"/>
  <c r="BK339" i="33260"/>
  <c r="BG338" i="33260"/>
  <c r="BC337" i="33260"/>
  <c r="AY336" i="33260"/>
  <c r="AU335" i="33260"/>
  <c r="AQ334" i="33260"/>
  <c r="AM333" i="33260"/>
  <c r="AI332" i="33260"/>
  <c r="AE331" i="33260"/>
  <c r="AA330" i="33260"/>
  <c r="W329" i="33260"/>
  <c r="S328" i="33260"/>
  <c r="O327" i="33260"/>
  <c r="K326" i="33260"/>
  <c r="G325" i="33260"/>
  <c r="BK323" i="33260"/>
  <c r="BG322" i="33260"/>
  <c r="BC321" i="33260"/>
  <c r="AY320" i="33260"/>
  <c r="AU319" i="33260"/>
  <c r="AQ318" i="33260"/>
  <c r="AM317" i="33260"/>
  <c r="AI316" i="33260"/>
  <c r="AE315" i="33260"/>
  <c r="AA314" i="33260"/>
  <c r="W313" i="33260"/>
  <c r="S312" i="33260"/>
  <c r="K312" i="33260"/>
  <c r="BK311" i="33260"/>
  <c r="BC311" i="33260"/>
  <c r="AU311" i="33260"/>
  <c r="AM311" i="33260"/>
  <c r="AE311" i="33260"/>
  <c r="W311" i="33260"/>
  <c r="O311" i="33260"/>
  <c r="G311" i="33260"/>
  <c r="BG310" i="33260"/>
  <c r="AY310" i="33260"/>
  <c r="AQ310" i="33260"/>
  <c r="AI310" i="33260"/>
  <c r="AA310" i="33260"/>
  <c r="S310" i="33260"/>
  <c r="K310" i="33260"/>
  <c r="BK309" i="33260"/>
  <c r="BC309" i="33260"/>
  <c r="AU309" i="33260"/>
  <c r="AM309" i="33260"/>
  <c r="AE309" i="33260"/>
  <c r="W309" i="33260"/>
  <c r="O309" i="33260"/>
  <c r="G309" i="33260"/>
  <c r="BG308" i="33260"/>
  <c r="AY308" i="33260"/>
  <c r="AQ308" i="33260"/>
  <c r="AI308" i="33260"/>
  <c r="AA308" i="33260"/>
  <c r="S308" i="33260"/>
  <c r="K308" i="33260"/>
  <c r="BK307" i="33260"/>
  <c r="BC307" i="33260"/>
  <c r="AU307" i="33260"/>
  <c r="AM307" i="33260"/>
  <c r="AE307" i="33260"/>
  <c r="W307" i="33260"/>
  <c r="O307" i="33260"/>
  <c r="G307" i="33260"/>
  <c r="H375" i="33260"/>
  <c r="R362" i="33260"/>
  <c r="AJ356" i="33260"/>
  <c r="D348" i="33260"/>
  <c r="BC343" i="33260"/>
  <c r="AQ340" i="33260"/>
  <c r="AA336" i="33260"/>
  <c r="O333" i="33260"/>
  <c r="BK329" i="33260"/>
  <c r="AY326" i="33260"/>
  <c r="AE321" i="33260"/>
  <c r="S318" i="33260"/>
  <c r="G315" i="33260"/>
  <c r="P312" i="33260"/>
  <c r="AZ311" i="33260"/>
  <c r="T311" i="33260"/>
  <c r="BD310" i="33260"/>
  <c r="AF310" i="33260"/>
  <c r="H310" i="33260"/>
  <c r="AR309" i="33260"/>
  <c r="L309" i="33260"/>
  <c r="AV308" i="33260"/>
  <c r="X308" i="33260"/>
  <c r="BH307" i="33260"/>
  <c r="AJ307" i="33260"/>
  <c r="L307" i="33260"/>
  <c r="BC315" i="33260"/>
  <c r="BF311" i="33260"/>
  <c r="Z311" i="33260"/>
  <c r="BB310" i="33260"/>
  <c r="V310" i="33260"/>
  <c r="AX309" i="33260"/>
  <c r="R309" i="33260"/>
  <c r="AT308" i="33260"/>
  <c r="N308" i="33260"/>
  <c r="AP307" i="33260"/>
  <c r="J307" i="33260"/>
  <c r="AV309" i="33260"/>
  <c r="H309" i="33260"/>
  <c r="AB308" i="33260"/>
  <c r="AV307" i="33260"/>
  <c r="H307" i="33260"/>
  <c r="AV385" i="33260"/>
  <c r="P377" i="33260"/>
  <c r="AR368" i="33260"/>
  <c r="AZ365" i="33260"/>
  <c r="BH362" i="33260"/>
  <c r="J360" i="33260"/>
  <c r="T357" i="33260"/>
  <c r="AB354" i="33260"/>
  <c r="AL351" i="33260"/>
  <c r="AV348" i="33260"/>
  <c r="S346" i="33260"/>
  <c r="O345" i="33260"/>
  <c r="K344" i="33260"/>
  <c r="G343" i="33260"/>
  <c r="BK341" i="33260"/>
  <c r="BG340" i="33260"/>
  <c r="BC339" i="33260"/>
  <c r="AY338" i="33260"/>
  <c r="AU337" i="33260"/>
  <c r="AQ336" i="33260"/>
  <c r="AM335" i="33260"/>
  <c r="AI334" i="33260"/>
  <c r="AE333" i="33260"/>
  <c r="AA332" i="33260"/>
  <c r="W331" i="33260"/>
  <c r="S330" i="33260"/>
  <c r="O329" i="33260"/>
  <c r="K328" i="33260"/>
  <c r="G327" i="33260"/>
  <c r="BK325" i="33260"/>
  <c r="BG324" i="33260"/>
  <c r="BC323" i="33260"/>
  <c r="AY322" i="33260"/>
  <c r="AU321" i="33260"/>
  <c r="AQ320" i="33260"/>
  <c r="AM319" i="33260"/>
  <c r="AI318" i="33260"/>
  <c r="AE317" i="33260"/>
  <c r="AA316" i="33260"/>
  <c r="W315" i="33260"/>
  <c r="S314" i="33260"/>
  <c r="O313" i="33260"/>
  <c r="R312" i="33260"/>
  <c r="J312" i="33260"/>
  <c r="BJ311" i="33260"/>
  <c r="BB311" i="33260"/>
  <c r="AT311" i="33260"/>
  <c r="AL311" i="33260"/>
  <c r="AD311" i="33260"/>
  <c r="V311" i="33260"/>
  <c r="N311" i="33260"/>
  <c r="F311" i="33260"/>
  <c r="BF310" i="33260"/>
  <c r="AX310" i="33260"/>
  <c r="AP310" i="33260"/>
  <c r="AH310" i="33260"/>
  <c r="Z310" i="33260"/>
  <c r="R310" i="33260"/>
  <c r="J310" i="33260"/>
  <c r="BJ309" i="33260"/>
  <c r="BB309" i="33260"/>
  <c r="AT309" i="33260"/>
  <c r="AL309" i="33260"/>
  <c r="AD309" i="33260"/>
  <c r="V309" i="33260"/>
  <c r="N309" i="33260"/>
  <c r="F309" i="33260"/>
  <c r="BF308" i="33260"/>
  <c r="AX308" i="33260"/>
  <c r="AP308" i="33260"/>
  <c r="AH308" i="33260"/>
  <c r="Z308" i="33260"/>
  <c r="R308" i="33260"/>
  <c r="J308" i="33260"/>
  <c r="BJ307" i="33260"/>
  <c r="BB307" i="33260"/>
  <c r="AT307" i="33260"/>
  <c r="AL307" i="33260"/>
  <c r="AD307" i="33260"/>
  <c r="V307" i="33260"/>
  <c r="N307" i="33260"/>
  <c r="F307" i="33260"/>
  <c r="BH367" i="33260"/>
  <c r="AT353" i="33260"/>
  <c r="BK345" i="33260"/>
  <c r="AY342" i="33260"/>
  <c r="AM339" i="33260"/>
  <c r="AE337" i="33260"/>
  <c r="S334" i="33260"/>
  <c r="G331" i="33260"/>
  <c r="BC327" i="33260"/>
  <c r="AQ324" i="33260"/>
  <c r="AI322" i="33260"/>
  <c r="W319" i="33260"/>
  <c r="K316" i="33260"/>
  <c r="BG312" i="33260"/>
  <c r="BH311" i="33260"/>
  <c r="AR311" i="33260"/>
  <c r="AB311" i="33260"/>
  <c r="D311" i="33260"/>
  <c r="AN310" i="33260"/>
  <c r="P310" i="33260"/>
  <c r="AZ309" i="33260"/>
  <c r="AB309" i="33260"/>
  <c r="T309" i="33260"/>
  <c r="BD308" i="33260"/>
  <c r="AF308" i="33260"/>
  <c r="H308" i="33260"/>
  <c r="AR307" i="33260"/>
  <c r="T307" i="33260"/>
  <c r="BK317" i="33260"/>
  <c r="N312" i="33260"/>
  <c r="AH311" i="33260"/>
  <c r="BJ310" i="33260"/>
  <c r="AD310" i="33260"/>
  <c r="BF309" i="33260"/>
  <c r="Z309" i="33260"/>
  <c r="BB308" i="33260"/>
  <c r="AD308" i="33260"/>
  <c r="F308" i="33260"/>
  <c r="AH307" i="33260"/>
  <c r="L310" i="33260"/>
  <c r="AF309" i="33260"/>
  <c r="AR308" i="33260"/>
  <c r="D308" i="33260"/>
  <c r="X307" i="33260"/>
  <c r="AR384" i="33260"/>
  <c r="L376" i="33260"/>
  <c r="T368" i="33260"/>
  <c r="AD365" i="33260"/>
  <c r="AN362" i="33260"/>
  <c r="AV359" i="33260"/>
  <c r="BF356" i="33260"/>
  <c r="H354" i="33260"/>
  <c r="P351" i="33260"/>
  <c r="Z348" i="33260"/>
  <c r="K346" i="33260"/>
  <c r="G345" i="33260"/>
  <c r="BK343" i="33260"/>
  <c r="BG342" i="33260"/>
  <c r="BC341" i="33260"/>
  <c r="AY340" i="33260"/>
  <c r="AU339" i="33260"/>
  <c r="AQ338" i="33260"/>
  <c r="AM337" i="33260"/>
  <c r="AI336" i="33260"/>
  <c r="AE335" i="33260"/>
  <c r="AA334" i="33260"/>
  <c r="W333" i="33260"/>
  <c r="S332" i="33260"/>
  <c r="O331" i="33260"/>
  <c r="K330" i="33260"/>
  <c r="G329" i="33260"/>
  <c r="BK327" i="33260"/>
  <c r="BG326" i="33260"/>
  <c r="BC325" i="33260"/>
  <c r="AY324" i="33260"/>
  <c r="AU323" i="33260"/>
  <c r="AQ322" i="33260"/>
  <c r="AM321" i="33260"/>
  <c r="AI320" i="33260"/>
  <c r="AE319" i="33260"/>
  <c r="AA318" i="33260"/>
  <c r="W317" i="33260"/>
  <c r="S316" i="33260"/>
  <c r="O315" i="33260"/>
  <c r="K314" i="33260"/>
  <c r="G313" i="33260"/>
  <c r="Q312" i="33260"/>
  <c r="I312" i="33260"/>
  <c r="BI311" i="33260"/>
  <c r="BA311" i="33260"/>
  <c r="AS311" i="33260"/>
  <c r="AK311" i="33260"/>
  <c r="AC311" i="33260"/>
  <c r="U311" i="33260"/>
  <c r="M311" i="33260"/>
  <c r="E311" i="33260"/>
  <c r="BE310" i="33260"/>
  <c r="AW310" i="33260"/>
  <c r="AO310" i="33260"/>
  <c r="AG310" i="33260"/>
  <c r="Y310" i="33260"/>
  <c r="Q310" i="33260"/>
  <c r="I310" i="33260"/>
  <c r="BI309" i="33260"/>
  <c r="BA309" i="33260"/>
  <c r="AS309" i="33260"/>
  <c r="AK309" i="33260"/>
  <c r="AC309" i="33260"/>
  <c r="U309" i="33260"/>
  <c r="M309" i="33260"/>
  <c r="E309" i="33260"/>
  <c r="BE308" i="33260"/>
  <c r="AW308" i="33260"/>
  <c r="AO308" i="33260"/>
  <c r="AG308" i="33260"/>
  <c r="Y308" i="33260"/>
  <c r="Q308" i="33260"/>
  <c r="I308" i="33260"/>
  <c r="BI307" i="33260"/>
  <c r="BA307" i="33260"/>
  <c r="AS307" i="33260"/>
  <c r="AK307" i="33260"/>
  <c r="AC307" i="33260"/>
  <c r="U307" i="33260"/>
  <c r="M307" i="33260"/>
  <c r="E307" i="33260"/>
  <c r="AN383" i="33260"/>
  <c r="H365" i="33260"/>
  <c r="AB359" i="33260"/>
  <c r="BD350" i="33260"/>
  <c r="BG344" i="33260"/>
  <c r="AU341" i="33260"/>
  <c r="AI338" i="33260"/>
  <c r="W335" i="33260"/>
  <c r="K332" i="33260"/>
  <c r="BG328" i="33260"/>
  <c r="AU325" i="33260"/>
  <c r="AM323" i="33260"/>
  <c r="AA320" i="33260"/>
  <c r="O317" i="33260"/>
  <c r="BK313" i="33260"/>
  <c r="H312" i="33260"/>
  <c r="AJ311" i="33260"/>
  <c r="L311" i="33260"/>
  <c r="AV310" i="33260"/>
  <c r="X310" i="33260"/>
  <c r="BH309" i="33260"/>
  <c r="AJ309" i="33260"/>
  <c r="D309" i="33260"/>
  <c r="AN308" i="33260"/>
  <c r="P308" i="33260"/>
  <c r="AZ307" i="33260"/>
  <c r="AB307" i="33260"/>
  <c r="D307" i="33260"/>
  <c r="AY314" i="33260"/>
  <c r="AX311" i="33260"/>
  <c r="R311" i="33260"/>
  <c r="AT310" i="33260"/>
  <c r="N310" i="33260"/>
  <c r="AP309" i="33260"/>
  <c r="J309" i="33260"/>
  <c r="AL308" i="33260"/>
  <c r="BF307" i="33260"/>
  <c r="Z307" i="33260"/>
  <c r="D310" i="33260"/>
  <c r="P309" i="33260"/>
  <c r="AJ308" i="33260"/>
  <c r="BD307" i="33260"/>
  <c r="P307" i="33260"/>
  <c r="BA575" i="33260"/>
  <c r="BI577" i="33260"/>
  <c r="AG573" i="33260"/>
  <c r="AO575" i="33260"/>
  <c r="AW577" i="33260"/>
  <c r="BD579" i="33260"/>
  <c r="AZ578" i="33260"/>
  <c r="AV577" i="33260"/>
  <c r="AR576" i="33260"/>
  <c r="AN575" i="33260"/>
  <c r="AJ574" i="33260"/>
  <c r="AF573" i="33260"/>
  <c r="AB572" i="33260"/>
  <c r="X571" i="33260"/>
  <c r="T570" i="33260"/>
  <c r="P569" i="33260"/>
  <c r="O579" i="33260"/>
  <c r="K578" i="33260"/>
  <c r="G577" i="33260"/>
  <c r="BK575" i="33260"/>
  <c r="BG574" i="33260"/>
  <c r="BC573" i="33260"/>
  <c r="AY572" i="33260"/>
  <c r="AU571" i="33260"/>
  <c r="AQ570" i="33260"/>
  <c r="AM569" i="33260"/>
  <c r="AL579" i="33260"/>
  <c r="AH578" i="33260"/>
  <c r="AD577" i="33260"/>
  <c r="Z576" i="33260"/>
  <c r="V575" i="33260"/>
  <c r="R574" i="33260"/>
  <c r="N573" i="33260"/>
  <c r="J572" i="33260"/>
  <c r="F571" i="33260"/>
  <c r="BJ569" i="33260"/>
  <c r="BH579" i="33260"/>
  <c r="BD578" i="33260"/>
  <c r="AZ577" i="33260"/>
  <c r="AV576" i="33260"/>
  <c r="AR575" i="33260"/>
  <c r="AN574" i="33260"/>
  <c r="AJ573" i="33260"/>
  <c r="AF572" i="33260"/>
  <c r="AB571" i="33260"/>
  <c r="BD577" i="33260"/>
  <c r="AN573" i="33260"/>
  <c r="S578" i="33260"/>
  <c r="BC571" i="33260"/>
  <c r="AD575" i="33260"/>
  <c r="D579" i="33260"/>
  <c r="AJ571" i="33260"/>
  <c r="I576" i="33260"/>
  <c r="Q578" i="33260"/>
  <c r="AW573" i="33260"/>
  <c r="BE575" i="33260"/>
  <c r="E578" i="33260"/>
  <c r="AV579" i="33260"/>
  <c r="AR578" i="33260"/>
  <c r="AN577" i="33260"/>
  <c r="AJ576" i="33260"/>
  <c r="AF575" i="33260"/>
  <c r="AB574" i="33260"/>
  <c r="X573" i="33260"/>
  <c r="T572" i="33260"/>
  <c r="P571" i="33260"/>
  <c r="L570" i="33260"/>
  <c r="H569" i="33260"/>
  <c r="G579" i="33260"/>
  <c r="BK577" i="33260"/>
  <c r="BG576" i="33260"/>
  <c r="BC575" i="33260"/>
  <c r="AY574" i="33260"/>
  <c r="AU573" i="33260"/>
  <c r="AQ572" i="33260"/>
  <c r="AM571" i="33260"/>
  <c r="AI570" i="33260"/>
  <c r="AE569" i="33260"/>
  <c r="AD579" i="33260"/>
  <c r="Z578" i="33260"/>
  <c r="V577" i="33260"/>
  <c r="R576" i="33260"/>
  <c r="N575" i="33260"/>
  <c r="J574" i="33260"/>
  <c r="F573" i="33260"/>
  <c r="BJ571" i="33260"/>
  <c r="BF570" i="33260"/>
  <c r="BB569" i="33260"/>
  <c r="AZ579" i="33260"/>
  <c r="AV578" i="33260"/>
  <c r="AR577" i="33260"/>
  <c r="AN576" i="33260"/>
  <c r="AJ575" i="33260"/>
  <c r="AF574" i="33260"/>
  <c r="AB573" i="33260"/>
  <c r="X572" i="33260"/>
  <c r="T571" i="33260"/>
  <c r="BH578" i="33260"/>
  <c r="AB570" i="33260"/>
  <c r="BK573" i="33260"/>
  <c r="AH576" i="33260"/>
  <c r="F569" i="33260"/>
  <c r="AN572" i="33260"/>
  <c r="Y576" i="33260"/>
  <c r="AG578" i="33260"/>
  <c r="E574" i="33260"/>
  <c r="M576" i="33260"/>
  <c r="U578" i="33260"/>
  <c r="AN579" i="33260"/>
  <c r="AJ578" i="33260"/>
  <c r="AF577" i="33260"/>
  <c r="AB576" i="33260"/>
  <c r="X575" i="33260"/>
  <c r="T574" i="33260"/>
  <c r="P573" i="33260"/>
  <c r="L572" i="33260"/>
  <c r="H571" i="33260"/>
  <c r="D570" i="33260"/>
  <c r="BK579" i="33260"/>
  <c r="BG578" i="33260"/>
  <c r="BC577" i="33260"/>
  <c r="AY576" i="33260"/>
  <c r="AU575" i="33260"/>
  <c r="AQ574" i="33260"/>
  <c r="AM573" i="33260"/>
  <c r="AI572" i="33260"/>
  <c r="AE571" i="33260"/>
  <c r="AA570" i="33260"/>
  <c r="W569" i="33260"/>
  <c r="V579" i="33260"/>
  <c r="R578" i="33260"/>
  <c r="N577" i="33260"/>
  <c r="J576" i="33260"/>
  <c r="F575" i="33260"/>
  <c r="BJ573" i="33260"/>
  <c r="BF572" i="33260"/>
  <c r="BB571" i="33260"/>
  <c r="AX570" i="33260"/>
  <c r="AT569" i="33260"/>
  <c r="AR579" i="33260"/>
  <c r="AN578" i="33260"/>
  <c r="AJ577" i="33260"/>
  <c r="AF576" i="33260"/>
  <c r="AB575" i="33260"/>
  <c r="X574" i="33260"/>
  <c r="T573" i="33260"/>
  <c r="P572" i="33260"/>
  <c r="L571" i="33260"/>
  <c r="AS577" i="33260"/>
  <c r="AV575" i="33260"/>
  <c r="W579" i="33260"/>
  <c r="BG572" i="33260"/>
  <c r="AL577" i="33260"/>
  <c r="N571" i="33260"/>
  <c r="AZ575" i="33260"/>
  <c r="AO576" i="33260"/>
  <c r="AW578" i="33260"/>
  <c r="U574" i="33260"/>
  <c r="AC576" i="33260"/>
  <c r="AK578" i="33260"/>
  <c r="AF579" i="33260"/>
  <c r="AB578" i="33260"/>
  <c r="X577" i="33260"/>
  <c r="T576" i="33260"/>
  <c r="P575" i="33260"/>
  <c r="L574" i="33260"/>
  <c r="H573" i="33260"/>
  <c r="D572" i="33260"/>
  <c r="BH570" i="33260"/>
  <c r="BD569" i="33260"/>
  <c r="BC579" i="33260"/>
  <c r="AY578" i="33260"/>
  <c r="AU577" i="33260"/>
  <c r="AQ576" i="33260"/>
  <c r="AM575" i="33260"/>
  <c r="AI574" i="33260"/>
  <c r="AE573" i="33260"/>
  <c r="AA572" i="33260"/>
  <c r="W571" i="33260"/>
  <c r="S570" i="33260"/>
  <c r="O569" i="33260"/>
  <c r="N579" i="33260"/>
  <c r="J578" i="33260"/>
  <c r="F577" i="33260"/>
  <c r="BJ575" i="33260"/>
  <c r="BF574" i="33260"/>
  <c r="BB573" i="33260"/>
  <c r="AX572" i="33260"/>
  <c r="AT571" i="33260"/>
  <c r="AP570" i="33260"/>
  <c r="AL569" i="33260"/>
  <c r="AJ579" i="33260"/>
  <c r="AF578" i="33260"/>
  <c r="AB577" i="33260"/>
  <c r="X576" i="33260"/>
  <c r="T575" i="33260"/>
  <c r="P574" i="33260"/>
  <c r="L573" i="33260"/>
  <c r="H572" i="33260"/>
  <c r="D571" i="33260"/>
  <c r="Y575" i="33260"/>
  <c r="X569" i="33260"/>
  <c r="AY570" i="33260"/>
  <c r="R572" i="33260"/>
  <c r="AV574" i="33260"/>
  <c r="BE576" i="33260"/>
  <c r="E579" i="33260"/>
  <c r="AK574" i="33260"/>
  <c r="AS576" i="33260"/>
  <c r="BA578" i="33260"/>
  <c r="X579" i="33260"/>
  <c r="T578" i="33260"/>
  <c r="P577" i="33260"/>
  <c r="L576" i="33260"/>
  <c r="H575" i="33260"/>
  <c r="D574" i="33260"/>
  <c r="BH572" i="33260"/>
  <c r="BD571" i="33260"/>
  <c r="AZ570" i="33260"/>
  <c r="AV569" i="33260"/>
  <c r="AU579" i="33260"/>
  <c r="AQ578" i="33260"/>
  <c r="AM577" i="33260"/>
  <c r="AI576" i="33260"/>
  <c r="AE575" i="33260"/>
  <c r="AA574" i="33260"/>
  <c r="W573" i="33260"/>
  <c r="S572" i="33260"/>
  <c r="O571" i="33260"/>
  <c r="K570" i="33260"/>
  <c r="G569" i="33260"/>
  <c r="F579" i="33260"/>
  <c r="BJ577" i="33260"/>
  <c r="BF576" i="33260"/>
  <c r="BB575" i="33260"/>
  <c r="AX574" i="33260"/>
  <c r="AT573" i="33260"/>
  <c r="AP572" i="33260"/>
  <c r="AL571" i="33260"/>
  <c r="AH570" i="33260"/>
  <c r="AD569" i="33260"/>
  <c r="AB579" i="33260"/>
  <c r="X578" i="33260"/>
  <c r="T577" i="33260"/>
  <c r="P576" i="33260"/>
  <c r="L575" i="33260"/>
  <c r="H574" i="33260"/>
  <c r="D573" i="33260"/>
  <c r="BH571" i="33260"/>
  <c r="BD570" i="33260"/>
  <c r="AG577" i="33260"/>
  <c r="AF571" i="33260"/>
  <c r="G575" i="33260"/>
  <c r="AP578" i="33260"/>
  <c r="J570" i="33260"/>
  <c r="AR573" i="33260"/>
  <c r="M577" i="33260"/>
  <c r="U579" i="33260"/>
  <c r="BA574" i="33260"/>
  <c r="BI576" i="33260"/>
  <c r="I579" i="33260"/>
  <c r="P579" i="33260"/>
  <c r="L578" i="33260"/>
  <c r="H577" i="33260"/>
  <c r="D576" i="33260"/>
  <c r="BH574" i="33260"/>
  <c r="BD573" i="33260"/>
  <c r="AZ572" i="33260"/>
  <c r="AV571" i="33260"/>
  <c r="AR570" i="33260"/>
  <c r="AN569" i="33260"/>
  <c r="AM579" i="33260"/>
  <c r="AI578" i="33260"/>
  <c r="AE577" i="33260"/>
  <c r="AA576" i="33260"/>
  <c r="W575" i="33260"/>
  <c r="S574" i="33260"/>
  <c r="O573" i="33260"/>
  <c r="K572" i="33260"/>
  <c r="G571" i="33260"/>
  <c r="BK569" i="33260"/>
  <c r="BJ579" i="33260"/>
  <c r="BF578" i="33260"/>
  <c r="BB577" i="33260"/>
  <c r="AX576" i="33260"/>
  <c r="AT575" i="33260"/>
  <c r="AP574" i="33260"/>
  <c r="AL573" i="33260"/>
  <c r="AH572" i="33260"/>
  <c r="AD571" i="33260"/>
  <c r="Z570" i="33260"/>
  <c r="V569" i="33260"/>
  <c r="T579" i="33260"/>
  <c r="P578" i="33260"/>
  <c r="L577" i="33260"/>
  <c r="H576" i="33260"/>
  <c r="D575" i="33260"/>
  <c r="BH573" i="33260"/>
  <c r="BD572" i="33260"/>
  <c r="AZ571" i="33260"/>
  <c r="AV570" i="33260"/>
  <c r="BA579" i="33260"/>
  <c r="AR574" i="33260"/>
  <c r="O577" i="33260"/>
  <c r="AU569" i="33260"/>
  <c r="V573" i="33260"/>
  <c r="BD576" i="33260"/>
  <c r="AC577" i="33260"/>
  <c r="AK579" i="33260"/>
  <c r="I575" i="33260"/>
  <c r="Q577" i="33260"/>
  <c r="Y579" i="33260"/>
  <c r="H579" i="33260"/>
  <c r="D578" i="33260"/>
  <c r="BH576" i="33260"/>
  <c r="BD575" i="33260"/>
  <c r="AZ574" i="33260"/>
  <c r="AV573" i="33260"/>
  <c r="AR572" i="33260"/>
  <c r="AN571" i="33260"/>
  <c r="AJ570" i="33260"/>
  <c r="AF569" i="33260"/>
  <c r="AE579" i="33260"/>
  <c r="AA578" i="33260"/>
  <c r="W577" i="33260"/>
  <c r="S576" i="33260"/>
  <c r="O575" i="33260"/>
  <c r="K574" i="33260"/>
  <c r="G573" i="33260"/>
  <c r="BK571" i="33260"/>
  <c r="BG570" i="33260"/>
  <c r="BC569" i="33260"/>
  <c r="BB579" i="33260"/>
  <c r="AX578" i="33260"/>
  <c r="AT577" i="33260"/>
  <c r="AP576" i="33260"/>
  <c r="AL575" i="33260"/>
  <c r="AH574" i="33260"/>
  <c r="AD573" i="33260"/>
  <c r="Z572" i="33260"/>
  <c r="V571" i="33260"/>
  <c r="R570" i="33260"/>
  <c r="N569" i="33260"/>
  <c r="L579" i="33260"/>
  <c r="H578" i="33260"/>
  <c r="D577" i="33260"/>
  <c r="BH575" i="33260"/>
  <c r="BD574" i="33260"/>
  <c r="AZ573" i="33260"/>
  <c r="AV572" i="33260"/>
  <c r="AR571" i="33260"/>
  <c r="AO579" i="33260"/>
  <c r="AZ576" i="33260"/>
  <c r="AJ572" i="33260"/>
  <c r="K576" i="33260"/>
  <c r="AT579" i="33260"/>
  <c r="Z574" i="33260"/>
  <c r="BH577" i="33260"/>
  <c r="G4" i="33258"/>
  <c r="C22" i="33257"/>
  <c r="B9" i="33255"/>
  <c r="C8" i="33254"/>
  <c r="A13" i="33253"/>
  <c r="O79" i="33254"/>
  <c r="O81" i="33254" s="1"/>
  <c r="O82" i="33254" s="1"/>
  <c r="O96" i="33254"/>
  <c r="I73" i="3"/>
  <c r="I69" i="33257"/>
  <c r="Q5" i="83"/>
  <c r="Q6" i="83"/>
  <c r="AM35" i="83" s="1"/>
  <c r="AM38" i="83" s="1"/>
  <c r="AM41" i="83" s="1"/>
  <c r="O5" i="83"/>
  <c r="O6" i="83"/>
  <c r="S37" i="83" s="1"/>
  <c r="K109" i="83"/>
  <c r="P26" i="83"/>
  <c r="K102" i="83"/>
  <c r="W15" i="33254"/>
  <c r="W19" i="33254" s="1"/>
  <c r="K5" i="83"/>
  <c r="Q62" i="33261" s="1"/>
  <c r="M5" i="83"/>
  <c r="AE9" i="1027"/>
  <c r="AE13" i="1027"/>
  <c r="M6" i="83"/>
  <c r="AI35" i="83" s="1"/>
  <c r="AI38" i="83" s="1"/>
  <c r="AI41" i="83" s="1"/>
  <c r="J28" i="83" s="1"/>
  <c r="G88" i="3" s="1"/>
  <c r="Q36" i="83"/>
  <c r="G81" i="3" s="1"/>
  <c r="O126" i="83"/>
  <c r="O101" i="83"/>
  <c r="Q97" i="83"/>
  <c r="V18" i="33254"/>
  <c r="J47" i="83"/>
  <c r="B66" i="3"/>
  <c r="D63" i="33254"/>
  <c r="B63" i="33254"/>
  <c r="J63" i="33254" s="1"/>
  <c r="Q81" i="33254"/>
  <c r="Q82" i="33254" s="1"/>
  <c r="R81" i="33254"/>
  <c r="R82" i="33254" s="1"/>
  <c r="P81" i="33254"/>
  <c r="P82" i="33254" s="1"/>
  <c r="B67" i="3"/>
  <c r="AE5" i="83"/>
  <c r="D64" i="33254"/>
  <c r="B64" i="33254"/>
  <c r="D67" i="3"/>
  <c r="H94" i="3"/>
  <c r="H86" i="3"/>
  <c r="H88" i="3"/>
  <c r="AF15" i="83"/>
  <c r="B72" i="33254" s="1"/>
  <c r="J72" i="33254" s="1"/>
  <c r="BA15" i="83"/>
  <c r="D72" i="33254" s="1"/>
  <c r="S47" i="33254"/>
  <c r="B45" i="33254" s="1"/>
  <c r="O49" i="33254"/>
  <c r="A566" i="33253"/>
  <c r="V50" i="33254"/>
  <c r="C37" i="33258"/>
  <c r="D69" i="33257"/>
  <c r="B69" i="33257"/>
  <c r="I88" i="3"/>
  <c r="I86" i="3"/>
  <c r="D69" i="3"/>
  <c r="D66" i="33254"/>
  <c r="B69" i="3"/>
  <c r="B66" i="33254"/>
  <c r="K66" i="33254" s="1"/>
  <c r="A364" i="33253" s="1"/>
  <c r="A365" i="33253" s="1"/>
  <c r="D68" i="3"/>
  <c r="D65" i="33254"/>
  <c r="B68" i="3"/>
  <c r="B65" i="33254"/>
  <c r="J65" i="33254" s="1"/>
  <c r="A360" i="33253" s="1"/>
  <c r="A361" i="33253" s="1"/>
  <c r="Z33" i="33254"/>
  <c r="V35" i="33254"/>
  <c r="D71" i="3"/>
  <c r="D68" i="33254"/>
  <c r="B68" i="33254"/>
  <c r="B71" i="3"/>
  <c r="S31" i="33254"/>
  <c r="V81" i="33254"/>
  <c r="V82" i="33254"/>
  <c r="B69" i="33254"/>
  <c r="J69" i="33254" s="1"/>
  <c r="A372" i="33253" s="1"/>
  <c r="A373" i="33253" s="1"/>
  <c r="B72" i="3"/>
  <c r="D69" i="33254"/>
  <c r="D72" i="3"/>
  <c r="A571" i="33253"/>
  <c r="V49" i="33254"/>
  <c r="C36" i="33258"/>
  <c r="A601" i="33253"/>
  <c r="C14" i="33258"/>
  <c r="AI68" i="33254"/>
  <c r="K41" i="33257"/>
  <c r="A628" i="33253"/>
  <c r="A629" i="33253" s="1"/>
  <c r="B67" i="33254"/>
  <c r="D67" i="33254"/>
  <c r="B70" i="3"/>
  <c r="D70" i="3"/>
  <c r="J101" i="83"/>
  <c r="I94" i="3"/>
  <c r="AB14" i="33259"/>
  <c r="AD14" i="33259"/>
  <c r="AC14" i="33259"/>
  <c r="AE14" i="33259"/>
  <c r="AB12" i="33259"/>
  <c r="AC15" i="33259"/>
  <c r="AD12" i="33259"/>
  <c r="AE12" i="33259"/>
  <c r="AD15" i="33259"/>
  <c r="AB15" i="33259"/>
  <c r="AC12" i="33259"/>
  <c r="AE15" i="33259"/>
  <c r="Q85" i="33254" l="1"/>
  <c r="R85" i="33254"/>
  <c r="P85" i="33254"/>
  <c r="Q131" i="83"/>
  <c r="Q130" i="83"/>
  <c r="P126" i="83"/>
  <c r="P130" i="83"/>
  <c r="Z78" i="33254"/>
  <c r="K20" i="3"/>
  <c r="F43" i="33262"/>
  <c r="K43" i="33262" s="1"/>
  <c r="K44" i="33262" s="1"/>
  <c r="K57" i="33262" s="1"/>
  <c r="J32" i="33262" s="1"/>
  <c r="O30" i="33254"/>
  <c r="S30" i="33254" s="1"/>
  <c r="K45" i="33262"/>
  <c r="AI75" i="33254"/>
  <c r="Z67" i="33254"/>
  <c r="N53" i="33261" s="1"/>
  <c r="V68" i="33254"/>
  <c r="Z68" i="33254" s="1"/>
  <c r="S19" i="33259"/>
  <c r="A794" i="33253" s="1"/>
  <c r="AH6" i="33259"/>
  <c r="F11" i="33259"/>
  <c r="AD13" i="33254"/>
  <c r="V14" i="33254"/>
  <c r="Z14" i="33254" s="1"/>
  <c r="O124" i="83"/>
  <c r="O131" i="83"/>
  <c r="R62" i="33261"/>
  <c r="P127" i="83"/>
  <c r="P129" i="83"/>
  <c r="Q127" i="83"/>
  <c r="Q126" i="83"/>
  <c r="O127" i="83"/>
  <c r="Q124" i="83"/>
  <c r="Q128" i="83"/>
  <c r="P124" i="83"/>
  <c r="P128" i="83"/>
  <c r="Q55" i="33254"/>
  <c r="K28" i="33259"/>
  <c r="L28" i="33259" s="1"/>
  <c r="M28" i="33259" s="1"/>
  <c r="K27" i="33259"/>
  <c r="L27" i="33259" s="1"/>
  <c r="W26" i="33259" s="1"/>
  <c r="K29" i="33259"/>
  <c r="L29" i="33259" s="1"/>
  <c r="M29" i="33259" s="1"/>
  <c r="U12" i="33259"/>
  <c r="Y12" i="33259"/>
  <c r="R24" i="33259"/>
  <c r="M26" i="33259"/>
  <c r="T24" i="33259"/>
  <c r="U24" i="33259"/>
  <c r="Y24" i="33259"/>
  <c r="S24" i="33259"/>
  <c r="V24" i="33259"/>
  <c r="W24" i="33259"/>
  <c r="X24" i="33259"/>
  <c r="S12" i="33259"/>
  <c r="W12" i="33259"/>
  <c r="A707" i="33253"/>
  <c r="A709" i="33253"/>
  <c r="A711" i="33253"/>
  <c r="E30" i="33259"/>
  <c r="A719" i="33253"/>
  <c r="O128" i="83"/>
  <c r="O135" i="83"/>
  <c r="N135" i="83"/>
  <c r="J103" i="83"/>
  <c r="N133" i="83"/>
  <c r="P25" i="33254"/>
  <c r="P33" i="33254" s="1"/>
  <c r="R62" i="83"/>
  <c r="L104" i="83"/>
  <c r="L107" i="83" s="1"/>
  <c r="R63" i="83"/>
  <c r="V87" i="33254"/>
  <c r="V89" i="33254" s="1"/>
  <c r="R61" i="83"/>
  <c r="L105" i="83"/>
  <c r="M104" i="83"/>
  <c r="M107" i="83" s="1"/>
  <c r="R64" i="83"/>
  <c r="Q25" i="33254"/>
  <c r="X87" i="33254"/>
  <c r="X89" i="33254" s="1"/>
  <c r="I32" i="1027"/>
  <c r="S38" i="83"/>
  <c r="I82" i="3"/>
  <c r="I87" i="3" s="1"/>
  <c r="R55" i="33254"/>
  <c r="X85" i="33254"/>
  <c r="X88" i="33254"/>
  <c r="M105" i="83"/>
  <c r="Y87" i="33254"/>
  <c r="Y89" i="33254" s="1"/>
  <c r="Y88" i="33254"/>
  <c r="R25" i="33254"/>
  <c r="J32" i="1027"/>
  <c r="Y85" i="33254"/>
  <c r="AK35" i="83"/>
  <c r="AK38" i="83" s="1"/>
  <c r="AK41" i="83" s="1"/>
  <c r="H82" i="3"/>
  <c r="H87" i="3" s="1"/>
  <c r="A352" i="33253"/>
  <c r="I80" i="3"/>
  <c r="I45" i="3"/>
  <c r="H80" i="3"/>
  <c r="H45" i="3"/>
  <c r="AG35" i="83"/>
  <c r="T53" i="83" s="1"/>
  <c r="S35" i="83"/>
  <c r="J105" i="83"/>
  <c r="V88" i="33254"/>
  <c r="K105" i="83"/>
  <c r="G32" i="1027"/>
  <c r="O25" i="33254"/>
  <c r="O33" i="33254" s="1"/>
  <c r="V91" i="33254" s="1"/>
  <c r="O55" i="33254"/>
  <c r="H32" i="1027"/>
  <c r="W85" i="33254"/>
  <c r="W88" i="33254"/>
  <c r="K19" i="3"/>
  <c r="W87" i="33254"/>
  <c r="W89" i="33254" s="1"/>
  <c r="P55" i="33254"/>
  <c r="K104" i="83"/>
  <c r="K107" i="83" s="1"/>
  <c r="K91" i="3"/>
  <c r="S62" i="83"/>
  <c r="P25" i="83"/>
  <c r="H37" i="1027" s="1"/>
  <c r="U49" i="83"/>
  <c r="U50" i="83"/>
  <c r="U47" i="83"/>
  <c r="U48" i="83"/>
  <c r="R36" i="83"/>
  <c r="G94" i="3"/>
  <c r="V85" i="33254"/>
  <c r="J94" i="3"/>
  <c r="V25" i="33254"/>
  <c r="V15" i="33254"/>
  <c r="V19" i="33254" s="1"/>
  <c r="AD15" i="33254"/>
  <c r="K17" i="3"/>
  <c r="J109" i="83"/>
  <c r="J102" i="83"/>
  <c r="L26" i="83"/>
  <c r="L41" i="33257"/>
  <c r="A507" i="33253"/>
  <c r="A508" i="33253" s="1"/>
  <c r="P89" i="33254"/>
  <c r="P90" i="33254" s="1"/>
  <c r="P88" i="33254"/>
  <c r="S82" i="33254"/>
  <c r="O88" i="33254"/>
  <c r="O89" i="33254"/>
  <c r="O90" i="33254" s="1"/>
  <c r="O97" i="33254" s="1"/>
  <c r="O87" i="33254" s="1"/>
  <c r="V38" i="33254" s="1"/>
  <c r="W52" i="83"/>
  <c r="AM50" i="83"/>
  <c r="W53" i="83"/>
  <c r="R88" i="33254"/>
  <c r="R89" i="33254"/>
  <c r="R90" i="33254" s="1"/>
  <c r="R91" i="33254" s="1"/>
  <c r="U52" i="83"/>
  <c r="U53" i="83"/>
  <c r="AI50" i="83"/>
  <c r="Q88" i="33254"/>
  <c r="Q89" i="33254"/>
  <c r="Q90" i="33254" s="1"/>
  <c r="Q97" i="33254" s="1"/>
  <c r="G80" i="3"/>
  <c r="Y28" i="33259"/>
  <c r="U29" i="33259"/>
  <c r="Y30" i="33259"/>
  <c r="X29" i="33259"/>
  <c r="T28" i="33259"/>
  <c r="V28" i="33259"/>
  <c r="X28" i="33259"/>
  <c r="T29" i="33259"/>
  <c r="T30" i="33259"/>
  <c r="U30" i="33259"/>
  <c r="S28" i="33259"/>
  <c r="V29" i="33259"/>
  <c r="X30" i="33259"/>
  <c r="R28" i="33259"/>
  <c r="R30" i="33259"/>
  <c r="U28" i="33259"/>
  <c r="W29" i="33259"/>
  <c r="V30" i="33259"/>
  <c r="S29" i="33259"/>
  <c r="W28" i="33259"/>
  <c r="R29" i="33259"/>
  <c r="S30" i="33259"/>
  <c r="W30" i="33259"/>
  <c r="Y29" i="33259"/>
  <c r="AE11" i="33259"/>
  <c r="AB11" i="33259"/>
  <c r="AC13" i="33259"/>
  <c r="AB13" i="33259"/>
  <c r="AD11" i="33259"/>
  <c r="AE13" i="33259"/>
  <c r="AD13" i="33259"/>
  <c r="AC11" i="33259"/>
  <c r="F25" i="33262" l="1"/>
  <c r="S85" i="33254"/>
  <c r="O32" i="33254"/>
  <c r="S32" i="33254" s="1"/>
  <c r="F24" i="33262"/>
  <c r="J24" i="33262"/>
  <c r="R33" i="33254"/>
  <c r="Y92" i="33254" s="1"/>
  <c r="Q33" i="33254"/>
  <c r="X91" i="33254" s="1"/>
  <c r="N54" i="33261"/>
  <c r="W91" i="33254"/>
  <c r="Y91" i="33254"/>
  <c r="R44" i="33254" s="1"/>
  <c r="I47" i="33262" s="1"/>
  <c r="N52" i="33261"/>
  <c r="K59" i="33261" s="1"/>
  <c r="R50" i="33261" s="1"/>
  <c r="AD14" i="33254"/>
  <c r="AH14" i="33254" s="1"/>
  <c r="AD17" i="33254" s="1"/>
  <c r="AH13" i="33254"/>
  <c r="V92" i="33254"/>
  <c r="O44" i="33254" s="1"/>
  <c r="F47" i="33262" s="1"/>
  <c r="W92" i="33254"/>
  <c r="A767" i="33253"/>
  <c r="A773" i="33253"/>
  <c r="A771" i="33253"/>
  <c r="A769" i="33253"/>
  <c r="A770" i="33253"/>
  <c r="A768" i="33253"/>
  <c r="A774" i="33253"/>
  <c r="A772" i="33253"/>
  <c r="D25" i="33258"/>
  <c r="V79" i="33254"/>
  <c r="V80" i="33254" s="1"/>
  <c r="F52" i="3"/>
  <c r="N132" i="83"/>
  <c r="N124" i="83"/>
  <c r="P138" i="83"/>
  <c r="I43" i="1027" s="1"/>
  <c r="X79" i="33254"/>
  <c r="X80" i="33254" s="1"/>
  <c r="K23" i="3"/>
  <c r="K24" i="3"/>
  <c r="Q138" i="83"/>
  <c r="J43" i="1027" s="1"/>
  <c r="Y79" i="33254"/>
  <c r="Y80" i="33254" s="1"/>
  <c r="W79" i="33254"/>
  <c r="W80" i="33254" s="1"/>
  <c r="N131" i="83"/>
  <c r="N16" i="33259"/>
  <c r="A763" i="33253"/>
  <c r="A765" i="33253"/>
  <c r="A764" i="33253"/>
  <c r="A761" i="33253"/>
  <c r="A760" i="33253"/>
  <c r="A766" i="33253"/>
  <c r="A762" i="33253"/>
  <c r="A759" i="33253"/>
  <c r="N129" i="83"/>
  <c r="N130" i="83"/>
  <c r="N126" i="83"/>
  <c r="N127" i="83"/>
  <c r="N136" i="83"/>
  <c r="N128" i="83"/>
  <c r="A741" i="33253"/>
  <c r="M27" i="33259"/>
  <c r="M32" i="33259" s="1"/>
  <c r="A758" i="33253"/>
  <c r="A757" i="33253"/>
  <c r="A756" i="33253"/>
  <c r="A755" i="33253"/>
  <c r="A754" i="33253"/>
  <c r="A753" i="33253"/>
  <c r="A752" i="33253"/>
  <c r="A751" i="33253"/>
  <c r="AD17" i="33259"/>
  <c r="AB17" i="33259"/>
  <c r="AE17" i="33259"/>
  <c r="AC17" i="33259"/>
  <c r="E28" i="33259"/>
  <c r="A715" i="33253"/>
  <c r="A713" i="33253"/>
  <c r="E26" i="33259"/>
  <c r="E25" i="33259"/>
  <c r="E24" i="33259"/>
  <c r="A717" i="33253"/>
  <c r="O138" i="83"/>
  <c r="H43" i="1027" s="1"/>
  <c r="N103" i="83"/>
  <c r="S5" i="83" s="1"/>
  <c r="J104" i="83"/>
  <c r="J107" i="83" s="1"/>
  <c r="G41" i="1027" s="1"/>
  <c r="H41" i="1027"/>
  <c r="W41" i="33254"/>
  <c r="I41" i="1027"/>
  <c r="X41" i="33254"/>
  <c r="J41" i="1027"/>
  <c r="Y41" i="33254"/>
  <c r="L106" i="83"/>
  <c r="A241" i="33253"/>
  <c r="D24" i="33258"/>
  <c r="A240" i="33253"/>
  <c r="R65" i="83"/>
  <c r="M106" i="83"/>
  <c r="S59" i="33254"/>
  <c r="E24" i="33258"/>
  <c r="X90" i="33254"/>
  <c r="F24" i="33258"/>
  <c r="Y90" i="33254"/>
  <c r="AK50" i="83"/>
  <c r="AK49" i="83" s="1"/>
  <c r="H27" i="3" s="1"/>
  <c r="V53" i="83"/>
  <c r="V52" i="83"/>
  <c r="A242" i="33253"/>
  <c r="J36" i="1027"/>
  <c r="A124" i="33253"/>
  <c r="AM49" i="83"/>
  <c r="I27" i="3" s="1"/>
  <c r="A123" i="33253"/>
  <c r="I36" i="1027"/>
  <c r="V90" i="33254"/>
  <c r="AG50" i="83"/>
  <c r="T52" i="83"/>
  <c r="BA13" i="83"/>
  <c r="D73" i="3" s="1"/>
  <c r="BV59" i="83"/>
  <c r="W90" i="33254"/>
  <c r="N105" i="83"/>
  <c r="AG38" i="83"/>
  <c r="AG41" i="83" s="1"/>
  <c r="J27" i="83" s="1"/>
  <c r="F94" i="3" s="1"/>
  <c r="K106" i="83"/>
  <c r="C24" i="33258"/>
  <c r="S25" i="33254"/>
  <c r="A239" i="33253"/>
  <c r="Z62" i="33254"/>
  <c r="AF14" i="83" s="1"/>
  <c r="B71" i="33254" s="1"/>
  <c r="J71" i="33254" s="1"/>
  <c r="A378" i="33253" s="1"/>
  <c r="A379" i="33253" s="1"/>
  <c r="U48" i="1027"/>
  <c r="P24" i="1027" s="1"/>
  <c r="J51" i="83"/>
  <c r="J21" i="1027"/>
  <c r="BS59" i="83"/>
  <c r="K25" i="3" s="1"/>
  <c r="BU59" i="83"/>
  <c r="K79" i="3"/>
  <c r="BQ59" i="83"/>
  <c r="BT59" i="83"/>
  <c r="S68" i="33254"/>
  <c r="K46" i="3"/>
  <c r="AH7" i="33259" s="1"/>
  <c r="K92" i="3"/>
  <c r="BR59" i="83"/>
  <c r="K93" i="3"/>
  <c r="BR72" i="83"/>
  <c r="BR73" i="83" s="1"/>
  <c r="BR76" i="83" s="1"/>
  <c r="BR77" i="83" s="1"/>
  <c r="E118" i="33254"/>
  <c r="A346" i="33253" s="1"/>
  <c r="K89" i="3"/>
  <c r="K23" i="33254"/>
  <c r="AI65" i="33254"/>
  <c r="L32" i="1027"/>
  <c r="F52" i="1027"/>
  <c r="N2" i="83"/>
  <c r="L33" i="1027" s="1"/>
  <c r="L42" i="1027"/>
  <c r="AF13" i="83"/>
  <c r="B73" i="3" s="1"/>
  <c r="U47" i="1027"/>
  <c r="Q24" i="1027" s="1"/>
  <c r="K21" i="33254"/>
  <c r="K90" i="3"/>
  <c r="Z48" i="33254"/>
  <c r="C25" i="33258"/>
  <c r="G37" i="3"/>
  <c r="A632" i="33253" s="1"/>
  <c r="R32" i="83"/>
  <c r="G82" i="3"/>
  <c r="G87" i="3" s="1"/>
  <c r="S36" i="83"/>
  <c r="AI49" i="83"/>
  <c r="R92" i="33254"/>
  <c r="A334" i="33253" s="1"/>
  <c r="R93" i="33254"/>
  <c r="A338" i="33253" s="1"/>
  <c r="O91" i="33254"/>
  <c r="O92" i="33254" s="1"/>
  <c r="A331" i="33253" s="1"/>
  <c r="P91" i="33254"/>
  <c r="Z25" i="33254"/>
  <c r="Z19" i="33254"/>
  <c r="R6" i="83"/>
  <c r="S88" i="33254"/>
  <c r="Q54" i="33254" s="1"/>
  <c r="Q56" i="33254" s="1"/>
  <c r="A553" i="33253" s="1"/>
  <c r="Q91" i="33254"/>
  <c r="R97" i="33254"/>
  <c r="S43" i="33254"/>
  <c r="S26" i="33254"/>
  <c r="Q87" i="33254"/>
  <c r="Q99" i="33254"/>
  <c r="Q100" i="33254" s="1"/>
  <c r="A558" i="33253" s="1"/>
  <c r="S90" i="33254"/>
  <c r="P97" i="33254"/>
  <c r="O99" i="33254"/>
  <c r="O100" i="33254" s="1"/>
  <c r="V27" i="33259"/>
  <c r="S26" i="33259"/>
  <c r="W27" i="33259"/>
  <c r="Y26" i="33259"/>
  <c r="T27" i="33259"/>
  <c r="R26" i="33259"/>
  <c r="X27" i="33259"/>
  <c r="X26" i="33259"/>
  <c r="Y27" i="33259"/>
  <c r="U26" i="33259"/>
  <c r="V26" i="33259"/>
  <c r="S27" i="33259"/>
  <c r="T26" i="33259"/>
  <c r="U27" i="33259"/>
  <c r="R27" i="33259"/>
  <c r="F25" i="33258" l="1"/>
  <c r="P44" i="33254"/>
  <c r="G47" i="33262" s="1"/>
  <c r="E25" i="33258"/>
  <c r="X92" i="33254"/>
  <c r="Q44" i="33254" s="1"/>
  <c r="H47" i="33262" s="1"/>
  <c r="W83" i="33254"/>
  <c r="V83" i="33254"/>
  <c r="V86" i="33254" s="1"/>
  <c r="V34" i="33254" s="1"/>
  <c r="V37" i="33254" s="1"/>
  <c r="Q144" i="83"/>
  <c r="Q141" i="83" s="1"/>
  <c r="Q143" i="83"/>
  <c r="Y83" i="33254"/>
  <c r="Y86" i="33254" s="1"/>
  <c r="Y34" i="33254" s="1"/>
  <c r="Y37" i="33254" s="1"/>
  <c r="I83" i="3"/>
  <c r="J39" i="1027" s="1"/>
  <c r="R106" i="33254" s="1"/>
  <c r="I84" i="3"/>
  <c r="J40" i="1027" s="1"/>
  <c r="A202" i="33253" s="1"/>
  <c r="I34" i="1027"/>
  <c r="A186" i="33253" s="1"/>
  <c r="H83" i="3"/>
  <c r="I39" i="1027" s="1"/>
  <c r="A196" i="33253" s="1"/>
  <c r="H84" i="3"/>
  <c r="I40" i="1027" s="1"/>
  <c r="E22" i="33258" s="1"/>
  <c r="G84" i="3"/>
  <c r="H40" i="1027" s="1"/>
  <c r="G83" i="3"/>
  <c r="AG17" i="33254"/>
  <c r="AF17" i="33254"/>
  <c r="AE17" i="33254"/>
  <c r="W86" i="33254"/>
  <c r="W34" i="33254" s="1"/>
  <c r="W37" i="33254" s="1"/>
  <c r="F37" i="33257"/>
  <c r="A476" i="33253" s="1"/>
  <c r="F37" i="33261"/>
  <c r="Z50" i="33254"/>
  <c r="H37" i="33257"/>
  <c r="A477" i="33253" s="1"/>
  <c r="H37" i="33261"/>
  <c r="N53" i="33257"/>
  <c r="R51" i="33257" s="1"/>
  <c r="Q50" i="33257"/>
  <c r="Q50" i="33261"/>
  <c r="X46" i="33254"/>
  <c r="A206" i="33253"/>
  <c r="J86" i="1027"/>
  <c r="I86" i="1027"/>
  <c r="I35" i="1027"/>
  <c r="R94" i="33254"/>
  <c r="A564" i="33253" s="1"/>
  <c r="Y46" i="33254"/>
  <c r="A207" i="33253"/>
  <c r="J35" i="1027"/>
  <c r="A192" i="33253" s="1"/>
  <c r="J34" i="1027"/>
  <c r="A187" i="33253" s="1"/>
  <c r="N144" i="83"/>
  <c r="A579" i="33253"/>
  <c r="Z79" i="33254"/>
  <c r="Z80" i="33254" s="1"/>
  <c r="Z81" i="33254" s="1"/>
  <c r="H86" i="1027"/>
  <c r="H34" i="1027"/>
  <c r="V40" i="33254"/>
  <c r="H36" i="33259"/>
  <c r="H47" i="33261" s="1"/>
  <c r="N138" i="83"/>
  <c r="G43" i="1027" s="1"/>
  <c r="W46" i="33254"/>
  <c r="E47" i="3"/>
  <c r="A738" i="33253"/>
  <c r="A735" i="33253"/>
  <c r="A740" i="33253"/>
  <c r="A736" i="33253"/>
  <c r="A737" i="33253"/>
  <c r="A742" i="33253"/>
  <c r="A739" i="33253"/>
  <c r="E27" i="33259"/>
  <c r="A750" i="33253"/>
  <c r="A749" i="33253"/>
  <c r="A748" i="33253"/>
  <c r="A747" i="33253"/>
  <c r="A746" i="33253"/>
  <c r="A745" i="33253"/>
  <c r="A744" i="33253"/>
  <c r="A743" i="33253"/>
  <c r="R32" i="33259"/>
  <c r="S32" i="33259"/>
  <c r="T32" i="33259"/>
  <c r="U32" i="33259"/>
  <c r="V32" i="33259"/>
  <c r="W32" i="33259"/>
  <c r="A789" i="33253" s="1"/>
  <c r="X32" i="33259"/>
  <c r="Y32" i="33259"/>
  <c r="A790" i="33253" s="1"/>
  <c r="O13" i="33259"/>
  <c r="F13" i="33259" s="1"/>
  <c r="J22" i="1027"/>
  <c r="G50" i="1027"/>
  <c r="E29" i="33259"/>
  <c r="F20" i="33259"/>
  <c r="H35" i="1027"/>
  <c r="A205" i="33253"/>
  <c r="V41" i="33254"/>
  <c r="Z41" i="33254" s="1"/>
  <c r="J106" i="83"/>
  <c r="N106" i="83" s="1"/>
  <c r="N108" i="83" s="1"/>
  <c r="L41" i="1027"/>
  <c r="A575" i="33253"/>
  <c r="Z49" i="33254"/>
  <c r="AO50" i="83"/>
  <c r="Y47" i="33254"/>
  <c r="D70" i="33254"/>
  <c r="B70" i="33254"/>
  <c r="AG49" i="83"/>
  <c r="F27" i="3" s="1"/>
  <c r="F88" i="3"/>
  <c r="F80" i="3" s="1"/>
  <c r="K41" i="3"/>
  <c r="I51" i="1027"/>
  <c r="A523" i="33253" s="1"/>
  <c r="N44" i="1027"/>
  <c r="BA14" i="83"/>
  <c r="D71" i="33254" s="1"/>
  <c r="K40" i="3"/>
  <c r="AL27" i="1027"/>
  <c r="J51" i="1027"/>
  <c r="A528" i="33253" s="1"/>
  <c r="A157" i="33253"/>
  <c r="F86" i="3"/>
  <c r="K30" i="3"/>
  <c r="A570" i="33253"/>
  <c r="S33" i="33254"/>
  <c r="D47" i="3"/>
  <c r="N54" i="33257"/>
  <c r="R52" i="33257" s="1"/>
  <c r="A156" i="33253"/>
  <c r="G27" i="3"/>
  <c r="G86" i="3"/>
  <c r="G45" i="3" s="1"/>
  <c r="K31" i="3"/>
  <c r="K37" i="3"/>
  <c r="O54" i="33254"/>
  <c r="O56" i="33254" s="1"/>
  <c r="O98" i="33254" s="1"/>
  <c r="Q98" i="33254"/>
  <c r="O93" i="33254"/>
  <c r="P93" i="33254"/>
  <c r="P92" i="33254"/>
  <c r="A332" i="33253" s="1"/>
  <c r="Q93" i="33254"/>
  <c r="S91" i="33254"/>
  <c r="Q92" i="33254"/>
  <c r="A333" i="33253" s="1"/>
  <c r="A556" i="33253"/>
  <c r="R54" i="33254"/>
  <c r="R56" i="33254" s="1"/>
  <c r="R99" i="33254"/>
  <c r="R100" i="33254" s="1"/>
  <c r="R87" i="33254"/>
  <c r="P54" i="33254"/>
  <c r="P99" i="33254"/>
  <c r="P100" i="33254" s="1"/>
  <c r="P87" i="33254"/>
  <c r="X40" i="33254"/>
  <c r="X38" i="33254"/>
  <c r="K47" i="33262" l="1"/>
  <c r="F27" i="33262" s="1"/>
  <c r="H17" i="33254"/>
  <c r="E20" i="33258" s="1"/>
  <c r="H46" i="33262"/>
  <c r="A578" i="33253"/>
  <c r="X47" i="33254"/>
  <c r="X83" i="33254"/>
  <c r="X86" i="33254" s="1"/>
  <c r="X34" i="33254" s="1"/>
  <c r="X37" i="33254" s="1"/>
  <c r="X43" i="33254" s="1"/>
  <c r="P143" i="83"/>
  <c r="P144" i="83"/>
  <c r="AF32" i="33254"/>
  <c r="F84" i="3"/>
  <c r="AH17" i="33254"/>
  <c r="O144" i="83"/>
  <c r="O143" i="83"/>
  <c r="A577" i="33253"/>
  <c r="A576" i="33253"/>
  <c r="N143" i="83"/>
  <c r="N141" i="83" s="1"/>
  <c r="K37" i="33257"/>
  <c r="A478" i="33253" s="1"/>
  <c r="A479" i="33253" s="1"/>
  <c r="Q51" i="33257"/>
  <c r="Q51" i="33261"/>
  <c r="K61" i="33257"/>
  <c r="A513" i="33253" s="1"/>
  <c r="K63" i="33261"/>
  <c r="R52" i="33261"/>
  <c r="Q52" i="33257"/>
  <c r="Q52" i="33261"/>
  <c r="K61" i="33261"/>
  <c r="R51" i="33261"/>
  <c r="K37" i="33261"/>
  <c r="L82" i="33261" s="1"/>
  <c r="W47" i="33254"/>
  <c r="E23" i="33258"/>
  <c r="Q106" i="33254"/>
  <c r="A201" i="33253"/>
  <c r="Q104" i="33254"/>
  <c r="A598" i="33253" s="1"/>
  <c r="A191" i="33253"/>
  <c r="AF18" i="33254"/>
  <c r="AF19" i="33254" s="1"/>
  <c r="AF21" i="33254" s="1"/>
  <c r="I17" i="33254"/>
  <c r="A542" i="33253" s="1"/>
  <c r="AG18" i="33254"/>
  <c r="AG19" i="33254" s="1"/>
  <c r="AG21" i="33254" s="1"/>
  <c r="AG32" i="33254"/>
  <c r="F22" i="33258"/>
  <c r="D22" i="33258"/>
  <c r="R104" i="33254"/>
  <c r="A599" i="33253" s="1"/>
  <c r="G34" i="1027"/>
  <c r="A184" i="33253" s="1"/>
  <c r="A197" i="33253"/>
  <c r="F23" i="33258"/>
  <c r="H39" i="1027"/>
  <c r="P106" i="33254" s="1"/>
  <c r="A185" i="33253"/>
  <c r="AE32" i="33254"/>
  <c r="A787" i="33253"/>
  <c r="A783" i="33253"/>
  <c r="G86" i="1027"/>
  <c r="A204" i="33253"/>
  <c r="G35" i="1027"/>
  <c r="AC2" i="1027"/>
  <c r="O60" i="1027" s="1"/>
  <c r="V46" i="33254"/>
  <c r="Z46" i="33254" s="1"/>
  <c r="T2" i="1027"/>
  <c r="A335" i="33253"/>
  <c r="O94" i="33254"/>
  <c r="A561" i="33253" s="1"/>
  <c r="A788" i="33253"/>
  <c r="A786" i="33253"/>
  <c r="A785" i="33253"/>
  <c r="A784" i="33253"/>
  <c r="A337" i="33253"/>
  <c r="Q94" i="33254"/>
  <c r="A171" i="33253"/>
  <c r="N50" i="1027"/>
  <c r="A336" i="33253"/>
  <c r="P94" i="33254"/>
  <c r="A200" i="33253"/>
  <c r="G17" i="33254"/>
  <c r="AE18" i="33254"/>
  <c r="AE19" i="33254" s="1"/>
  <c r="AE21" i="33254" s="1"/>
  <c r="A190" i="33253"/>
  <c r="V43" i="33254"/>
  <c r="F82" i="3"/>
  <c r="F87" i="3" s="1"/>
  <c r="D38" i="3"/>
  <c r="F45" i="3"/>
  <c r="A121" i="33253" s="1"/>
  <c r="AO49" i="83"/>
  <c r="V47" i="33254"/>
  <c r="S44" i="33254"/>
  <c r="K63" i="33257"/>
  <c r="A514" i="33253" s="1"/>
  <c r="H36" i="1027"/>
  <c r="A122" i="33253"/>
  <c r="A551" i="33253"/>
  <c r="Z37" i="33254"/>
  <c r="P56" i="33254"/>
  <c r="S56" i="33254"/>
  <c r="S92" i="33254"/>
  <c r="K48" i="33254" s="1"/>
  <c r="F39" i="33261" s="1"/>
  <c r="S93" i="33254"/>
  <c r="K49" i="33254" s="1"/>
  <c r="Y38" i="33254"/>
  <c r="Y40" i="33254"/>
  <c r="A559" i="33253"/>
  <c r="I50" i="33254"/>
  <c r="F35" i="33258" s="1"/>
  <c r="R98" i="33254"/>
  <c r="A554" i="33253"/>
  <c r="W38" i="33254"/>
  <c r="W40" i="33254"/>
  <c r="A557" i="33253"/>
  <c r="A541" i="33253" l="1"/>
  <c r="P141" i="83"/>
  <c r="Z34" i="33254"/>
  <c r="F17" i="33254"/>
  <c r="C20" i="33258" s="1"/>
  <c r="F46" i="33262"/>
  <c r="K46" i="33262" s="1"/>
  <c r="F83" i="3"/>
  <c r="K83" i="3" s="1"/>
  <c r="K84" i="3"/>
  <c r="F53" i="1027" s="1"/>
  <c r="I53" i="1027" s="1"/>
  <c r="A530" i="33253" s="1"/>
  <c r="O141" i="83"/>
  <c r="N51" i="33261" s="1"/>
  <c r="L37" i="33257"/>
  <c r="H39" i="33257"/>
  <c r="A485" i="33253" s="1"/>
  <c r="H39" i="33261"/>
  <c r="K39" i="33261" s="1"/>
  <c r="L84" i="33261" s="1"/>
  <c r="Q53" i="33257"/>
  <c r="Q53" i="33261"/>
  <c r="A580" i="33253"/>
  <c r="Z47" i="33254"/>
  <c r="L43" i="1027"/>
  <c r="F38" i="33261" s="1"/>
  <c r="AD32" i="33254"/>
  <c r="AH32" i="33254" s="1"/>
  <c r="F20" i="33258"/>
  <c r="A195" i="33253"/>
  <c r="D23" i="33258"/>
  <c r="P104" i="33254"/>
  <c r="A597" i="33253" s="1"/>
  <c r="L35" i="1027"/>
  <c r="Z16" i="1027" s="1"/>
  <c r="G40" i="1027"/>
  <c r="A189" i="33253"/>
  <c r="AD18" i="33254"/>
  <c r="AD19" i="33254" s="1"/>
  <c r="AH19" i="33254" s="1"/>
  <c r="F50" i="33254"/>
  <c r="C35" i="33258" s="1"/>
  <c r="A726" i="33253"/>
  <c r="H47" i="33257"/>
  <c r="A563" i="33253"/>
  <c r="H50" i="33254"/>
  <c r="E35" i="33258" s="1"/>
  <c r="D42" i="33259"/>
  <c r="C42" i="33259" s="1"/>
  <c r="G50" i="33254"/>
  <c r="D35" i="33258" s="1"/>
  <c r="A540" i="33253"/>
  <c r="D20" i="33258"/>
  <c r="A562" i="33253"/>
  <c r="S94" i="33254"/>
  <c r="A565" i="33253" s="1"/>
  <c r="W43" i="33254"/>
  <c r="Y43" i="33254"/>
  <c r="K45" i="3"/>
  <c r="L36" i="1027" s="1"/>
  <c r="G36" i="1027"/>
  <c r="N51" i="33257"/>
  <c r="R49" i="33257" s="1"/>
  <c r="A552" i="33253"/>
  <c r="P98" i="33254"/>
  <c r="F39" i="33257"/>
  <c r="D50" i="33254"/>
  <c r="A339" i="33253" s="1"/>
  <c r="A340" i="33253" s="1"/>
  <c r="A555" i="33253"/>
  <c r="Z17" i="1027" l="1"/>
  <c r="F18" i="1027"/>
  <c r="H51" i="33262" s="1"/>
  <c r="H52" i="33262" s="1"/>
  <c r="A539" i="33253"/>
  <c r="F26" i="33262"/>
  <c r="H28" i="33262" s="1"/>
  <c r="F31" i="33261" s="1"/>
  <c r="K48" i="33262"/>
  <c r="Z12" i="1027"/>
  <c r="Z13" i="1027" s="1"/>
  <c r="Z20" i="1027"/>
  <c r="Z22" i="1027" s="1"/>
  <c r="Z23" i="1027" s="1"/>
  <c r="L21" i="1027" s="1"/>
  <c r="L22" i="1027" s="1"/>
  <c r="Z18" i="1027"/>
  <c r="Z19" i="1027" s="1"/>
  <c r="L17" i="1027" s="1"/>
  <c r="L18" i="1027" s="1"/>
  <c r="G10" i="33258"/>
  <c r="Q49" i="33257"/>
  <c r="Q49" i="33261"/>
  <c r="K57" i="33261"/>
  <c r="R49" i="33261"/>
  <c r="L40" i="1027"/>
  <c r="A518" i="33253" s="1"/>
  <c r="G58" i="1027"/>
  <c r="F38" i="33257"/>
  <c r="C22" i="33258"/>
  <c r="A208" i="33253"/>
  <c r="A199" i="33253"/>
  <c r="G39" i="1027"/>
  <c r="C23" i="33258" s="1"/>
  <c r="AD21" i="33254"/>
  <c r="AH21" i="33254" s="1"/>
  <c r="AE10" i="1027"/>
  <c r="AE11" i="1027" s="1"/>
  <c r="AH18" i="33254"/>
  <c r="Z8" i="1027"/>
  <c r="Z9" i="1027" s="1"/>
  <c r="Z10" i="1027" s="1"/>
  <c r="Z11" i="1027" s="1"/>
  <c r="G11" i="33258"/>
  <c r="G12" i="33258"/>
  <c r="AF14" i="1027"/>
  <c r="AF15" i="1027" s="1"/>
  <c r="Z2" i="1027"/>
  <c r="AF22" i="1027"/>
  <c r="AE22" i="1027"/>
  <c r="AN6" i="1027"/>
  <c r="AE18" i="1027"/>
  <c r="AF18" i="1027"/>
  <c r="AE14" i="1027"/>
  <c r="AE15" i="1027" s="1"/>
  <c r="H50" i="1027"/>
  <c r="A176" i="33253" s="1"/>
  <c r="H51" i="1027"/>
  <c r="A177" i="33253" s="1"/>
  <c r="AF10" i="1027"/>
  <c r="AF11" i="1027" s="1"/>
  <c r="L9" i="1027" s="1"/>
  <c r="AH14" i="33259"/>
  <c r="G9" i="33258"/>
  <c r="AH8" i="33259"/>
  <c r="A193" i="33253"/>
  <c r="S98" i="33254"/>
  <c r="S100" i="33254"/>
  <c r="Z43" i="33254"/>
  <c r="J83" i="3"/>
  <c r="K80" i="3" s="1"/>
  <c r="K57" i="33257"/>
  <c r="A511" i="33253" s="1"/>
  <c r="AG13" i="1027"/>
  <c r="K39" i="33257"/>
  <c r="A484" i="33253"/>
  <c r="H49" i="1027" l="1"/>
  <c r="A175" i="33253" s="1"/>
  <c r="Z14" i="1027"/>
  <c r="Z15" i="1027" s="1"/>
  <c r="Z21" i="1027"/>
  <c r="F22" i="1027"/>
  <c r="I51" i="33262" s="1"/>
  <c r="I52" i="33262" s="1"/>
  <c r="O50" i="1027"/>
  <c r="A209" i="33253"/>
  <c r="F30" i="33261"/>
  <c r="N66" i="33261" s="1"/>
  <c r="S66" i="33261" s="1"/>
  <c r="T66" i="33261" s="1"/>
  <c r="F30" i="33257"/>
  <c r="A480" i="33253"/>
  <c r="O104" i="33254"/>
  <c r="A194" i="33253"/>
  <c r="L39" i="1027"/>
  <c r="A198" i="33253" s="1"/>
  <c r="O106" i="33254"/>
  <c r="S106" i="33254" s="1"/>
  <c r="H47" i="1027"/>
  <c r="O47" i="1027" s="1"/>
  <c r="L10" i="1027"/>
  <c r="AG9" i="1027"/>
  <c r="O49" i="1027"/>
  <c r="A203" i="33253"/>
  <c r="A560" i="33253"/>
  <c r="N52" i="33257"/>
  <c r="L86" i="1027"/>
  <c r="I52" i="1027"/>
  <c r="G59" i="1027"/>
  <c r="A486" i="33253"/>
  <c r="L39" i="33257"/>
  <c r="A596" i="33253" l="1"/>
  <c r="S104" i="33254"/>
  <c r="A529" i="33253"/>
  <c r="N50" i="33261"/>
  <c r="A517" i="33253"/>
  <c r="A173" i="33253"/>
  <c r="K59" i="33257"/>
  <c r="A512" i="33253" s="1"/>
  <c r="R50" i="33257"/>
  <c r="G486" i="33253"/>
  <c r="A487" i="33253"/>
  <c r="A215" i="33253"/>
  <c r="Z70" i="33254"/>
  <c r="A470" i="33253"/>
  <c r="N66" i="33257"/>
  <c r="S66" i="33257" s="1"/>
  <c r="T66" i="33257" s="1"/>
  <c r="A600" i="33253" l="1"/>
  <c r="N50" i="33257"/>
  <c r="K55" i="33257" s="1"/>
  <c r="K55" i="33261" l="1"/>
  <c r="R88" i="33261"/>
  <c r="R43" i="33257"/>
  <c r="AG15" i="1027" l="1"/>
  <c r="V27" i="1027" l="1"/>
  <c r="R17" i="33259" s="1"/>
  <c r="Q20" i="1027" l="1"/>
  <c r="AN24" i="1027" l="1"/>
  <c r="I50" i="1027"/>
  <c r="A522" i="33253" s="1"/>
  <c r="AD20" i="1027"/>
  <c r="AL20" i="1027" l="1"/>
  <c r="Q16" i="1027"/>
  <c r="I12" i="33258"/>
  <c r="H12" i="33258"/>
  <c r="I49" i="1027" l="1"/>
  <c r="AD16" i="1027"/>
  <c r="H11" i="33258" l="1"/>
  <c r="I11" i="33258"/>
  <c r="A521" i="33253"/>
  <c r="AG11" i="1027" l="1"/>
  <c r="K73" i="33254" l="1"/>
  <c r="L84" i="1027"/>
  <c r="A492" i="33253"/>
  <c r="K62" i="3"/>
  <c r="K47" i="3" l="1"/>
  <c r="K38" i="33262" s="1"/>
  <c r="K70" i="33257" l="1"/>
  <c r="K70" i="33261"/>
  <c r="Q60" i="33261" l="1"/>
  <c r="R60" i="33261"/>
  <c r="AL8" i="1027" l="1"/>
  <c r="AL45" i="1027" s="1"/>
  <c r="H45" i="33257" l="1"/>
  <c r="H31" i="33257"/>
  <c r="A475" i="33253" s="1"/>
  <c r="A497" i="33253"/>
  <c r="H45" i="33261"/>
  <c r="F43" i="33257" l="1"/>
  <c r="F43" i="33261"/>
  <c r="G56" i="3"/>
  <c r="A535" i="33253" l="1"/>
  <c r="H43" i="33257"/>
  <c r="A536" i="33253" s="1"/>
  <c r="H43" i="33261"/>
  <c r="K43" i="33261" s="1"/>
  <c r="L88" i="33261" s="1"/>
  <c r="K43" i="33257" l="1"/>
  <c r="L43" i="33257" l="1"/>
  <c r="A537" i="33253"/>
  <c r="A538" i="33253" s="1"/>
  <c r="L34" i="1027" l="1"/>
  <c r="W2" i="1027" s="1"/>
  <c r="K30" i="33257"/>
  <c r="L30" i="33257" s="1"/>
  <c r="X20" i="1027" l="1"/>
  <c r="X16" i="1027"/>
  <c r="X12" i="1027"/>
  <c r="X8" i="1027"/>
  <c r="A188" i="33253"/>
  <c r="AN5" i="1027"/>
  <c r="AN7" i="1027" s="1"/>
  <c r="AN43" i="1027" s="1"/>
  <c r="A472" i="33253"/>
  <c r="A473" i="33253" s="1"/>
  <c r="N20" i="1027"/>
  <c r="O20" i="1027" s="1"/>
  <c r="P20" i="1027" s="1"/>
  <c r="J50" i="1027" s="1"/>
  <c r="A527" i="33253" s="1"/>
  <c r="AG10" i="1027"/>
  <c r="AA14" i="1027"/>
  <c r="AA15" i="1027" s="1"/>
  <c r="AA10" i="1027"/>
  <c r="AA11" i="1027" s="1"/>
  <c r="J9" i="1027" s="1"/>
  <c r="AA18" i="1027"/>
  <c r="AA19" i="1027" s="1"/>
  <c r="J17" i="1027" s="1"/>
  <c r="N24" i="1027"/>
  <c r="AG22" i="1027"/>
  <c r="AA22" i="1027"/>
  <c r="AA23" i="1027" s="1"/>
  <c r="AG18" i="1027"/>
  <c r="AG14" i="1027"/>
  <c r="AH12" i="33259"/>
  <c r="AH15" i="33259" s="1"/>
  <c r="AH17" i="33259" s="1"/>
  <c r="AD21" i="33259" s="1"/>
  <c r="Y34" i="33259" l="1"/>
  <c r="X33" i="33259"/>
  <c r="Y33" i="33259"/>
  <c r="X34" i="33259"/>
  <c r="J18" i="1027"/>
  <c r="G49" i="1027"/>
  <c r="N16" i="1027"/>
  <c r="O16" i="1027" s="1"/>
  <c r="P16" i="1027" s="1"/>
  <c r="J49" i="1027" s="1"/>
  <c r="A526" i="33253" s="1"/>
  <c r="Y9" i="1027"/>
  <c r="X9" i="1027"/>
  <c r="F14" i="1027"/>
  <c r="G51" i="33262" s="1"/>
  <c r="G52" i="33262" s="1"/>
  <c r="K52" i="33262" s="1"/>
  <c r="Y13" i="1027"/>
  <c r="X14" i="1027" s="1"/>
  <c r="X15" i="1027" s="1"/>
  <c r="L13" i="1027" s="1"/>
  <c r="X13" i="1027"/>
  <c r="X17" i="1027"/>
  <c r="Y17" i="1027"/>
  <c r="X21" i="1027"/>
  <c r="Y21" i="1027"/>
  <c r="X22" i="1027" s="1"/>
  <c r="X23" i="1027" s="1"/>
  <c r="J10" i="1027"/>
  <c r="G47" i="1027"/>
  <c r="N8" i="1027"/>
  <c r="AD58" i="33254" s="1"/>
  <c r="W34" i="33259"/>
  <c r="V34" i="33259"/>
  <c r="W33" i="33259"/>
  <c r="V33" i="33259"/>
  <c r="AN45" i="1027"/>
  <c r="AN44" i="1027"/>
  <c r="AE36" i="33254" s="1"/>
  <c r="U34" i="33259"/>
  <c r="R18" i="33259"/>
  <c r="T34" i="33259"/>
  <c r="S33" i="33259"/>
  <c r="U33" i="33259"/>
  <c r="T33" i="33259"/>
  <c r="S34" i="33259"/>
  <c r="R34" i="33259"/>
  <c r="R33" i="33259"/>
  <c r="S18" i="33259"/>
  <c r="AG58" i="33254"/>
  <c r="L50" i="1027"/>
  <c r="AD33" i="33254"/>
  <c r="AD34" i="33254" s="1"/>
  <c r="AG33" i="33254"/>
  <c r="AG34" i="33254" s="1"/>
  <c r="AE33" i="33254"/>
  <c r="AE34" i="33254" s="1"/>
  <c r="AH33" i="33254"/>
  <c r="AF33" i="33254"/>
  <c r="AF34" i="33254" s="1"/>
  <c r="AH58" i="33254"/>
  <c r="L51" i="1027"/>
  <c r="O51" i="1027"/>
  <c r="N51" i="1027"/>
  <c r="Q8" i="1027" l="1"/>
  <c r="X18" i="1027"/>
  <c r="X19" i="1027" s="1"/>
  <c r="Y18" i="1027" s="1"/>
  <c r="Y19" i="1027" s="1"/>
  <c r="AF58" i="33254"/>
  <c r="K56" i="33262"/>
  <c r="F29" i="33262"/>
  <c r="X10" i="1027"/>
  <c r="X11" i="1027" s="1"/>
  <c r="Y10" i="1027" s="1"/>
  <c r="Y11" i="1027" s="1"/>
  <c r="Y22" i="1027"/>
  <c r="Y23" i="1027" s="1"/>
  <c r="L49" i="1027"/>
  <c r="A170" i="33253"/>
  <c r="N49" i="1027"/>
  <c r="L14" i="1027"/>
  <c r="H48" i="1027"/>
  <c r="L27" i="1027"/>
  <c r="L47" i="1027"/>
  <c r="O8" i="1027"/>
  <c r="P8" i="1027" s="1"/>
  <c r="J47" i="1027" s="1"/>
  <c r="A168" i="33253"/>
  <c r="N47" i="1027"/>
  <c r="Y14" i="1027"/>
  <c r="Y15" i="1027" s="1"/>
  <c r="J13" i="1027" s="1"/>
  <c r="N12" i="1027" s="1"/>
  <c r="Q12" i="1027" s="1"/>
  <c r="Q27" i="1027" s="1"/>
  <c r="AF35" i="33254"/>
  <c r="AD36" i="33254"/>
  <c r="AD37" i="33254" s="1"/>
  <c r="AE35" i="33254"/>
  <c r="AF36" i="33254"/>
  <c r="AF37" i="33254" s="1"/>
  <c r="AH35" i="33254"/>
  <c r="AD35" i="33254"/>
  <c r="AG35" i="33254"/>
  <c r="AH34" i="33254"/>
  <c r="AG36" i="33254"/>
  <c r="AG37" i="33254" s="1"/>
  <c r="F34" i="33259"/>
  <c r="E41" i="33259" s="1"/>
  <c r="F35" i="33259"/>
  <c r="A724" i="33253" s="1"/>
  <c r="AE37" i="33254"/>
  <c r="A792" i="33253"/>
  <c r="H34" i="33259"/>
  <c r="A791" i="33253"/>
  <c r="H35" i="33259"/>
  <c r="A725" i="33253" s="1"/>
  <c r="I47" i="1027"/>
  <c r="AD8" i="1027"/>
  <c r="F31" i="33262" l="1"/>
  <c r="H31" i="33261" s="1"/>
  <c r="I48" i="1027"/>
  <c r="A520" i="33253" s="1"/>
  <c r="AD12" i="1027"/>
  <c r="I10" i="33258" s="1"/>
  <c r="K31" i="33261"/>
  <c r="A722" i="33253"/>
  <c r="J14" i="1027"/>
  <c r="G48" i="1027"/>
  <c r="J27" i="1027"/>
  <c r="P63" i="1027" s="1"/>
  <c r="L48" i="1027"/>
  <c r="L54" i="1027" s="1"/>
  <c r="O12" i="1027"/>
  <c r="P12" i="1027" s="1"/>
  <c r="N27" i="1027"/>
  <c r="AE58" i="33254"/>
  <c r="AI58" i="33254" s="1"/>
  <c r="AF62" i="33254" s="1"/>
  <c r="Z57" i="83"/>
  <c r="AD55" i="83"/>
  <c r="Z58" i="83"/>
  <c r="Z56" i="83"/>
  <c r="AD58" i="83"/>
  <c r="Z55" i="83"/>
  <c r="A179" i="33253"/>
  <c r="AD57" i="83"/>
  <c r="AD56" i="83"/>
  <c r="A174" i="33253"/>
  <c r="O48" i="1027"/>
  <c r="O52" i="1027" s="1"/>
  <c r="H54" i="1027"/>
  <c r="AH36" i="33254"/>
  <c r="E42" i="33259"/>
  <c r="E40" i="33259"/>
  <c r="AH37" i="33254"/>
  <c r="AH38" i="33254" s="1"/>
  <c r="H42" i="33257" s="1"/>
  <c r="F42" i="33257" s="1"/>
  <c r="A723" i="33253"/>
  <c r="H46" i="33257"/>
  <c r="C41" i="33259"/>
  <c r="H46" i="33261"/>
  <c r="A524" i="33253"/>
  <c r="I9" i="33258"/>
  <c r="H9" i="33258"/>
  <c r="A519" i="33253"/>
  <c r="AI63" i="33254"/>
  <c r="AI67" i="33254" s="1"/>
  <c r="I54" i="1027"/>
  <c r="H10" i="33258" l="1"/>
  <c r="Q28" i="1027"/>
  <c r="Q29" i="1027" s="1"/>
  <c r="K42" i="33257"/>
  <c r="A533" i="33253" s="1"/>
  <c r="A534" i="33253" s="1"/>
  <c r="O27" i="1027"/>
  <c r="AE62" i="33254"/>
  <c r="AG62" i="33254"/>
  <c r="AD62" i="33254"/>
  <c r="Y55" i="83"/>
  <c r="AA55" i="83" s="1"/>
  <c r="Y56" i="83"/>
  <c r="AA56" i="83" s="1"/>
  <c r="AC58" i="83"/>
  <c r="AE58" i="83" s="1"/>
  <c r="A178" i="33253"/>
  <c r="AC56" i="83"/>
  <c r="AE56" i="83" s="1"/>
  <c r="AC55" i="83"/>
  <c r="AE55" i="83" s="1"/>
  <c r="AC57" i="83"/>
  <c r="AE57" i="83" s="1"/>
  <c r="Y58" i="83"/>
  <c r="AA58" i="83" s="1"/>
  <c r="Y57" i="83"/>
  <c r="AA57" i="83" s="1"/>
  <c r="I28" i="1027"/>
  <c r="A169" i="33253"/>
  <c r="N48" i="1027"/>
  <c r="N52" i="1027" s="1"/>
  <c r="G54" i="1027"/>
  <c r="F58" i="1027" s="1"/>
  <c r="J48" i="1027"/>
  <c r="P27" i="1027"/>
  <c r="Q18" i="33254"/>
  <c r="O18" i="33254"/>
  <c r="R18" i="33254"/>
  <c r="P18" i="33254"/>
  <c r="M19" i="33254"/>
  <c r="H42" i="33261"/>
  <c r="F42" i="33261" s="1"/>
  <c r="H56" i="3"/>
  <c r="I56" i="3" s="1"/>
  <c r="H121" i="33254"/>
  <c r="A694" i="33253"/>
  <c r="A532" i="33253"/>
  <c r="A531" i="33253"/>
  <c r="A693" i="33253"/>
  <c r="AI70" i="33254"/>
  <c r="AI69" i="33254"/>
  <c r="A695" i="33253" l="1"/>
  <c r="A696" i="33253" s="1"/>
  <c r="L42" i="33257"/>
  <c r="K42" i="33261"/>
  <c r="L87" i="33261" s="1"/>
  <c r="AI62" i="33254"/>
  <c r="AH87" i="83" s="1"/>
  <c r="AE59" i="83"/>
  <c r="AA60" i="83" s="1"/>
  <c r="AA59" i="83"/>
  <c r="Q103" i="33254"/>
  <c r="R103" i="33254"/>
  <c r="P15" i="33254"/>
  <c r="A582" i="33253" s="1"/>
  <c r="P103" i="33254"/>
  <c r="Q15" i="33254"/>
  <c r="A583" i="33253" s="1"/>
  <c r="O15" i="33254"/>
  <c r="R15" i="33254"/>
  <c r="A584" i="33253" s="1"/>
  <c r="O103" i="33254"/>
  <c r="P19" i="33254"/>
  <c r="A587" i="33253"/>
  <c r="A586" i="33253"/>
  <c r="S18" i="33254"/>
  <c r="O19" i="33254"/>
  <c r="R19" i="33254"/>
  <c r="A589" i="33253"/>
  <c r="A588" i="33253"/>
  <c r="Q19" i="33254"/>
  <c r="A525" i="33253"/>
  <c r="J54" i="1027"/>
  <c r="J44" i="1027" l="1"/>
  <c r="A222" i="33253" s="1"/>
  <c r="I87" i="1027"/>
  <c r="AI71" i="33254"/>
  <c r="AE61" i="83"/>
  <c r="S19" i="33254"/>
  <c r="Q105" i="33254"/>
  <c r="A593" i="33253"/>
  <c r="A591" i="33253"/>
  <c r="O105" i="33254"/>
  <c r="S103" i="33254"/>
  <c r="A581" i="33253"/>
  <c r="S15" i="33254"/>
  <c r="A592" i="33253"/>
  <c r="P105" i="33254"/>
  <c r="R105" i="33254"/>
  <c r="A594" i="33253"/>
  <c r="A590" i="33253"/>
  <c r="N49" i="33261"/>
  <c r="N49" i="33257"/>
  <c r="I44" i="1027"/>
  <c r="A221" i="33253" s="1"/>
  <c r="H44" i="1027"/>
  <c r="A220" i="33253" s="1"/>
  <c r="I117" i="33254" l="1"/>
  <c r="I53" i="3"/>
  <c r="A509" i="33253"/>
  <c r="A585" i="33253"/>
  <c r="S105" i="33254"/>
  <c r="N43" i="33257"/>
  <c r="N55" i="33257" s="1"/>
  <c r="N88" i="33261"/>
  <c r="A595" i="33253"/>
  <c r="G121" i="33254"/>
  <c r="I121" i="33254" s="1"/>
  <c r="R42" i="33257"/>
  <c r="K53" i="33257"/>
  <c r="A510" i="33253" s="1"/>
  <c r="K53" i="33261"/>
  <c r="N55" i="33261"/>
  <c r="R87" i="33261"/>
  <c r="H30" i="33257"/>
  <c r="R147" i="83" l="1"/>
  <c r="R148" i="83"/>
  <c r="R145" i="83"/>
  <c r="R152" i="83"/>
  <c r="R141" i="83"/>
  <c r="G44" i="1027" s="1"/>
  <c r="R146" i="83"/>
  <c r="R150" i="83"/>
  <c r="R143" i="83"/>
  <c r="R144" i="83"/>
  <c r="R153" i="83"/>
  <c r="R149" i="83"/>
  <c r="R151" i="83"/>
  <c r="W71" i="33254"/>
  <c r="Y71" i="33254"/>
  <c r="A345" i="33253"/>
  <c r="S71" i="33254"/>
  <c r="S72" i="33254"/>
  <c r="R86" i="33261"/>
  <c r="Q88" i="33261" s="1"/>
  <c r="K51" i="33261"/>
  <c r="R41" i="33257"/>
  <c r="Q43" i="33257" s="1"/>
  <c r="K51" i="33257"/>
  <c r="N65" i="33257"/>
  <c r="S65" i="33257" s="1"/>
  <c r="A471" i="33253"/>
  <c r="N57" i="33257"/>
  <c r="N63" i="33257"/>
  <c r="L44" i="1027" l="1"/>
  <c r="A219" i="33253"/>
  <c r="S73" i="33254"/>
  <c r="S75" i="33254" s="1"/>
  <c r="N58" i="33261"/>
  <c r="N58" i="33257"/>
  <c r="K65" i="33257" s="1"/>
  <c r="A515" i="33253" s="1"/>
  <c r="N59" i="33257"/>
  <c r="S39" i="33257" s="1"/>
  <c r="N59" i="33261"/>
  <c r="Z71" i="33254"/>
  <c r="Q87" i="33261"/>
  <c r="Q86" i="33261"/>
  <c r="Q42" i="33257"/>
  <c r="Q41" i="33257"/>
  <c r="R60" i="33257"/>
  <c r="K68" i="33257"/>
  <c r="T65" i="33257"/>
  <c r="S40" i="33257" l="1"/>
  <c r="Q60" i="33257"/>
  <c r="G87" i="1027"/>
  <c r="L87" i="1027" s="1"/>
  <c r="I58" i="1027"/>
  <c r="N60" i="33257"/>
  <c r="N61" i="33257"/>
  <c r="S38" i="33257" s="1"/>
  <c r="S37" i="33257" s="1"/>
  <c r="K67" i="33257"/>
  <c r="A516" i="33253" s="1"/>
  <c r="K65" i="33261"/>
  <c r="N61" i="33261"/>
  <c r="K67" i="33261"/>
  <c r="I59" i="1027"/>
  <c r="Z72" i="33254"/>
  <c r="Z73" i="33254" s="1"/>
  <c r="H38" i="33261" l="1"/>
  <c r="K38" i="33261" s="1"/>
  <c r="L83" i="33261" s="1"/>
  <c r="H38" i="33257"/>
  <c r="S60" i="33257"/>
  <c r="T60" i="33257" s="1"/>
  <c r="BR75" i="83"/>
  <c r="L58" i="1027"/>
  <c r="A210" i="33253"/>
  <c r="H30" i="33261"/>
  <c r="E119" i="33254"/>
  <c r="F54" i="3"/>
  <c r="I54" i="3" s="1"/>
  <c r="L59" i="1027"/>
  <c r="A217" i="33253" s="1"/>
  <c r="A218" i="33253" s="1"/>
  <c r="A216" i="33253"/>
  <c r="A481" i="33253" l="1"/>
  <c r="K38" i="33257"/>
  <c r="F40" i="33261"/>
  <c r="K40" i="33261" s="1"/>
  <c r="L85" i="33261" s="1"/>
  <c r="F40" i="33257"/>
  <c r="K40" i="33257" s="1"/>
  <c r="L40" i="33257" s="1"/>
  <c r="N57" i="33261"/>
  <c r="N63" i="33261"/>
  <c r="N65" i="33261"/>
  <c r="S65" i="33261" s="1"/>
  <c r="K30" i="33261"/>
  <c r="L75" i="33261" s="1"/>
  <c r="N58" i="1027"/>
  <c r="A211" i="33253"/>
  <c r="A212" i="33253" s="1"/>
  <c r="A347" i="33253"/>
  <c r="I119" i="33254"/>
  <c r="A348" i="33253" s="1"/>
  <c r="A349" i="33253" s="1"/>
  <c r="A482" i="33253" l="1"/>
  <c r="A483" i="33253" s="1"/>
  <c r="L38" i="33257"/>
  <c r="T65" i="33261"/>
  <c r="S83" i="33261"/>
  <c r="S82" i="33261" s="1"/>
  <c r="K68" i="33261"/>
  <c r="N60" i="33261"/>
  <c r="S85" i="33261"/>
  <c r="S84" i="33261"/>
  <c r="S60" i="33261" l="1"/>
  <c r="T60" i="33261" s="1"/>
</calcChain>
</file>

<file path=xl/comments1.xml><?xml version="1.0" encoding="utf-8"?>
<comments xmlns="http://schemas.openxmlformats.org/spreadsheetml/2006/main">
  <authors>
    <author>arthur</author>
    <author>Arthur Huber</author>
    <author>widmer</author>
    <author>Huber</author>
  </authors>
  <commentList>
    <comment ref="J7" authorId="0" shapeId="0">
      <text>
        <r>
          <rPr>
            <b/>
            <sz val="9"/>
            <color indexed="81"/>
            <rFont val="Segoe UI"/>
            <family val="2"/>
          </rPr>
          <t xml:space="preserve">MOP-Nr.: </t>
        </r>
        <r>
          <rPr>
            <sz val="9"/>
            <color indexed="81"/>
            <rFont val="Segoe UI"/>
            <family val="2"/>
          </rPr>
          <t>Projektnummer der Minergie-Online-Plattform https://online.minergie.ch ; wird bei Projekteröffnung automatisch zugeteilt (Bsp. 51234)</t>
        </r>
        <r>
          <rPr>
            <b/>
            <sz val="9"/>
            <color indexed="81"/>
            <rFont val="Segoe UI"/>
            <family val="2"/>
          </rPr>
          <t xml:space="preserve">
N° MOP: </t>
        </r>
        <r>
          <rPr>
            <sz val="9"/>
            <color indexed="81"/>
            <rFont val="Segoe UI"/>
            <family val="2"/>
          </rPr>
          <t>N° du projet sur la plateforme Minergie https://online.minergie.ch est attribué automatiquement à l'ouverture du projet (ex. 51234)</t>
        </r>
        <r>
          <rPr>
            <b/>
            <sz val="9"/>
            <color indexed="81"/>
            <rFont val="Segoe UI"/>
            <family val="2"/>
          </rPr>
          <t xml:space="preserve">
Numero MOP:</t>
        </r>
        <r>
          <rPr>
            <sz val="9"/>
            <color indexed="81"/>
            <rFont val="Segoe UI"/>
            <family val="2"/>
          </rPr>
          <t xml:space="preserve"> Il numero di progetto della piattaforma online Minergie https://online.minergie.ch ; viene assegnato automaticamente al momento dell'apertura progetto (es. 51234)</t>
        </r>
      </text>
    </comment>
    <comment ref="B17" authorId="1" shapeId="0">
      <text>
        <r>
          <rPr>
            <sz val="8"/>
            <color indexed="81"/>
            <rFont val="Tahoma"/>
            <family val="2"/>
          </rPr>
          <t>Restaurants, Sportbauten und Hallenbäder sind immer ohne Warmwasser zu berechnen.
EFH, MFH und Spitäler sind immer mit Warmwasser  zu berechnen.
Verwaltung, Schule, Verkauf, Versammlungslokale, Industrie und Lager können ohne Warmwasser berechnet werden unter der Bedingung, dass kein WW - Verteilsystem vorhanden ist (z.B. nur kleine Einzelboiler in Putzräumen in Schulen).
A calculer toujours sans eau chaude sanitaire: restaurants, installations sportives, piscines couvertes.
A calculer toujours avec eau chaude sanitaire: habitats individuels et collectifs, hôpitaux.
Les administrations, écoles, commerces, lieux de rassemblement, industries et entrepôts peuvent être calculés sans eau chaude s'il n'existe pas de système de distribution d'eau chaude (p. ex. uniquement des petits chauffe-eau individules dans les locaux de nettoyage d'une école).
Ristoranti, edifici per lo sport e piscine coperte sono sempre da calcolare senza acqua calda. Amministrazioni, scuole, negozi, locali pubblici, industrie e depositi possono essere calcolati senza l'acqua calda alla condizione che sia previsto un impianto decentralizzato senza una rete di distribuzione dell'acuqa calda sanitaria (es. solo piccoli scaldacqua nei locali pulizie delle scuole).</t>
        </r>
      </text>
    </comment>
    <comment ref="B19" authorId="1" shapeId="0">
      <text>
        <r>
          <rPr>
            <b/>
            <sz val="8"/>
            <color indexed="81"/>
            <rFont val="Tahoma"/>
            <family val="2"/>
          </rPr>
          <t>Energiebezugsfläche EBF</t>
        </r>
        <r>
          <rPr>
            <sz val="8"/>
            <color indexed="81"/>
            <rFont val="Tahoma"/>
            <family val="2"/>
          </rPr>
          <t xml:space="preserve">, muss aus der Rechnung SIA 380/1 übernommen werden.
</t>
        </r>
        <r>
          <rPr>
            <b/>
            <sz val="8"/>
            <color indexed="81"/>
            <rFont val="Tahoma"/>
            <family val="2"/>
          </rPr>
          <t>Surface de référence énergétique AE</t>
        </r>
        <r>
          <rPr>
            <sz val="8"/>
            <color indexed="81"/>
            <rFont val="Tahoma"/>
            <family val="2"/>
          </rPr>
          <t xml:space="preserve">, doit être reprise du calcul SIA 380/1.
</t>
        </r>
        <r>
          <rPr>
            <b/>
            <sz val="8"/>
            <color indexed="81"/>
            <rFont val="Tahoma"/>
            <family val="2"/>
          </rPr>
          <t>La superficie di riferimento energetico AE</t>
        </r>
        <r>
          <rPr>
            <sz val="8"/>
            <color indexed="81"/>
            <rFont val="Tahoma"/>
            <family val="2"/>
          </rPr>
          <t xml:space="preserve"> deve essere ripresa dal calcolo secondo la SIA 380/1</t>
        </r>
      </text>
    </comment>
    <comment ref="B20" authorId="0" shapeId="0">
      <text>
        <r>
          <rPr>
            <b/>
            <sz val="9"/>
            <color indexed="81"/>
            <rFont val="Segoe UI"/>
            <charset val="1"/>
          </rPr>
          <t xml:space="preserve">Anrechenbare Gebäudefläche, </t>
        </r>
        <r>
          <rPr>
            <sz val="9"/>
            <color indexed="81"/>
            <rFont val="Segoe UI"/>
            <family val="2"/>
          </rPr>
          <t xml:space="preserve">projizierte Fassadenlinie. Definition siehe Vollzugshilfe EN-Solar BE.
</t>
        </r>
        <r>
          <rPr>
            <b/>
            <sz val="9"/>
            <color indexed="81"/>
            <rFont val="Segoe UI"/>
            <family val="2"/>
          </rPr>
          <t>Surface déterminante de construction</t>
        </r>
        <r>
          <rPr>
            <sz val="9"/>
            <color indexed="81"/>
            <rFont val="Segoe UI"/>
            <family val="2"/>
          </rPr>
          <t>, projection du pied de façade. Définition voir aide à l’application EN-Solaire BE.</t>
        </r>
      </text>
    </comment>
    <comment ref="B21" authorId="2" shapeId="0">
      <text>
        <r>
          <rPr>
            <b/>
            <sz val="8"/>
            <color indexed="81"/>
            <rFont val="Tahoma"/>
            <family val="2"/>
          </rPr>
          <t xml:space="preserve">Energienachweis:
</t>
        </r>
        <r>
          <rPr>
            <sz val="8"/>
            <color indexed="81"/>
            <rFont val="Tahoma"/>
            <family val="2"/>
          </rPr>
          <t>Im Energienachweis werden nur die Neubauten berücksichtigt.</t>
        </r>
        <r>
          <rPr>
            <b/>
            <sz val="8"/>
            <color indexed="81"/>
            <rFont val="Tahoma"/>
            <family val="2"/>
          </rPr>
          <t xml:space="preserve">
Minergie:</t>
        </r>
        <r>
          <rPr>
            <sz val="8"/>
            <color indexed="81"/>
            <rFont val="Tahoma"/>
            <family val="2"/>
          </rPr>
          <t xml:space="preserve">
Baujahr (Bauvollendung) ab 2000.
</t>
        </r>
        <r>
          <rPr>
            <b/>
            <sz val="8"/>
            <color indexed="81"/>
            <rFont val="Tahoma"/>
            <family val="2"/>
          </rPr>
          <t xml:space="preserve">
Justificatif énergétique:</t>
        </r>
        <r>
          <rPr>
            <sz val="8"/>
            <color indexed="81"/>
            <rFont val="Tahoma"/>
            <family val="2"/>
          </rPr>
          <t xml:space="preserve">
Seules les nouvelles constructions sont considérées dans le justificatif énergétique.
</t>
        </r>
        <r>
          <rPr>
            <b/>
            <sz val="8"/>
            <color indexed="81"/>
            <rFont val="Tahoma"/>
            <family val="2"/>
          </rPr>
          <t>Minergie:</t>
        </r>
        <r>
          <rPr>
            <sz val="8"/>
            <color indexed="81"/>
            <rFont val="Tahoma"/>
            <family val="2"/>
          </rPr>
          <t xml:space="preserve">
Année de construction (achèvement) à partir de 2000.
</t>
        </r>
        <r>
          <rPr>
            <b/>
            <sz val="8"/>
            <color indexed="81"/>
            <rFont val="Tahoma"/>
            <family val="2"/>
          </rPr>
          <t xml:space="preserve">
Verifica energetica:</t>
        </r>
        <r>
          <rPr>
            <sz val="8"/>
            <color indexed="81"/>
            <rFont val="Tahoma"/>
            <family val="2"/>
          </rPr>
          <t xml:space="preserve">
Nella verifica energetica vengono considerati unicamente gli edifici nuovi.
</t>
        </r>
        <r>
          <rPr>
            <b/>
            <sz val="8"/>
            <color indexed="81"/>
            <rFont val="Tahoma"/>
            <family val="2"/>
          </rPr>
          <t xml:space="preserve">
Minergie: </t>
        </r>
        <r>
          <rPr>
            <sz val="8"/>
            <color indexed="81"/>
            <rFont val="Tahoma"/>
            <family val="2"/>
          </rPr>
          <t xml:space="preserve">
anno di costruzione (completamento dei lavori)  a partire dal 2000.</t>
        </r>
      </text>
    </comment>
    <comment ref="B25" authorId="1" shapeId="0">
      <text>
        <r>
          <rPr>
            <b/>
            <sz val="8"/>
            <color indexed="81"/>
            <rFont val="Tahoma"/>
            <family val="2"/>
          </rPr>
          <t>Verschattungsfaktor: Fakultative Eingabe.</t>
        </r>
        <r>
          <rPr>
            <sz val="8"/>
            <color indexed="81"/>
            <rFont val="Tahoma"/>
            <family val="2"/>
          </rPr>
          <t xml:space="preserve">
Bei Gebäudestandorten über 800 m.ü.M. und Verschattungsfaktoren &lt;= 0.6 kann ein Bonus von 6 kWh/m2 beansprucht werden. FS1 &lt;= 0.6 gilt als gemittelter Wert über alle Fassaden. Bonus bei MINERGIE-P nicht möglich.
</t>
        </r>
        <r>
          <rPr>
            <b/>
            <sz val="8"/>
            <color indexed="81"/>
            <rFont val="Tahoma"/>
            <family val="2"/>
          </rPr>
          <t>Nur MINERGIE-P: Spez.  Wärmeleistungsbedarf-MP</t>
        </r>
        <r>
          <rPr>
            <sz val="8"/>
            <color indexed="81"/>
            <rFont val="Tahoma"/>
            <family val="2"/>
          </rPr>
          <t xml:space="preserve">
Der spez. Wärmeleistungsbedarf-MP qh-MP,max muss kleiner als 10 W/m2 sein. Diese Anforderung gilt nur für Gebäude mit Heizwärmeverteilung überwiegend über die Lüftungsanlage.
</t>
        </r>
        <r>
          <rPr>
            <b/>
            <sz val="8"/>
            <color indexed="81"/>
            <rFont val="Tahoma"/>
            <family val="2"/>
          </rPr>
          <t xml:space="preserve">Nur MINERGIE-A: Spezifische Graue Energie
</t>
        </r>
        <r>
          <rPr>
            <sz val="8"/>
            <color indexed="81"/>
            <rFont val="Tahoma"/>
            <family val="2"/>
          </rPr>
          <t>Übertrag aus externer Berechnung.</t>
        </r>
      </text>
    </comment>
    <comment ref="C25" authorId="1" shapeId="0">
      <text>
        <r>
          <rPr>
            <b/>
            <sz val="8"/>
            <color indexed="81"/>
            <rFont val="Tahoma"/>
            <family val="2"/>
          </rPr>
          <t>Verschattungsfaktor: Fakultative Eingabe.</t>
        </r>
        <r>
          <rPr>
            <sz val="8"/>
            <color indexed="81"/>
            <rFont val="Tahoma"/>
            <family val="2"/>
          </rPr>
          <t xml:space="preserve">
Bei Gebäudestandorten über 800 m.ü.M. und Verschattungsfaktoren &lt;= 0.6 kann ein Bonus von 6 kWh/m2 beansprucht werden. FS1 &lt;= 0.6 gilt als gemittelter Wert über alle Fassaden. Bonus bei MINERGIE-P nicht möglich.
</t>
        </r>
        <r>
          <rPr>
            <b/>
            <sz val="8"/>
            <color indexed="81"/>
            <rFont val="Tahoma"/>
            <family val="2"/>
          </rPr>
          <t>Nur MINERGIE-P: Spez.  Wärmeleistungsbedarf-MP</t>
        </r>
        <r>
          <rPr>
            <sz val="8"/>
            <color indexed="81"/>
            <rFont val="Tahoma"/>
            <family val="2"/>
          </rPr>
          <t xml:space="preserve">
Der spez. Wärmeleistungsbedarf-MP qh-MP,max muss kleiner als 10 W/m2 sein. Diese Anforderung gilt nur für Gebäude mit Heizwärmeverteilung überwiegend über die Lüftungsanlage.
</t>
        </r>
        <r>
          <rPr>
            <b/>
            <sz val="8"/>
            <color indexed="81"/>
            <rFont val="Tahoma"/>
            <family val="2"/>
          </rPr>
          <t xml:space="preserve">Nur MINERGIE-A: Spezifische Graue Energie
</t>
        </r>
        <r>
          <rPr>
            <sz val="8"/>
            <color indexed="81"/>
            <rFont val="Tahoma"/>
            <family val="2"/>
          </rPr>
          <t>Übertrag aus externer Berechnung.</t>
        </r>
      </text>
    </comment>
    <comment ref="B27" authorId="2" shapeId="0">
      <text>
        <r>
          <rPr>
            <b/>
            <sz val="8"/>
            <color indexed="81"/>
            <rFont val="Tahoma"/>
            <family val="2"/>
          </rPr>
          <t>Lüftungsanlagen:</t>
        </r>
        <r>
          <rPr>
            <sz val="8"/>
            <color indexed="81"/>
            <rFont val="Tahoma"/>
            <family val="2"/>
          </rPr>
          <t xml:space="preserve">
Falls bei den Kleinanlagen mit Standardwerten "Ja" angewählt wird, so wird eine stark vereinfachte Lüftungsberechnung durchgeführt. Dies ist nur zulässig bei Nutzungen EFH und MFH bis 2'000 m2 oder bei Verwaltung und Schulen bis 1'000 m2.
Für alle übrigen Fälle ist eine externe Berechnung durchzuführen und in der Rubrik "Externe Berechnung" einzutragen.
</t>
        </r>
        <r>
          <rPr>
            <b/>
            <sz val="8"/>
            <color indexed="81"/>
            <rFont val="Tahoma"/>
            <family val="2"/>
          </rPr>
          <t>Installation de ventilation:</t>
        </r>
        <r>
          <rPr>
            <sz val="8"/>
            <color indexed="81"/>
            <rFont val="Tahoma"/>
            <family val="2"/>
          </rPr>
          <t xml:space="preserve">
Pour les petites installations avec des valeurs standard, il peut être répondu "oui" et le calcul sera fortement simplifié. Cela n'est valable que pour l'habitat jusqu'à 2000 m2 et l'administration et les écoles jusqu'à 1000 m2.
Pour tous les autres cas, un calcul externe est à faire et le résultat à indiquer dans la rubrique "Calcul externe".
</t>
        </r>
        <r>
          <rPr>
            <b/>
            <sz val="8"/>
            <color indexed="81"/>
            <rFont val="Tahoma"/>
            <family val="2"/>
          </rPr>
          <t>Ventilazione:</t>
        </r>
        <r>
          <rPr>
            <sz val="8"/>
            <color indexed="81"/>
            <rFont val="Tahoma"/>
            <family val="2"/>
          </rPr>
          <t xml:space="preserve">
Se si seleziona "si" per piccoli impianti con ventilazione standard viene effettuato un calcolo per l'aerazione estremamente semplificato. Questo è possibile solo per le categorie monofamiliari e plurifamiliari con AE fino a 2'000 m2 o per amministrazione e scuole fino a 1'000 m2. In tutti gli altri casi è richiesto un calcolo esterno che deve essere riportato nella parte "Calcolo esterno".</t>
        </r>
      </text>
    </comment>
    <comment ref="B30" authorId="0" shapeId="0">
      <text>
        <r>
          <rPr>
            <sz val="8"/>
            <color indexed="81"/>
            <rFont val="Arial"/>
            <family val="2"/>
          </rPr>
          <t>Eingabe nur bei Nutzungen EFH und MFH bis 2'000 m2 oder bei Verwaltung und Schulen bis 1'000 m2 möglich.
Entrée possible que pour l'habitat jusqu'à 2000 m2 et l'administration et les écoles jusqu'à 1000 m2.
Solo per le categorie monofamiliari e plurifamiliari con AE fino a 2'000 m2 o per amministrazione e scuole fino a 1'000 m2.</t>
        </r>
      </text>
    </comment>
    <comment ref="B31" authorId="1" shapeId="0">
      <text>
        <r>
          <rPr>
            <b/>
            <sz val="8"/>
            <color indexed="81"/>
            <rFont val="Tahoma"/>
            <family val="2"/>
          </rPr>
          <t>Auswahl der Lüftung:-</t>
        </r>
        <r>
          <rPr>
            <sz val="8"/>
            <color indexed="81"/>
            <rFont val="Tahoma"/>
            <family val="2"/>
          </rPr>
          <t xml:space="preserve">
- kein Lüftung:      keine mechanische Lüftungsanlage
- Zu- / Abluft:       Zu- und Abluftanlage ohne Wärmerückgewinnung
- Lüft. + WRG:      Zu- und Abluftanlage mit Wärmerückgewinnung
- Lüft. + WP:        Zu- und Abluftanlage mit Abluftwärmepumpe
- Abluft:                Abluftanlage ohne Wärmerückgewinnung
- Abluft + WP:      Abluftanlage mit Abluftwärmepumpe
- Einzelraumlüf:     Einzelraumlüftung mit Wärmerückgewinnung
- Auto Fensterl:    Automatische Fensterlüftung
- Verbundlüftung: Verbundlüftung
- Grundlüftung:     Grundlüftung
</t>
        </r>
        <r>
          <rPr>
            <b/>
            <sz val="8"/>
            <color indexed="81"/>
            <rFont val="Tahoma"/>
            <family val="2"/>
          </rPr>
          <t xml:space="preserve">
Choix de la ventilation:</t>
        </r>
        <r>
          <rPr>
            <sz val="8"/>
            <color indexed="81"/>
            <rFont val="Tahoma"/>
            <family val="2"/>
          </rPr>
          <t xml:space="preserve">
- Aucune:              pas de ventilation mécanique controlée
- Fourni/repris:      installation sans récupération de chaleur
- Double flux:        VMC avec récupération de chaleur
- FOU/REP+PAC:  air fourni et pompe à chaleur sur l'air repris
- REP:                    installation d'air repris sans récupération de chaleur
- REP+PAC:           pompe à chaleur sur l'air repris
- Local:                  App. de ventilation par local avec récup. de chaleur
- Fen. auto:           Aération automatique par les fenêtres
- Vent. de transfert d’air:  Ventilation de transfert d'air
- Vent. de base:    Ventilation de base
</t>
        </r>
        <r>
          <rPr>
            <b/>
            <sz val="8"/>
            <color indexed="81"/>
            <rFont val="Tahoma"/>
            <family val="2"/>
          </rPr>
          <t xml:space="preserve">
Scelta dell'aerazione:</t>
        </r>
        <r>
          <rPr>
            <sz val="8"/>
            <color indexed="81"/>
            <rFont val="Tahoma"/>
            <family val="2"/>
          </rPr>
          <t xml:space="preserve">
- No ventil..:           nessuna ventilazione meccanica
- Immiss./estraz.:   impianto di immissione ed estrazione d'aria senza recupero di calore
- Ventil.+RC:           impianto di immissione ed estrazione d'aria con recupero di calore
- Ventil.+PdC:         impianto di immissione ed espulzione dell'aria con PdC sull'aspirazione dell'aria
- Solo estraz.:         impianto di estrazione dell'aria senza recupero di calore
- Estraz.+PdC:        impianto d'estrazione dell'aria con PdC sull'aspirazione dell'aria
- Aeraz. per loc.:     aerazione di ogni singolo locale con recupero di calore
- Finestre, autom.:  aerazione automatica tramite finestre, comando automatico
- Ventil. composito:  ventilazione composito
- Ventil. di base:      ventilazione di base</t>
        </r>
      </text>
    </comment>
    <comment ref="B32" authorId="1" shapeId="0">
      <text>
        <r>
          <rPr>
            <b/>
            <sz val="8"/>
            <color indexed="81"/>
            <rFont val="Tahoma"/>
            <family val="2"/>
          </rPr>
          <t>Anzahl Räume mit Zuluft:</t>
        </r>
        <r>
          <rPr>
            <sz val="8"/>
            <color indexed="81"/>
            <rFont val="Tahoma"/>
            <family val="2"/>
          </rPr>
          <t xml:space="preserve">
Nur bei Wohnnutzung (EFH oder MFH) erforderliche Eingabe
</t>
        </r>
        <r>
          <rPr>
            <b/>
            <sz val="8"/>
            <color indexed="81"/>
            <rFont val="Tahoma"/>
            <family val="2"/>
          </rPr>
          <t>Anzahl Personen (total pro Zone):</t>
        </r>
        <r>
          <rPr>
            <sz val="8"/>
            <color indexed="81"/>
            <rFont val="Tahoma"/>
            <family val="2"/>
          </rPr>
          <t xml:space="preserve">
Eingabe bei Verwaltung oder Schulen erforderlich.
Wird für die Berechnung der Zuluftmenge verwendet.
</t>
        </r>
        <r>
          <rPr>
            <b/>
            <sz val="8"/>
            <color indexed="81"/>
            <rFont val="Tahoma"/>
            <family val="2"/>
          </rPr>
          <t>Nombre de pièces avec air fourni:</t>
        </r>
        <r>
          <rPr>
            <sz val="8"/>
            <color indexed="81"/>
            <rFont val="Tahoma"/>
            <family val="2"/>
          </rPr>
          <t xml:space="preserve">
Données obligatoires que pour l'habitat.
</t>
        </r>
        <r>
          <rPr>
            <b/>
            <sz val="8"/>
            <color indexed="81"/>
            <rFont val="Tahoma"/>
            <family val="2"/>
          </rPr>
          <t>Nombre de personnes (total par zone):</t>
        </r>
        <r>
          <rPr>
            <sz val="8"/>
            <color indexed="81"/>
            <rFont val="Tahoma"/>
            <family val="2"/>
          </rPr>
          <t xml:space="preserve">
Données obligatoires pour administration ou écoles.
Seront utilisées pour le calcul de l'air fourni.
</t>
        </r>
        <r>
          <rPr>
            <b/>
            <sz val="8"/>
            <color indexed="81"/>
            <rFont val="Tahoma"/>
            <family val="2"/>
          </rPr>
          <t>Numero di locali con immissione d'aria:</t>
        </r>
        <r>
          <rPr>
            <sz val="8"/>
            <color indexed="81"/>
            <rFont val="Tahoma"/>
            <family val="2"/>
          </rPr>
          <t xml:space="preserve">
dato necessario solo per categorie abitazioni monofamiliari o plurifamiliari.
</t>
        </r>
        <r>
          <rPr>
            <b/>
            <sz val="8"/>
            <color indexed="81"/>
            <rFont val="Tahoma"/>
            <family val="2"/>
          </rPr>
          <t>Numero di persone (totale per zona):</t>
        </r>
        <r>
          <rPr>
            <sz val="8"/>
            <color indexed="81"/>
            <rFont val="Tahoma"/>
            <family val="2"/>
          </rPr>
          <t xml:space="preserve">
dato necessario per categorie amministrazione o scuole.
Il dato è utilizzato per calcolare il volume d'aria immessa.</t>
        </r>
      </text>
    </comment>
    <comment ref="B34" authorId="1" shapeId="0">
      <text>
        <r>
          <rPr>
            <b/>
            <sz val="8"/>
            <color indexed="81"/>
            <rFont val="Tahoma"/>
            <family val="2"/>
          </rPr>
          <t>Eingabe bei Kleinanlagen mit Standardwerten:</t>
        </r>
        <r>
          <rPr>
            <sz val="8"/>
            <color indexed="81"/>
            <rFont val="Tahoma"/>
            <family val="2"/>
          </rPr>
          <t xml:space="preserve">
Typ der Wärmerückgewinnung wird für die Berechnung des WRG-Wirkungsgrades verwendet. Je nach Wahl des Lüftungsgerätes stehen folgende WRG-Arten zur Auswahl:
-  Keine Wärmerückgewinnung
-  Kreuzstrom-Wärmetauscher
-  Gegenstrom-Wärmetauscher
-  Rotations-Wärmetauscher
-  Enthalpie-Wärmetauscher</t>
        </r>
        <r>
          <rPr>
            <b/>
            <sz val="8"/>
            <color indexed="81"/>
            <rFont val="Tahoma"/>
            <family val="2"/>
          </rPr>
          <t xml:space="preserve">
Données pour les petites installations avec des valeurs standard:</t>
        </r>
        <r>
          <rPr>
            <sz val="8"/>
            <color indexed="81"/>
            <rFont val="Tahoma"/>
            <family val="2"/>
          </rPr>
          <t xml:space="preserve">
Le type de récupération de chaleur sera utilisé pour le calcul du taux de récupération. Selon le choix de l'appareil de ventilation, les possibilités sont les suivantes:
-  Pas de récupération de chaleur
-  Echangeurà courant croisé
-  Echangeur à contre-courant
-  Echangeur rotatif
-  Récupération de chaleur enthalpie
</t>
        </r>
        <r>
          <rPr>
            <b/>
            <sz val="8"/>
            <color indexed="81"/>
            <rFont val="Tahoma"/>
            <family val="2"/>
          </rPr>
          <t xml:space="preserve">
Dato per piccoli impianti con valori standard:</t>
        </r>
        <r>
          <rPr>
            <sz val="8"/>
            <color indexed="81"/>
            <rFont val="Tahoma"/>
            <family val="2"/>
          </rPr>
          <t xml:space="preserve">
il tipo di recupero di calore è utilizzato per calcolare il rendimento del RC. A dipendenza dell'apparecchio scelto sono a disposizione i seguenti tipi di recuperatori:
-  nessun recupero di calore
-  scambiatore a correnti incrociate
-  scambiatore controcorrente
-  scambiatore rotativo
-  recupero del calore enthalpie</t>
        </r>
      </text>
    </comment>
    <comment ref="B35" authorId="1" shapeId="0">
      <text>
        <r>
          <rPr>
            <b/>
            <sz val="8"/>
            <color indexed="81"/>
            <rFont val="Tahoma"/>
            <family val="2"/>
          </rPr>
          <t>Eingabe bei Kleinanlagen mit Standardwerten:</t>
        </r>
        <r>
          <rPr>
            <sz val="8"/>
            <color indexed="81"/>
            <rFont val="Tahoma"/>
            <family val="2"/>
          </rPr>
          <t xml:space="preserve">
Verwendete Motoren für die Lüftungsventilatoren: Wechselstrom (AC) oder Gleichstrom (DC).
</t>
        </r>
        <r>
          <rPr>
            <b/>
            <sz val="8"/>
            <color indexed="81"/>
            <rFont val="Tahoma"/>
            <family val="2"/>
          </rPr>
          <t xml:space="preserve">
Données pour les petites installations avec des valeurs standard:</t>
        </r>
        <r>
          <rPr>
            <sz val="8"/>
            <color indexed="81"/>
            <rFont val="Tahoma"/>
            <family val="2"/>
          </rPr>
          <t xml:space="preserve">
Moteurs des ventilateurs: à courant alternatif (AC) ou à courant continu (DC).
</t>
        </r>
        <r>
          <rPr>
            <b/>
            <sz val="8"/>
            <color indexed="81"/>
            <rFont val="Tahoma"/>
            <family val="2"/>
          </rPr>
          <t xml:space="preserve">Dato di inserimento per piccoli impianti con valori standard: </t>
        </r>
        <r>
          <rPr>
            <sz val="8"/>
            <color indexed="81"/>
            <rFont val="Tahoma"/>
            <family val="2"/>
          </rPr>
          <t xml:space="preserve">
motori utilizzati per i ventilatori d'aerazione: corrente alternata (AC) o corrente continua (DC).</t>
        </r>
      </text>
    </comment>
    <comment ref="B38" authorId="3" shapeId="0">
      <text>
        <r>
          <rPr>
            <b/>
            <sz val="8"/>
            <color indexed="81"/>
            <rFont val="Tahoma"/>
            <family val="2"/>
          </rPr>
          <t>Resultate aus externer Berechnung</t>
        </r>
        <r>
          <rPr>
            <sz val="8"/>
            <color indexed="81"/>
            <rFont val="Tahoma"/>
            <family val="2"/>
          </rPr>
          <t>, z.B. externes Lüftungsblatt, in diesem Abschnitt einfügen.
Zwingende Eingabe bei Klimaanlagen.
Indiquer ici le</t>
        </r>
        <r>
          <rPr>
            <b/>
            <sz val="8"/>
            <color indexed="81"/>
            <rFont val="Tahoma"/>
            <family val="2"/>
          </rPr>
          <t xml:space="preserve"> résulat d'un calcul externe</t>
        </r>
        <r>
          <rPr>
            <sz val="8"/>
            <color indexed="81"/>
            <rFont val="Tahoma"/>
            <family val="2"/>
          </rPr>
          <t xml:space="preserve"> (sur une feuille séparée).
Entrée obligatoire pour les installation de climatisation.
</t>
        </r>
        <r>
          <rPr>
            <b/>
            <sz val="8"/>
            <color indexed="81"/>
            <rFont val="Tahoma"/>
            <family val="2"/>
          </rPr>
          <t>Risultati da calcoli esterni</t>
        </r>
        <r>
          <rPr>
            <sz val="8"/>
            <color indexed="81"/>
            <rFont val="Tahoma"/>
            <family val="2"/>
          </rPr>
          <t>, es. foglio di calcolo esterno per l'aerazione, sono da inserire in questa parte.
Sono richiesti i valori per gli impianti di climatizzazione.</t>
        </r>
      </text>
    </comment>
    <comment ref="B39" authorId="1" shapeId="0">
      <text>
        <r>
          <rPr>
            <b/>
            <sz val="8"/>
            <color indexed="81"/>
            <rFont val="Tahoma"/>
            <family val="2"/>
          </rPr>
          <t>Kühlung / Befeuchtung:</t>
        </r>
        <r>
          <rPr>
            <sz val="8"/>
            <color indexed="81"/>
            <rFont val="Tahoma"/>
            <family val="2"/>
          </rPr>
          <t xml:space="preserve">
Wird eine Kühlung verwendet oder Befeuchtung verwendet?
</t>
        </r>
        <r>
          <rPr>
            <b/>
            <sz val="8"/>
            <color indexed="81"/>
            <rFont val="Tahoma"/>
            <family val="2"/>
          </rPr>
          <t>Rafraîchissement / humidification:</t>
        </r>
        <r>
          <rPr>
            <sz val="8"/>
            <color indexed="81"/>
            <rFont val="Tahoma"/>
            <family val="2"/>
          </rPr>
          <t xml:space="preserve">
Rafraîchissement et/ou humidification ?
</t>
        </r>
        <r>
          <rPr>
            <b/>
            <sz val="8"/>
            <color indexed="81"/>
            <rFont val="Tahoma"/>
            <family val="2"/>
          </rPr>
          <t xml:space="preserve">
Raffreddamento / umidificazione:</t>
        </r>
        <r>
          <rPr>
            <sz val="8"/>
            <color indexed="81"/>
            <rFont val="Tahoma"/>
            <family val="2"/>
          </rPr>
          <t xml:space="preserve">
Presenza di raffreddamento o umidificazione?</t>
        </r>
      </text>
    </comment>
    <comment ref="B45" authorId="1" shapeId="0">
      <text>
        <r>
          <rPr>
            <b/>
            <sz val="8"/>
            <color indexed="81"/>
            <rFont val="Tahoma"/>
            <family val="2"/>
          </rPr>
          <t>Spezifischer, thermisch wirksamer Aussenluftvolumenstrom Vth nach SIA 380/1:</t>
        </r>
        <r>
          <rPr>
            <sz val="8"/>
            <color indexed="81"/>
            <rFont val="Tahoma"/>
            <family val="2"/>
          </rPr>
          <t xml:space="preserve"> 
Dieser Wert muss mit der Eingabe für die Berechnung für den Heizwärmebedarf mit effektivem Luftwechsel übereinstimmen.
</t>
        </r>
        <r>
          <rPr>
            <b/>
            <sz val="8"/>
            <color indexed="81"/>
            <rFont val="Tahoma"/>
            <family val="2"/>
          </rPr>
          <t xml:space="preserve">
Débit d'air spécifique thermiquement actif Vth selon SIA 380/1: </t>
        </r>
        <r>
          <rPr>
            <sz val="8"/>
            <color indexed="81"/>
            <rFont val="Tahoma"/>
            <family val="2"/>
          </rPr>
          <t xml:space="preserve">
cette valeur doit correspondre à celle donnée pour le calcul de la demande d'énergie de chauffage avec aération effective.
</t>
        </r>
        <r>
          <rPr>
            <b/>
            <sz val="8"/>
            <color indexed="81"/>
            <rFont val="Tahoma"/>
            <family val="2"/>
          </rPr>
          <t xml:space="preserve">
Portata d'aria esterna termicamente determinante Vth secondo la SIA 380/1:</t>
        </r>
        <r>
          <rPr>
            <sz val="8"/>
            <color indexed="81"/>
            <rFont val="Tahoma"/>
            <family val="2"/>
          </rPr>
          <t xml:space="preserve">
Questo valore deve corrispondere al dato per il calcolo del fabbisogno termico con portata d'aria esterna termicamente determinante.</t>
        </r>
      </text>
    </comment>
    <comment ref="B46" authorId="1" shapeId="0">
      <text>
        <r>
          <rPr>
            <b/>
            <sz val="8"/>
            <color indexed="81"/>
            <rFont val="Tahoma"/>
            <family val="2"/>
          </rPr>
          <t>Zwingende Eingabe Qh,eff oder Qh,korr:</t>
        </r>
        <r>
          <rPr>
            <sz val="8"/>
            <color indexed="81"/>
            <rFont val="Tahoma"/>
            <family val="2"/>
          </rPr>
          <t xml:space="preserve">
Heizwärmebedarf Qh,eff mit effektivem, thermisch wirksamen Aussenluftvolumenstrom Vth aus der Berechnung SIA 380/1 übertragen.
Fakultativ darf anstelle von Qh,eff auch der raumhöhenkorrigierte Wert Qh,korr (Korrektur gemäss Angaben MINERGIE) hier eingetragen werden.
</t>
        </r>
        <r>
          <rPr>
            <b/>
            <sz val="8"/>
            <color indexed="81"/>
            <rFont val="Tahoma"/>
            <family val="2"/>
          </rPr>
          <t>Entrée obligatoire: Qh,eff ou Qh,corr:</t>
        </r>
        <r>
          <rPr>
            <sz val="8"/>
            <color indexed="81"/>
            <rFont val="Tahoma"/>
            <family val="2"/>
          </rPr>
          <t xml:space="preserve">
à reporter du calcul SIA 380/1 les besoins de chaleur pour le chauffage Qh,eff avec débit d’air neuf thermiquement actif Vth.
Facultatif: la valeur corrigée pour la hauteur d'étage Qh,corr (correction selon indications MINERGIE) peut être introduite à la place de Qh,eff
</t>
        </r>
        <r>
          <rPr>
            <sz val="8"/>
            <color indexed="81"/>
            <rFont val="Tahoma"/>
            <family val="2"/>
          </rPr>
          <t xml:space="preserve">
</t>
        </r>
        <r>
          <rPr>
            <b/>
            <sz val="8"/>
            <color indexed="81"/>
            <rFont val="Tahoma"/>
            <family val="2"/>
          </rPr>
          <t>Valore richiesto per Qh,eff. O Qh,corr.:</t>
        </r>
        <r>
          <rPr>
            <sz val="8"/>
            <color indexed="81"/>
            <rFont val="Tahoma"/>
            <family val="2"/>
          </rPr>
          <t xml:space="preserve">
inserire fabbisogno di calore per il riscaldamento Qh,eff. con portata d'aria esterna termicamente determinante Vth secondo calcolo SIA 380/1.
Facoltativo: invece di Qh,eff. può essere inserito Qh,corr. che considera anche la correzione dell'altezza del locale (correzione secondo indicazioni MINERGIE)</t>
        </r>
      </text>
    </comment>
    <comment ref="B51" authorId="0" shapeId="0">
      <text>
        <r>
          <rPr>
            <b/>
            <sz val="9"/>
            <color indexed="81"/>
            <rFont val="Segoe UI"/>
            <family val="2"/>
          </rPr>
          <t>Installierte Leistung (ohne WKK) [kWp], bzw. [kW]:</t>
        </r>
        <r>
          <rPr>
            <sz val="9"/>
            <color indexed="81"/>
            <rFont val="Segoe UI"/>
            <family val="2"/>
          </rPr>
          <t xml:space="preserve"> 
Installierte el. Leistung. Bei PV-Anlagen Übertrag aus PVopti, Blatt «Resultate», Feld M39
</t>
        </r>
        <r>
          <rPr>
            <b/>
            <sz val="9"/>
            <color indexed="81"/>
            <rFont val="Segoe UI"/>
            <family val="2"/>
          </rPr>
          <t xml:space="preserve">Puissance nominale (sans CCF) [kW] : </t>
        </r>
        <r>
          <rPr>
            <sz val="9"/>
            <color indexed="81"/>
            <rFont val="Segoe UI"/>
            <family val="2"/>
          </rPr>
          <t xml:space="preserve">
Puissance installée. Pour les installations PV report depuis la cellule M39, onglet « Résultats » de PVopti. 
</t>
        </r>
        <r>
          <rPr>
            <b/>
            <sz val="9"/>
            <color indexed="81"/>
            <rFont val="Segoe UI"/>
            <family val="2"/>
          </rPr>
          <t xml:space="preserve">Potenza nominale (senza cogenerazione) [kWp]: </t>
        </r>
        <r>
          <rPr>
            <sz val="9"/>
            <color indexed="81"/>
            <rFont val="Segoe UI"/>
            <family val="2"/>
          </rPr>
          <t xml:space="preserve">
potenza installata. Riprendere da PVOpti, nel foglio “Risultati”, campo M39.</t>
        </r>
      </text>
    </comment>
    <comment ref="B53" authorId="0" shapeId="0">
      <text>
        <r>
          <rPr>
            <b/>
            <sz val="9"/>
            <color indexed="81"/>
            <rFont val="Segoe UI"/>
            <family val="2"/>
          </rPr>
          <t>Spezifischer Jahresertrag (Volllaststunden):</t>
        </r>
        <r>
          <rPr>
            <sz val="9"/>
            <color indexed="81"/>
            <rFont val="Segoe UI"/>
            <family val="2"/>
          </rPr>
          <t xml:space="preserve"> Bei PV-Anlagen aus dem PVopti (Blatt «Resultate, Feld M38)) bzw. aus dem PVGis zu übertragen. Falls keine Eingabe gemacht wird, wird mit 800kWh/kWp, bzw. 800 Volllaststunden gerechnet.
</t>
        </r>
        <r>
          <rPr>
            <b/>
            <sz val="9"/>
            <color indexed="81"/>
            <rFont val="Segoe UI"/>
            <family val="2"/>
          </rPr>
          <t xml:space="preserve">Rendement annuel spécifique (heures à pleine charge): </t>
        </r>
        <r>
          <rPr>
            <sz val="9"/>
            <color indexed="81"/>
            <rFont val="Segoe UI"/>
            <family val="2"/>
          </rPr>
          <t xml:space="preserve">Pour les installations PV à reporter de PVopti : (cellule M38, Onglet « Résultats »), resp. de PVGis. Si aucune donnée n'est saisie, le calcul est effectué sur la base de la valeur par défaut 800 kWh/kWp ou 800 h.
</t>
        </r>
        <r>
          <rPr>
            <b/>
            <sz val="9"/>
            <color indexed="81"/>
            <rFont val="Segoe UI"/>
            <family val="2"/>
          </rPr>
          <t xml:space="preserve">
Apporto annuale specifico:</t>
        </r>
        <r>
          <rPr>
            <sz val="9"/>
            <color indexed="81"/>
            <rFont val="Segoe UI"/>
            <family val="2"/>
          </rPr>
          <t xml:space="preserve"> ripreso dal PVopti (campo M38, foglio “Risultati”) o riprendere dal PVGis. Provvisoriamente il valore è fissato come predefinito a 800 kWh/kWp. Nel caso in cui non viene inserito nessun valore, i calcoli sono effettuati con 800kWh/kWp.</t>
        </r>
      </text>
    </comment>
    <comment ref="B54" authorId="0" shapeId="0">
      <text>
        <r>
          <rPr>
            <b/>
            <sz val="9"/>
            <color indexed="81"/>
            <rFont val="Segoe UI"/>
            <family val="2"/>
          </rPr>
          <t>Minimale Grösse der Eigenstromerzeugung:</t>
        </r>
        <r>
          <rPr>
            <sz val="9"/>
            <color indexed="81"/>
            <rFont val="Segoe UI"/>
            <family val="2"/>
          </rPr>
          <t xml:space="preserve"> 
Wird anhand der EBF automatisch berechnet. 
</t>
        </r>
        <r>
          <rPr>
            <b/>
            <sz val="9"/>
            <color indexed="81"/>
            <rFont val="Segoe UI"/>
            <family val="2"/>
          </rPr>
          <t xml:space="preserve">Taille minimale de l'installation de production d’électricité </t>
        </r>
        <r>
          <rPr>
            <sz val="9"/>
            <color indexed="81"/>
            <rFont val="Segoe UI"/>
            <family val="2"/>
          </rPr>
          <t xml:space="preserve">: 
Est automatiquement calculée sur la base de la SRE. 
</t>
        </r>
        <r>
          <rPr>
            <b/>
            <sz val="9"/>
            <color indexed="81"/>
            <rFont val="Segoe UI"/>
            <family val="2"/>
          </rPr>
          <t xml:space="preserve">Dimensione minima della propria produzione di elettricità: </t>
        </r>
        <r>
          <rPr>
            <sz val="9"/>
            <color indexed="81"/>
            <rFont val="Segoe UI"/>
            <family val="2"/>
          </rPr>
          <t xml:space="preserve">
viene calcolato automaticamente sulla base della AE. </t>
        </r>
      </text>
    </comment>
    <comment ref="B56" authorId="0" shapeId="0">
      <text>
        <r>
          <rPr>
            <b/>
            <sz val="9"/>
            <color indexed="81"/>
            <rFont val="Segoe UI"/>
            <family val="2"/>
          </rPr>
          <t>Stromproduktion deckt Bedarf:</t>
        </r>
        <r>
          <rPr>
            <sz val="9"/>
            <color indexed="81"/>
            <rFont val="Segoe UI"/>
            <family val="2"/>
          </rPr>
          <t xml:space="preserve"> Zeigt bei Projekten nach Minergie-A an, ob die Eigens-tromproduktion den Bedarf deckt.
</t>
        </r>
        <r>
          <rPr>
            <b/>
            <sz val="9"/>
            <color indexed="81"/>
            <rFont val="Segoe UI"/>
            <family val="2"/>
          </rPr>
          <t>La production d'électricité couvre la demande :</t>
        </r>
        <r>
          <rPr>
            <sz val="9"/>
            <color indexed="81"/>
            <rFont val="Segoe UI"/>
            <family val="2"/>
          </rPr>
          <t xml:space="preserve"> Indique si l’autoproduction d'électricité couvre la demande pour les projets certifiés Minergie-A.
</t>
        </r>
        <r>
          <rPr>
            <b/>
            <sz val="9"/>
            <color indexed="81"/>
            <rFont val="Segoe UI"/>
            <family val="2"/>
          </rPr>
          <t xml:space="preserve">Produzione di elettricità copre il fabbisogno: </t>
        </r>
        <r>
          <rPr>
            <sz val="9"/>
            <color indexed="81"/>
            <rFont val="Segoe UI"/>
            <family val="2"/>
          </rPr>
          <t>indica nel caso di progetti Minergie-A, se la produzione propria di elettricità copre il fabbisogno.</t>
        </r>
      </text>
    </comment>
    <comment ref="B66" authorId="1" shapeId="0">
      <text>
        <r>
          <rPr>
            <b/>
            <sz val="8"/>
            <color indexed="81"/>
            <rFont val="Tahoma"/>
            <family val="2"/>
          </rPr>
          <t xml:space="preserve">MINERGIE-P:
</t>
        </r>
        <r>
          <rPr>
            <sz val="8"/>
            <color indexed="81"/>
            <rFont val="Tahoma"/>
            <family val="2"/>
          </rPr>
          <t xml:space="preserve">Mit der Unterschrift auf dem Nachweisdokument bestätigen die Antragstellenden, dass ausschliesslich Haushaltgeräte mit E-Label A resp. A+ eingebaut und/oder energieeffiziente Bürogeräte eingesetzt werden.
</t>
        </r>
        <r>
          <rPr>
            <b/>
            <sz val="8"/>
            <color indexed="81"/>
            <rFont val="Tahoma"/>
            <family val="2"/>
          </rPr>
          <t>MINERGIE-A:</t>
        </r>
        <r>
          <rPr>
            <sz val="8"/>
            <color indexed="81"/>
            <rFont val="Tahoma"/>
            <family val="2"/>
          </rPr>
          <t xml:space="preserve">
Mit der Unterschrift auf dem Nachweisdokument bestätigen die Antragstellenden, dass die Geräte gemäss Beiblatt "Deklaration Haushaltgeräte" eingebaut wurden.</t>
        </r>
      </text>
    </comment>
    <comment ref="B67" authorId="2" shapeId="0">
      <text>
        <r>
          <rPr>
            <sz val="8"/>
            <color indexed="81"/>
            <rFont val="Tahoma"/>
            <family val="2"/>
          </rPr>
          <t>Gilt für alle Kategorien ausser 'MFH' und 'EFH'. Ausnahmen siehe Nutzungsreglement Anhang C. Begründung immer zwingend, wenn Zusatzanforderung nicht erfüllt wird.</t>
        </r>
      </text>
    </comment>
    <comment ref="B68" authorId="2" shapeId="0">
      <text>
        <r>
          <rPr>
            <sz val="8"/>
            <color indexed="81"/>
            <rFont val="Tahoma"/>
            <family val="2"/>
          </rPr>
          <t>Gilt für Kategorien ‚Restaurants’, ‚Sportbauten’ und ‚Hallenbäder’ – falls Energieverbrauch für Warmwasser &gt;10 kWh/m2 (EBF0):
20% mit erneuerbarer Energie erbringen.</t>
        </r>
      </text>
    </comment>
    <comment ref="B69" authorId="2" shapeId="0">
      <text>
        <r>
          <rPr>
            <sz val="8"/>
            <color indexed="81"/>
            <rFont val="Tahoma"/>
            <family val="2"/>
          </rPr>
          <t>Gilt für Kategorien 'Verkauf' und 'Spital'.
Abwärme ist grundsätzlich zu nutzen. Begründung immer zwingend, wenn Zusatzanforderung nicht erfüllt wird.</t>
        </r>
      </text>
    </comment>
    <comment ref="B72" authorId="1" shapeId="0">
      <text>
        <r>
          <rPr>
            <sz val="8"/>
            <color indexed="81"/>
            <rFont val="Tahoma"/>
            <family val="2"/>
          </rPr>
          <t>Gilt für Kategorie "Hallenbad"</t>
        </r>
      </text>
    </comment>
    <comment ref="B73" authorId="1" shapeId="0">
      <text>
        <r>
          <rPr>
            <sz val="8"/>
            <color indexed="81"/>
            <rFont val="Tahoma"/>
            <family val="2"/>
          </rPr>
          <t>Gilt für MINERGIE-P und MINERGIE-A.</t>
        </r>
      </text>
    </comment>
    <comment ref="B80" authorId="1" shapeId="0">
      <text>
        <r>
          <rPr>
            <sz val="8"/>
            <color indexed="81"/>
            <rFont val="Tahoma"/>
            <family val="2"/>
          </rPr>
          <t>Fakultative Eingabe:
Strombedarf Lüftung, berechnet mit einem externen Hilfsmittel.
Ersetzt den berechneten Strombedarf auf dem Blatt "Lueftung"</t>
        </r>
      </text>
    </comment>
  </commentList>
</comments>
</file>

<file path=xl/comments2.xml><?xml version="1.0" encoding="utf-8"?>
<comments xmlns="http://schemas.openxmlformats.org/spreadsheetml/2006/main">
  <authors>
    <author>arthur</author>
  </authors>
  <commentList>
    <comment ref="B17" authorId="0" shapeId="0">
      <text>
        <r>
          <rPr>
            <sz val="9"/>
            <color indexed="81"/>
            <rFont val="Segoe UI"/>
            <family val="2"/>
          </rPr>
          <t>Rechenwert für Warmwasser nach SIA 380/1
Valeur calculée pour l'eau chaude sanitaire selon SIA 380/1
Valore di calcolo per acqua calda secondo SIA 380/1</t>
        </r>
      </text>
    </comment>
    <comment ref="B18" authorId="0" shapeId="0">
      <text>
        <r>
          <rPr>
            <sz val="9"/>
            <color indexed="81"/>
            <rFont val="Segoe UI"/>
            <family val="2"/>
          </rPr>
          <t>Eingabefeld, falls Warmwasser nach 385 nachgewiesen wird
Donnée à saisir, au cas où l'eau chaude sanitaire serait justifiée d'après SIA 385.
valore da inserire, se l’acqua calda è calcolata in base alla norma SIA 385</t>
        </r>
      </text>
    </comment>
    <comment ref="B19" authorId="0" shapeId="0">
      <text>
        <r>
          <rPr>
            <sz val="9"/>
            <color indexed="81"/>
            <rFont val="Segoe UI"/>
            <family val="2"/>
          </rPr>
          <t>Angabe, ob effiziente Armaturen eingesetzt werden oder nicht. Erfüllt, wenn mindestens zwei Drittel der Entnahmearmaturen (mit Warmwasser) der Effizienzklasse A entsprechen. 
Donnée indiquant si une robinetterie à économie d'eau est installée ou non. Au besoin, l'Office de certification peut exiger la documentation (bulletin de livraison, type, etc.).
Specificare se è utilizzata rubinetteria efficiente o meno. La documentazione (bolla di consegna, tipo, ecc.) può essere richiesta dal Centro di certificazione.</t>
        </r>
      </text>
    </comment>
    <comment ref="B21" authorId="0" shapeId="0">
      <text>
        <r>
          <rPr>
            <sz val="9"/>
            <color indexed="81"/>
            <rFont val="Segoe UI"/>
            <family val="2"/>
          </rPr>
          <t>Angabe, ob ein System für die Wärmerückgewinnung aus dem Abwasser eingesetzt wird. Es ist der totale %-Wert der WRG bezogen auf die totale Warmwassermenge einzutragen.
Indication si un système est utilisé pour la récupération de chaleur issue des eaux usées. Il faut reporter la valeur totale en % de la RC basée sur la quantité totale d'eau chaude.
Indicazione se è previsto l’impiego di un sistema per il recupero di calore dall’acqua di scarico. Va inserito il valore % sulla totalità del RC, riferito alla quantità totale di acqua calda.</t>
        </r>
      </text>
    </comment>
    <comment ref="B25" authorId="0" shapeId="0">
      <text>
        <r>
          <rPr>
            <b/>
            <sz val="9"/>
            <color indexed="81"/>
            <rFont val="Segoe UI"/>
            <family val="2"/>
          </rPr>
          <t>Anzahl Wohneinheiten:</t>
        </r>
        <r>
          <rPr>
            <sz val="9"/>
            <color indexed="81"/>
            <rFont val="Segoe UI"/>
            <family val="2"/>
          </rPr>
          <t xml:space="preserve"> Bei Wohnbauten zwingend anzugeben. Die Definition der Wohnein-heiten ist im Kapitel 5.1.4 beschrieben.
</t>
        </r>
        <r>
          <rPr>
            <b/>
            <sz val="9"/>
            <color indexed="81"/>
            <rFont val="Segoe UI"/>
            <family val="2"/>
          </rPr>
          <t xml:space="preserve">Nombre d'unités d’habitation : </t>
        </r>
        <r>
          <rPr>
            <sz val="9"/>
            <color indexed="81"/>
            <rFont val="Segoe UI"/>
            <family val="2"/>
          </rPr>
          <t xml:space="preserve">Donnée obligatoire pour les bâtiments d'habitation. Le terme « unité d’habitation » est défini au chapitre 6.1.4.
</t>
        </r>
        <r>
          <rPr>
            <b/>
            <sz val="9"/>
            <color indexed="81"/>
            <rFont val="Segoe UI"/>
            <family val="2"/>
          </rPr>
          <t xml:space="preserve">Numero unità abitative: </t>
        </r>
        <r>
          <rPr>
            <sz val="9"/>
            <color indexed="81"/>
            <rFont val="Segoe UI"/>
            <family val="2"/>
          </rPr>
          <t>dato obbligatorio per edifici abitativi. La definizione delle unità abitati-ve è descritta nel capitolo 6.1.4.</t>
        </r>
      </text>
    </comment>
    <comment ref="B34" authorId="0" shapeId="0">
      <text>
        <r>
          <rPr>
            <b/>
            <sz val="9"/>
            <color indexed="81"/>
            <rFont val="Segoe UI"/>
            <family val="2"/>
          </rPr>
          <t xml:space="preserve">Geräte: </t>
        </r>
        <r>
          <rPr>
            <sz val="9"/>
            <color indexed="81"/>
            <rFont val="Segoe UI"/>
            <family val="2"/>
          </rPr>
          <t xml:space="preserve">Angabe, ob Geräte von mindestens der vorgegebenen Effizienzkategorie eingesetzt werden oder nicht. Der Nachweis kann bei Bedarf von der Zertifizierungsstelle eingefordert werden.
</t>
        </r>
        <r>
          <rPr>
            <b/>
            <sz val="9"/>
            <color indexed="81"/>
            <rFont val="Segoe UI"/>
            <family val="2"/>
          </rPr>
          <t xml:space="preserve">
Appareils : </t>
        </r>
        <r>
          <rPr>
            <sz val="9"/>
            <color indexed="81"/>
            <rFont val="Segoe UI"/>
            <family val="2"/>
          </rPr>
          <t xml:space="preserve">Donnée indiquant si les appareils installés disposent de la classe d'efficacité exigée, au minimum. Au besoin, l'Office de certification peut exiger le justificatif.
</t>
        </r>
        <r>
          <rPr>
            <b/>
            <sz val="9"/>
            <color indexed="81"/>
            <rFont val="Segoe UI"/>
            <family val="2"/>
          </rPr>
          <t xml:space="preserve">
Elettrodomestici: </t>
        </r>
        <r>
          <rPr>
            <sz val="9"/>
            <color indexed="81"/>
            <rFont val="Segoe UI"/>
            <family val="2"/>
          </rPr>
          <t>specificare se vengono utilizzati elettrodomestici con almeno la categoria di efficienza richiesta o meno. La prova può essere richiesta dal Centro di certificazione.</t>
        </r>
      </text>
    </comment>
    <comment ref="B35" authorId="0" shapeId="0">
      <text>
        <r>
          <rPr>
            <b/>
            <sz val="9"/>
            <color indexed="81"/>
            <rFont val="Segoe UI"/>
            <family val="2"/>
          </rPr>
          <t>Geräte:</t>
        </r>
        <r>
          <rPr>
            <sz val="9"/>
            <color indexed="81"/>
            <rFont val="Segoe UI"/>
            <family val="2"/>
          </rPr>
          <t xml:space="preserve"> Angabe, ob Geräte von mindestens der vorgegebenen Effizienzkategorie eingesetzt werden oder nicht. Der Nachweis kann bei Bedarf von der Zertifizierungsstelle eingefordert werden.
Für Kühlschränke mit Eco-Fresh- oder innenliegendem Gefrierfach wird die Effizienzklasse F gefordert. 
Für Kühl-Gefrier-Kombigeräte wird ebenfalls die Effizienzklasse D gefordert. 
</t>
        </r>
        <r>
          <rPr>
            <b/>
            <sz val="9"/>
            <color indexed="81"/>
            <rFont val="Segoe UI"/>
            <family val="2"/>
          </rPr>
          <t>Appareils:</t>
        </r>
        <r>
          <rPr>
            <sz val="9"/>
            <color indexed="81"/>
            <rFont val="Segoe UI"/>
            <family val="2"/>
          </rPr>
          <t xml:space="preserve"> Donnée indiquant si les appareils installés disposent de la classe d'efficacité exigée, au minimum. Au besoin, l'Office de certification peut exiger le justificatif.
La classe d'efficacité F est exigée pour les réfrigérateurs avec Eco-Fresh ou les compartiments de congélation internes. 
La classe d'efficacité D est exigée pour les réfrigérateurs-congélateurs combinés.
</t>
        </r>
        <r>
          <rPr>
            <b/>
            <sz val="9"/>
            <color indexed="81"/>
            <rFont val="Segoe UI"/>
            <family val="2"/>
          </rPr>
          <t>Elettrodomestici:</t>
        </r>
        <r>
          <rPr>
            <sz val="9"/>
            <color indexed="81"/>
            <rFont val="Segoe UI"/>
            <family val="2"/>
          </rPr>
          <t xml:space="preserve"> specificare se vengono utilizzati elettrodomestici con almeno la categoria di efficienza richiesta o meno. La prova può essere richiesta dal Centro di certificazione.
Per frigoriferi con scomparto Eco-Fresh o congelatore interno, si richiede la classe di efficienza F.
Anche per frigoriferi/congelatori combinati si richiede la classe di efficienza D.
</t>
        </r>
      </text>
    </comment>
    <comment ref="B36" authorId="0" shapeId="0">
      <text>
        <r>
          <rPr>
            <b/>
            <sz val="9"/>
            <color indexed="81"/>
            <rFont val="Segoe UI"/>
            <family val="2"/>
          </rPr>
          <t xml:space="preserve">Geräte: </t>
        </r>
        <r>
          <rPr>
            <sz val="9"/>
            <color indexed="81"/>
            <rFont val="Segoe UI"/>
            <family val="2"/>
          </rPr>
          <t xml:space="preserve">Angabe, ob Geräte von mindestens der vorgegebenen Effizienzkategorie eingesetzt werden oder nicht. Der Nachweis kann bei Bedarf von der Zertifizierungsstelle eingefordert werden.
Bei einem Kühl-Gefrier-Kombigerät, welches die Anforderungen Kühlschrank erfüllt, kann auch die Abminderung für den Gefrierschrank geltend gemacht werden.
</t>
        </r>
        <r>
          <rPr>
            <b/>
            <sz val="9"/>
            <color indexed="81"/>
            <rFont val="Segoe UI"/>
            <family val="2"/>
          </rPr>
          <t xml:space="preserve">Appareils : </t>
        </r>
        <r>
          <rPr>
            <sz val="9"/>
            <color indexed="81"/>
            <rFont val="Segoe UI"/>
            <family val="2"/>
          </rPr>
          <t xml:space="preserve">Donnée indiquant si les appareils installés disposent de la classe d'efficacité exigée, au minimum. Au besoin, l'Office de certification peut exiger le justificatif.
Dans le cas d'un appareil combiné réfrigérateur-congélateur qui répond aux exigences relatives au réfrigérateur, la réduction pour le congélateur peut également être imputée.
</t>
        </r>
        <r>
          <rPr>
            <b/>
            <sz val="9"/>
            <color indexed="81"/>
            <rFont val="Segoe UI"/>
            <family val="2"/>
          </rPr>
          <t xml:space="preserve">Elettrodomestici: </t>
        </r>
        <r>
          <rPr>
            <sz val="9"/>
            <color indexed="81"/>
            <rFont val="Segoe UI"/>
            <family val="2"/>
          </rPr>
          <t>specificare se vengono utilizzati elettrodomestici con almeno la categoria di efficienza richiesta o meno. La prova può essere richiesta dal Centro di certificazione.
Per un frigorifero/congelatore combinato che soddisfa i requisiti per un congelatore, è anche possibile far valere l’alleggerimento per la parte di congelatore.</t>
        </r>
      </text>
    </comment>
    <comment ref="B37" authorId="0" shapeId="0">
      <text>
        <r>
          <rPr>
            <b/>
            <sz val="9"/>
            <color indexed="81"/>
            <rFont val="Segoe UI"/>
            <family val="2"/>
          </rPr>
          <t xml:space="preserve">Geräte: </t>
        </r>
        <r>
          <rPr>
            <sz val="9"/>
            <color indexed="81"/>
            <rFont val="Segoe UI"/>
            <family val="2"/>
          </rPr>
          <t xml:space="preserve">Angabe, ob Geräte von mindestens der vorgegebenen Effizienzkategorie eingesetzt werden oder nicht. Der Nachweis kann bei Bedarf von der Zertifizierungsstelle eingefordert werden.
</t>
        </r>
        <r>
          <rPr>
            <b/>
            <sz val="9"/>
            <color indexed="81"/>
            <rFont val="Segoe UI"/>
            <family val="2"/>
          </rPr>
          <t xml:space="preserve">Appareils : </t>
        </r>
        <r>
          <rPr>
            <sz val="9"/>
            <color indexed="81"/>
            <rFont val="Segoe UI"/>
            <family val="2"/>
          </rPr>
          <t xml:space="preserve">Donnée indiquant si les appareils installés disposent de la classe d'efficacité exigée, au minimum. Au besoin, l'Office de certification peut exiger le justificatif.
</t>
        </r>
        <r>
          <rPr>
            <b/>
            <sz val="9"/>
            <color indexed="81"/>
            <rFont val="Segoe UI"/>
            <family val="2"/>
          </rPr>
          <t xml:space="preserve">
Elettrodomestici: </t>
        </r>
        <r>
          <rPr>
            <sz val="9"/>
            <color indexed="81"/>
            <rFont val="Segoe UI"/>
            <family val="2"/>
          </rPr>
          <t>specificare se vengono utilizzati elettrodomestici con almeno la categoria di efficienza richiesta o meno. La prova può essere richiesta dal Centro di certificazione.</t>
        </r>
      </text>
    </comment>
    <comment ref="B38" authorId="0" shapeId="0">
      <text>
        <r>
          <rPr>
            <b/>
            <sz val="9"/>
            <color indexed="81"/>
            <rFont val="Segoe UI"/>
            <family val="2"/>
          </rPr>
          <t xml:space="preserve">Geräte: </t>
        </r>
        <r>
          <rPr>
            <sz val="9"/>
            <color indexed="81"/>
            <rFont val="Segoe UI"/>
            <family val="2"/>
          </rPr>
          <t xml:space="preserve">Angabe, ob Geräte von mindestens der vorgegebenen Effizienzkategorie eingesetzt werden oder nicht. Der Nachweis kann bei Bedarf von der Zertifizierungsstelle eingefordert werden.
</t>
        </r>
        <r>
          <rPr>
            <b/>
            <sz val="9"/>
            <color indexed="81"/>
            <rFont val="Segoe UI"/>
            <family val="2"/>
          </rPr>
          <t xml:space="preserve">Appareils : </t>
        </r>
        <r>
          <rPr>
            <sz val="9"/>
            <color indexed="81"/>
            <rFont val="Segoe UI"/>
            <family val="2"/>
          </rPr>
          <t xml:space="preserve">Donnée indiquant si les appareils installés disposent de la classe d'efficacité exigée, au minimum. Au besoin, l'Office de certification peut exiger le justificatif.
</t>
        </r>
        <r>
          <rPr>
            <b/>
            <sz val="9"/>
            <color indexed="81"/>
            <rFont val="Segoe UI"/>
            <family val="2"/>
          </rPr>
          <t xml:space="preserve">
Elettrodomestici:</t>
        </r>
        <r>
          <rPr>
            <sz val="9"/>
            <color indexed="81"/>
            <rFont val="Segoe UI"/>
            <family val="2"/>
          </rPr>
          <t xml:space="preserve"> specificare se vengono utilizzati elettrodomestici con almeno la categoria di efficienza richiesta o meno. La prova può essere richiesta dal Centro di certificazione.</t>
        </r>
      </text>
    </comment>
    <comment ref="B39" authorId="0" shapeId="0">
      <text>
        <r>
          <rPr>
            <b/>
            <sz val="9"/>
            <color indexed="81"/>
            <rFont val="Segoe UI"/>
            <family val="2"/>
          </rPr>
          <t>Geräte:</t>
        </r>
        <r>
          <rPr>
            <sz val="9"/>
            <color indexed="81"/>
            <rFont val="Segoe UI"/>
            <family val="2"/>
          </rPr>
          <t xml:space="preserve"> Angabe, ob Geräte von mindestens der vorgegebenen Effizienzkategorie eingesetzt werden oder nicht. Der Nachweis kann bei Bedarf von der Zertifizierungsstelle eingefordert werden.
</t>
        </r>
        <r>
          <rPr>
            <b/>
            <sz val="9"/>
            <color indexed="81"/>
            <rFont val="Segoe UI"/>
            <family val="2"/>
          </rPr>
          <t xml:space="preserve">Appareils : </t>
        </r>
        <r>
          <rPr>
            <sz val="9"/>
            <color indexed="81"/>
            <rFont val="Segoe UI"/>
            <family val="2"/>
          </rPr>
          <t xml:space="preserve">Donnée indiquant si les appareils installés disposent de la classe d'efficacité exigée, au minimum. Au besoin, l'Office de certification peut exiger le justificatif.
</t>
        </r>
        <r>
          <rPr>
            <b/>
            <sz val="9"/>
            <color indexed="81"/>
            <rFont val="Segoe UI"/>
            <family val="2"/>
          </rPr>
          <t xml:space="preserve">
Elettrodomestici: </t>
        </r>
        <r>
          <rPr>
            <sz val="9"/>
            <color indexed="81"/>
            <rFont val="Segoe UI"/>
            <family val="2"/>
          </rPr>
          <t>specificare se vengono utilizzati elettrodomestici con almeno la categoria di efficienza richiesta o meno. La prova può essere richiesta dal Centro di certificazione.</t>
        </r>
      </text>
    </comment>
    <comment ref="B40" authorId="0" shapeId="0">
      <text>
        <r>
          <rPr>
            <b/>
            <sz val="9"/>
            <color indexed="81"/>
            <rFont val="Segoe UI"/>
            <family val="2"/>
          </rPr>
          <t xml:space="preserve">Beleuchtung LED mind. C &amp; Regelung: </t>
        </r>
        <r>
          <rPr>
            <sz val="9"/>
            <color indexed="81"/>
            <rFont val="Segoe UI"/>
            <family val="2"/>
          </rPr>
          <t xml:space="preserve">Angabe, ob die Allgemeinbeleuchtung der entsprechen-den Effizienzkategorie eingesetzt wird oder nicht.
</t>
        </r>
        <r>
          <rPr>
            <b/>
            <sz val="9"/>
            <color indexed="81"/>
            <rFont val="Segoe UI"/>
            <family val="2"/>
          </rPr>
          <t xml:space="preserve">
Eclairage LED au moins C &amp; régulation : </t>
        </r>
        <r>
          <rPr>
            <sz val="9"/>
            <color indexed="81"/>
            <rFont val="Segoe UI"/>
            <family val="2"/>
          </rPr>
          <t xml:space="preserve">Indication de l'utilisation ou non de l'éclairage général de la catégorie de rendement concernée.
</t>
        </r>
        <r>
          <rPr>
            <b/>
            <sz val="9"/>
            <color indexed="81"/>
            <rFont val="Segoe UI"/>
            <family val="2"/>
          </rPr>
          <t xml:space="preserve">Illuminazione LED almeno C &amp; regolazione: </t>
        </r>
        <r>
          <rPr>
            <sz val="9"/>
            <color indexed="81"/>
            <rFont val="Segoe UI"/>
            <family val="2"/>
          </rPr>
          <t>dichiarazione se l’illuminazione generale corrisponde alla rispettiva classe di efficienza sì o no.</t>
        </r>
      </text>
    </comment>
    <comment ref="B41" authorId="0" shapeId="0">
      <text>
        <r>
          <rPr>
            <b/>
            <sz val="9"/>
            <color indexed="81"/>
            <rFont val="Segoe UI"/>
            <family val="2"/>
          </rPr>
          <t xml:space="preserve">Effiziente Geräte für Gebäudebetrieb: </t>
        </r>
        <r>
          <rPr>
            <sz val="9"/>
            <color indexed="81"/>
            <rFont val="Segoe UI"/>
            <family val="2"/>
          </rPr>
          <t xml:space="preserve">Angabe, ob für Gebäudebetrieb effiziente Geräte eingesetzt werden: fest installierte Elektroverbraucher, meist im Keller von Gebäuden: Heizungspumpen, Sicherheitsanlagen, Lifte, etc.
Hinweis: Grössere Strombezüger wie das Begleitheizband, der Frostschutz beim Lüftungsgerät usw. sind in diesem Punkt nicht enthalten und müssen separat erfasst werden.
</t>
        </r>
        <r>
          <rPr>
            <b/>
            <sz val="9"/>
            <color indexed="81"/>
            <rFont val="Segoe UI"/>
            <family val="2"/>
          </rPr>
          <t xml:space="preserve">Appareils efficaces pour l'exploitation des bâtiments : </t>
        </r>
        <r>
          <rPr>
            <sz val="9"/>
            <color indexed="81"/>
            <rFont val="Segoe UI"/>
            <family val="2"/>
          </rPr>
          <t xml:space="preserve">Donnée indiquant si des appareils électriques à économie d'énergie équipent les installations techniques communes : présence d'appareils électriques fixes, le plus souvent au sous-sol ; pompes ; installations de sécurité, ascenseurs etc.
Remarque: les gros consommateurs d'électricité comme le ruban chauffant électrique, la protection antigel de l'appareil de ventilation, etc. ne s'appliquent pas au présent point et doivent être saisis séparément.
</t>
        </r>
        <r>
          <rPr>
            <b/>
            <sz val="9"/>
            <color indexed="81"/>
            <rFont val="Segoe UI"/>
            <family val="2"/>
          </rPr>
          <t xml:space="preserve">Apparecchi efficienti per il funzionamento dell'edificio e uso abitativo: 
</t>
        </r>
        <r>
          <rPr>
            <sz val="9"/>
            <color indexed="81"/>
            <rFont val="Segoe UI"/>
            <family val="2"/>
          </rPr>
          <t>dichiarare se sono utilizzati dispositivi efficienti per l’esercizio dell'edificio e uso residenziale:
dispositivi consumatori di energia fissi per lo più posizionati nella cantina di edifici: pompe di circolazione, impianti di sicurezza, ascensori, ecc.
Osservazione: grossi consumatori di elettricità come i nastri riscaldanti, la protezione antigelo negli apparecchi di ventilazione ecc., non sono previsti qui ma vanno considerati separatamente.</t>
        </r>
      </text>
    </comment>
    <comment ref="B44" authorId="0" shapeId="0">
      <text>
        <r>
          <rPr>
            <b/>
            <sz val="9"/>
            <color indexed="81"/>
            <rFont val="Segoe UI"/>
            <family val="2"/>
          </rPr>
          <t>Beleuchtung:</t>
        </r>
        <r>
          <rPr>
            <sz val="9"/>
            <color indexed="81"/>
            <rFont val="Segoe UI"/>
            <family val="2"/>
          </rPr>
          <t xml:space="preserve"> Umfassende Sanierung? Angabe bei Modernisierung, ob diese umfassend ist.
</t>
        </r>
        <r>
          <rPr>
            <b/>
            <sz val="9"/>
            <color indexed="81"/>
            <rFont val="Segoe UI"/>
            <family val="2"/>
          </rPr>
          <t xml:space="preserve">
Éclairage :</t>
        </r>
        <r>
          <rPr>
            <sz val="9"/>
            <color indexed="81"/>
            <rFont val="Segoe UI"/>
            <family val="2"/>
          </rPr>
          <t xml:space="preserve"> rénovation complète ? Donnée indiquant s'il s'agit d'une rénovation complète.
</t>
        </r>
        <r>
          <rPr>
            <b/>
            <sz val="9"/>
            <color indexed="81"/>
            <rFont val="Segoe UI"/>
            <family val="2"/>
          </rPr>
          <t xml:space="preserve">
Illuminazione:</t>
        </r>
        <r>
          <rPr>
            <sz val="9"/>
            <color indexed="81"/>
            <rFont val="Segoe UI"/>
            <family val="2"/>
          </rPr>
          <t xml:space="preserve"> risanamento globale? Dati sull’ammodernamento, se è globale.</t>
        </r>
      </text>
    </comment>
    <comment ref="B45" authorId="0" shapeId="0">
      <text>
        <r>
          <rPr>
            <b/>
            <sz val="9"/>
            <color indexed="81"/>
            <rFont val="Segoe UI"/>
            <family val="2"/>
          </rPr>
          <t>Beleuchtungsnachweis vorhanden:</t>
        </r>
        <r>
          <rPr>
            <sz val="9"/>
            <color indexed="81"/>
            <rFont val="Segoe UI"/>
            <family val="2"/>
          </rPr>
          <t xml:space="preserve"> Angabe, ob der Nachweis mit oder ohne Beleuchtungs-nachweis erbracht wird. Wenn nein angewählt ist, wir der Standardwert für Beleuchtung mit 1.2 multipliziert. Bei Mieterausbau ist immer «nein» anzuwählen.
</t>
        </r>
        <r>
          <rPr>
            <b/>
            <sz val="9"/>
            <color indexed="81"/>
            <rFont val="Segoe UI"/>
            <family val="2"/>
          </rPr>
          <t>Justificatif de l'éclairage disponible :</t>
        </r>
        <r>
          <rPr>
            <sz val="9"/>
            <color indexed="81"/>
            <rFont val="Segoe UI"/>
            <family val="2"/>
          </rPr>
          <t xml:space="preserve"> Donnée indiquant si le justificatif comprend l'éclairage ou non. Si l'on sélectionne « non », la valeur par défaut pour l'éclairage est multipliée par 1,2. Sélectionnez toujours « non », pour les bâtiments locatifs.
</t>
        </r>
        <r>
          <rPr>
            <b/>
            <sz val="9"/>
            <color indexed="81"/>
            <rFont val="Segoe UI"/>
            <family val="2"/>
          </rPr>
          <t xml:space="preserve">
Verifica illuminazione prevista:</t>
        </r>
        <r>
          <rPr>
            <sz val="9"/>
            <color indexed="81"/>
            <rFont val="Segoe UI"/>
            <family val="2"/>
          </rPr>
          <t xml:space="preserve"> dati, se la verifica necessita o no di una verifica dell’illuminazione. Se si è scelto “no” il valore standard per l’illuminazione viene moltiplicato per 1.2. Nel caso di edifici locativi bisogna sempre scegliere “no”. </t>
        </r>
      </text>
    </comment>
    <comment ref="B46" authorId="0" shapeId="0">
      <text>
        <r>
          <rPr>
            <b/>
            <sz val="9"/>
            <color indexed="81"/>
            <rFont val="Segoe UI"/>
            <family val="2"/>
          </rPr>
          <t>Leuchten: Minergie Modul oder Leuchten-Lichtausbeute &gt; 100 lm/W:</t>
        </r>
        <r>
          <rPr>
            <sz val="9"/>
            <color indexed="81"/>
            <rFont val="Segoe UI"/>
            <family val="2"/>
          </rPr>
          <t xml:space="preserve"> Angabe, ob bei Zweckbauten Leuchten von mindestens der vorgegebenen Effizienzkategorie eingesetzt werden. Nur anwählbar bei Zweckbauten &lt;250m2. Der Nachweis kann bei Bedarf von der Zertifizierungsstelle eingefordert werden.
</t>
        </r>
        <r>
          <rPr>
            <b/>
            <sz val="9"/>
            <color indexed="81"/>
            <rFont val="Segoe UI"/>
            <family val="2"/>
          </rPr>
          <t xml:space="preserve">
Éclairage : Module Minergie ou éclairage &gt; 100 lm/W :</t>
        </r>
        <r>
          <rPr>
            <sz val="9"/>
            <color indexed="81"/>
            <rFont val="Segoe UI"/>
            <family val="2"/>
          </rPr>
          <t xml:space="preserve"> Donnée indiquant si, pour les bâtiments tertiaires, les luminaires atteignent au minimum la classe d'efficacité exigée. A choix uniquement pour les bâtiments du tertiaire &lt;250m2. Au besoin, l'Office de certification peut exiger le justificatif.
</t>
        </r>
        <r>
          <rPr>
            <b/>
            <sz val="9"/>
            <color indexed="81"/>
            <rFont val="Segoe UI"/>
            <family val="2"/>
          </rPr>
          <t xml:space="preserve">IIlluminazione: modulo Minergie o efficienza luminosa &gt; 100 lm/W: </t>
        </r>
        <r>
          <rPr>
            <sz val="9"/>
            <color indexed="81"/>
            <rFont val="Segoe UI"/>
            <family val="2"/>
          </rPr>
          <t>specificare se vengono utilizzati impianti di Illuminazione per edifici funzionali con almeno la categoria di efficienza richiesta o meno. Selezionabile solo per edifici funzionali &lt; 250m2 La prova può essere richiesta dal Centro di certificazione.</t>
        </r>
      </text>
    </comment>
    <comment ref="B47" authorId="0" shapeId="0">
      <text>
        <r>
          <rPr>
            <b/>
            <sz val="9"/>
            <color indexed="81"/>
            <rFont val="Segoe UI"/>
            <family val="2"/>
          </rPr>
          <t>Lichtsteuerung:</t>
        </r>
        <r>
          <rPr>
            <sz val="9"/>
            <color indexed="81"/>
            <rFont val="Segoe UI"/>
            <family val="2"/>
          </rPr>
          <t xml:space="preserve"> Angabe, ob bei Zweckbauten eine Lichtsteuerung mit Präsenz und/oder Ta-geslichtsensor eingesetzt wird. Nur anwählbar bei Zweckbauten &lt;250m2. Der Nachweis kann bei Bedarf von der Zertifizierungsstelle eingefordert werden.
</t>
        </r>
        <r>
          <rPr>
            <b/>
            <sz val="9"/>
            <color indexed="81"/>
            <rFont val="Segoe UI"/>
            <family val="2"/>
          </rPr>
          <t xml:space="preserve">
Éclairage automatique :</t>
        </r>
        <r>
          <rPr>
            <sz val="9"/>
            <color indexed="81"/>
            <rFont val="Segoe UI"/>
            <family val="2"/>
          </rPr>
          <t xml:space="preserve"> Donnée indiquant si, pour les bâtiments du tertiaire, un éclairage avec détecteur de présence ou de lumière de jour est installé. A choix uniquement pour les bâtiments du tertiaire &lt;250m2. Au besoin, l'Office de certification peut exiger le justificatif.
</t>
        </r>
        <r>
          <rPr>
            <b/>
            <sz val="9"/>
            <color indexed="81"/>
            <rFont val="Segoe UI"/>
            <family val="2"/>
          </rPr>
          <t xml:space="preserve">
Regolazione illuminazione: </t>
        </r>
        <r>
          <rPr>
            <sz val="9"/>
            <color indexed="81"/>
            <rFont val="Segoe UI"/>
            <family val="2"/>
          </rPr>
          <t>dichiarare se per gli edifici funzionali è utilizzato un sistema di controllo dell’illuminazione e/o comprende sensori crepuscolari. Selezionabile solo per edifici funzionali &lt; 250m2 La prova può essere richiesta dal Centro di certificazione.</t>
        </r>
      </text>
    </comment>
    <comment ref="D48" authorId="0" shapeId="0">
      <text>
        <r>
          <rPr>
            <b/>
            <sz val="9"/>
            <color indexed="81"/>
            <rFont val="Segoe UI"/>
            <family val="2"/>
          </rPr>
          <t xml:space="preserve">Beleuchtung: </t>
        </r>
        <r>
          <rPr>
            <sz val="9"/>
            <color indexed="81"/>
            <rFont val="Segoe UI"/>
            <family val="2"/>
          </rPr>
          <t xml:space="preserve">Es ist der Mittelwert zwischen Grenz- und Zielwert nach SIA387/4 (ungewichtet) aus dem Berechnungstool zu übertragen. Bei Zweckbauten &gt;250m2 zwingend, bei &lt;250m2 zulässig.
</t>
        </r>
        <r>
          <rPr>
            <b/>
            <sz val="9"/>
            <color indexed="81"/>
            <rFont val="Segoe UI"/>
            <family val="2"/>
          </rPr>
          <t>Éclairage :</t>
        </r>
        <r>
          <rPr>
            <sz val="9"/>
            <color indexed="81"/>
            <rFont val="Segoe UI"/>
            <family val="2"/>
          </rPr>
          <t xml:space="preserve"> Il faut reporter la valeur moyenne (non pondérée) de l'outil de calcul selon SIA 387/4. Obligatoire pour les bâtiments du tertiaire &gt;250m2, autorisé pour les bâtiments du tertiaire &lt;250m2.
</t>
        </r>
        <r>
          <rPr>
            <b/>
            <sz val="9"/>
            <color indexed="81"/>
            <rFont val="Segoe UI"/>
            <family val="2"/>
          </rPr>
          <t xml:space="preserve">
Illuminazione: </t>
        </r>
        <r>
          <rPr>
            <sz val="9"/>
            <color indexed="81"/>
            <rFont val="Segoe UI"/>
            <family val="2"/>
          </rPr>
          <t>riportare il valore medio secondo SIA 387/4 (non ponderati). Per edifici funzionali &gt;250m2 obbligatorio, facoltativo per &lt; 250m2.</t>
        </r>
      </text>
    </comment>
    <comment ref="D49" authorId="0" shapeId="0">
      <text>
        <r>
          <rPr>
            <b/>
            <sz val="9"/>
            <color indexed="81"/>
            <rFont val="Segoe UI"/>
            <family val="2"/>
          </rPr>
          <t>Beleuchtung:</t>
        </r>
        <r>
          <rPr>
            <sz val="9"/>
            <color indexed="81"/>
            <rFont val="Segoe UI"/>
            <family val="2"/>
          </rPr>
          <t xml:space="preserve"> Es ist der Projektwert (ungewichtet) aus dem Berechnungstool nach SIA387/4, zu übertragen. Bei Zweckbauten&gt;250m2 zwingend, bei &lt;250m2 zulässig. 
</t>
        </r>
        <r>
          <rPr>
            <b/>
            <sz val="9"/>
            <color indexed="81"/>
            <rFont val="Segoe UI"/>
            <family val="2"/>
          </rPr>
          <t xml:space="preserve">Éclairage : </t>
        </r>
        <r>
          <rPr>
            <sz val="9"/>
            <color indexed="81"/>
            <rFont val="Segoe UI"/>
            <family val="2"/>
          </rPr>
          <t xml:space="preserve">Il faut reporter la valeur de projet (non pondérée) de l'outil de calcul selon SIA 387/4. Obligatoire pour les bâtiments du tertiaire &gt;250m2, autorisé pour les bâtiments du tertiaire &lt;250m2. 
</t>
        </r>
        <r>
          <rPr>
            <b/>
            <sz val="9"/>
            <color indexed="81"/>
            <rFont val="Segoe UI"/>
            <family val="2"/>
          </rPr>
          <t>Illuminazione:</t>
        </r>
        <r>
          <rPr>
            <sz val="9"/>
            <color indexed="81"/>
            <rFont val="Segoe UI"/>
            <family val="2"/>
          </rPr>
          <t xml:space="preserve"> riportare il valore di progetto (non ponderato) calcolato con il tool SIA 387/4. Per edifici funzionali &gt; 250m2 obbligatorio, facoltativo per &lt; 250m2. </t>
        </r>
      </text>
    </comment>
    <comment ref="B50" authorId="0" shapeId="0">
      <text>
        <r>
          <rPr>
            <b/>
            <sz val="9"/>
            <color indexed="81"/>
            <rFont val="Segoe UI"/>
            <family val="2"/>
          </rPr>
          <t>Anforderung Beleuchtung eingehalten:</t>
        </r>
        <r>
          <rPr>
            <sz val="9"/>
            <color indexed="81"/>
            <rFont val="Segoe UI"/>
            <family val="2"/>
          </rPr>
          <t xml:space="preserve"> Wird automatisch ausgefüllt.
</t>
        </r>
        <r>
          <rPr>
            <b/>
            <sz val="9"/>
            <color indexed="81"/>
            <rFont val="Segoe UI"/>
            <family val="2"/>
          </rPr>
          <t>Exigence éclairage respectée ?</t>
        </r>
        <r>
          <rPr>
            <sz val="9"/>
            <color indexed="81"/>
            <rFont val="Segoe UI"/>
            <family val="2"/>
          </rPr>
          <t xml:space="preserve"> Champ rempli automatiquement.
</t>
        </r>
        <r>
          <rPr>
            <b/>
            <sz val="9"/>
            <color indexed="81"/>
            <rFont val="Segoe UI"/>
            <family val="2"/>
          </rPr>
          <t xml:space="preserve">
Requisiti di illuminazione soddisfatti: </t>
        </r>
        <r>
          <rPr>
            <sz val="9"/>
            <color indexed="81"/>
            <rFont val="Segoe UI"/>
            <family val="2"/>
          </rPr>
          <t>viene compilato automaticamente.</t>
        </r>
      </text>
    </comment>
    <comment ref="B63" authorId="0" shapeId="0">
      <text>
        <r>
          <rPr>
            <b/>
            <sz val="9"/>
            <color indexed="81"/>
            <rFont val="Segoe UI"/>
            <family val="2"/>
          </rPr>
          <t xml:space="preserve">Luftdichtheit: </t>
        </r>
        <r>
          <rPr>
            <sz val="9"/>
            <color indexed="81"/>
            <rFont val="Segoe UI"/>
            <family val="2"/>
          </rPr>
          <t xml:space="preserve">Minergie: Angabe, ob Nachweis zum Luftdichtheitskonzept beiliegt. Minergie-P/-A: Angabe ob ein Messkonzept zur Luftdichtheit beiliegt, sofern dieses gefordert wird. 
</t>
        </r>
        <r>
          <rPr>
            <b/>
            <sz val="9"/>
            <color indexed="81"/>
            <rFont val="Segoe UI"/>
            <family val="2"/>
          </rPr>
          <t>Étanchéité à l’air :</t>
        </r>
        <r>
          <rPr>
            <sz val="9"/>
            <color indexed="81"/>
            <rFont val="Segoe UI"/>
            <family val="2"/>
          </rPr>
          <t xml:space="preserve"> Indique si un justificatif sur le concept d'étanchéité existe. Minergie-P ou -A : Indique si un concept de mesures de l'étanchéité à l'air existe, le cas échéant.
</t>
        </r>
        <r>
          <rPr>
            <b/>
            <sz val="9"/>
            <color indexed="81"/>
            <rFont val="Segoe UI"/>
            <family val="2"/>
          </rPr>
          <t xml:space="preserve">
Ermeticità all’aria dell’involucro:</t>
        </r>
        <r>
          <rPr>
            <sz val="9"/>
            <color indexed="81"/>
            <rFont val="Segoe UI"/>
            <family val="2"/>
          </rPr>
          <t xml:space="preserve"> Minergie: indicare se è allegato il concetto di ermeticità all’aria. Minergie-P/-A: indicare se è allegato il concetto di misurazione dell’ermeticità, qualora questo fosse richiesto. </t>
        </r>
      </text>
    </comment>
    <comment ref="B66" authorId="0" shapeId="0">
      <text>
        <r>
          <rPr>
            <b/>
            <sz val="9"/>
            <color indexed="81"/>
            <rFont val="Segoe UI"/>
            <family val="2"/>
          </rPr>
          <t xml:space="preserve">Einsatz erneuerbarer Energien: </t>
        </r>
        <r>
          <rPr>
            <sz val="9"/>
            <color indexed="81"/>
            <rFont val="Segoe UI"/>
            <family val="2"/>
          </rPr>
          <t xml:space="preserve">Angabe, ob die Vorgabe von max. 30% fossile Spitzenlastab-deckung erfüllt wird.
</t>
        </r>
        <r>
          <rPr>
            <b/>
            <sz val="9"/>
            <color indexed="81"/>
            <rFont val="Segoe UI"/>
            <family val="2"/>
          </rPr>
          <t xml:space="preserve">
Recours aux énergies renouvelables : </t>
        </r>
        <r>
          <rPr>
            <sz val="9"/>
            <color indexed="81"/>
            <rFont val="Segoe UI"/>
            <family val="2"/>
          </rPr>
          <t xml:space="preserve">Donnée indiquant si le recours aux énergies fossiles ne dépasse pas le 30% autorisé.
</t>
        </r>
        <r>
          <rPr>
            <b/>
            <sz val="9"/>
            <color indexed="81"/>
            <rFont val="Segoe UI"/>
            <family val="2"/>
          </rPr>
          <t xml:space="preserve">Impiego di energia rinnovabile: </t>
        </r>
        <r>
          <rPr>
            <sz val="9"/>
            <color indexed="81"/>
            <rFont val="Segoe UI"/>
            <family val="2"/>
          </rPr>
          <t>indicare se è soddisfatta la specifica costituita dal max. 30% di picco di energia derivante da combustibile fossile.</t>
        </r>
      </text>
    </comment>
    <comment ref="B67" authorId="0" shapeId="0">
      <text>
        <r>
          <rPr>
            <b/>
            <sz val="9"/>
            <color indexed="81"/>
            <rFont val="Segoe UI"/>
            <family val="2"/>
          </rPr>
          <t>Abwärme:</t>
        </r>
        <r>
          <rPr>
            <sz val="9"/>
            <color indexed="81"/>
            <rFont val="Segoe UI"/>
            <family val="2"/>
          </rPr>
          <t xml:space="preserve"> Angabe, ob Abwärme anfällt oder nicht. Falls Abwärme anfällt, muss diese genutzt werden.
</t>
        </r>
        <r>
          <rPr>
            <b/>
            <sz val="9"/>
            <color indexed="81"/>
            <rFont val="Segoe UI"/>
            <family val="2"/>
          </rPr>
          <t xml:space="preserve">
Rejets de chaleur :</t>
        </r>
        <r>
          <rPr>
            <sz val="9"/>
            <color indexed="81"/>
            <rFont val="Segoe UI"/>
            <family val="2"/>
          </rPr>
          <t xml:space="preserve"> Donnée indiquant s'il y a ou non des rejets de chaleur. Tout rejet de chaleur doit être utilisé.
</t>
        </r>
        <r>
          <rPr>
            <b/>
            <sz val="9"/>
            <color indexed="81"/>
            <rFont val="Segoe UI"/>
            <family val="2"/>
          </rPr>
          <t>Calore residuo:</t>
        </r>
        <r>
          <rPr>
            <sz val="9"/>
            <color indexed="81"/>
            <rFont val="Segoe UI"/>
            <family val="2"/>
          </rPr>
          <t xml:space="preserve"> indicare se viene generato calore residuo o no. In caso venga generato calore residuo, esso deve essere recuperato.</t>
        </r>
      </text>
    </comment>
    <comment ref="B68" authorId="0" shapeId="0">
      <text>
        <r>
          <rPr>
            <b/>
            <sz val="9"/>
            <color indexed="81"/>
            <rFont val="Segoe UI"/>
            <family val="2"/>
          </rPr>
          <t>Nutzung Abwärme:</t>
        </r>
        <r>
          <rPr>
            <sz val="9"/>
            <color indexed="81"/>
            <rFont val="Segoe UI"/>
            <family val="2"/>
          </rPr>
          <t xml:space="preserve"> Nur relevant, wenn Abwärme anfällt. Falls Abwärme genutzt wird, Nach-weis beilegen wie die Nutzung vorgesehen ist.
</t>
        </r>
        <r>
          <rPr>
            <b/>
            <sz val="9"/>
            <color indexed="81"/>
            <rFont val="Segoe UI"/>
            <family val="2"/>
          </rPr>
          <t xml:space="preserve">
Exploitation des rejets de chaleur </t>
        </r>
        <r>
          <rPr>
            <sz val="9"/>
            <color indexed="81"/>
            <rFont val="Segoe UI"/>
            <family val="2"/>
          </rPr>
          <t xml:space="preserve">: Indication pertinente uniquement s'il y a des rejets de chaleur. Si les rejets de chaleur sont exploités, joindre un justificatif indiquant la manière dont ils le sont.
</t>
        </r>
        <r>
          <rPr>
            <b/>
            <sz val="9"/>
            <color indexed="81"/>
            <rFont val="Segoe UI"/>
            <family val="2"/>
          </rPr>
          <t xml:space="preserve">
Utilizzo del calore residuo:</t>
        </r>
        <r>
          <rPr>
            <sz val="9"/>
            <color indexed="81"/>
            <rFont val="Segoe UI"/>
            <family val="2"/>
          </rPr>
          <t xml:space="preserve"> rilevante solo quando viene generato calore residuo. In caso venga utilizzato il calore residuo, è prevista una verifica per tale utilizzo.</t>
        </r>
      </text>
    </comment>
    <comment ref="B69" authorId="0" shapeId="0">
      <text>
        <r>
          <rPr>
            <sz val="9"/>
            <color indexed="81"/>
            <rFont val="Segoe UI"/>
            <family val="2"/>
          </rPr>
          <t>Gilt für Kategorie "Hallenbad"
Valable pour la catégorie "Piscine couverte"
Vale per la categoria "Piscine coperte"</t>
        </r>
      </text>
    </comment>
    <comment ref="B71" authorId="0" shapeId="0">
      <text>
        <r>
          <rPr>
            <b/>
            <sz val="9"/>
            <color indexed="81"/>
            <rFont val="Segoe UI"/>
            <family val="2"/>
          </rPr>
          <t>Monitoringkonzept:</t>
        </r>
        <r>
          <rPr>
            <sz val="9"/>
            <color indexed="81"/>
            <rFont val="Segoe UI"/>
            <family val="2"/>
          </rPr>
          <t xml:space="preserve"> Angabe ob Monitoringkonzept vorliegt (nur für Gebäude &gt; 2'000 m2 und für alle Gebäude nach Standard Minergie-A).
</t>
        </r>
        <r>
          <rPr>
            <b/>
            <sz val="9"/>
            <color indexed="81"/>
            <rFont val="Segoe UI"/>
            <family val="2"/>
          </rPr>
          <t xml:space="preserve">
Concept de monitoring : </t>
        </r>
        <r>
          <rPr>
            <sz val="9"/>
            <color indexed="81"/>
            <rFont val="Segoe UI"/>
            <family val="2"/>
          </rPr>
          <t xml:space="preserve">Indication si un concept de monitoring existe (seulement pour les bâtiments &gt; 2'000 m2 et pour tous les bâtiments Minergie-A).
</t>
        </r>
        <r>
          <rPr>
            <b/>
            <sz val="9"/>
            <color indexed="81"/>
            <rFont val="Segoe UI"/>
            <family val="2"/>
          </rPr>
          <t xml:space="preserve">
Concetto di monitoraggio:</t>
        </r>
        <r>
          <rPr>
            <sz val="9"/>
            <color indexed="81"/>
            <rFont val="Segoe UI"/>
            <family val="2"/>
          </rPr>
          <t xml:space="preserve"> indicare se esiste un concetto di monitoraggio (solo per edifici &gt;2’000 m2 e per tutti gli edifici secondo lo standard Minergie-A).</t>
        </r>
      </text>
    </comment>
    <comment ref="B72" authorId="0" shapeId="0">
      <text>
        <r>
          <rPr>
            <b/>
            <sz val="9"/>
            <color indexed="81"/>
            <rFont val="Segoe UI"/>
            <family val="2"/>
          </rPr>
          <t xml:space="preserve">Leerrohre Elektromobilität: </t>
        </r>
        <r>
          <rPr>
            <sz val="9"/>
            <color indexed="81"/>
            <rFont val="Segoe UI"/>
            <family val="2"/>
          </rPr>
          <t xml:space="preserve">Angabe, ob die Ausbaustufe A gemäss Merkblatt SIA 2060 vorgesehen und umgesetzt wird.
</t>
        </r>
        <r>
          <rPr>
            <b/>
            <sz val="9"/>
            <color indexed="81"/>
            <rFont val="Segoe UI"/>
            <family val="2"/>
          </rPr>
          <t xml:space="preserve">Conduites en attente pour la mobilité électrique : </t>
        </r>
        <r>
          <rPr>
            <sz val="9"/>
            <color indexed="81"/>
            <rFont val="Segoe UI"/>
            <family val="2"/>
          </rPr>
          <t xml:space="preserve">Indiquer si le niveau d’installation A est prévue et réalisée conformément à la SIA 2060.
</t>
        </r>
        <r>
          <rPr>
            <b/>
            <sz val="9"/>
            <color indexed="81"/>
            <rFont val="Segoe UI"/>
            <family val="2"/>
          </rPr>
          <t xml:space="preserve">
Tubi vuoti per la mobilità elettrica: </t>
        </r>
        <r>
          <rPr>
            <sz val="9"/>
            <color indexed="81"/>
            <rFont val="Segoe UI"/>
            <family val="2"/>
          </rPr>
          <t>Indicare se il livello di equipaggiamento A è pianificato e implementato secondo SIA 2060.</t>
        </r>
      </text>
    </comment>
    <comment ref="G115" authorId="0" shapeId="0">
      <text>
        <r>
          <rPr>
            <b/>
            <sz val="9"/>
            <color indexed="81"/>
            <rFont val="Segoe UI"/>
            <family val="2"/>
          </rPr>
          <t>Spezifischer Jahresertrag:</t>
        </r>
        <r>
          <rPr>
            <sz val="9"/>
            <color indexed="81"/>
            <rFont val="Segoe UI"/>
            <family val="2"/>
          </rPr>
          <t xml:space="preserve"> Aus dem PVopti (Blatt «Resultate, Feld M38)) bzw. aus dem PVGis zu übertragen. Falls keine Eingabe gemacht wird, wird mit 800kWh/kWp gerechnet.
</t>
        </r>
        <r>
          <rPr>
            <b/>
            <sz val="9"/>
            <color indexed="81"/>
            <rFont val="Segoe UI"/>
            <family val="2"/>
          </rPr>
          <t xml:space="preserve">Rendement annuel spécifique : </t>
        </r>
        <r>
          <rPr>
            <sz val="9"/>
            <color indexed="81"/>
            <rFont val="Segoe UI"/>
            <family val="2"/>
          </rPr>
          <t xml:space="preserve">À reporter de PVopti : (cellule M38, Onglet « Résultats »), resp. de PVGis. Si aucune donnée n'est saisie, le calcul est effectué sur la base de la valeur par défaut (800 kWh/kWp).
</t>
        </r>
        <r>
          <rPr>
            <b/>
            <sz val="9"/>
            <color indexed="81"/>
            <rFont val="Segoe UI"/>
            <family val="2"/>
          </rPr>
          <t xml:space="preserve">
Apporto annuale specifico:</t>
        </r>
        <r>
          <rPr>
            <sz val="9"/>
            <color indexed="81"/>
            <rFont val="Segoe UI"/>
            <family val="2"/>
          </rPr>
          <t xml:space="preserve"> ripreso dal PVopti (campo M38, foglio “Risultati”) o riprendere dal PVGis. Provvisoriamente il valore è fissato come predefinito a 800 kWh/kWp. Nel caso in cui non viene inserito nessun valore, i calcoli sono effettuati con 800kWh/kWp.</t>
        </r>
      </text>
    </comment>
    <comment ref="B117" authorId="0" shapeId="0">
      <text>
        <r>
          <rPr>
            <b/>
            <sz val="9"/>
            <color indexed="81"/>
            <rFont val="Segoe UI"/>
            <family val="2"/>
          </rPr>
          <t>Installierte Leistung (ohne WKK) [kWp]:</t>
        </r>
        <r>
          <rPr>
            <sz val="9"/>
            <color indexed="81"/>
            <rFont val="Segoe UI"/>
            <family val="2"/>
          </rPr>
          <t xml:space="preserve"> Installierte Leistung. Übertrag aus PVopti, Blatt «Resultate», Feld M39
</t>
        </r>
        <r>
          <rPr>
            <b/>
            <sz val="9"/>
            <color indexed="81"/>
            <rFont val="Segoe UI"/>
            <family val="2"/>
          </rPr>
          <t xml:space="preserve">
Puissance nominale (sans CCF) [kW] : </t>
        </r>
        <r>
          <rPr>
            <sz val="9"/>
            <color indexed="81"/>
            <rFont val="Segoe UI"/>
            <family val="2"/>
          </rPr>
          <t xml:space="preserve">Puissance installée. Report depuis la cellule M39, onglet « Résultats » de PVopti. 
</t>
        </r>
        <r>
          <rPr>
            <b/>
            <sz val="9"/>
            <color indexed="81"/>
            <rFont val="Segoe UI"/>
            <family val="2"/>
          </rPr>
          <t>Potenza nominale (senza cogenerazione) [kWp]:</t>
        </r>
        <r>
          <rPr>
            <sz val="9"/>
            <color indexed="81"/>
            <rFont val="Segoe UI"/>
            <family val="2"/>
          </rPr>
          <t xml:space="preserve"> potenza installata. Riprendere da PVOpti, nel foglio “Risultati”, campo M39.</t>
        </r>
      </text>
    </comment>
    <comment ref="B118" authorId="0" shapeId="0">
      <text>
        <r>
          <rPr>
            <b/>
            <sz val="9"/>
            <color indexed="81"/>
            <rFont val="Segoe UI"/>
            <family val="2"/>
          </rPr>
          <t>Spezifische, installierte Leistung pro m2 EBF:</t>
        </r>
        <r>
          <rPr>
            <sz val="9"/>
            <color indexed="81"/>
            <rFont val="Segoe UI"/>
            <family val="2"/>
          </rPr>
          <t xml:space="preserve"> Keine Eingabe nötig, wird automatisch berechnet.
</t>
        </r>
        <r>
          <rPr>
            <b/>
            <sz val="9"/>
            <color indexed="81"/>
            <rFont val="Segoe UI"/>
            <family val="2"/>
          </rPr>
          <t xml:space="preserve">
Puissance installée spécifique, par m2 SRE :</t>
        </r>
        <r>
          <rPr>
            <sz val="9"/>
            <color indexed="81"/>
            <rFont val="Segoe UI"/>
            <family val="2"/>
          </rPr>
          <t xml:space="preserve"> Aucune donnée nécessaire ; calculée automatiquement.
</t>
        </r>
        <r>
          <rPr>
            <b/>
            <sz val="9"/>
            <color indexed="81"/>
            <rFont val="Segoe UI"/>
            <family val="2"/>
          </rPr>
          <t xml:space="preserve">
Potenza specifica installata per m2 AE: </t>
        </r>
        <r>
          <rPr>
            <sz val="9"/>
            <color indexed="81"/>
            <rFont val="Segoe UI"/>
            <family val="2"/>
          </rPr>
          <t>nessun valore richiesto; viene calcolato automaticamente.</t>
        </r>
      </text>
    </comment>
    <comment ref="B119" authorId="0" shapeId="0">
      <text>
        <r>
          <rPr>
            <b/>
            <sz val="9"/>
            <color indexed="81"/>
            <rFont val="Segoe UI"/>
            <family val="2"/>
          </rPr>
          <t xml:space="preserve">Minimale Grösse der Eigenstromerzeugung: </t>
        </r>
        <r>
          <rPr>
            <sz val="9"/>
            <color indexed="81"/>
            <rFont val="Segoe UI"/>
            <family val="2"/>
          </rPr>
          <t xml:space="preserve">Wird anhand der EBF automatisch berechnet. 
</t>
        </r>
        <r>
          <rPr>
            <b/>
            <sz val="9"/>
            <color indexed="81"/>
            <rFont val="Segoe UI"/>
            <family val="2"/>
          </rPr>
          <t>Taille minimale de l'installation de production d’électricité :</t>
        </r>
        <r>
          <rPr>
            <sz val="9"/>
            <color indexed="81"/>
            <rFont val="Segoe UI"/>
            <family val="2"/>
          </rPr>
          <t xml:space="preserve"> Est automatiquement calculée sur la base de la SRE. 
</t>
        </r>
        <r>
          <rPr>
            <b/>
            <sz val="9"/>
            <color indexed="81"/>
            <rFont val="Segoe UI"/>
            <family val="2"/>
          </rPr>
          <t xml:space="preserve">
Dimensione minima della propria produzione di elettricità: </t>
        </r>
        <r>
          <rPr>
            <sz val="9"/>
            <color indexed="81"/>
            <rFont val="Segoe UI"/>
            <family val="2"/>
          </rPr>
          <t xml:space="preserve">viene calcolato automaticamente sulla base della AE. </t>
        </r>
      </text>
    </comment>
    <comment ref="B121" authorId="0" shapeId="0">
      <text>
        <r>
          <rPr>
            <b/>
            <sz val="9"/>
            <color indexed="81"/>
            <rFont val="Segoe UI"/>
            <family val="2"/>
          </rPr>
          <t xml:space="preserve">Stromproduktion deckt Bedarf: </t>
        </r>
        <r>
          <rPr>
            <sz val="9"/>
            <color indexed="81"/>
            <rFont val="Segoe UI"/>
            <family val="2"/>
          </rPr>
          <t xml:space="preserve">Zeigt bei Projekten nach Minergie-A an, ob die Eigens-tromproduktion den Bedarf deckt.
</t>
        </r>
        <r>
          <rPr>
            <b/>
            <sz val="9"/>
            <color indexed="81"/>
            <rFont val="Segoe UI"/>
            <family val="2"/>
          </rPr>
          <t xml:space="preserve">
La production d'électricité couvre la demande :</t>
        </r>
        <r>
          <rPr>
            <sz val="9"/>
            <color indexed="81"/>
            <rFont val="Segoe UI"/>
            <family val="2"/>
          </rPr>
          <t xml:space="preserve"> Indique si l’autoproduction d'électricité couvre la demande pour les projets certifiés Minergie-A.
</t>
        </r>
        <r>
          <rPr>
            <b/>
            <sz val="9"/>
            <color indexed="81"/>
            <rFont val="Segoe UI"/>
            <family val="2"/>
          </rPr>
          <t xml:space="preserve">
Produzione di elettricità copre il fabbisogno:</t>
        </r>
        <r>
          <rPr>
            <sz val="9"/>
            <color indexed="81"/>
            <rFont val="Segoe UI"/>
            <family val="2"/>
          </rPr>
          <t xml:space="preserve"> indica nel caso di progetti Minergie-A, se la produzione propria di elettricità copre il fabbisogno.</t>
        </r>
      </text>
    </comment>
  </commentList>
</comments>
</file>

<file path=xl/comments3.xml><?xml version="1.0" encoding="utf-8"?>
<comments xmlns="http://schemas.openxmlformats.org/spreadsheetml/2006/main">
  <authors>
    <author>arthur</author>
    <author>Fuchs Daniel</author>
  </authors>
  <commentList>
    <comment ref="B19" authorId="0" shapeId="0">
      <text>
        <r>
          <rPr>
            <b/>
            <sz val="9"/>
            <color indexed="81"/>
            <rFont val="Segoe UI"/>
            <family val="2"/>
          </rPr>
          <t xml:space="preserve">Sonnenschutz: </t>
        </r>
        <r>
          <rPr>
            <sz val="9"/>
            <color indexed="81"/>
            <rFont val="Segoe UI"/>
            <family val="2"/>
          </rPr>
          <t xml:space="preserve">Wahl des Sonnenschutztyps. Wenn „andere“ gewählt wird, ist der Typ, g-Wert und Produktebezeichnung anzugeben
</t>
        </r>
        <r>
          <rPr>
            <b/>
            <sz val="9"/>
            <color indexed="81"/>
            <rFont val="Segoe UI"/>
            <family val="2"/>
          </rPr>
          <t xml:space="preserve">
Protection solaire :</t>
        </r>
        <r>
          <rPr>
            <sz val="9"/>
            <color indexed="81"/>
            <rFont val="Segoe UI"/>
            <family val="2"/>
          </rPr>
          <t xml:space="preserve"> Choix du type de protection solaire. Si l'option « autres » est sélectionnée, il faut indiquer le type de protection, la valeur g ainsi que la désignation du produit.
</t>
        </r>
        <r>
          <rPr>
            <b/>
            <sz val="9"/>
            <color indexed="81"/>
            <rFont val="Segoe UI"/>
            <family val="2"/>
          </rPr>
          <t xml:space="preserve">Schermatura solare: </t>
        </r>
        <r>
          <rPr>
            <sz val="9"/>
            <color indexed="81"/>
            <rFont val="Segoe UI"/>
            <family val="2"/>
          </rPr>
          <t>scelta del tipo di protezione solare. Quando si seleziona "altro" è da indicare il tipo, il valore g e la descrizione di prodotto.</t>
        </r>
      </text>
    </comment>
    <comment ref="B20" authorId="1" shapeId="0">
      <text>
        <r>
          <rPr>
            <sz val="9"/>
            <color indexed="81"/>
            <rFont val="Tahoma"/>
            <family val="2"/>
          </rPr>
          <t>g-Wert und Produktebezeichnung
valeur g (taux de transmission d'énergie) et nom du produit utilisé.
valori g, descrizione del prodotto</t>
        </r>
      </text>
    </comment>
    <comment ref="B21" authorId="0" shapeId="0">
      <text>
        <r>
          <rPr>
            <b/>
            <sz val="9"/>
            <color indexed="81"/>
            <rFont val="Segoe UI"/>
            <family val="2"/>
          </rPr>
          <t>Kriterien:</t>
        </r>
        <r>
          <rPr>
            <sz val="9"/>
            <color indexed="81"/>
            <rFont val="Segoe UI"/>
            <family val="2"/>
          </rPr>
          <t xml:space="preserve"> Angabe, ob die Räume in der Zone die Kriterien erfüllen.
Die maximale Glasflächenzahl ist abhängig von der Klimastation.
</t>
        </r>
        <r>
          <rPr>
            <b/>
            <sz val="9"/>
            <color indexed="81"/>
            <rFont val="Segoe UI"/>
            <family val="2"/>
          </rPr>
          <t xml:space="preserve">
Critères :</t>
        </r>
        <r>
          <rPr>
            <sz val="9"/>
            <color indexed="81"/>
            <rFont val="Segoe UI"/>
            <family val="2"/>
          </rPr>
          <t xml:space="preserve"> Indiquent si les locaux de la zone satisfont aux critères.
L’indice de vitrage maximal dépend de la station climatique.
</t>
        </r>
        <r>
          <rPr>
            <b/>
            <sz val="9"/>
            <color indexed="81"/>
            <rFont val="Segoe UI"/>
            <family val="2"/>
          </rPr>
          <t>Criteri:</t>
        </r>
        <r>
          <rPr>
            <sz val="9"/>
            <color indexed="81"/>
            <rFont val="Segoe UI"/>
            <family val="2"/>
          </rPr>
          <t xml:space="preserve"> dichiarare se i locali della zona soddisfano i criteri.
La quota massima di superfice vetrata dipende dalla stazione climatica selezionata.</t>
        </r>
      </text>
    </comment>
    <comment ref="B23" authorId="0" shapeId="0">
      <text>
        <r>
          <rPr>
            <b/>
            <sz val="9"/>
            <color indexed="81"/>
            <rFont val="Segoe UI"/>
            <family val="2"/>
          </rPr>
          <t xml:space="preserve">Kriterien: </t>
        </r>
        <r>
          <rPr>
            <sz val="9"/>
            <color indexed="81"/>
            <rFont val="Segoe UI"/>
            <family val="2"/>
          </rPr>
          <t xml:space="preserve">Angabe, ob die Räume in der Zone die Kriterien erfüllen.
Die maximale Glasflächenzahl ist abhängig von der Klimastation.
</t>
        </r>
        <r>
          <rPr>
            <b/>
            <sz val="9"/>
            <color indexed="81"/>
            <rFont val="Segoe UI"/>
            <family val="2"/>
          </rPr>
          <t xml:space="preserve">
Critères : </t>
        </r>
        <r>
          <rPr>
            <sz val="9"/>
            <color indexed="81"/>
            <rFont val="Segoe UI"/>
            <family val="2"/>
          </rPr>
          <t xml:space="preserve">Indiquent si les locaux de la zone satisfont aux critères.
L’indice de vitrage maximal dépend de la station climatique.
</t>
        </r>
        <r>
          <rPr>
            <b/>
            <sz val="9"/>
            <color indexed="81"/>
            <rFont val="Segoe UI"/>
            <family val="2"/>
          </rPr>
          <t>Criteri:</t>
        </r>
        <r>
          <rPr>
            <sz val="9"/>
            <color indexed="81"/>
            <rFont val="Segoe UI"/>
            <family val="2"/>
          </rPr>
          <t xml:space="preserve"> dichiarare se i locali della zona soddisfano i criteri.
La quota massima di superfice vetrata dipende dalla stazione climatica selezionata.</t>
        </r>
      </text>
    </comment>
    <comment ref="B25" authorId="0" shapeId="0">
      <text>
        <r>
          <rPr>
            <b/>
            <sz val="9"/>
            <color indexed="81"/>
            <rFont val="Segoe UI"/>
            <family val="2"/>
          </rPr>
          <t xml:space="preserve">Kriterien: </t>
        </r>
        <r>
          <rPr>
            <sz val="9"/>
            <color indexed="81"/>
            <rFont val="Segoe UI"/>
            <family val="2"/>
          </rPr>
          <t xml:space="preserve">Angabe, ob die Räume in der Zone die Kriterien erfüllen.
Die maximale Glasflächenzahl ist abhängig von der Klimastation.
</t>
        </r>
        <r>
          <rPr>
            <b/>
            <sz val="9"/>
            <color indexed="81"/>
            <rFont val="Segoe UI"/>
            <family val="2"/>
          </rPr>
          <t xml:space="preserve">Critères : </t>
        </r>
        <r>
          <rPr>
            <sz val="9"/>
            <color indexed="81"/>
            <rFont val="Segoe UI"/>
            <family val="2"/>
          </rPr>
          <t xml:space="preserve">Indiquent si les locaux de la zone satisfont aux critères.
L’indice de vitrage maximal dépend de la station climatique.
</t>
        </r>
        <r>
          <rPr>
            <b/>
            <sz val="9"/>
            <color indexed="81"/>
            <rFont val="Segoe UI"/>
            <family val="2"/>
          </rPr>
          <t xml:space="preserve">Criteri: </t>
        </r>
        <r>
          <rPr>
            <sz val="9"/>
            <color indexed="81"/>
            <rFont val="Segoe UI"/>
            <family val="2"/>
          </rPr>
          <t>dichiarare se i locali della zona soddisfano i criteri.
La quota massima di superfice vetrata dipende dalla stazione climatica selezionata.</t>
        </r>
      </text>
    </comment>
    <comment ref="B27" authorId="0" shapeId="0">
      <text>
        <r>
          <rPr>
            <b/>
            <sz val="9"/>
            <color indexed="81"/>
            <rFont val="Segoe UI"/>
            <family val="2"/>
          </rPr>
          <t>Kriterien:</t>
        </r>
        <r>
          <rPr>
            <sz val="9"/>
            <color indexed="81"/>
            <rFont val="Segoe UI"/>
            <family val="2"/>
          </rPr>
          <t xml:space="preserve"> Angabe, ob die Räume in der Zone die Kriterien erfüllen.
Die maximale Glasflächenzahl ist abhängig von der Klimastation.
</t>
        </r>
        <r>
          <rPr>
            <b/>
            <sz val="9"/>
            <color indexed="81"/>
            <rFont val="Segoe UI"/>
            <family val="2"/>
          </rPr>
          <t xml:space="preserve">
Critères :</t>
        </r>
        <r>
          <rPr>
            <sz val="9"/>
            <color indexed="81"/>
            <rFont val="Segoe UI"/>
            <family val="2"/>
          </rPr>
          <t xml:space="preserve"> Indiquent si les locaux de la zone satisfont aux critères.
L’indice de vitrage maximal dépend de la station climatique.
</t>
        </r>
        <r>
          <rPr>
            <b/>
            <sz val="9"/>
            <color indexed="81"/>
            <rFont val="Segoe UI"/>
            <family val="2"/>
          </rPr>
          <t xml:space="preserve">Criteri: </t>
        </r>
        <r>
          <rPr>
            <sz val="9"/>
            <color indexed="81"/>
            <rFont val="Segoe UI"/>
            <family val="2"/>
          </rPr>
          <t>dichiarare se i locali della zona soddisfano i criteri.
La quota massima di superfice vetrata dipende dalla stazione climatica selezionata.</t>
        </r>
      </text>
    </comment>
    <comment ref="B29" authorId="0" shapeId="0">
      <text>
        <r>
          <rPr>
            <b/>
            <sz val="9"/>
            <color indexed="81"/>
            <rFont val="Segoe UI"/>
            <family val="2"/>
          </rPr>
          <t xml:space="preserve">Kriterien: </t>
        </r>
        <r>
          <rPr>
            <sz val="9"/>
            <color indexed="81"/>
            <rFont val="Segoe UI"/>
            <family val="2"/>
          </rPr>
          <t xml:space="preserve">Angabe, ob die Räume in der Zone die Kriterien erfüllen.
Die maximale Glasflächenzahl ist abhängig von der Klimastation.
</t>
        </r>
        <r>
          <rPr>
            <b/>
            <sz val="9"/>
            <color indexed="81"/>
            <rFont val="Segoe UI"/>
            <family val="2"/>
          </rPr>
          <t>Critères :</t>
        </r>
        <r>
          <rPr>
            <sz val="9"/>
            <color indexed="81"/>
            <rFont val="Segoe UI"/>
            <family val="2"/>
          </rPr>
          <t xml:space="preserve"> Indiquent si les locaux de la zone satisfont aux critères.
L’indice de vitrage maximal dépend de la station climatique.
</t>
        </r>
        <r>
          <rPr>
            <b/>
            <sz val="9"/>
            <color indexed="81"/>
            <rFont val="Segoe UI"/>
            <family val="2"/>
          </rPr>
          <t xml:space="preserve">Criteri: </t>
        </r>
        <r>
          <rPr>
            <sz val="9"/>
            <color indexed="81"/>
            <rFont val="Segoe UI"/>
            <family val="2"/>
          </rPr>
          <t>dichiarare se i locali della zona soddisfano i criteri.
La quota massima di superfice vetrata dipende dalla stazione climatica selezionata.</t>
        </r>
      </text>
    </comment>
    <comment ref="B35" authorId="0" shapeId="0">
      <text>
        <r>
          <rPr>
            <b/>
            <sz val="9"/>
            <color indexed="81"/>
            <rFont val="Segoe UI"/>
            <family val="2"/>
          </rPr>
          <t>Variante 2 Bauliche Anforderungen:</t>
        </r>
        <r>
          <rPr>
            <sz val="9"/>
            <color indexed="81"/>
            <rFont val="Segoe UI"/>
            <family val="2"/>
          </rPr>
          <t xml:space="preserve"> Angabe, ob die Anforderungen an baulichen SoWS gemäss Nachweis SoWS Variante 2 (separates Dokument) erfüllt sind.
</t>
        </r>
        <r>
          <rPr>
            <b/>
            <sz val="9"/>
            <color indexed="81"/>
            <rFont val="Segoe UI"/>
            <family val="2"/>
          </rPr>
          <t xml:space="preserve">
Variante 2 Exigences constructives :</t>
        </r>
        <r>
          <rPr>
            <sz val="9"/>
            <color indexed="81"/>
            <rFont val="Segoe UI"/>
            <family val="2"/>
          </rPr>
          <t xml:space="preserve"> Indication du respect ou non des exigences des critères relatives à la protection thermique estivale selon le justificatif, variante 2 (document séparé).
</t>
        </r>
        <r>
          <rPr>
            <b/>
            <sz val="9"/>
            <color indexed="81"/>
            <rFont val="Segoe UI"/>
            <family val="2"/>
          </rPr>
          <t xml:space="preserve">
Variante 2 criteri di comfort: </t>
        </r>
        <r>
          <rPr>
            <sz val="9"/>
            <color indexed="81"/>
            <rFont val="Segoe UI"/>
            <family val="2"/>
          </rPr>
          <t xml:space="preserve">dichiarare se sono soddisfatti i criteri di comfort secondo Verifica Minergie SoWS Variante 2 (documento separato). </t>
        </r>
      </text>
    </comment>
    <comment ref="B36" authorId="0" shapeId="0">
      <text>
        <r>
          <rPr>
            <b/>
            <sz val="9"/>
            <color indexed="81"/>
            <rFont val="Segoe UI"/>
            <family val="2"/>
          </rPr>
          <t xml:space="preserve">Variante 2 Komfortkriterien: </t>
        </r>
        <r>
          <rPr>
            <sz val="9"/>
            <color indexed="81"/>
            <rFont val="Segoe UI"/>
            <family val="2"/>
          </rPr>
          <t xml:space="preserve">Angabe, ob die Komfortkriterien gemäss Nachweis SoWS Variante 2 (separates Dokument) erfüllt sind.
</t>
        </r>
        <r>
          <rPr>
            <b/>
            <sz val="9"/>
            <color indexed="81"/>
            <rFont val="Segoe UI"/>
            <family val="2"/>
          </rPr>
          <t xml:space="preserve">
Variante 2 Critères de confort :</t>
        </r>
        <r>
          <rPr>
            <sz val="9"/>
            <color indexed="81"/>
            <rFont val="Segoe UI"/>
            <family val="2"/>
          </rPr>
          <t xml:space="preserve"> Indication du respect ou non des exigences des critères de confort selon le justificatif, variante 2 (document séparé).
</t>
        </r>
        <r>
          <rPr>
            <b/>
            <sz val="9"/>
            <color indexed="81"/>
            <rFont val="Segoe UI"/>
            <family val="2"/>
          </rPr>
          <t xml:space="preserve">Variante 2 criteri di comfort: </t>
        </r>
        <r>
          <rPr>
            <sz val="9"/>
            <color indexed="81"/>
            <rFont val="Segoe UI"/>
            <family val="2"/>
          </rPr>
          <t>dichiarare se sono soddisfatti i criteri di comfort secondo Verifica Minergie SoWS Variante 2 (documento separato).</t>
        </r>
      </text>
    </comment>
    <comment ref="B47" authorId="0" shapeId="0">
      <text>
        <r>
          <rPr>
            <b/>
            <sz val="9"/>
            <color indexed="81"/>
            <rFont val="Segoe UI"/>
            <family val="2"/>
          </rPr>
          <t>Variante 3 SIA 180:</t>
        </r>
        <r>
          <rPr>
            <sz val="9"/>
            <color indexed="81"/>
            <rFont val="Segoe UI"/>
            <family val="2"/>
          </rPr>
          <t xml:space="preserve"> Angabe, ob die Temperaturgrenzwerte nach SIA 180 ohne Kühlung nicht überschritten werden
</t>
        </r>
        <r>
          <rPr>
            <b/>
            <sz val="9"/>
            <color indexed="81"/>
            <rFont val="Segoe UI"/>
            <family val="2"/>
          </rPr>
          <t xml:space="preserve">
Variante 3 SIA 180:</t>
        </r>
        <r>
          <rPr>
            <sz val="9"/>
            <color indexed="81"/>
            <rFont val="Segoe UI"/>
            <family val="2"/>
          </rPr>
          <t xml:space="preserve"> Indique si les valeurs limites de température selon SIA 180 ne sont pas dépassées sans refroidissement.
</t>
        </r>
        <r>
          <rPr>
            <b/>
            <sz val="9"/>
            <color indexed="81"/>
            <rFont val="Segoe UI"/>
            <family val="2"/>
          </rPr>
          <t xml:space="preserve">
Variante 3 SIA 180:</t>
        </r>
        <r>
          <rPr>
            <sz val="9"/>
            <color indexed="81"/>
            <rFont val="Segoe UI"/>
            <family val="2"/>
          </rPr>
          <t xml:space="preserve"> dichiarare se il limite di temperatura secondo SIA 180, senza raffreddamento, non viene superato.</t>
        </r>
      </text>
    </comment>
    <comment ref="B48" authorId="0" shapeId="0">
      <text>
        <r>
          <rPr>
            <b/>
            <sz val="9"/>
            <color indexed="81"/>
            <rFont val="Segoe UI"/>
            <family val="2"/>
          </rPr>
          <t>Variante 3 Kühlung:</t>
        </r>
        <r>
          <rPr>
            <sz val="9"/>
            <color indexed="81"/>
            <rFont val="Segoe UI"/>
            <family val="2"/>
          </rPr>
          <t xml:space="preserve"> Angabe, ob die geplante Kühlung ausreicht und der Energiebedarf berechnet wurde.
</t>
        </r>
        <r>
          <rPr>
            <b/>
            <sz val="9"/>
            <color indexed="81"/>
            <rFont val="Segoe UI"/>
            <family val="2"/>
          </rPr>
          <t xml:space="preserve">Variante 3 Refroidissement : </t>
        </r>
        <r>
          <rPr>
            <sz val="9"/>
            <color indexed="81"/>
            <rFont val="Segoe UI"/>
            <family val="2"/>
          </rPr>
          <t xml:space="preserve">Indique si le refroidissement prévu est suffisant et si les besoins en énergie ont été calculés.
</t>
        </r>
        <r>
          <rPr>
            <b/>
            <sz val="9"/>
            <color indexed="81"/>
            <rFont val="Segoe UI"/>
            <family val="2"/>
          </rPr>
          <t xml:space="preserve">
Variante 3 Climatizzazione: </t>
        </r>
        <r>
          <rPr>
            <sz val="9"/>
            <color indexed="81"/>
            <rFont val="Segoe UI"/>
            <family val="2"/>
          </rPr>
          <t>dichiarare se il raffreddamento previsto è sufficiente e il fabbisogno energetico è stato calcolato.</t>
        </r>
      </text>
    </comment>
  </commentList>
</comments>
</file>

<file path=xl/comments4.xml><?xml version="1.0" encoding="utf-8"?>
<comments xmlns="http://schemas.openxmlformats.org/spreadsheetml/2006/main">
  <authors>
    <author>arthur</author>
    <author>Arthur Huber</author>
  </authors>
  <commentList>
    <comment ref="K50" authorId="0" shapeId="0">
      <text>
        <r>
          <rPr>
            <b/>
            <sz val="9"/>
            <color indexed="81"/>
            <rFont val="Segoe UI"/>
            <family val="2"/>
          </rPr>
          <t>MKZ</t>
        </r>
        <r>
          <rPr>
            <b/>
            <sz val="8"/>
            <color indexed="81"/>
            <rFont val="Segoe UI"/>
            <family val="2"/>
          </rPr>
          <t>,H</t>
        </r>
        <r>
          <rPr>
            <b/>
            <sz val="9"/>
            <color indexed="81"/>
            <rFont val="Segoe UI"/>
            <family val="2"/>
          </rPr>
          <t xml:space="preserve">:
</t>
        </r>
        <r>
          <rPr>
            <sz val="9"/>
            <color indexed="81"/>
            <rFont val="Segoe UI"/>
            <family val="2"/>
          </rPr>
          <t>Minergie-Teilkennzahl Heizung</t>
        </r>
        <r>
          <rPr>
            <b/>
            <sz val="9"/>
            <color indexed="81"/>
            <rFont val="Segoe UI"/>
            <family val="2"/>
          </rPr>
          <t xml:space="preserve">
</t>
        </r>
        <r>
          <rPr>
            <sz val="9"/>
            <color indexed="81"/>
            <rFont val="Segoe UI"/>
            <family val="2"/>
          </rPr>
          <t xml:space="preserve">
</t>
        </r>
        <r>
          <rPr>
            <b/>
            <sz val="9"/>
            <color indexed="81"/>
            <rFont val="Segoe UI"/>
            <family val="2"/>
          </rPr>
          <t>MKZ,H:</t>
        </r>
        <r>
          <rPr>
            <sz val="9"/>
            <color indexed="81"/>
            <rFont val="Segoe UI"/>
            <family val="2"/>
          </rPr>
          <t xml:space="preserve">
indice Minergie partiel chauffage
</t>
        </r>
        <r>
          <rPr>
            <b/>
            <sz val="9"/>
            <color indexed="81"/>
            <rFont val="Segoe UI"/>
            <family val="2"/>
          </rPr>
          <t xml:space="preserve">IM,R: </t>
        </r>
        <r>
          <rPr>
            <sz val="9"/>
            <color indexed="81"/>
            <rFont val="Segoe UI"/>
            <family val="2"/>
          </rPr>
          <t xml:space="preserve">
indice Minergie riscaldamento
</t>
        </r>
      </text>
    </comment>
    <comment ref="K52" authorId="0" shapeId="0">
      <text>
        <r>
          <rPr>
            <b/>
            <sz val="9"/>
            <color indexed="81"/>
            <rFont val="Segoe UI"/>
            <family val="2"/>
          </rPr>
          <t xml:space="preserve">MKZ,ww:
</t>
        </r>
        <r>
          <rPr>
            <sz val="9"/>
            <color indexed="81"/>
            <rFont val="Segoe UI"/>
            <family val="2"/>
          </rPr>
          <t xml:space="preserve">Minergie-Teilkennzahl Warmwasser
</t>
        </r>
        <r>
          <rPr>
            <b/>
            <sz val="9"/>
            <color indexed="81"/>
            <rFont val="Segoe UI"/>
            <family val="2"/>
          </rPr>
          <t xml:space="preserve">
MKZ,ww : 
</t>
        </r>
        <r>
          <rPr>
            <sz val="9"/>
            <color indexed="81"/>
            <rFont val="Segoe UI"/>
            <family val="2"/>
          </rPr>
          <t xml:space="preserve">indice Minergie partiel eau chaude
</t>
        </r>
        <r>
          <rPr>
            <b/>
            <sz val="9"/>
            <color indexed="81"/>
            <rFont val="Segoe UI"/>
            <family val="2"/>
          </rPr>
          <t>IM,AC:</t>
        </r>
        <r>
          <rPr>
            <sz val="9"/>
            <color indexed="81"/>
            <rFont val="Segoe UI"/>
            <family val="2"/>
          </rPr>
          <t xml:space="preserve">
indice Minergie acqua calda</t>
        </r>
      </text>
    </comment>
    <comment ref="K54" authorId="0" shapeId="0">
      <text>
        <r>
          <rPr>
            <b/>
            <sz val="9"/>
            <color indexed="81"/>
            <rFont val="Segoe UI"/>
            <family val="2"/>
          </rPr>
          <t>MKZ,</t>
        </r>
        <r>
          <rPr>
            <b/>
            <sz val="8"/>
            <color indexed="81"/>
            <rFont val="Segoe UI"/>
            <family val="2"/>
          </rPr>
          <t>LK</t>
        </r>
        <r>
          <rPr>
            <b/>
            <sz val="9"/>
            <color indexed="81"/>
            <rFont val="Segoe UI"/>
            <family val="2"/>
          </rPr>
          <t xml:space="preserve">:
</t>
        </r>
        <r>
          <rPr>
            <sz val="9"/>
            <color indexed="81"/>
            <rFont val="Segoe UI"/>
            <family val="2"/>
          </rPr>
          <t xml:space="preserve">Minergie-Teilkennzahl Lüftung und Klima
</t>
        </r>
        <r>
          <rPr>
            <b/>
            <sz val="9"/>
            <color indexed="81"/>
            <rFont val="Segoe UI"/>
            <family val="2"/>
          </rPr>
          <t>MKZ,LK :</t>
        </r>
        <r>
          <rPr>
            <sz val="9"/>
            <color indexed="81"/>
            <rFont val="Segoe UI"/>
            <family val="2"/>
          </rPr>
          <t xml:space="preserve">
indice Minergie partiel aération et climat
</t>
        </r>
        <r>
          <rPr>
            <b/>
            <sz val="9"/>
            <color indexed="81"/>
            <rFont val="Segoe UI"/>
            <family val="2"/>
          </rPr>
          <t xml:space="preserve">IM,VC: </t>
        </r>
        <r>
          <rPr>
            <sz val="9"/>
            <color indexed="81"/>
            <rFont val="Segoe UI"/>
            <family val="2"/>
          </rPr>
          <t xml:space="preserve">
indice Minergie ventilazione e clima</t>
        </r>
      </text>
    </comment>
    <comment ref="K56" authorId="0" shapeId="0">
      <text>
        <r>
          <rPr>
            <b/>
            <sz val="9"/>
            <color indexed="81"/>
            <rFont val="Segoe UI"/>
            <family val="2"/>
          </rPr>
          <t>MKZ</t>
        </r>
        <r>
          <rPr>
            <b/>
            <sz val="8"/>
            <color indexed="81"/>
            <rFont val="Segoe UI"/>
            <family val="2"/>
          </rPr>
          <t>el,wohn</t>
        </r>
        <r>
          <rPr>
            <b/>
            <sz val="9"/>
            <color indexed="81"/>
            <rFont val="Segoe UI"/>
            <family val="2"/>
          </rPr>
          <t xml:space="preserve">:
</t>
        </r>
        <r>
          <rPr>
            <sz val="9"/>
            <color indexed="81"/>
            <rFont val="Segoe UI"/>
            <family val="2"/>
          </rPr>
          <t xml:space="preserve">Minergie-Teilkennzahl Wohnstrom
</t>
        </r>
        <r>
          <rPr>
            <b/>
            <sz val="9"/>
            <color indexed="81"/>
            <rFont val="Segoe UI"/>
            <family val="2"/>
          </rPr>
          <t>MKZ,el,wohn :</t>
        </r>
        <r>
          <rPr>
            <sz val="9"/>
            <color indexed="81"/>
            <rFont val="Segoe UI"/>
            <family val="2"/>
          </rPr>
          <t xml:space="preserve">
indice Minergie partiel électricité bâtiments d'habitation
</t>
        </r>
        <r>
          <rPr>
            <b/>
            <sz val="9"/>
            <color indexed="81"/>
            <rFont val="Segoe UI"/>
            <family val="2"/>
          </rPr>
          <t xml:space="preserve">
IM, el resid:</t>
        </r>
        <r>
          <rPr>
            <sz val="9"/>
            <color indexed="81"/>
            <rFont val="Segoe UI"/>
            <family val="2"/>
          </rPr>
          <t xml:space="preserve">
indice Minergie elettricità residenziale</t>
        </r>
      </text>
    </comment>
    <comment ref="K58" authorId="0" shapeId="0">
      <text>
        <r>
          <rPr>
            <b/>
            <sz val="9"/>
            <color indexed="81"/>
            <rFont val="Segoe UI"/>
            <family val="2"/>
          </rPr>
          <t>MKZ</t>
        </r>
        <r>
          <rPr>
            <b/>
            <sz val="8"/>
            <color indexed="81"/>
            <rFont val="Segoe UI"/>
            <family val="2"/>
          </rPr>
          <t>,Bel</t>
        </r>
        <r>
          <rPr>
            <b/>
            <sz val="9"/>
            <color indexed="81"/>
            <rFont val="Segoe UI"/>
            <family val="2"/>
          </rPr>
          <t xml:space="preserve">:
</t>
        </r>
        <r>
          <rPr>
            <sz val="9"/>
            <color indexed="81"/>
            <rFont val="Segoe UI"/>
            <family val="2"/>
          </rPr>
          <t xml:space="preserve">Minergie-Teilkennzahl Beleuchtung
</t>
        </r>
        <r>
          <rPr>
            <b/>
            <sz val="9"/>
            <color indexed="81"/>
            <rFont val="Segoe UI"/>
            <family val="2"/>
          </rPr>
          <t xml:space="preserve">MKZ,Bel : 
</t>
        </r>
        <r>
          <rPr>
            <sz val="9"/>
            <color indexed="81"/>
            <rFont val="Segoe UI"/>
            <family val="2"/>
          </rPr>
          <t xml:space="preserve">indice Minergie partiel éclairage
</t>
        </r>
        <r>
          <rPr>
            <b/>
            <sz val="9"/>
            <color indexed="81"/>
            <rFont val="Segoe UI"/>
            <family val="2"/>
          </rPr>
          <t xml:space="preserve">IM, Ill: 
</t>
        </r>
        <r>
          <rPr>
            <sz val="9"/>
            <color indexed="81"/>
            <rFont val="Segoe UI"/>
            <family val="2"/>
          </rPr>
          <t>indice Minergie illuminazione</t>
        </r>
      </text>
    </comment>
    <comment ref="K60" authorId="0" shapeId="0">
      <text>
        <r>
          <rPr>
            <b/>
            <sz val="9"/>
            <color indexed="81"/>
            <rFont val="Segoe UI"/>
            <family val="2"/>
          </rPr>
          <t>MKZ</t>
        </r>
        <r>
          <rPr>
            <b/>
            <sz val="8"/>
            <color indexed="81"/>
            <rFont val="Segoe UI"/>
            <family val="2"/>
          </rPr>
          <t>,Geräte</t>
        </r>
        <r>
          <rPr>
            <b/>
            <sz val="9"/>
            <color indexed="81"/>
            <rFont val="Segoe UI"/>
            <family val="2"/>
          </rPr>
          <t xml:space="preserve">:
</t>
        </r>
        <r>
          <rPr>
            <sz val="9"/>
            <color indexed="81"/>
            <rFont val="Segoe UI"/>
            <family val="2"/>
          </rPr>
          <t xml:space="preserve">Minergie-Teilkennzahl Geräte
</t>
        </r>
        <r>
          <rPr>
            <b/>
            <sz val="9"/>
            <color indexed="81"/>
            <rFont val="Segoe UI"/>
            <family val="2"/>
          </rPr>
          <t xml:space="preserve">MKZ,Geräte : </t>
        </r>
        <r>
          <rPr>
            <sz val="9"/>
            <color indexed="81"/>
            <rFont val="Segoe UI"/>
            <family val="2"/>
          </rPr>
          <t xml:space="preserve">
indice Minergie partiel appareils
</t>
        </r>
        <r>
          <rPr>
            <b/>
            <sz val="9"/>
            <color indexed="81"/>
            <rFont val="Segoe UI"/>
            <family val="2"/>
          </rPr>
          <t>IM, app:</t>
        </r>
        <r>
          <rPr>
            <sz val="9"/>
            <color indexed="81"/>
            <rFont val="Segoe UI"/>
            <family val="2"/>
          </rPr>
          <t xml:space="preserve"> 
indice Minergie apparecchi</t>
        </r>
      </text>
    </comment>
    <comment ref="K62" authorId="0" shapeId="0">
      <text>
        <r>
          <rPr>
            <b/>
            <sz val="9"/>
            <color indexed="81"/>
            <rFont val="Segoe UI"/>
            <family val="2"/>
          </rPr>
          <t>MKZ</t>
        </r>
        <r>
          <rPr>
            <b/>
            <sz val="8"/>
            <color indexed="81"/>
            <rFont val="Segoe UI"/>
            <family val="2"/>
          </rPr>
          <t>,AGT</t>
        </r>
        <r>
          <rPr>
            <b/>
            <sz val="9"/>
            <color indexed="81"/>
            <rFont val="Segoe UI"/>
            <family val="2"/>
          </rPr>
          <t xml:space="preserve">:
</t>
        </r>
        <r>
          <rPr>
            <sz val="9"/>
            <color indexed="81"/>
            <rFont val="Segoe UI"/>
            <family val="2"/>
          </rPr>
          <t xml:space="preserve">Minergie-Teilkennzahl allgemeine Gebäudetechnik
</t>
        </r>
        <r>
          <rPr>
            <b/>
            <sz val="9"/>
            <color indexed="81"/>
            <rFont val="Segoe UI"/>
            <family val="2"/>
          </rPr>
          <t xml:space="preserve">MKZ,AGT : </t>
        </r>
        <r>
          <rPr>
            <sz val="9"/>
            <color indexed="81"/>
            <rFont val="Segoe UI"/>
            <family val="2"/>
          </rPr>
          <t xml:space="preserve">
indice Minergie partiel installations techniques
</t>
        </r>
        <r>
          <rPr>
            <b/>
            <sz val="9"/>
            <color indexed="81"/>
            <rFont val="Segoe UI"/>
            <family val="2"/>
          </rPr>
          <t xml:space="preserve">IM, imp: </t>
        </r>
        <r>
          <rPr>
            <sz val="9"/>
            <color indexed="81"/>
            <rFont val="Segoe UI"/>
            <family val="2"/>
          </rPr>
          <t xml:space="preserve">
indice Minergie impiantistica</t>
        </r>
      </text>
    </comment>
    <comment ref="K64" authorId="0" shapeId="0">
      <text>
        <r>
          <rPr>
            <b/>
            <sz val="9"/>
            <color indexed="81"/>
            <rFont val="Segoe UI"/>
            <family val="2"/>
          </rPr>
          <t>E</t>
        </r>
        <r>
          <rPr>
            <b/>
            <sz val="8"/>
            <color indexed="81"/>
            <rFont val="Segoe UI"/>
            <family val="2"/>
          </rPr>
          <t>,EB</t>
        </r>
        <r>
          <rPr>
            <b/>
            <sz val="9"/>
            <color indexed="81"/>
            <rFont val="Segoe UI"/>
            <family val="2"/>
          </rPr>
          <t>:</t>
        </r>
        <r>
          <rPr>
            <sz val="9"/>
            <color indexed="81"/>
            <rFont val="Segoe UI"/>
            <family val="2"/>
          </rPr>
          <t xml:space="preserve">
Eigenverbrauch des selbstproduzierten PV-Stroms
</t>
        </r>
        <r>
          <rPr>
            <b/>
            <sz val="9"/>
            <color indexed="81"/>
            <rFont val="Segoe UI"/>
            <family val="2"/>
          </rPr>
          <t>E,EB :</t>
        </r>
        <r>
          <rPr>
            <sz val="9"/>
            <color indexed="81"/>
            <rFont val="Segoe UI"/>
            <family val="2"/>
          </rPr>
          <t xml:space="preserve">
Autoconsommation du courant PV autoproduit
</t>
        </r>
        <r>
          <rPr>
            <b/>
            <sz val="9"/>
            <color indexed="81"/>
            <rFont val="Segoe UI"/>
            <family val="2"/>
          </rPr>
          <t xml:space="preserve">E, cp: </t>
        </r>
        <r>
          <rPr>
            <sz val="9"/>
            <color indexed="81"/>
            <rFont val="Segoe UI"/>
            <family val="2"/>
          </rPr>
          <t xml:space="preserve">
consumo della produzione propria di elettricità fotovoltaica</t>
        </r>
      </text>
    </comment>
    <comment ref="K66" authorId="0" shapeId="0">
      <text>
        <r>
          <rPr>
            <b/>
            <sz val="9"/>
            <color indexed="81"/>
            <rFont val="Segoe UI"/>
            <family val="2"/>
          </rPr>
          <t>E</t>
        </r>
        <r>
          <rPr>
            <b/>
            <sz val="8"/>
            <color indexed="81"/>
            <rFont val="Segoe UI"/>
            <family val="2"/>
          </rPr>
          <t>,Netz</t>
        </r>
        <r>
          <rPr>
            <b/>
            <sz val="9"/>
            <color indexed="81"/>
            <rFont val="Segoe UI"/>
            <family val="2"/>
          </rPr>
          <t xml:space="preserve">:
</t>
        </r>
        <r>
          <rPr>
            <sz val="9"/>
            <color indexed="81"/>
            <rFont val="Segoe UI"/>
            <family val="2"/>
          </rPr>
          <t xml:space="preserve">Ins Netz eingespiesener PV-Strom aus der eigenen Anlage
</t>
        </r>
        <r>
          <rPr>
            <b/>
            <sz val="9"/>
            <color indexed="81"/>
            <rFont val="Segoe UI"/>
            <family val="2"/>
          </rPr>
          <t xml:space="preserve">E,Netz : </t>
        </r>
        <r>
          <rPr>
            <sz val="9"/>
            <color indexed="81"/>
            <rFont val="Segoe UI"/>
            <family val="2"/>
          </rPr>
          <t xml:space="preserve">
Courant PV autoproduit injecté dans le réseau
</t>
        </r>
        <r>
          <rPr>
            <b/>
            <sz val="9"/>
            <color indexed="81"/>
            <rFont val="Segoe UI"/>
            <family val="2"/>
          </rPr>
          <t xml:space="preserve">E, rete: </t>
        </r>
        <r>
          <rPr>
            <sz val="9"/>
            <color indexed="81"/>
            <rFont val="Segoe UI"/>
            <family val="2"/>
          </rPr>
          <t xml:space="preserve">
elettricità fotovoltaica del proprio impianto immessa in rete </t>
        </r>
      </text>
    </comment>
    <comment ref="K68" authorId="0" shapeId="0">
      <text>
        <r>
          <rPr>
            <b/>
            <sz val="9"/>
            <color indexed="81"/>
            <rFont val="Segoe UI"/>
            <family val="2"/>
          </rPr>
          <t xml:space="preserve">MKZ:
</t>
        </r>
        <r>
          <rPr>
            <sz val="9"/>
            <color indexed="81"/>
            <rFont val="Segoe UI"/>
            <family val="2"/>
          </rPr>
          <t xml:space="preserve">Minergie-Kennzahl
</t>
        </r>
        <r>
          <rPr>
            <b/>
            <sz val="9"/>
            <color indexed="81"/>
            <rFont val="Segoe UI"/>
            <family val="2"/>
          </rPr>
          <t xml:space="preserve">MKZ : 
</t>
        </r>
        <r>
          <rPr>
            <sz val="9"/>
            <color indexed="81"/>
            <rFont val="Segoe UI"/>
            <family val="2"/>
          </rPr>
          <t xml:space="preserve">indice Minergie
</t>
        </r>
        <r>
          <rPr>
            <b/>
            <sz val="9"/>
            <color indexed="81"/>
            <rFont val="Segoe UI"/>
            <family val="2"/>
          </rPr>
          <t xml:space="preserve">IM: </t>
        </r>
        <r>
          <rPr>
            <sz val="9"/>
            <color indexed="81"/>
            <rFont val="Segoe UI"/>
            <family val="2"/>
          </rPr>
          <t xml:space="preserve">
indice Minergie</t>
        </r>
      </text>
    </comment>
    <comment ref="B69" authorId="1" shapeId="0">
      <text>
        <r>
          <rPr>
            <sz val="8"/>
            <color indexed="81"/>
            <rFont val="Tahoma"/>
            <family val="2"/>
          </rPr>
          <t>Gilt für MINERGIE-P und MINERGIE-A.</t>
        </r>
      </text>
    </comment>
  </commentList>
</comments>
</file>

<file path=xl/comments5.xml><?xml version="1.0" encoding="utf-8"?>
<comments xmlns="http://schemas.openxmlformats.org/spreadsheetml/2006/main">
  <authors>
    <author>arthur</author>
    <author>Arthur Huber</author>
  </authors>
  <commentList>
    <comment ref="K50" authorId="0" shapeId="0">
      <text>
        <r>
          <rPr>
            <b/>
            <sz val="9"/>
            <color indexed="81"/>
            <rFont val="Segoe UI"/>
            <family val="2"/>
          </rPr>
          <t>gGEE,H:</t>
        </r>
        <r>
          <rPr>
            <sz val="9"/>
            <color indexed="81"/>
            <rFont val="Segoe UI"/>
            <family val="2"/>
          </rPr>
          <t xml:space="preserve">
Teilkennzahl Heizung
</t>
        </r>
        <r>
          <rPr>
            <b/>
            <sz val="9"/>
            <color indexed="81"/>
            <rFont val="Segoe UI"/>
            <family val="2"/>
          </rPr>
          <t>gGEE,H:</t>
        </r>
        <r>
          <rPr>
            <sz val="9"/>
            <color indexed="81"/>
            <rFont val="Segoe UI"/>
            <family val="2"/>
          </rPr>
          <t xml:space="preserve">
indice partiel chauffage
</t>
        </r>
        <r>
          <rPr>
            <b/>
            <sz val="9"/>
            <color indexed="81"/>
            <rFont val="Segoe UI"/>
            <family val="2"/>
          </rPr>
          <t xml:space="preserve">
gGEE,R: </t>
        </r>
        <r>
          <rPr>
            <sz val="9"/>
            <color indexed="81"/>
            <rFont val="Segoe UI"/>
            <family val="2"/>
          </rPr>
          <t xml:space="preserve">
indice riscaldamento
</t>
        </r>
      </text>
    </comment>
    <comment ref="K52" authorId="0" shapeId="0">
      <text>
        <r>
          <rPr>
            <b/>
            <sz val="9"/>
            <color indexed="81"/>
            <rFont val="Segoe UI"/>
            <family val="2"/>
          </rPr>
          <t xml:space="preserve">gGEE,ww:
</t>
        </r>
        <r>
          <rPr>
            <sz val="9"/>
            <color indexed="81"/>
            <rFont val="Segoe UI"/>
            <family val="2"/>
          </rPr>
          <t>Teilkennzahl Warmwasser</t>
        </r>
        <r>
          <rPr>
            <b/>
            <sz val="9"/>
            <color indexed="81"/>
            <rFont val="Segoe UI"/>
            <family val="2"/>
          </rPr>
          <t xml:space="preserve">
gGEE,ww : 
</t>
        </r>
        <r>
          <rPr>
            <sz val="9"/>
            <color indexed="81"/>
            <rFont val="Segoe UI"/>
            <family val="2"/>
          </rPr>
          <t>indice partiel eau chaude</t>
        </r>
        <r>
          <rPr>
            <b/>
            <sz val="9"/>
            <color indexed="81"/>
            <rFont val="Segoe UI"/>
            <family val="2"/>
          </rPr>
          <t xml:space="preserve">
gGEE,AC:
</t>
        </r>
        <r>
          <rPr>
            <sz val="9"/>
            <color indexed="81"/>
            <rFont val="Segoe UI"/>
            <family val="2"/>
          </rPr>
          <t>indice acqua calda</t>
        </r>
      </text>
    </comment>
    <comment ref="K54" authorId="0" shapeId="0">
      <text>
        <r>
          <rPr>
            <b/>
            <sz val="9"/>
            <color indexed="81"/>
            <rFont val="Segoe UI"/>
            <family val="2"/>
          </rPr>
          <t xml:space="preserve">gGEE,LK:
</t>
        </r>
        <r>
          <rPr>
            <sz val="9"/>
            <color indexed="81"/>
            <rFont val="Segoe UI"/>
            <family val="2"/>
          </rPr>
          <t>Teilkennzahl Lüftung und Klima</t>
        </r>
        <r>
          <rPr>
            <b/>
            <sz val="9"/>
            <color indexed="81"/>
            <rFont val="Segoe UI"/>
            <family val="2"/>
          </rPr>
          <t xml:space="preserve">
gGEE,LK :
</t>
        </r>
        <r>
          <rPr>
            <sz val="9"/>
            <color indexed="81"/>
            <rFont val="Segoe UI"/>
            <family val="2"/>
          </rPr>
          <t>indice partiel aération et climat</t>
        </r>
        <r>
          <rPr>
            <b/>
            <sz val="9"/>
            <color indexed="81"/>
            <rFont val="Segoe UI"/>
            <family val="2"/>
          </rPr>
          <t xml:space="preserve">
gGEE,VC: 
</t>
        </r>
        <r>
          <rPr>
            <sz val="9"/>
            <color indexed="81"/>
            <rFont val="Segoe UI"/>
            <family val="2"/>
          </rPr>
          <t>indice ventilazione e clima</t>
        </r>
      </text>
    </comment>
    <comment ref="K56" authorId="0" shapeId="0">
      <text>
        <r>
          <rPr>
            <b/>
            <sz val="9"/>
            <color indexed="81"/>
            <rFont val="Segoe UI"/>
            <family val="2"/>
          </rPr>
          <t xml:space="preserve">gGEEel,wohn:
</t>
        </r>
        <r>
          <rPr>
            <sz val="9"/>
            <color indexed="81"/>
            <rFont val="Segoe UI"/>
            <family val="2"/>
          </rPr>
          <t>Teilkennzahl Wohnstrom</t>
        </r>
        <r>
          <rPr>
            <b/>
            <sz val="9"/>
            <color indexed="81"/>
            <rFont val="Segoe UI"/>
            <family val="2"/>
          </rPr>
          <t xml:space="preserve">
gGEE,el,wohn :
</t>
        </r>
        <r>
          <rPr>
            <sz val="9"/>
            <color indexed="81"/>
            <rFont val="Segoe UI"/>
            <family val="2"/>
          </rPr>
          <t>indice partiel électricité bâtiments d'habitation</t>
        </r>
        <r>
          <rPr>
            <b/>
            <sz val="9"/>
            <color indexed="81"/>
            <rFont val="Segoe UI"/>
            <family val="2"/>
          </rPr>
          <t xml:space="preserve">
gGEE, el resid:
</t>
        </r>
        <r>
          <rPr>
            <sz val="9"/>
            <color indexed="81"/>
            <rFont val="Segoe UI"/>
            <family val="2"/>
          </rPr>
          <t>indice elettricità residenziale</t>
        </r>
      </text>
    </comment>
    <comment ref="K58" authorId="0" shapeId="0">
      <text>
        <r>
          <rPr>
            <b/>
            <sz val="9"/>
            <color indexed="81"/>
            <rFont val="Segoe UI"/>
            <family val="2"/>
          </rPr>
          <t xml:space="preserve">gGEE,Bel:
</t>
        </r>
        <r>
          <rPr>
            <sz val="9"/>
            <color indexed="81"/>
            <rFont val="Segoe UI"/>
            <family val="2"/>
          </rPr>
          <t>Teilkennzahl Beleuchtung</t>
        </r>
        <r>
          <rPr>
            <b/>
            <sz val="9"/>
            <color indexed="81"/>
            <rFont val="Segoe UI"/>
            <family val="2"/>
          </rPr>
          <t xml:space="preserve">
gGEE,Bel : 
</t>
        </r>
        <r>
          <rPr>
            <sz val="9"/>
            <color indexed="81"/>
            <rFont val="Segoe UI"/>
            <family val="2"/>
          </rPr>
          <t>indice partiel éclairage</t>
        </r>
        <r>
          <rPr>
            <b/>
            <sz val="9"/>
            <color indexed="81"/>
            <rFont val="Segoe UI"/>
            <family val="2"/>
          </rPr>
          <t xml:space="preserve">
gGEE, Ill: 
</t>
        </r>
        <r>
          <rPr>
            <sz val="9"/>
            <color indexed="81"/>
            <rFont val="Segoe UI"/>
            <family val="2"/>
          </rPr>
          <t>indice illuminazione</t>
        </r>
      </text>
    </comment>
    <comment ref="K60" authorId="0" shapeId="0">
      <text>
        <r>
          <rPr>
            <b/>
            <sz val="9"/>
            <color indexed="81"/>
            <rFont val="Segoe UI"/>
            <family val="2"/>
          </rPr>
          <t xml:space="preserve">gGEE,Geräte:
</t>
        </r>
        <r>
          <rPr>
            <sz val="9"/>
            <color indexed="81"/>
            <rFont val="Segoe UI"/>
            <family val="2"/>
          </rPr>
          <t>Teilkennzahl Geräte</t>
        </r>
        <r>
          <rPr>
            <b/>
            <sz val="9"/>
            <color indexed="81"/>
            <rFont val="Segoe UI"/>
            <family val="2"/>
          </rPr>
          <t xml:space="preserve">
gGEE,Geräte : 
</t>
        </r>
        <r>
          <rPr>
            <sz val="9"/>
            <color indexed="81"/>
            <rFont val="Segoe UI"/>
            <family val="2"/>
          </rPr>
          <t>indice partiel appareils</t>
        </r>
        <r>
          <rPr>
            <b/>
            <sz val="9"/>
            <color indexed="81"/>
            <rFont val="Segoe UI"/>
            <family val="2"/>
          </rPr>
          <t xml:space="preserve">
gGEE, app: 
</t>
        </r>
        <r>
          <rPr>
            <sz val="9"/>
            <color indexed="81"/>
            <rFont val="Segoe UI"/>
            <family val="2"/>
          </rPr>
          <t>indice apparecchi</t>
        </r>
      </text>
    </comment>
    <comment ref="K62" authorId="0" shapeId="0">
      <text>
        <r>
          <rPr>
            <b/>
            <sz val="9"/>
            <color indexed="81"/>
            <rFont val="Segoe UI"/>
            <family val="2"/>
          </rPr>
          <t xml:space="preserve">gGEE,AGT:
</t>
        </r>
        <r>
          <rPr>
            <sz val="9"/>
            <color indexed="81"/>
            <rFont val="Segoe UI"/>
            <family val="2"/>
          </rPr>
          <t>Teilkennzahl allgemeine Gebäudetechnik</t>
        </r>
        <r>
          <rPr>
            <b/>
            <sz val="9"/>
            <color indexed="81"/>
            <rFont val="Segoe UI"/>
            <family val="2"/>
          </rPr>
          <t xml:space="preserve">
gGEE,AGT : 
</t>
        </r>
        <r>
          <rPr>
            <sz val="9"/>
            <color indexed="81"/>
            <rFont val="Segoe UI"/>
            <family val="2"/>
          </rPr>
          <t>indice partiel installations techniques</t>
        </r>
        <r>
          <rPr>
            <b/>
            <sz val="9"/>
            <color indexed="81"/>
            <rFont val="Segoe UI"/>
            <family val="2"/>
          </rPr>
          <t xml:space="preserve">
gGEE, imp: 
</t>
        </r>
        <r>
          <rPr>
            <sz val="9"/>
            <color indexed="81"/>
            <rFont val="Segoe UI"/>
            <family val="2"/>
          </rPr>
          <t>indice impiantistica</t>
        </r>
      </text>
    </comment>
    <comment ref="K64" authorId="0" shapeId="0">
      <text>
        <r>
          <rPr>
            <b/>
            <sz val="9"/>
            <color indexed="81"/>
            <rFont val="Segoe UI"/>
            <family val="2"/>
          </rPr>
          <t xml:space="preserve">E,EB:
</t>
        </r>
        <r>
          <rPr>
            <sz val="9"/>
            <color indexed="81"/>
            <rFont val="Segoe UI"/>
            <family val="2"/>
          </rPr>
          <t>Eigenverbrauch des selbstproduzierten PV-Stroms</t>
        </r>
        <r>
          <rPr>
            <b/>
            <sz val="9"/>
            <color indexed="81"/>
            <rFont val="Segoe UI"/>
            <family val="2"/>
          </rPr>
          <t xml:space="preserve">
E,EB :
</t>
        </r>
        <r>
          <rPr>
            <sz val="9"/>
            <color indexed="81"/>
            <rFont val="Segoe UI"/>
            <family val="2"/>
          </rPr>
          <t>Autoconsommation du courant PV autoproduit</t>
        </r>
        <r>
          <rPr>
            <b/>
            <sz val="9"/>
            <color indexed="81"/>
            <rFont val="Segoe UI"/>
            <family val="2"/>
          </rPr>
          <t xml:space="preserve">
E, cp: 
</t>
        </r>
        <r>
          <rPr>
            <sz val="9"/>
            <color indexed="81"/>
            <rFont val="Segoe UI"/>
            <family val="2"/>
          </rPr>
          <t>consumo della produzione propria di elettricità fotovoltaica</t>
        </r>
      </text>
    </comment>
    <comment ref="K66" authorId="0" shapeId="0">
      <text>
        <r>
          <rPr>
            <b/>
            <sz val="9"/>
            <color indexed="81"/>
            <rFont val="Segoe UI"/>
            <family val="2"/>
          </rPr>
          <t xml:space="preserve">E,Netz:
</t>
        </r>
        <r>
          <rPr>
            <sz val="9"/>
            <color indexed="81"/>
            <rFont val="Segoe UI"/>
            <family val="2"/>
          </rPr>
          <t>Ins Netz eingespiesener PV-Strom aus der eigenen Anlage</t>
        </r>
        <r>
          <rPr>
            <b/>
            <sz val="9"/>
            <color indexed="81"/>
            <rFont val="Segoe UI"/>
            <family val="2"/>
          </rPr>
          <t xml:space="preserve">
E,Netz : 
</t>
        </r>
        <r>
          <rPr>
            <sz val="9"/>
            <color indexed="81"/>
            <rFont val="Segoe UI"/>
            <family val="2"/>
          </rPr>
          <t>Courant PV autoproduit injecté dans le réseau</t>
        </r>
        <r>
          <rPr>
            <b/>
            <sz val="9"/>
            <color indexed="81"/>
            <rFont val="Segoe UI"/>
            <family val="2"/>
          </rPr>
          <t xml:space="preserve">
E, rete: 
</t>
        </r>
        <r>
          <rPr>
            <sz val="9"/>
            <color indexed="81"/>
            <rFont val="Segoe UI"/>
            <family val="2"/>
          </rPr>
          <t xml:space="preserve">elettricità fotovoltaica del proprio impianto immessa in rete </t>
        </r>
      </text>
    </comment>
    <comment ref="K68" authorId="0" shapeId="0">
      <text>
        <r>
          <rPr>
            <b/>
            <sz val="9"/>
            <color indexed="81"/>
            <rFont val="Segoe UI"/>
            <family val="2"/>
          </rPr>
          <t xml:space="preserve">gGEE:
</t>
        </r>
        <r>
          <rPr>
            <sz val="9"/>
            <color indexed="81"/>
            <rFont val="Segoe UI"/>
            <family val="2"/>
          </rPr>
          <t>Gewichtete Gesamtenergieeffizienz gGEE</t>
        </r>
        <r>
          <rPr>
            <b/>
            <sz val="9"/>
            <color indexed="81"/>
            <rFont val="Segoe UI"/>
            <family val="2"/>
          </rPr>
          <t xml:space="preserve">
gGEE : 
</t>
        </r>
        <r>
          <rPr>
            <sz val="9"/>
            <color indexed="81"/>
            <rFont val="Segoe UI"/>
            <family val="2"/>
          </rPr>
          <t>Gewichtete Gesamtenergieeffizienz gGEE</t>
        </r>
        <r>
          <rPr>
            <b/>
            <sz val="9"/>
            <color indexed="81"/>
            <rFont val="Segoe UI"/>
            <family val="2"/>
          </rPr>
          <t xml:space="preserve">
gGEE: 
</t>
        </r>
        <r>
          <rPr>
            <sz val="9"/>
            <color indexed="81"/>
            <rFont val="Segoe UI"/>
            <family val="2"/>
          </rPr>
          <t>Gewichtete Gesamtenergieeffizienz gGEE</t>
        </r>
      </text>
    </comment>
    <comment ref="B69" authorId="1" shapeId="0">
      <text>
        <r>
          <rPr>
            <sz val="8"/>
            <color indexed="81"/>
            <rFont val="Tahoma"/>
            <family val="2"/>
          </rPr>
          <t>Gilt für MINERGIE-P und MINERGIE-A.</t>
        </r>
      </text>
    </comment>
  </commentList>
</comments>
</file>

<file path=xl/comments6.xml><?xml version="1.0" encoding="utf-8"?>
<comments xmlns="http://schemas.openxmlformats.org/spreadsheetml/2006/main">
  <authors>
    <author xml:space="preserve">Amyèl Domigall </author>
  </authors>
  <commentList>
    <comment ref="B23" authorId="0" shapeId="0">
      <text>
        <r>
          <rPr>
            <b/>
            <sz val="9"/>
            <color indexed="81"/>
            <rFont val="Segoe UI"/>
            <family val="2"/>
          </rPr>
          <t xml:space="preserve">Geschossfläche GF:  </t>
        </r>
        <r>
          <rPr>
            <sz val="9"/>
            <color indexed="81"/>
            <rFont val="Segoe UI"/>
            <family val="2"/>
          </rPr>
          <t xml:space="preserve">Die gesamte Geschossfläche des Gebäudes gem. SIA 416 muss eingegeben werden. Die GF muss grösser als die EBF sein.
</t>
        </r>
        <r>
          <rPr>
            <b/>
            <sz val="9"/>
            <color indexed="81"/>
            <rFont val="Segoe UI"/>
            <family val="2"/>
          </rPr>
          <t xml:space="preserve">
Surface de plancher SP :</t>
        </r>
        <r>
          <rPr>
            <sz val="9"/>
            <color indexed="81"/>
            <rFont val="Segoe UI"/>
            <family val="2"/>
          </rPr>
          <t xml:space="preserve">  La surface de plancher totale du bâtiment selon SIA 416 doit être saisie. La SP doit être supérieure à la SRE.
</t>
        </r>
        <r>
          <rPr>
            <b/>
            <sz val="9"/>
            <color indexed="81"/>
            <rFont val="Segoe UI"/>
            <family val="2"/>
          </rPr>
          <t xml:space="preserve">
Superficie di piano SP: </t>
        </r>
        <r>
          <rPr>
            <sz val="9"/>
            <color indexed="81"/>
            <rFont val="Segoe UI"/>
            <family val="2"/>
          </rPr>
          <t>Inserire la superficie di piano totale dell'edificio secondo SIA 416/1. La superficie di piano deve essere maggiore della superficie di riferimento energetico AE.</t>
        </r>
      </text>
    </comment>
    <comment ref="B24" authorId="0" shapeId="0">
      <text>
        <r>
          <rPr>
            <b/>
            <sz val="9"/>
            <color indexed="81"/>
            <rFont val="Segoe UI"/>
            <family val="2"/>
          </rPr>
          <t xml:space="preserve">Baugrube:  </t>
        </r>
        <r>
          <rPr>
            <sz val="9"/>
            <color indexed="81"/>
            <rFont val="Segoe UI"/>
            <family val="2"/>
          </rPr>
          <t xml:space="preserve">Falls mehrere verschiedene Verbauungsarten in einem Projekt vorhanden sind, ist diejenige mit dem grössten Flächenanteil zu wählen.
</t>
        </r>
        <r>
          <rPr>
            <b/>
            <sz val="9"/>
            <color indexed="81"/>
            <rFont val="Segoe UI"/>
            <family val="2"/>
          </rPr>
          <t xml:space="preserve">Fouille:  </t>
        </r>
        <r>
          <rPr>
            <sz val="9"/>
            <color indexed="81"/>
            <rFont val="Segoe UI"/>
            <family val="2"/>
          </rPr>
          <t xml:space="preserve">Si différentes techniques sont utilisées, il faut choisir celle qui est utilisée sur la plus grande surface.
</t>
        </r>
        <r>
          <rPr>
            <b/>
            <sz val="9"/>
            <color indexed="81"/>
            <rFont val="Segoe UI"/>
            <family val="2"/>
          </rPr>
          <t xml:space="preserve">Fossa di scavo: </t>
        </r>
        <r>
          <rPr>
            <sz val="9"/>
            <color indexed="81"/>
            <rFont val="Segoe UI"/>
            <family val="2"/>
          </rPr>
          <t>Se in un progetto sono presenti diversi tipi di puntellamenti, scegliere la variante con la superficie più grande.</t>
        </r>
      </text>
    </comment>
    <comment ref="B25" authorId="0" shapeId="0">
      <text>
        <r>
          <rPr>
            <b/>
            <sz val="9"/>
            <color indexed="81"/>
            <rFont val="Segoe UI"/>
            <family val="2"/>
          </rPr>
          <t xml:space="preserve">Fundation:  </t>
        </r>
        <r>
          <rPr>
            <sz val="9"/>
            <color indexed="81"/>
            <rFont val="Segoe UI"/>
            <family val="2"/>
          </rPr>
          <t xml:space="preserve">Falls mehrere Fundationsarten vorhanden sind, so ist die Variante mit der grössten fundierten Fläche zu wählen.
</t>
        </r>
        <r>
          <rPr>
            <b/>
            <sz val="9"/>
            <color indexed="81"/>
            <rFont val="Segoe UI"/>
            <family val="2"/>
          </rPr>
          <t xml:space="preserve">Fondations: </t>
        </r>
        <r>
          <rPr>
            <sz val="9"/>
            <color indexed="81"/>
            <rFont val="Segoe UI"/>
            <family val="2"/>
          </rPr>
          <t xml:space="preserve"> S'il existe plusieurs types de fondations, il faut choisir celle représentant la plus grande surface.
</t>
        </r>
        <r>
          <rPr>
            <b/>
            <sz val="9"/>
            <color indexed="81"/>
            <rFont val="Segoe UI"/>
            <family val="2"/>
          </rPr>
          <t xml:space="preserve">Fondazione: </t>
        </r>
        <r>
          <rPr>
            <sz val="9"/>
            <color indexed="81"/>
            <rFont val="Segoe UI"/>
            <family val="2"/>
          </rPr>
          <t>Se sono presenti diversi tipi di fondazione, scegliere la variante con la superficie più grande.</t>
        </r>
      </text>
    </comment>
    <comment ref="B26" authorId="0" shapeId="0">
      <text>
        <r>
          <rPr>
            <b/>
            <sz val="9"/>
            <color indexed="81"/>
            <rFont val="Segoe UI"/>
            <family val="2"/>
          </rPr>
          <t xml:space="preserve">Untergeschoss-Gestaltung:   </t>
        </r>
        <r>
          <rPr>
            <sz val="9"/>
            <color indexed="81"/>
            <rFont val="Segoe UI"/>
            <family val="2"/>
          </rPr>
          <t xml:space="preserve">Die Grundfläche des UGs wird in Relation zu der Gebäudegrundfläche (GGF, siehe SIA 416) betrachtet.
</t>
        </r>
        <r>
          <rPr>
            <b/>
            <sz val="9"/>
            <color indexed="81"/>
            <rFont val="Segoe UI"/>
            <family val="2"/>
          </rPr>
          <t xml:space="preserve">Aménagement du sous-sol: </t>
        </r>
        <r>
          <rPr>
            <sz val="9"/>
            <color indexed="81"/>
            <rFont val="Segoe UI"/>
            <family val="2"/>
          </rPr>
          <t xml:space="preserve"> La surface au sol du sous-sol est considérée par rapport à la surface au sol du bâtiment (voir SIA 416).
</t>
        </r>
        <r>
          <rPr>
            <b/>
            <sz val="9"/>
            <color indexed="81"/>
            <rFont val="Segoe UI"/>
            <family val="2"/>
          </rPr>
          <t xml:space="preserve">Dimensione piano interrato: </t>
        </r>
        <r>
          <rPr>
            <sz val="9"/>
            <color indexed="81"/>
            <rFont val="Segoe UI"/>
            <family val="2"/>
          </rPr>
          <t>La superficie del piano interrato viene considerata in relazione alla superficie edificata  (SE, vedi SIA 416).</t>
        </r>
      </text>
    </comment>
    <comment ref="B27" authorId="0" shapeId="0">
      <text>
        <r>
          <rPr>
            <b/>
            <sz val="9"/>
            <color indexed="81"/>
            <rFont val="Segoe UI"/>
            <family val="2"/>
          </rPr>
          <t xml:space="preserve">Bauweise:   </t>
        </r>
        <r>
          <rPr>
            <sz val="9"/>
            <color indexed="81"/>
            <rFont val="Segoe UI"/>
            <family val="2"/>
          </rPr>
          <t xml:space="preserve">Die überwiegende Bauweise des Gebäudes ist hier zu wählen.
- Schwerer Massivbau: Zweischalenmauerwerk, schwere hinterlüftete Fassade
- Leichter Massivbau: Einschaliges Mauerwerk mit WDVS oder leichter hinterlüfteter Fassade
- Schwerer Holzbau: Holzbau mit schwerer hinterlüfteter Fassade oder Holzbetonverbunddecken
- Leichter Holzbau: Holzbau mit leichter Bekleidung und Holzbalkendecken
- Hybridbau: Gebäude mit massivem Kern und Decken sowie einer Leichtbaufassade und einem leichten Innenausbau
- Stahlbau: Gebäude mit massivem Kern; Decken sowie Fassade in Stahlbau
- Glasbau: Gebäude mit massivem Kern; verglaste vorgehängte Fassade
</t>
        </r>
        <r>
          <rPr>
            <b/>
            <sz val="9"/>
            <color indexed="81"/>
            <rFont val="Segoe UI"/>
            <family val="2"/>
          </rPr>
          <t xml:space="preserve">
Typologie de construction : </t>
        </r>
        <r>
          <rPr>
            <sz val="9"/>
            <color indexed="81"/>
            <rFont val="Segoe UI"/>
            <family val="2"/>
          </rPr>
          <t xml:space="preserve">Le mode de construction prédominant du bâtiment doit être choisi ici.
- Construction massive lourde : maçonnerie à double parois, façade ventilée lourde
- Construction massive légère : maçonnerie à simple paroi avec isolation thermique compacte ou façade ventilée légère
- Construction en bois lourde : construction en bois avec façade ventilée lourde ventilée ou plancher mixte bois-béton
- Construction en bois légère : construction en bois avec revêtement léger et planchers à poutres en bois porteuses
- Construction hybride : bâtiment avec un noyau et planchers massifs et une façade et des cloisons intérieures légères
- Construction vitrée : bâtiment avec noyau massif et façade rideau vitrée
- Construction métallique : bâtiment avec noyau massif ; plafonds et façade en structure métallique
</t>
        </r>
        <r>
          <rPr>
            <b/>
            <sz val="9"/>
            <color indexed="81"/>
            <rFont val="Segoe UI"/>
            <family val="2"/>
          </rPr>
          <t xml:space="preserve">
Sistema costruttivo: </t>
        </r>
        <r>
          <rPr>
            <sz val="9"/>
            <color indexed="81"/>
            <rFont val="Segoe UI"/>
            <family val="2"/>
          </rPr>
          <t xml:space="preserve">Scegliere qui il metodo di costruzione predominante dell'edificio. </t>
        </r>
        <r>
          <rPr>
            <b/>
            <sz val="9"/>
            <color indexed="81"/>
            <rFont val="Segoe UI"/>
            <family val="2"/>
          </rPr>
          <t xml:space="preserve">
</t>
        </r>
        <r>
          <rPr>
            <sz val="9"/>
            <color indexed="81"/>
            <rFont val="Segoe UI"/>
            <family val="2"/>
          </rPr>
          <t xml:space="preserve">- Costruzione massiccia pesante: muratura a doppio strato, facciata ventilata pesante
- Costruzione massiccia leggera: muratura a singolo strato con sistema di isolamento termico a cappotto o facciata ventilata leggera
- Costruzione pesante in legno: costruzione in legno con facciata ventilata pesante o solai misti legno e calcestruzzo
- Costruzione leggera in legno: costruzione in legno con rivestimento leggero e solai in travi di legno
- Costruzione ibrida: edificio con nucleo e soffitti massicci, oltre che facciata e elementi interni leggeri
- Costruzione metallica: edificio con nucleo massiccio; Solai e facciate in metallo
- Costruzioni vetrate: edificio con nucleo massiccio; facciata appesa in vetro </t>
        </r>
      </text>
    </comment>
    <comment ref="B28" authorId="0" shapeId="0">
      <text>
        <r>
          <rPr>
            <b/>
            <sz val="9"/>
            <color indexed="81"/>
            <rFont val="Segoe UI"/>
            <family val="2"/>
          </rPr>
          <t xml:space="preserve">Spannweiten:  </t>
        </r>
        <r>
          <rPr>
            <sz val="9"/>
            <color indexed="81"/>
            <rFont val="Segoe UI"/>
            <family val="2"/>
          </rPr>
          <t xml:space="preserve">Beispiel Spannweiten MFH oder EFH
- geringe: 6 m oder weniger
- moderate: 7 m
- mittlere: 8 m
- erhöhte: 9 m
- grosse: 10 m oder mehr
Es ist jeweils die grösste vorhandene Spannweite zu wählen. In der Berechnung wird von einer regelmässigen und logischen Lastableitung ausgegangen. Bei unregelmässigen Tragstrukturen muss eine grössere Spannweite gewählt werden.
</t>
        </r>
        <r>
          <rPr>
            <b/>
            <sz val="9"/>
            <color indexed="81"/>
            <rFont val="Segoe UI"/>
            <family val="2"/>
          </rPr>
          <t xml:space="preserve">Portées :  </t>
        </r>
        <r>
          <rPr>
            <sz val="9"/>
            <color indexed="81"/>
            <rFont val="Segoe UI"/>
            <family val="2"/>
          </rPr>
          <t xml:space="preserve">Exemple de portées d'un immeuble individuel ou collectif
- petite : 6 m ou moins
- modérée : 7 m
- moyenne : 8 m
- accrue : 9 m
- grande : 10 m ou plus
La plus grande portée existante doit être sélectionnée. Dans le calcul, on part d'une répartition de charge régulière et logique. En cas de structures porteuses irrégulières, il faut choisir une portée plus grande.
</t>
        </r>
        <r>
          <rPr>
            <b/>
            <sz val="9"/>
            <color indexed="81"/>
            <rFont val="Segoe UI"/>
            <family val="2"/>
          </rPr>
          <t>Campate:</t>
        </r>
        <r>
          <rPr>
            <sz val="9"/>
            <color indexed="81"/>
            <rFont val="Segoe UI"/>
            <family val="2"/>
          </rPr>
          <t xml:space="preserve">  Esempio di campate in casa monofamiliari e plurifamiliari 
- piccola: 6 m o meno
- moderata: 7 m 
- media: 8 m 
- elevato: 9 m
- grande: 10 m o più
Selezionare in ogni caso la campata più grande presente. Il calcolo presuppone un trasferimento di carico regolare e logico. Per le strutture portanti irregolari, si deve scegliere una campata più grande.</t>
        </r>
      </text>
    </comment>
    <comment ref="B29" authorId="0" shapeId="0">
      <text>
        <r>
          <rPr>
            <b/>
            <sz val="9"/>
            <color indexed="81"/>
            <rFont val="Segoe UI"/>
            <family val="2"/>
          </rPr>
          <t>Fensteranteil:</t>
        </r>
        <r>
          <rPr>
            <sz val="9"/>
            <color indexed="81"/>
            <rFont val="Segoe UI"/>
            <family val="2"/>
          </rPr>
          <t xml:space="preserve">
Anteil der Fenster an der Fassadenfläche; kann der SIA380/1 Berechnung entnommen werden
</t>
        </r>
        <r>
          <rPr>
            <b/>
            <sz val="9"/>
            <color indexed="81"/>
            <rFont val="Segoe UI"/>
            <family val="2"/>
          </rPr>
          <t>Proportion de fenêtres :</t>
        </r>
        <r>
          <rPr>
            <sz val="9"/>
            <color indexed="81"/>
            <rFont val="Segoe UI"/>
            <family val="2"/>
          </rPr>
          <t xml:space="preserve">
Proportion de fenêtres par rapport à la surface de la façade ; peut être tirée du calcul SIA380/1".
</t>
        </r>
        <r>
          <rPr>
            <b/>
            <sz val="9"/>
            <color indexed="81"/>
            <rFont val="Segoe UI"/>
            <family val="2"/>
          </rPr>
          <t xml:space="preserve">Quota finestrata: </t>
        </r>
        <r>
          <rPr>
            <sz val="9"/>
            <color indexed="81"/>
            <rFont val="Segoe UI"/>
            <family val="2"/>
          </rPr>
          <t xml:space="preserve">
Quota di superficie delle finestre rispetto alla superficie delle facciate; può essere ripresa dai calcoli secondo SIA 380/1</t>
        </r>
      </text>
    </comment>
    <comment ref="C30" authorId="0" shapeId="0">
      <text>
        <r>
          <rPr>
            <b/>
            <sz val="9"/>
            <color indexed="81"/>
            <rFont val="Segoe UI"/>
            <family val="2"/>
          </rPr>
          <t>Deckenstärke:</t>
        </r>
        <r>
          <rPr>
            <sz val="9"/>
            <color indexed="81"/>
            <rFont val="Segoe UI"/>
            <family val="2"/>
          </rPr>
          <t xml:space="preserve">
Falls grosse (z. B. Lüftungsleitungen) oder sehr viele Deckeneinlagen geplant sind, ist hier "&gt; 24 cm" zu wählen.
</t>
        </r>
        <r>
          <rPr>
            <b/>
            <sz val="9"/>
            <color indexed="81"/>
            <rFont val="Segoe UI"/>
            <family val="2"/>
          </rPr>
          <t xml:space="preserve">Épaisseur des dalles :
</t>
        </r>
        <r>
          <rPr>
            <sz val="9"/>
            <color indexed="81"/>
            <rFont val="Segoe UI"/>
            <family val="2"/>
          </rPr>
          <t xml:space="preserve">Si de grands (par ex. des conduites d'aération) ou de très nombreux incorporés sont prévus, il convient de sélectionner ici  "&gt; 24 cm"
</t>
        </r>
        <r>
          <rPr>
            <b/>
            <sz val="9"/>
            <color indexed="81"/>
            <rFont val="Segoe UI"/>
            <family val="2"/>
          </rPr>
          <t>Spessore soletta:</t>
        </r>
        <r>
          <rPr>
            <sz val="9"/>
            <color indexed="81"/>
            <rFont val="Segoe UI"/>
            <family val="2"/>
          </rPr>
          <t xml:space="preserve">
Se sono previsti  (es. condotte ventilazione)  o  molti e spessi strati della soletta, selezionare qui &gt;24cm.</t>
        </r>
      </text>
    </comment>
    <comment ref="C31" authorId="0" shapeId="0">
      <text>
        <r>
          <rPr>
            <b/>
            <sz val="9"/>
            <color indexed="81"/>
            <rFont val="Segoe UI"/>
            <family val="2"/>
          </rPr>
          <t>CO2-angereicherter Beton:</t>
        </r>
        <r>
          <rPr>
            <sz val="9"/>
            <color indexed="81"/>
            <rFont val="Segoe UI"/>
            <family val="2"/>
          </rPr>
          <t xml:space="preserve">
Wenn mindestens 80 % aller Betonbauteile, bei denen dies möglich ist, aus mit CO2 angereichertem Beton bestehen, kann hier "ja" gewählt werden.
</t>
        </r>
        <r>
          <rPr>
            <b/>
            <sz val="9"/>
            <color indexed="81"/>
            <rFont val="Segoe UI"/>
            <family val="2"/>
          </rPr>
          <t>Béton enrichi en CO2 :</t>
        </r>
        <r>
          <rPr>
            <sz val="9"/>
            <color indexed="81"/>
            <rFont val="Segoe UI"/>
            <family val="2"/>
          </rPr>
          <t xml:space="preserve">
Si au moins 80 % de tous les éléments en béton pour lesquels cela est possible sont constitués de béton enrichi en CO2, "oui" peut être sélectionné ici.
</t>
        </r>
        <r>
          <rPr>
            <b/>
            <sz val="9"/>
            <color indexed="81"/>
            <rFont val="Segoe UI"/>
            <family val="2"/>
          </rPr>
          <t>Calcestruzzo arricchito con CO2:</t>
        </r>
        <r>
          <rPr>
            <sz val="9"/>
            <color indexed="81"/>
            <rFont val="Segoe UI"/>
            <family val="2"/>
          </rPr>
          <t xml:space="preserve">
Se almeno l'80% di tutti i componenti in calcestruzzo (dove possibile) è costituito da calcestruzzo arricchito di CO2, selezionare "sì".</t>
        </r>
      </text>
    </comment>
  </commentList>
</comments>
</file>

<file path=xl/sharedStrings.xml><?xml version="1.0" encoding="utf-8"?>
<sst xmlns="http://schemas.openxmlformats.org/spreadsheetml/2006/main" count="9223" uniqueCount="5322">
  <si>
    <t>Wohnen EFH</t>
  </si>
  <si>
    <t>Verwaltung</t>
  </si>
  <si>
    <t>Schulen</t>
  </si>
  <si>
    <t>Restaurants</t>
  </si>
  <si>
    <t>Versammlungs-lokale</t>
  </si>
  <si>
    <t>III</t>
  </si>
  <si>
    <t>Sportbauten</t>
  </si>
  <si>
    <t>IV</t>
  </si>
  <si>
    <t>Hallenbäder</t>
  </si>
  <si>
    <t>V</t>
  </si>
  <si>
    <t>VI</t>
  </si>
  <si>
    <t>Primäranf</t>
  </si>
  <si>
    <t>A/EBF &lt;= 1.1</t>
  </si>
  <si>
    <t>Minergie-P  (- / kWh/m2)</t>
  </si>
  <si>
    <t>Erfüllung der Anforderungen:</t>
  </si>
  <si>
    <t>Klimastation</t>
  </si>
  <si>
    <t>Zone 1:</t>
  </si>
  <si>
    <t>Zone 2:</t>
  </si>
  <si>
    <t>Zone 3:</t>
  </si>
  <si>
    <t>Zone 4:</t>
  </si>
  <si>
    <t>Antragsformular</t>
  </si>
  <si>
    <t>Kanton</t>
  </si>
  <si>
    <t>Pelletfeuerung</t>
  </si>
  <si>
    <t>Wärmepumpe gewählt</t>
  </si>
  <si>
    <t>Hinweis: Im Blatt 'Eingaben' wurde ein Lüftungsgerät mit integrierter Wärmepumpe gewählt</t>
  </si>
  <si>
    <t>Deckungsgrad zu hoch</t>
  </si>
  <si>
    <t>Heizung ausgewählt</t>
  </si>
  <si>
    <t>Warmwasser ausgewählt</t>
  </si>
  <si>
    <t>Berechnung beilege</t>
  </si>
  <si>
    <t>Wohnen MFH</t>
  </si>
  <si>
    <t>Anzahl Personen</t>
  </si>
  <si>
    <t>typ3:</t>
  </si>
  <si>
    <t>typ4:</t>
  </si>
  <si>
    <t>Therm. wirksamer Aussenl.-Volumenstr.</t>
  </si>
  <si>
    <t>Berechneter Wert</t>
  </si>
  <si>
    <t>Erfüllt?</t>
  </si>
  <si>
    <t>Energiebezugsfl. o. Raumhöhenkorrektur</t>
  </si>
  <si>
    <t>Fällt Abwärme an?</t>
  </si>
  <si>
    <t>Abwärme</t>
  </si>
  <si>
    <t>Abluft-Wärmepumpe ohne ZUL</t>
  </si>
  <si>
    <t>WRG gewählt</t>
  </si>
  <si>
    <t>Abluft-WP gewählt</t>
  </si>
  <si>
    <t xml:space="preserve"> 'Lüftungsgerät mit Abluft-Wärmepumpe' wählen</t>
  </si>
  <si>
    <t xml:space="preserve"> 'Lüftungsgerät mit Abluft / Zuluft  - Wärmepumpe ohne WRG'       oder                                   'Kompakt-WP mit Zu- &amp; Abluft / WW ohne WRG'    wählen</t>
  </si>
  <si>
    <t xml:space="preserve"> 'Lüftungsgerät mit Abluft / Zuluft  - Wärmepumpe plus WRG'       oder                                         'Kompakt-WP mit Zu- &amp; Abluft / WW plus WRG'    wählen"</t>
  </si>
  <si>
    <t>Elektro direkt</t>
  </si>
  <si>
    <r>
      <t>Q</t>
    </r>
    <r>
      <rPr>
        <vertAlign val="subscript"/>
        <sz val="9"/>
        <rFont val="Arial"/>
        <family val="2"/>
      </rPr>
      <t>ww</t>
    </r>
  </si>
  <si>
    <t/>
  </si>
  <si>
    <t>Débit d'air spécifique thermiquement actif Vth selon SIA 380/1: cette valeur doit correspondre à celle donnée pour le calcul de la demande d'énergie de chauffage avec aération effective.</t>
  </si>
  <si>
    <t>I</t>
  </si>
  <si>
    <t>II</t>
  </si>
  <si>
    <t>-</t>
  </si>
  <si>
    <t>Zone1:</t>
  </si>
  <si>
    <t>Eingaben</t>
  </si>
  <si>
    <t>A98</t>
  </si>
  <si>
    <t>A99</t>
  </si>
  <si>
    <t>A100</t>
  </si>
  <si>
    <t>A101</t>
  </si>
  <si>
    <t>A102</t>
  </si>
  <si>
    <t>A103</t>
  </si>
  <si>
    <t>A104</t>
  </si>
  <si>
    <t>A105</t>
  </si>
  <si>
    <t>A106</t>
  </si>
  <si>
    <t>A107</t>
  </si>
  <si>
    <t>A109</t>
  </si>
  <si>
    <t>A110</t>
  </si>
  <si>
    <t>A111</t>
  </si>
  <si>
    <t>A112</t>
  </si>
  <si>
    <t>A113</t>
  </si>
  <si>
    <t>A114</t>
  </si>
  <si>
    <t>A115</t>
  </si>
  <si>
    <t>A116</t>
  </si>
  <si>
    <t>A117</t>
  </si>
  <si>
    <t>A118</t>
  </si>
  <si>
    <t>A119</t>
  </si>
  <si>
    <t>A120</t>
  </si>
  <si>
    <t>A121</t>
  </si>
  <si>
    <t>A122</t>
  </si>
  <si>
    <t>A123</t>
  </si>
  <si>
    <t>A124</t>
  </si>
  <si>
    <t>Qh,li0</t>
  </si>
  <si>
    <r>
      <t>D</t>
    </r>
    <r>
      <rPr>
        <sz val="9"/>
        <rFont val="Arial"/>
        <family val="2"/>
      </rPr>
      <t>Qh,li</t>
    </r>
  </si>
  <si>
    <t>Grenzwert Qh,li (Neubau, SIA)  [MJ/m2]</t>
  </si>
  <si>
    <t>Qh avec débit d'air thermiquement actif</t>
  </si>
  <si>
    <t>Selbstdeklaration/Bestätigung</t>
  </si>
  <si>
    <t>Netto-Jahresertrag pro kWp (Standardwert)</t>
  </si>
  <si>
    <t>Ölfeuerung kondensierend nur Heizung</t>
  </si>
  <si>
    <t>Ölfeuerung kondensierend nur Warmwasser</t>
  </si>
  <si>
    <t>Gasfeuerung kondensierend nur Heizung</t>
  </si>
  <si>
    <t>Gasfeuerung kondensierend nur Warmwasser</t>
  </si>
  <si>
    <t>Wärmepumpe Aussenluft, nur Heizung</t>
  </si>
  <si>
    <t>Wärmepumpe, Aussenluft, nur Warmwasser</t>
  </si>
  <si>
    <t>Wärmepumpe, Erdwärmesonde, nur Heizung</t>
  </si>
  <si>
    <t>Wärmepumpe, Erdwärmesonde, nur Warmwasser</t>
  </si>
  <si>
    <t>Refroidissement</t>
  </si>
  <si>
    <t>Humidification</t>
  </si>
  <si>
    <t>Refr. + humid.</t>
  </si>
  <si>
    <t>B34</t>
  </si>
  <si>
    <t>B35</t>
  </si>
  <si>
    <t>PV</t>
  </si>
  <si>
    <t xml:space="preserve">Stromproduktion PV total: </t>
  </si>
  <si>
    <t>Graue Energie  [kWh/m2]</t>
  </si>
  <si>
    <t>PV [kWh/m2]</t>
  </si>
  <si>
    <t>Überschussproduktion [kWh/m2]</t>
  </si>
  <si>
    <t>Kompensation PV graue Energie [kWh/m2]</t>
  </si>
  <si>
    <t>Graue Energie minus Kompensation [kWh/m2]</t>
  </si>
  <si>
    <t>Choisir "Aération avec PAC air repris"</t>
  </si>
  <si>
    <t>Choisir "Aération avec PAC air repris/fourni sans récup. de chaleur" ou PAC compacte avec air fourni/repris et ECS sans récup. de chaleur"</t>
  </si>
  <si>
    <t>Befeuchtung</t>
  </si>
  <si>
    <t>Kühl. + Bef.</t>
  </si>
  <si>
    <t xml:space="preserve">Zone 1 </t>
  </si>
  <si>
    <t xml:space="preserve">Zone 2 </t>
  </si>
  <si>
    <t xml:space="preserve">Zone 3 </t>
  </si>
  <si>
    <t xml:space="preserve">Zone 4 </t>
  </si>
  <si>
    <t>V'/EBFo</t>
  </si>
  <si>
    <t>[m / h]</t>
  </si>
  <si>
    <t>E37</t>
  </si>
  <si>
    <t>Externe Berechnung mit Tool SIA 380/4</t>
  </si>
  <si>
    <t>Spezifischer, thermisch wirksamer Aussenluftvolumenstrom Vth nach SIA 380/1: Dieser Wert muss mit der Eingabe für die Berechnung für den Heizwärmebedarf mit effektivem Luftwechsel übereinstimmen.</t>
  </si>
  <si>
    <t>Neubau:</t>
  </si>
  <si>
    <t>Ja</t>
  </si>
  <si>
    <t>Automatische Fensterlüftung</t>
  </si>
  <si>
    <t>Nein</t>
  </si>
  <si>
    <t>Lüftungsanlagentyp</t>
  </si>
  <si>
    <t>WRGtyp4</t>
  </si>
  <si>
    <r>
      <t>Lüfung</t>
    </r>
    <r>
      <rPr>
        <b/>
        <sz val="10"/>
        <color indexed="9"/>
        <rFont val="Symbol"/>
        <family val="1"/>
        <charset val="2"/>
      </rPr>
      <t xml:space="preserve">  b</t>
    </r>
  </si>
  <si>
    <t>nL50</t>
  </si>
  <si>
    <t>[1/h]</t>
  </si>
  <si>
    <r>
      <t>A</t>
    </r>
    <r>
      <rPr>
        <b/>
        <vertAlign val="subscript"/>
        <sz val="10"/>
        <color indexed="9"/>
        <rFont val="Arial"/>
        <family val="2"/>
      </rPr>
      <t>netto</t>
    </r>
    <r>
      <rPr>
        <b/>
        <sz val="10"/>
        <color indexed="9"/>
        <rFont val="Arial"/>
        <family val="2"/>
      </rPr>
      <t xml:space="preserve"> /</t>
    </r>
  </si>
  <si>
    <r>
      <t>A</t>
    </r>
    <r>
      <rPr>
        <b/>
        <vertAlign val="subscript"/>
        <sz val="10"/>
        <color indexed="9"/>
        <rFont val="Arial"/>
        <family val="2"/>
      </rPr>
      <t>EBF</t>
    </r>
  </si>
  <si>
    <t>Wärmerückgewinnungs-Wärmetauscher</t>
  </si>
  <si>
    <t>Kreislauf-KVS</t>
  </si>
  <si>
    <t>Fehlermld</t>
  </si>
  <si>
    <t>deutsch</t>
  </si>
  <si>
    <t>französisch</t>
  </si>
  <si>
    <t>italienisch</t>
  </si>
  <si>
    <t>Uebersetzungsliste</t>
  </si>
  <si>
    <t>Energiebezugsfläche EBF</t>
  </si>
  <si>
    <r>
      <t>A</t>
    </r>
    <r>
      <rPr>
        <vertAlign val="subscript"/>
        <sz val="8"/>
        <rFont val="Arial"/>
        <family val="2"/>
      </rPr>
      <t>E</t>
    </r>
  </si>
  <si>
    <t>Energiebezugsfläche EBF, muss aus der Rechnung SIA 380/1 übernommen werden.</t>
  </si>
  <si>
    <t>Energiebedarf Kühlung</t>
  </si>
  <si>
    <t>Strombedarf Klima und Befeuchtung</t>
  </si>
  <si>
    <t>V'</t>
  </si>
  <si>
    <t>Kühlung oder Befeuchtung vorhanden?</t>
  </si>
  <si>
    <t>Wird eine Kühlung verwendet oder Befeuchtung verwendet?</t>
  </si>
  <si>
    <t>Elektro-Wassererwärmer</t>
  </si>
  <si>
    <t>Wasser-Wärmepumpe, Heizung</t>
  </si>
  <si>
    <t>Solarenergie thermisch, Heizung + WW</t>
  </si>
  <si>
    <t>Erdsonden-WP, Heizung</t>
  </si>
  <si>
    <t>Erdsonden-WP, Warmwasser</t>
  </si>
  <si>
    <t>Abwasser-WP (direkt), Heizung</t>
  </si>
  <si>
    <t>Abwasser-WP direkt, Warmwasser</t>
  </si>
  <si>
    <t>Wasser-WP, Warmwasser</t>
  </si>
  <si>
    <t>Standardlüftung</t>
  </si>
  <si>
    <t>Remarque: dans la feuille 'Entrée' une installation de ventilation avec PAC intégrée a été choisie
-&gt; choisir une PAC avec air fourni comme mode de production de chaleur</t>
  </si>
  <si>
    <r>
      <t>Q</t>
    </r>
    <r>
      <rPr>
        <vertAlign val="subscript"/>
        <sz val="8"/>
        <rFont val="Arial"/>
        <family val="2"/>
      </rPr>
      <t>e,B</t>
    </r>
  </si>
  <si>
    <t>Besoins d'électricité exploitation</t>
  </si>
  <si>
    <t>Biomasse, connectée</t>
  </si>
  <si>
    <t>Biomasse, connectée au réseau hydraulique</t>
  </si>
  <si>
    <r>
      <t>Q</t>
    </r>
    <r>
      <rPr>
        <vertAlign val="subscript"/>
        <sz val="8"/>
        <rFont val="Arial"/>
        <family val="2"/>
      </rPr>
      <t>e</t>
    </r>
  </si>
  <si>
    <r>
      <t>kWh/m</t>
    </r>
    <r>
      <rPr>
        <vertAlign val="superscript"/>
        <sz val="8"/>
        <rFont val="Arial"/>
        <family val="2"/>
      </rPr>
      <t>2</t>
    </r>
  </si>
  <si>
    <t>Wärmeerzeugung:</t>
  </si>
  <si>
    <t>zone1</t>
  </si>
  <si>
    <t>zone2</t>
  </si>
  <si>
    <t>zone3</t>
  </si>
  <si>
    <t>zone4</t>
  </si>
  <si>
    <t>Objektwert</t>
  </si>
  <si>
    <t>Optimierter Betrieb Hallenbad</t>
  </si>
  <si>
    <t xml:space="preserve">EBF1 = </t>
  </si>
  <si>
    <t xml:space="preserve">EBF2 = </t>
  </si>
  <si>
    <t xml:space="preserve">EBF3 = </t>
  </si>
  <si>
    <t xml:space="preserve">EBF4 = </t>
  </si>
  <si>
    <t xml:space="preserve">EBFo1 = </t>
  </si>
  <si>
    <t xml:space="preserve">EBFo2 = </t>
  </si>
  <si>
    <t xml:space="preserve">EBFo3 = </t>
  </si>
  <si>
    <t xml:space="preserve">EBFo4 = </t>
  </si>
  <si>
    <t>Gebäudehüllzahl</t>
  </si>
  <si>
    <t>Auswahl:</t>
  </si>
  <si>
    <t>Bad-Mischn.</t>
  </si>
  <si>
    <t>andere</t>
  </si>
  <si>
    <t>Für Online Plattform</t>
  </si>
  <si>
    <t>Strombedarf Lüftung + Vereisungsschutz</t>
  </si>
  <si>
    <t>Kleinanlagen mit Standardwerten</t>
  </si>
  <si>
    <r>
      <t>Nachweisformular zum MINERGIE</t>
    </r>
    <r>
      <rPr>
        <sz val="10"/>
        <rFont val="Arial"/>
        <family val="2"/>
      </rPr>
      <t>-Antrag</t>
    </r>
  </si>
  <si>
    <t>Nachweisformular zum MINERGIE-P-Antrag</t>
  </si>
  <si>
    <t>Nachweisformular zum MINERGIE-A-Antrag</t>
  </si>
  <si>
    <t>Elektrospeicher-Zentralheizung</t>
  </si>
  <si>
    <t>Zusätzlich Elektro-Wassererwärmer wählen</t>
  </si>
  <si>
    <t xml:space="preserve">Wohnen MFH </t>
  </si>
  <si>
    <t>für Minergie-P</t>
  </si>
  <si>
    <t>eff. Heizwärmebedarf mit Lüftungsanlage</t>
  </si>
  <si>
    <t>MJ/m2</t>
  </si>
  <si>
    <t>Heizwärmebedarf Standard qhs:</t>
  </si>
  <si>
    <t>Zonenfehler:</t>
  </si>
  <si>
    <t>(0: noch keine gültige Eingabe)</t>
  </si>
  <si>
    <t>Abwärme aus gewerblicher Kälte</t>
  </si>
  <si>
    <t>Komfortlüftung mit Abluftwärmepumpe</t>
  </si>
  <si>
    <t>Lüftung Zone4:</t>
  </si>
  <si>
    <t>Einzelraum-Komfortlüftung</t>
  </si>
  <si>
    <t xml:space="preserve"> </t>
  </si>
  <si>
    <t>Gebäudedaten, Lüftung und Grenzwert:</t>
  </si>
  <si>
    <t>Text</t>
  </si>
  <si>
    <t>g</t>
  </si>
  <si>
    <t>Ölfeuerung</t>
  </si>
  <si>
    <t>Gasfeuerung</t>
  </si>
  <si>
    <t>Gas - Wassererwärmer</t>
  </si>
  <si>
    <t>Jahresmittel</t>
  </si>
  <si>
    <t>Zone2</t>
  </si>
  <si>
    <t>Zone3</t>
  </si>
  <si>
    <t>Zone4</t>
  </si>
  <si>
    <t>WRG</t>
  </si>
  <si>
    <t>Anzahl Räume mit Zuluft</t>
  </si>
  <si>
    <t>gesamt</t>
  </si>
  <si>
    <t>kWh/m2a</t>
  </si>
  <si>
    <t>keine WRG</t>
  </si>
  <si>
    <t>Industrienutzung:</t>
  </si>
  <si>
    <t>n.a.</t>
  </si>
  <si>
    <t>nurBadnutzung</t>
  </si>
  <si>
    <t>Wasser-Wärmepumpe, nur Warmwasser</t>
  </si>
  <si>
    <t>Wärmepumpe, Grundwasser, direkt, nur Heizung</t>
  </si>
  <si>
    <t>Wärmepumpe, Grundwasser, direkt, nur Warmwasser</t>
  </si>
  <si>
    <t>Wärmepumpe, Grundwasser, indirekt, nur Heizung</t>
  </si>
  <si>
    <t>Wärmepumpe, Grundwasser, indirekt, nur Warmwaser</t>
  </si>
  <si>
    <t>Wärmepumpe Erdregister, nur Heizung</t>
  </si>
  <si>
    <t>Wärmepumpe Erdregister, nur Warmwasser</t>
  </si>
  <si>
    <t>Solarenergie thermisch, nur Heizung</t>
  </si>
  <si>
    <t>Solarenergie thermisch, nur Warmwasser</t>
  </si>
  <si>
    <t>VII</t>
  </si>
  <si>
    <t>VIII</t>
  </si>
  <si>
    <t>IX</t>
  </si>
  <si>
    <t>X</t>
  </si>
  <si>
    <t>XI</t>
  </si>
  <si>
    <t>Station</t>
  </si>
  <si>
    <t>Temp.</t>
  </si>
  <si>
    <t>Zone 3</t>
  </si>
  <si>
    <t>Zone 4</t>
  </si>
  <si>
    <t>Gewichtung</t>
  </si>
  <si>
    <t>Verkauf</t>
  </si>
  <si>
    <t>Spitäler</t>
  </si>
  <si>
    <t>Lager</t>
  </si>
  <si>
    <t>Sportbau</t>
  </si>
  <si>
    <t>Grenzwerte</t>
  </si>
  <si>
    <t>h</t>
  </si>
  <si>
    <t>Heizung</t>
  </si>
  <si>
    <t>Warmwasser</t>
  </si>
  <si>
    <t xml:space="preserve">Vx = </t>
  </si>
  <si>
    <r>
      <t>m</t>
    </r>
    <r>
      <rPr>
        <vertAlign val="superscript"/>
        <sz val="8"/>
        <rFont val="Arial"/>
        <family val="2"/>
      </rPr>
      <t>3</t>
    </r>
    <r>
      <rPr>
        <sz val="8"/>
        <rFont val="Arial"/>
        <family val="2"/>
      </rPr>
      <t>/m</t>
    </r>
    <r>
      <rPr>
        <vertAlign val="superscript"/>
        <sz val="8"/>
        <rFont val="Arial"/>
        <family val="2"/>
      </rPr>
      <t>2</t>
    </r>
    <r>
      <rPr>
        <sz val="8"/>
        <rFont val="Arial"/>
        <family val="2"/>
      </rPr>
      <t>h</t>
    </r>
  </si>
  <si>
    <t>Kt.</t>
  </si>
  <si>
    <t>Klima-</t>
  </si>
  <si>
    <t>Höhe</t>
  </si>
  <si>
    <t>zone</t>
  </si>
  <si>
    <t>m.ü.M.</t>
  </si>
  <si>
    <t>Basel-Binningen</t>
  </si>
  <si>
    <t>BL</t>
  </si>
  <si>
    <t>Surface de référence énergétique AE, doit être reprise du calcul SIA 380/1.</t>
  </si>
  <si>
    <t>Installations de ventilation et de climatisation</t>
  </si>
  <si>
    <t>Besoins d'électricité pour la climatisation et l'humidification</t>
  </si>
  <si>
    <t>Rafraîchissement et/ou humidification ?</t>
  </si>
  <si>
    <t>Y aura-t-il un rafraîchissement ou une humidification?</t>
  </si>
  <si>
    <t>Erdregister-WP, Heizung</t>
  </si>
  <si>
    <t>Erdregister-WP, Warmwasser</t>
  </si>
  <si>
    <t>Grundwasser-WP, indir, Heizung</t>
  </si>
  <si>
    <t>Hinweis: Im Blatt 'Eingaben' wurde ein Lüftungsgerät mit integrierter Wärmepumpe gewählt
-&gt;  Wärmeerzeugung mit Abluft-WP wählen</t>
  </si>
  <si>
    <t>Solothurn</t>
  </si>
  <si>
    <t>MINERGIE-Gebühr</t>
  </si>
  <si>
    <t>EBF:</t>
  </si>
  <si>
    <t>Meldung für Standardlüftung</t>
  </si>
  <si>
    <t>2) Externe Berechnung beilegen und Werte in Zeilen E24 - E27 eintragen.</t>
  </si>
  <si>
    <t>1) Blatt Lüftung oder externe Berechnung beilegen und Werte in Zeilen E24-E27 eintragen.</t>
  </si>
  <si>
    <t>Auswahl Häckchen für "Zutreffendes ankreuzen"</t>
  </si>
  <si>
    <t>NE</t>
  </si>
  <si>
    <t>BE</t>
  </si>
  <si>
    <t>AG</t>
  </si>
  <si>
    <t>TG</t>
  </si>
  <si>
    <t>Schaffhausen</t>
  </si>
  <si>
    <t>SH</t>
  </si>
  <si>
    <t>St. Gallen</t>
  </si>
  <si>
    <t>SG</t>
  </si>
  <si>
    <t>Zürich SMA</t>
  </si>
  <si>
    <t>ZH</t>
  </si>
  <si>
    <t>Bern</t>
  </si>
  <si>
    <t>Luzern</t>
  </si>
  <si>
    <t>LU</t>
  </si>
  <si>
    <t>Fribourg</t>
  </si>
  <si>
    <t>Genève</t>
  </si>
  <si>
    <t>GE</t>
  </si>
  <si>
    <t>VD</t>
  </si>
  <si>
    <t>Neuchâtel</t>
  </si>
  <si>
    <t>Glarus</t>
  </si>
  <si>
    <t>GL</t>
  </si>
  <si>
    <t>Altdorf</t>
  </si>
  <si>
    <t>UR</t>
  </si>
  <si>
    <t>Engelberg</t>
  </si>
  <si>
    <t>OW</t>
  </si>
  <si>
    <t>Interlaken</t>
  </si>
  <si>
    <t>GR</t>
  </si>
  <si>
    <t>Chur</t>
  </si>
  <si>
    <t>Davos</t>
  </si>
  <si>
    <t>Disentis</t>
  </si>
  <si>
    <t>VS</t>
  </si>
  <si>
    <t>Gr. St. Bernhard</t>
  </si>
  <si>
    <t>Montana</t>
  </si>
  <si>
    <t>Sion</t>
  </si>
  <si>
    <t>Zermatt</t>
  </si>
  <si>
    <t>Schuls</t>
  </si>
  <si>
    <t>TI</t>
  </si>
  <si>
    <t>Locarno-Monti</t>
  </si>
  <si>
    <t>Lugano</t>
  </si>
  <si>
    <t>Robbia</t>
  </si>
  <si>
    <t xml:space="preserve">Vo = </t>
  </si>
  <si>
    <t>ja</t>
  </si>
  <si>
    <t>nein</t>
  </si>
  <si>
    <t>Zone</t>
  </si>
  <si>
    <t>MINERGIE</t>
  </si>
  <si>
    <t>Anzahl Zonen</t>
  </si>
  <si>
    <t>Deckungsgrad [%]</t>
  </si>
  <si>
    <t>Nutzungsgrad</t>
  </si>
  <si>
    <t>Wärmeerzeugung</t>
  </si>
  <si>
    <t>Holzfeuerung</t>
  </si>
  <si>
    <t>Photovoltaik</t>
  </si>
  <si>
    <t>Andere</t>
  </si>
  <si>
    <t>m2</t>
  </si>
  <si>
    <t>Solarenergie thermisch, Heizung</t>
  </si>
  <si>
    <t>Zusatzanforderungen</t>
  </si>
  <si>
    <t>Wärmeerzeugung A</t>
  </si>
  <si>
    <t>Wärmeerzeugung D</t>
  </si>
  <si>
    <t>Wärmeerzeugung C</t>
  </si>
  <si>
    <t>Wärmeerzeugung B</t>
  </si>
  <si>
    <t>Tag
B31</t>
  </si>
  <si>
    <t>oui</t>
  </si>
  <si>
    <t>non</t>
  </si>
  <si>
    <t>Gebäudekategorie</t>
  </si>
  <si>
    <t>MFH</t>
  </si>
  <si>
    <t>EFH</t>
  </si>
  <si>
    <t>Stand. Luftw.</t>
  </si>
  <si>
    <t>Lüftung Zone2:</t>
  </si>
  <si>
    <t>[MJ/m2a]</t>
  </si>
  <si>
    <t>[m2/P]</t>
  </si>
  <si>
    <t>(Tab links)</t>
  </si>
  <si>
    <t>Ventilatorantrieb mit</t>
  </si>
  <si>
    <t>Schule</t>
  </si>
  <si>
    <t>Index</t>
  </si>
  <si>
    <t>Dichtheit der Gebäudehülle</t>
  </si>
  <si>
    <t>Bemerkungen</t>
  </si>
  <si>
    <t>Wirkungsgrad Wärmerückgewinnung</t>
  </si>
  <si>
    <r>
      <t>h</t>
    </r>
    <r>
      <rPr>
        <vertAlign val="subscript"/>
        <sz val="8"/>
        <rFont val="Arial"/>
        <family val="2"/>
      </rPr>
      <t>WRG</t>
    </r>
  </si>
  <si>
    <t xml:space="preserve">Mittel </t>
  </si>
  <si>
    <t>AH</t>
  </si>
  <si>
    <t>Wärmeabgabe</t>
  </si>
  <si>
    <t>Heizkörper</t>
  </si>
  <si>
    <t>Luftheizung</t>
  </si>
  <si>
    <t>Lüftungsgerät mit Abluft-Wärmepumpe (keine Zuluft)</t>
  </si>
  <si>
    <t>Kreuzstrom</t>
  </si>
  <si>
    <t>Gegenstrom</t>
  </si>
  <si>
    <t>WRGtyp1</t>
  </si>
  <si>
    <t>WRGtyp2</t>
  </si>
  <si>
    <t>WRGtyp3</t>
  </si>
  <si>
    <t>Kompakt-WP ohne WRG, WW</t>
  </si>
  <si>
    <t>Kompakt-WP mit Zu- &amp; Abluft / WW plus WRG</t>
  </si>
  <si>
    <t>Komfortlüftung mit WRG</t>
  </si>
  <si>
    <t>Version geändert</t>
  </si>
  <si>
    <t>Auswahl Lüftung:</t>
  </si>
  <si>
    <t>WW-Bonus</t>
  </si>
  <si>
    <t xml:space="preserve">WWBonus: </t>
  </si>
  <si>
    <t>Mit Warmwasser ?</t>
  </si>
  <si>
    <t>Reihenfolge</t>
  </si>
  <si>
    <t>in Pulldown</t>
  </si>
  <si>
    <t>Wahl</t>
  </si>
  <si>
    <t>Luftheizung?</t>
  </si>
  <si>
    <t>Kühlung</t>
  </si>
  <si>
    <t>Kompakt-WP mit Zu- &amp; Abluft / WW ohne WRG (nur Heizung)</t>
  </si>
  <si>
    <t>Kompakt-WP mit Zu- &amp; Abluft / WW ohne WRG (nur WW)</t>
  </si>
  <si>
    <t>Lüftungsgerät mit Abluft / Zuluft - Wärmepumpe ohne WRG</t>
  </si>
  <si>
    <t>Lüftungsgerät mit Abluft / Zuluft - Wärmepumpe plus WRG</t>
  </si>
  <si>
    <t>Ab- / Zuluft-WP + WRG</t>
  </si>
  <si>
    <t>Ab- / Zuluft-WP ohne WRG</t>
  </si>
  <si>
    <t>Kompakt-WP + WRG</t>
  </si>
  <si>
    <t>Kompakt-WP ohne WRG, Heizteil</t>
  </si>
  <si>
    <t>für Minergie-A</t>
  </si>
  <si>
    <t>Minergie-A ?</t>
  </si>
  <si>
    <t>B38</t>
  </si>
  <si>
    <t>MINERGIE - A</t>
  </si>
  <si>
    <t>Graue Energie</t>
  </si>
  <si>
    <t>WKK - thermischer+elektr. Anteil</t>
  </si>
  <si>
    <t>E7</t>
  </si>
  <si>
    <t>E8</t>
  </si>
  <si>
    <t>E9</t>
  </si>
  <si>
    <t>E10</t>
  </si>
  <si>
    <t>E11</t>
  </si>
  <si>
    <t>E13</t>
  </si>
  <si>
    <t>E16</t>
  </si>
  <si>
    <t>E17</t>
  </si>
  <si>
    <t>E18</t>
  </si>
  <si>
    <t>E19</t>
  </si>
  <si>
    <t>E21</t>
  </si>
  <si>
    <t>E23</t>
  </si>
  <si>
    <t>E24</t>
  </si>
  <si>
    <t>E30</t>
  </si>
  <si>
    <t>E31</t>
  </si>
  <si>
    <t>E32</t>
  </si>
  <si>
    <t>E33</t>
  </si>
  <si>
    <t>E34</t>
  </si>
  <si>
    <t>E35</t>
  </si>
  <si>
    <t>N1</t>
  </si>
  <si>
    <t>N2</t>
  </si>
  <si>
    <t>N3</t>
  </si>
  <si>
    <t>N4</t>
  </si>
  <si>
    <t>N6</t>
  </si>
  <si>
    <t>N7</t>
  </si>
  <si>
    <t>N8</t>
  </si>
  <si>
    <t>N9</t>
  </si>
  <si>
    <t>N10</t>
  </si>
  <si>
    <t>N11</t>
  </si>
  <si>
    <t>N12</t>
  </si>
  <si>
    <t>N13</t>
  </si>
  <si>
    <t>N14</t>
  </si>
  <si>
    <t>N15</t>
  </si>
  <si>
    <t>N16</t>
  </si>
  <si>
    <t>N17</t>
  </si>
  <si>
    <t>N18</t>
  </si>
  <si>
    <t>N19</t>
  </si>
  <si>
    <t>N20</t>
  </si>
  <si>
    <t>N21</t>
  </si>
  <si>
    <t>N22</t>
  </si>
  <si>
    <t>N23</t>
  </si>
  <si>
    <t>N35</t>
  </si>
  <si>
    <t>N38</t>
  </si>
  <si>
    <t>N39</t>
  </si>
  <si>
    <t>N40</t>
  </si>
  <si>
    <t>N41</t>
  </si>
  <si>
    <t>E36</t>
  </si>
  <si>
    <t>Wallis</t>
  </si>
  <si>
    <t>Zug</t>
  </si>
  <si>
    <t>Zürich</t>
  </si>
  <si>
    <t>Thurgau</t>
  </si>
  <si>
    <t>Jura</t>
  </si>
  <si>
    <t>Neuenburg</t>
  </si>
  <si>
    <t>Grundwasser-WP, indir, Warmw.</t>
  </si>
  <si>
    <t>B37</t>
  </si>
  <si>
    <t>Berechnung mit Standardwerten zulässig</t>
  </si>
  <si>
    <t>Auswahl Standardwerte</t>
  </si>
  <si>
    <t>Gebäudekategorie gewählt</t>
  </si>
  <si>
    <t>Auswahl Standardwete darstellen</t>
  </si>
  <si>
    <t>Zone2:</t>
  </si>
  <si>
    <t>Zone3:</t>
  </si>
  <si>
    <t>Zone4:</t>
  </si>
  <si>
    <t>Graue Energie Eingabe [MJ/m2]</t>
  </si>
  <si>
    <t>Grenzwert:</t>
  </si>
  <si>
    <t>Externe Berechnung beilegen</t>
  </si>
  <si>
    <t>Schwyz</t>
  </si>
  <si>
    <t>Obwalden</t>
  </si>
  <si>
    <t>Nidwalden</t>
  </si>
  <si>
    <t>Uri</t>
  </si>
  <si>
    <t>Graubünden</t>
  </si>
  <si>
    <t>Tessin</t>
  </si>
  <si>
    <t>Wärmepumpe, Abwasser, nur Heizung</t>
  </si>
  <si>
    <t>Wärmepumpe, Abwasser, nur Warmwasser</t>
  </si>
  <si>
    <t>Wasser-Wärmepumpe, nur Heizung</t>
  </si>
  <si>
    <t>WKK (Holz) - thermischer + elektrischer Anteil</t>
  </si>
  <si>
    <t>WKK Holz - therm.+elektr. Anteil</t>
  </si>
  <si>
    <t>Einzelraumlüft.</t>
  </si>
  <si>
    <t>Auto Fensterl.</t>
  </si>
  <si>
    <t>Abluftanlage mit Aussenluftdurchlässen</t>
  </si>
  <si>
    <t>Externe Eingabe Ausenluftrate zulässig</t>
  </si>
  <si>
    <t>Externe Eingabe Strom Lüftung zulässig</t>
  </si>
  <si>
    <t>möglich?</t>
  </si>
  <si>
    <t>B14</t>
  </si>
  <si>
    <t>mit WW</t>
  </si>
  <si>
    <t>MIN mit WW?</t>
  </si>
  <si>
    <t>Kurztext:</t>
  </si>
  <si>
    <t>Verknüpfung Typenwahl</t>
  </si>
  <si>
    <t>Ölheizung kondensierend</t>
  </si>
  <si>
    <t>Ölfeuerung kondens. Warmwasser</t>
  </si>
  <si>
    <t>Gasheizung kondensierend</t>
  </si>
  <si>
    <t>Gas kondensierend Warmwasser</t>
  </si>
  <si>
    <t>Luft-Wärmepumpe, Heizung</t>
  </si>
  <si>
    <t>Luft-Wärmepumpe, Warmwasser</t>
  </si>
  <si>
    <t>Klimazuschlag</t>
  </si>
  <si>
    <t xml:space="preserve">Lüftung: </t>
  </si>
  <si>
    <t>Bemerkung (Kurzform)</t>
  </si>
  <si>
    <t>typ1:</t>
  </si>
  <si>
    <t>typ2:</t>
  </si>
  <si>
    <t>Abluftanlage mit Abluftwärmepumpe</t>
  </si>
  <si>
    <t>N24</t>
  </si>
  <si>
    <t>Wärmeabgabesystem</t>
  </si>
  <si>
    <t>Neu-/Umbau</t>
  </si>
  <si>
    <t>Strombedarf Hilfsbetriebe</t>
  </si>
  <si>
    <t>B39</t>
  </si>
  <si>
    <t>B19</t>
  </si>
  <si>
    <t>Gebäudedaten</t>
  </si>
  <si>
    <t>Summe</t>
  </si>
  <si>
    <t>Industrie</t>
  </si>
  <si>
    <t>(Mittel)</t>
  </si>
  <si>
    <t>EBF</t>
  </si>
  <si>
    <t>Anforderung</t>
  </si>
  <si>
    <t>Strombedarf Lüftungsanlage</t>
  </si>
  <si>
    <t>B25</t>
  </si>
  <si>
    <t>Biomasse, eingebunden</t>
  </si>
  <si>
    <t>Biomasse, hydraulisch eingebunden</t>
  </si>
  <si>
    <t>Minergie-A</t>
  </si>
  <si>
    <t>Biomasse, hydr.</t>
  </si>
  <si>
    <t>therm. Solar</t>
  </si>
  <si>
    <t>Therm. Solar</t>
  </si>
  <si>
    <t>Deckungsgrad Heizung Solar</t>
  </si>
  <si>
    <t>Deckungsgrad WW Solar</t>
  </si>
  <si>
    <t xml:space="preserve">Total:  </t>
  </si>
  <si>
    <t xml:space="preserve">Minimalwert:  </t>
  </si>
  <si>
    <t xml:space="preserve">Minergie-A-Grenzwert erhöht?  </t>
  </si>
  <si>
    <t>Deckungsgrad Heizung Biomasse</t>
  </si>
  <si>
    <t>Deckungsgrad WW Biomasse</t>
  </si>
  <si>
    <t>Deckungsgrad Biomasse hydr.</t>
  </si>
  <si>
    <t>Deckungsgrad Solar WW+Heiz</t>
  </si>
  <si>
    <t>Strom Klima + Hilfsbetriebe</t>
  </si>
  <si>
    <t>B31</t>
  </si>
  <si>
    <t>Lüftung-Klima-Kälteanlagen</t>
  </si>
  <si>
    <t>Bauteilheizung</t>
  </si>
  <si>
    <t>Kombination</t>
  </si>
  <si>
    <t>System:</t>
  </si>
  <si>
    <t>Bodenheizung</t>
  </si>
  <si>
    <t>Deckenheiz.</t>
  </si>
  <si>
    <t>Grundwasser-WP direkt, Heizung</t>
  </si>
  <si>
    <t>Grundwasser-WP dir. Warmwasser</t>
  </si>
  <si>
    <t>Solarenergie therm. Warmwasser</t>
  </si>
  <si>
    <t>Solarenergie Heizung + WW</t>
  </si>
  <si>
    <t>kWh/m2</t>
  </si>
  <si>
    <t>ww</t>
  </si>
  <si>
    <t>heiz</t>
  </si>
  <si>
    <t>1=Ja</t>
  </si>
  <si>
    <t>WRG mit WP bei Lüftung, WRG aus Badwasser</t>
  </si>
  <si>
    <t>Auswahl Venti-Antrieb der Standardlüftung</t>
  </si>
  <si>
    <t>Datum</t>
  </si>
  <si>
    <t>geprüft durch</t>
  </si>
  <si>
    <r>
      <t>A</t>
    </r>
    <r>
      <rPr>
        <vertAlign val="subscript"/>
        <sz val="8"/>
        <rFont val="Arial"/>
        <family val="2"/>
      </rPr>
      <t>th</t>
    </r>
    <r>
      <rPr>
        <sz val="8"/>
        <rFont val="Arial"/>
        <family val="2"/>
      </rPr>
      <t>/A</t>
    </r>
    <r>
      <rPr>
        <vertAlign val="subscript"/>
        <sz val="8"/>
        <rFont val="Arial"/>
        <family val="2"/>
      </rPr>
      <t>E</t>
    </r>
  </si>
  <si>
    <r>
      <t>V'/A</t>
    </r>
    <r>
      <rPr>
        <vertAlign val="subscript"/>
        <sz val="8"/>
        <rFont val="Arial"/>
        <family val="2"/>
      </rPr>
      <t>E</t>
    </r>
  </si>
  <si>
    <t>Angabe fehlt</t>
  </si>
  <si>
    <t>Thermisch wirksame Aussenluftrate</t>
  </si>
  <si>
    <t>Grenzwerte:</t>
  </si>
  <si>
    <t>Calcul externe annexé</t>
  </si>
  <si>
    <t>Donnée manque</t>
  </si>
  <si>
    <t>Remarque: dans la feuille 'Entrée' une installation de ventilation avec PAC intégrée a été choisie</t>
  </si>
  <si>
    <t>Taux de couverture trop haut</t>
  </si>
  <si>
    <t>Chauffage choisi</t>
  </si>
  <si>
    <t>Eau chaude choisie</t>
  </si>
  <si>
    <t>Calcul annexé</t>
  </si>
  <si>
    <t>Choisir un chauffage électrique complémentaire de l'ECS</t>
  </si>
  <si>
    <t>Primäranforderungen</t>
  </si>
  <si>
    <t>Minergie</t>
  </si>
  <si>
    <t>Spezial</t>
  </si>
  <si>
    <t>A125</t>
  </si>
  <si>
    <t>B21</t>
  </si>
  <si>
    <t>B23</t>
  </si>
  <si>
    <t>B24</t>
  </si>
  <si>
    <t>WWSoll</t>
  </si>
  <si>
    <t>Nenn-Luftvolumenstrom</t>
  </si>
  <si>
    <t>Massgebender Grenzwert</t>
  </si>
  <si>
    <t>Zone 1</t>
  </si>
  <si>
    <t>Zone 2</t>
  </si>
  <si>
    <t xml:space="preserve">  </t>
  </si>
  <si>
    <t>Argovie</t>
  </si>
  <si>
    <t>Appenzell Rhodes-Intérieures</t>
  </si>
  <si>
    <t>Berne</t>
  </si>
  <si>
    <t>Bâle-Campagne</t>
  </si>
  <si>
    <t>Bâle-Ville</t>
  </si>
  <si>
    <t>Glaris</t>
  </si>
  <si>
    <t>Lucerne</t>
  </si>
  <si>
    <t>Nidwald</t>
  </si>
  <si>
    <t>Obwald</t>
  </si>
  <si>
    <t>St-Gall</t>
  </si>
  <si>
    <t>Schaffhouse</t>
  </si>
  <si>
    <t>Soleure</t>
  </si>
  <si>
    <t>Schwytz</t>
  </si>
  <si>
    <t>Thurgovie</t>
  </si>
  <si>
    <t>Vaud</t>
  </si>
  <si>
    <t>Valais</t>
  </si>
  <si>
    <t>Zoug</t>
  </si>
  <si>
    <t>Zurich</t>
  </si>
  <si>
    <t>Principauté du Liechtenstein</t>
  </si>
  <si>
    <t>spécial</t>
  </si>
  <si>
    <t>Aération avec PAC air repris/fourni et récup. de chaleur</t>
  </si>
  <si>
    <t>Aération avec PAC air repris/fourni sans récup. de chaleur</t>
  </si>
  <si>
    <t>Aération air repris avec PAC (sans air fourni)</t>
  </si>
  <si>
    <t>m3/hm2</t>
  </si>
  <si>
    <t>m3/h</t>
  </si>
  <si>
    <t>m3/m2h</t>
  </si>
  <si>
    <t xml:space="preserve"> kWh/m2</t>
  </si>
  <si>
    <t>PAC air fourni/repris avec récup. de chaleur</t>
  </si>
  <si>
    <t>PAC air fourni/repris sans récup. de chaleur</t>
  </si>
  <si>
    <t>PAC air repris sans air fourni</t>
  </si>
  <si>
    <t>PAC compacte avec récup. de chaleur</t>
  </si>
  <si>
    <t>PAC compacte sans récup. de chaleur, chauffage</t>
  </si>
  <si>
    <t>G56</t>
  </si>
  <si>
    <t>Klima nach SIA 2028</t>
  </si>
  <si>
    <t>Adelboden</t>
  </si>
  <si>
    <t>Aigle</t>
  </si>
  <si>
    <t>Bern  Liebefeld</t>
  </si>
  <si>
    <t>Buchs Aarau</t>
  </si>
  <si>
    <t>Güttingen</t>
  </si>
  <si>
    <t>La Chaux-de-Fonds</t>
  </si>
  <si>
    <t>La Frêtaz</t>
  </si>
  <si>
    <t>Magadino</t>
  </si>
  <si>
    <t>Payerne</t>
  </si>
  <si>
    <t>Piotta</t>
  </si>
  <si>
    <t>Pully</t>
  </si>
  <si>
    <t>Rünenberg</t>
  </si>
  <si>
    <t>Samedan</t>
  </si>
  <si>
    <t>San Bernardino</t>
  </si>
  <si>
    <t>Ulrichen</t>
  </si>
  <si>
    <t>Vaduz</t>
  </si>
  <si>
    <t>Wynau</t>
  </si>
  <si>
    <t>Zürich-Kloten</t>
  </si>
  <si>
    <t>Aargau</t>
  </si>
  <si>
    <t>Appenzell Innerrhoden</t>
  </si>
  <si>
    <t>Appenzell Ausserrhoden</t>
  </si>
  <si>
    <t>Basel Land</t>
  </si>
  <si>
    <t>Basel Stadt</t>
  </si>
  <si>
    <t>Waadt</t>
  </si>
  <si>
    <t>Fürstentum Liechtenstein</t>
  </si>
  <si>
    <t>Kanton:</t>
  </si>
  <si>
    <t>BS</t>
  </si>
  <si>
    <t>FL</t>
  </si>
  <si>
    <t>Blatt</t>
  </si>
  <si>
    <t>Zelle</t>
  </si>
  <si>
    <t>Standardwerte</t>
  </si>
  <si>
    <t>Choisir "Aération avec PAC air repris/fourni avec récup. de chaleur" ou PAC compacte avec air fourni/repris et ECS avec récup. de chaleur"</t>
  </si>
  <si>
    <t>Apport annuel net par kWp (valeur standard)</t>
  </si>
  <si>
    <t xml:space="preserve">Zone1: </t>
  </si>
  <si>
    <t xml:space="preserve">Zone2: </t>
  </si>
  <si>
    <t xml:space="preserve">Zone3: </t>
  </si>
  <si>
    <t xml:space="preserve">Zone4: </t>
  </si>
  <si>
    <t>Wechselstrom - Motor</t>
  </si>
  <si>
    <t>Gleichstrom/EC - Motor</t>
  </si>
  <si>
    <t>Rotations-WT</t>
  </si>
  <si>
    <t>Kategorie</t>
  </si>
  <si>
    <t>Kategorie:</t>
  </si>
  <si>
    <t>Standard-Lüftungsanlagentyp</t>
  </si>
  <si>
    <t xml:space="preserve">Zone1 = </t>
  </si>
  <si>
    <t xml:space="preserve">Zone2 = </t>
  </si>
  <si>
    <t xml:space="preserve">Zone3 = </t>
  </si>
  <si>
    <t xml:space="preserve">Zone4 = </t>
  </si>
  <si>
    <t>Auswahl Pulldown:</t>
  </si>
  <si>
    <t>Lüftung Zone1:</t>
  </si>
  <si>
    <t>Personenfläche</t>
  </si>
  <si>
    <t>Lüftung</t>
  </si>
  <si>
    <t>AC-Motor</t>
  </si>
  <si>
    <t>DC/EC-Motor</t>
  </si>
  <si>
    <t>kein Ventilator</t>
  </si>
  <si>
    <t>(Heizung + Warmwasser)</t>
  </si>
  <si>
    <t>Klimastation + Nutzungen</t>
  </si>
  <si>
    <t xml:space="preserve">Total/Mittel </t>
  </si>
  <si>
    <t>Aussenluftvolumenstrom durch Gebäudehülle</t>
  </si>
  <si>
    <t>Neubau</t>
  </si>
  <si>
    <t>Altbau</t>
  </si>
  <si>
    <t>MINERGIE-P</t>
  </si>
  <si>
    <t xml:space="preserve">Zone 1  </t>
  </si>
  <si>
    <t xml:space="preserve">Zone 2  </t>
  </si>
  <si>
    <t xml:space="preserve">Zone 3  </t>
  </si>
  <si>
    <t xml:space="preserve">Zone 4  </t>
  </si>
  <si>
    <t>Grenzwert</t>
  </si>
  <si>
    <t>Heizleist.qh</t>
  </si>
  <si>
    <t>max. spez.</t>
  </si>
  <si>
    <t>Betriebszeit</t>
  </si>
  <si>
    <t>Minergie-P ?</t>
  </si>
  <si>
    <t>Auswahl Minergie oder Minergie-P</t>
  </si>
  <si>
    <t>Minergie-P</t>
  </si>
  <si>
    <t>möglich ?</t>
  </si>
  <si>
    <t>Wahl Warmwasser auf "Eingaben"</t>
  </si>
  <si>
    <t>Text:</t>
  </si>
  <si>
    <t>Logik:</t>
  </si>
  <si>
    <t>Liste:</t>
  </si>
  <si>
    <t>Qww</t>
  </si>
  <si>
    <t>Qww*EBF</t>
  </si>
  <si>
    <t>Qww, Mittel</t>
  </si>
  <si>
    <t>kWh</t>
  </si>
  <si>
    <t>WW-Reduktion</t>
  </si>
  <si>
    <t>Auswahl, ob Nutzungszone mit Warmwasser gerechnet wird.</t>
  </si>
  <si>
    <t>Warmwasser in Erzeugung</t>
  </si>
  <si>
    <t>erfüllt</t>
  </si>
  <si>
    <t>nicht erfüllt</t>
  </si>
  <si>
    <t>E27</t>
  </si>
  <si>
    <t>Einfache Berechnung zulässig</t>
  </si>
  <si>
    <t>Plausibilität und Meldungen auf Blatt "Eingaben"</t>
  </si>
  <si>
    <t>Lüftung:</t>
  </si>
  <si>
    <t>Klima:</t>
  </si>
  <si>
    <t>Zusatzanforderungen:</t>
  </si>
  <si>
    <t>Kategorien:</t>
  </si>
  <si>
    <t>Übertrag</t>
  </si>
  <si>
    <t>total:</t>
  </si>
  <si>
    <t>Klimazuschlag   [kWh/m2]</t>
  </si>
  <si>
    <t>Therm. Aussenluftvolumenstrom</t>
  </si>
  <si>
    <t>Wahl Wärmeerzeugung:</t>
  </si>
  <si>
    <t>Deckungsgrad</t>
  </si>
  <si>
    <t>Total:</t>
  </si>
  <si>
    <t>oder JAZ</t>
  </si>
  <si>
    <t>[kWh/m2]</t>
  </si>
  <si>
    <t>MINERGIE (neu)</t>
  </si>
  <si>
    <t>MINERGIE (alt)</t>
  </si>
  <si>
    <t>Beleuchtung</t>
  </si>
  <si>
    <t>Zusatzanforderung</t>
  </si>
  <si>
    <t>Auswahl</t>
  </si>
  <si>
    <t>Ausgewählte Kategorien</t>
  </si>
  <si>
    <t>Zusatzanforderung erfüllt?</t>
  </si>
  <si>
    <t>Übertrag weitere Wärmeerzeugungen</t>
  </si>
  <si>
    <t>Heizwärmebedarf mit Standardluftwechsel</t>
  </si>
  <si>
    <r>
      <t>Q</t>
    </r>
    <r>
      <rPr>
        <vertAlign val="subscript"/>
        <sz val="8"/>
        <rFont val="Arial"/>
        <family val="2"/>
      </rPr>
      <t>e,L</t>
    </r>
  </si>
  <si>
    <r>
      <t>Q</t>
    </r>
    <r>
      <rPr>
        <vertAlign val="subscript"/>
        <sz val="8"/>
        <rFont val="Arial"/>
        <family val="2"/>
      </rPr>
      <t>e,K</t>
    </r>
  </si>
  <si>
    <t>B44</t>
  </si>
  <si>
    <t>Nachweis</t>
  </si>
  <si>
    <t>WKK (fossil) - thermischer + elektrischer Anteil</t>
  </si>
  <si>
    <t>keine</t>
  </si>
  <si>
    <t>Pulldown:</t>
  </si>
  <si>
    <t>L7</t>
  </si>
  <si>
    <r>
      <t>Q</t>
    </r>
    <r>
      <rPr>
        <vertAlign val="subscript"/>
        <sz val="8"/>
        <rFont val="Arial"/>
        <family val="2"/>
      </rPr>
      <t>h,korr</t>
    </r>
  </si>
  <si>
    <t>Schulnutzung</t>
  </si>
  <si>
    <t>Verkaufsnutzung</t>
  </si>
  <si>
    <t>Bueronutzung</t>
  </si>
  <si>
    <t xml:space="preserve"> - bei laufender Lüftungsanlage:</t>
  </si>
  <si>
    <t xml:space="preserve"> - bei stillstehender Lüftungsanlage:</t>
  </si>
  <si>
    <t>Zone1</t>
  </si>
  <si>
    <t>Standard-Luftwechsel:</t>
  </si>
  <si>
    <t>Klimastation:</t>
  </si>
  <si>
    <t>XII</t>
  </si>
  <si>
    <t>Kurztext</t>
  </si>
  <si>
    <r>
      <t>EBF</t>
    </r>
    <r>
      <rPr>
        <vertAlign val="subscript"/>
        <sz val="8"/>
        <rFont val="Arial"/>
        <family val="2"/>
      </rPr>
      <t>0</t>
    </r>
  </si>
  <si>
    <t>[m3/m2/h]</t>
  </si>
  <si>
    <t>Lüftung Zone3:</t>
  </si>
  <si>
    <t>ungewichtet</t>
  </si>
  <si>
    <t>gewichtet</t>
  </si>
  <si>
    <t>Solaranlagen</t>
  </si>
  <si>
    <t>WKK</t>
  </si>
  <si>
    <t>Wärme</t>
  </si>
  <si>
    <t>Endenergie</t>
  </si>
  <si>
    <t>Strom</t>
  </si>
  <si>
    <t>Farbe Deckungsgrad</t>
  </si>
  <si>
    <t>Stromprod.</t>
  </si>
  <si>
    <t>Standard</t>
  </si>
  <si>
    <t>max.</t>
  </si>
  <si>
    <t>heiz+ww</t>
  </si>
  <si>
    <t>nur</t>
  </si>
  <si>
    <t>Fehler /</t>
  </si>
  <si>
    <t>Eingabe</t>
  </si>
  <si>
    <t>Rechenwert</t>
  </si>
  <si>
    <t>Heiz</t>
  </si>
  <si>
    <t>WW</t>
  </si>
  <si>
    <t>Nutzungsg.</t>
  </si>
  <si>
    <t>max. Nutzun.</t>
  </si>
  <si>
    <t>Deckungsgrad total:</t>
  </si>
  <si>
    <t>.</t>
  </si>
  <si>
    <r>
      <rPr>
        <b/>
        <sz val="10"/>
        <color indexed="9"/>
        <rFont val="Symbol"/>
        <family val="1"/>
        <charset val="2"/>
      </rPr>
      <t>h</t>
    </r>
    <r>
      <rPr>
        <b/>
        <sz val="10"/>
        <color indexed="9"/>
        <rFont val="Arial"/>
        <family val="2"/>
      </rPr>
      <t xml:space="preserve"> max</t>
    </r>
  </si>
  <si>
    <t>Text 1</t>
  </si>
  <si>
    <t>Text 2</t>
  </si>
  <si>
    <t>Nutzungsgrad elektrisch (Berechnung beilegen)</t>
  </si>
  <si>
    <t>Absorberfläche [m2]</t>
  </si>
  <si>
    <t>Netto-Ertrag pro m2 Absorberfläche  [kWh/m2]</t>
  </si>
  <si>
    <t>Nennleistung [kWp]</t>
  </si>
  <si>
    <t>Nr</t>
  </si>
  <si>
    <t>Energienachweis</t>
  </si>
  <si>
    <t>Rechnerische Lösung</t>
  </si>
  <si>
    <t>Beilagen (alle Beilagen der linken Spalte einreichen)</t>
  </si>
  <si>
    <t>Zutreffendes ankreuzen</t>
  </si>
  <si>
    <t>Externe Berechnung der Kälteanlage</t>
  </si>
  <si>
    <t xml:space="preserve">                Schema der Lüftung</t>
  </si>
  <si>
    <t>Unterschriften</t>
  </si>
  <si>
    <t xml:space="preserve"> Nachweis erarbeitet durch:</t>
  </si>
  <si>
    <t xml:space="preserve"> Nachweisprüfung / Private Kontrolle:</t>
  </si>
  <si>
    <t xml:space="preserve"> Die Richtigkeit bescheinigt</t>
  </si>
  <si>
    <t>Name und Adresse</t>
  </si>
  <si>
    <t>bzw. Firmenstempel</t>
  </si>
  <si>
    <t>Sachbearbeiter/-in, Tel.:</t>
  </si>
  <si>
    <t>Ort, Datum, Unterschrift:</t>
  </si>
  <si>
    <t>Ausführungskontrolle:</t>
  </si>
  <si>
    <t xml:space="preserve">                Pläne 1:100 mit Bezeichnung der Bauteile, Situation, Details</t>
  </si>
  <si>
    <t>Externe Berechnung</t>
  </si>
  <si>
    <t xml:space="preserve">                Schema Heizung und Lüftung</t>
  </si>
  <si>
    <t>Schema Heizung und Lüftung</t>
  </si>
  <si>
    <t>Externe Berechnungen und Datenblätter</t>
  </si>
  <si>
    <t>x</t>
  </si>
  <si>
    <t>Nutzungsgrad / JAZ</t>
  </si>
  <si>
    <t>Gleiche Person</t>
  </si>
  <si>
    <t>oder:</t>
  </si>
  <si>
    <t>Zugeführte Elektrizität (ungewichtet)</t>
  </si>
  <si>
    <t>Zugeführte Energie (ohne Strom, gewichtet)</t>
  </si>
  <si>
    <t>Versammlungslokale</t>
  </si>
  <si>
    <t>MUKEN</t>
  </si>
  <si>
    <t>Höhenkorrektur</t>
  </si>
  <si>
    <t>mit</t>
  </si>
  <si>
    <r>
      <t>EBF</t>
    </r>
    <r>
      <rPr>
        <vertAlign val="subscript"/>
        <sz val="9"/>
        <rFont val="Arial"/>
        <family val="2"/>
      </rPr>
      <t>MUKEN</t>
    </r>
  </si>
  <si>
    <t>ohne Warmwasser falls abgewählt</t>
  </si>
  <si>
    <r>
      <t>qh</t>
    </r>
    <r>
      <rPr>
        <vertAlign val="subscript"/>
        <sz val="9"/>
        <rFont val="Arial"/>
        <family val="2"/>
      </rPr>
      <t>MUKEN</t>
    </r>
  </si>
  <si>
    <r>
      <t>qw</t>
    </r>
    <r>
      <rPr>
        <vertAlign val="subscript"/>
        <sz val="9"/>
        <rFont val="Arial"/>
        <family val="2"/>
      </rPr>
      <t>MUKEN</t>
    </r>
  </si>
  <si>
    <t>kWh/m2  (Klimastationen in gleicher Reihenfolge wie oben)</t>
  </si>
  <si>
    <t>Klimakorrektur MUKEN 2014:</t>
  </si>
  <si>
    <t>Rest,</t>
  </si>
  <si>
    <t>Versamml.</t>
  </si>
  <si>
    <t>Spital</t>
  </si>
  <si>
    <t>Sport</t>
  </si>
  <si>
    <t>Hallenbad</t>
  </si>
  <si>
    <t xml:space="preserve">Gemeinde:             </t>
  </si>
  <si>
    <t xml:space="preserve">Bauvorhaben:            </t>
  </si>
  <si>
    <t xml:space="preserve">Geb.-Nr.:  </t>
  </si>
  <si>
    <t xml:space="preserve">Parz.-Nr.:  </t>
  </si>
  <si>
    <t>20% erneuerb.</t>
  </si>
  <si>
    <t>N25</t>
  </si>
  <si>
    <t>Einheiten</t>
  </si>
  <si>
    <t>max.m2</t>
  </si>
  <si>
    <t>Kleinanlagen</t>
  </si>
  <si>
    <t>Ja/Nein</t>
  </si>
  <si>
    <t>keine Lüftung</t>
  </si>
  <si>
    <t>Lüftung+WRG</t>
  </si>
  <si>
    <t>keine Lüftungsanlage</t>
  </si>
  <si>
    <t>Lüftung ohne WRG</t>
  </si>
  <si>
    <t>Lüftung+WP</t>
  </si>
  <si>
    <t>Abluft - WP</t>
  </si>
  <si>
    <t>Zu- / Abluft</t>
  </si>
  <si>
    <t>nur Abluft</t>
  </si>
  <si>
    <t>Luftwechsel</t>
  </si>
  <si>
    <t>h/a</t>
  </si>
  <si>
    <t>Nennluft/Einheit</t>
  </si>
  <si>
    <t>v min</t>
  </si>
  <si>
    <t>Motor</t>
  </si>
  <si>
    <t>AC/EC-Motor:</t>
  </si>
  <si>
    <t>Strombedarf Standardlüftung</t>
  </si>
  <si>
    <t>Laufzeit Standardlüftung</t>
  </si>
  <si>
    <r>
      <t>Q</t>
    </r>
    <r>
      <rPr>
        <vertAlign val="subscript"/>
        <sz val="8"/>
        <rFont val="Arial"/>
        <family val="2"/>
      </rPr>
      <t>el</t>
    </r>
  </si>
  <si>
    <t>WT der Standardlüftung</t>
  </si>
  <si>
    <t>( aus SIA 380/1 )</t>
  </si>
  <si>
    <t>Art des Nachweises</t>
  </si>
  <si>
    <t>behördlicher Nachweis</t>
  </si>
  <si>
    <t>MINERGIE-A</t>
  </si>
  <si>
    <t xml:space="preserve">Gebäudestandort: </t>
  </si>
  <si>
    <t xml:space="preserve">Art des Nachweises: </t>
  </si>
  <si>
    <t>Restaurant</t>
  </si>
  <si>
    <t>Vers.-Lokal</t>
  </si>
  <si>
    <t>Fehler:</t>
  </si>
  <si>
    <t>fehlende Eingabe</t>
  </si>
  <si>
    <t>falsche Eingabe</t>
  </si>
  <si>
    <t xml:space="preserve">Angaben bei Standard-Lüftungsanlagen </t>
  </si>
  <si>
    <r>
      <t>Q</t>
    </r>
    <r>
      <rPr>
        <vertAlign val="subscript"/>
        <sz val="8"/>
        <rFont val="Arial"/>
        <family val="2"/>
      </rPr>
      <t>h,eff</t>
    </r>
  </si>
  <si>
    <t>Canton:</t>
  </si>
  <si>
    <t>H13</t>
  </si>
  <si>
    <t>Sprache:</t>
  </si>
  <si>
    <t>Calcul externe</t>
  </si>
  <si>
    <t>K1</t>
  </si>
  <si>
    <t>G2</t>
  </si>
  <si>
    <t>G3</t>
  </si>
  <si>
    <t>G4</t>
  </si>
  <si>
    <t>B7</t>
  </si>
  <si>
    <t>H7</t>
  </si>
  <si>
    <t>H14</t>
  </si>
  <si>
    <t>B8</t>
  </si>
  <si>
    <t>B13</t>
  </si>
  <si>
    <t>E14</t>
  </si>
  <si>
    <t>G13</t>
  </si>
  <si>
    <t>B15</t>
  </si>
  <si>
    <t>B16</t>
  </si>
  <si>
    <t>B17</t>
  </si>
  <si>
    <t>Y47</t>
  </si>
  <si>
    <t>Y48</t>
  </si>
  <si>
    <t>Y49</t>
  </si>
  <si>
    <t>Y50</t>
  </si>
  <si>
    <t>AA47</t>
  </si>
  <si>
    <t>AA48</t>
  </si>
  <si>
    <t>A108</t>
  </si>
  <si>
    <t>H15</t>
  </si>
  <si>
    <t>K15</t>
  </si>
  <si>
    <t>K16</t>
  </si>
  <si>
    <t>B27</t>
  </si>
  <si>
    <t>B28</t>
  </si>
  <si>
    <t>B29</t>
  </si>
  <si>
    <t>B30</t>
  </si>
  <si>
    <t>Räume mit Zuluft oder Anzahl Personen</t>
  </si>
  <si>
    <t>B32</t>
  </si>
  <si>
    <t>B42</t>
  </si>
  <si>
    <t>B41</t>
  </si>
  <si>
    <t>B40</t>
  </si>
  <si>
    <t>J114</t>
  </si>
  <si>
    <t>J115</t>
  </si>
  <si>
    <t>J116</t>
  </si>
  <si>
    <t>J117</t>
  </si>
  <si>
    <t>B43</t>
  </si>
  <si>
    <t>B45</t>
  </si>
  <si>
    <t>B46</t>
  </si>
  <si>
    <t>Tag
B39</t>
  </si>
  <si>
    <t>Tag
B45</t>
  </si>
  <si>
    <t>Tag
B46</t>
  </si>
  <si>
    <t>Resultate aus externer Berechnung, z.B. externes Lüftungsblatt, in diesem Abschnitt einfügen.
Zwingende Eingabe bei Klimaanlagen.</t>
  </si>
  <si>
    <t>Tag
B38</t>
  </si>
  <si>
    <t>Tag
B19</t>
  </si>
  <si>
    <t>Restaurants, Sportbauten und Hallenbäder sind immer ohne Warmwasser zu berechnen.
EFH, MFH und Spitäler sind immer mit Warmwasser  zu berechnen.
Verwaltung, Schule, Verkauf, Versammlungslokale, Industrie und Lager können ohne Warmwasser berechnet werden unter der Bedingung, dass kein WW - Verteilsystem vorhanden ist (z.B. nur kleine Einzelboiler in Putzräumen in Schulen).</t>
  </si>
  <si>
    <t>Tag
B17</t>
  </si>
  <si>
    <t>Tag
B21</t>
  </si>
  <si>
    <t>Tag
B27</t>
  </si>
  <si>
    <t>Lüftungsanlagen:
Falls bei den Kleinanlagen mit Standardwerten "Ja" angewählt wird, so wird eine stark vereinfachte Lüftungsberechnung durchgeführt. Dies ist nur zulässig bei Nutzungen EFH und MFH bis 2'000 m2 oder bei Verwaltung und Schulen bis 1'000 m2.
Für alle übrigen Fälle ist eine externe Berechnung durchzuführen und in der Rubrik "Externe Berechnung" einzutragen.</t>
  </si>
  <si>
    <t>Eingabe nur bei Nutzungen EFH und MFH bis 2'000 m2 oder bei Verwaltung und Schulen bis 1'000 m2 möglich.</t>
  </si>
  <si>
    <t>Tag
B30</t>
  </si>
  <si>
    <t>Auswahl der Lüftung:-
- kein Lüftung:      keine mechanische Lüftungsanlage
- Zu- / Abluft:       Zu- und Abluftanlage ohne Wärmerückgewinnung
- Lüft. + WRG:      Zu- und Abluftanlage mit Wärmerückgewinnung
- Lüft. + WP:        Zu- und Abluftanlage mit Abluftwärmepumpe
- Abluft:               Abluftanlage ohne Wärmerückgewinnung
- Abluft + WP:      Abluftanlage mit Abluftwärmepumpe
- Einzelraumlüf:    Einzelraumlüftung mit Wärmerückgewinnung
- Auto Fensterl:    Automatische Fensterlüftung</t>
  </si>
  <si>
    <t>Tag
B32</t>
  </si>
  <si>
    <t>Anzahl Räume mit Zuluft:
Nur bei Wohnnutzung (EFH oder MFH) erforderliche Eingabe
Anzahl Personen (total pro Zone):
Eingabe bei Verwaltung oder Schulen erforderlich.
Wird für die Berechnung der Zuluftmenge verwendet.</t>
  </si>
  <si>
    <t>Eingabe bei Kleinanlagen mit Standardwerten:
Typ der Wärmerückgewinnung wird für die Berechnung des WRG-Wirkungsgrades verwendet. Je nach Wahl
des Lüftungsgerätes stehen folgende WRG-Arten
zur Auswahl:
- Keine Wärmerückgewinnung
- Kreuzstrom-Wärmetauscher
- Gegenstrom-Wärmetauscher
- Rotations-Wärmetauscher</t>
  </si>
  <si>
    <t>Tag
B34</t>
  </si>
  <si>
    <t>Eingabe bei Kleinanlagen mit Standardwerten:
Verwendete Motoren für die Lüftungsventilatoren: Wechselstrom (AC) oder Gleichstrom (DC)</t>
  </si>
  <si>
    <t>Tag
B35</t>
  </si>
  <si>
    <t>AF40</t>
  </si>
  <si>
    <t>AF41</t>
  </si>
  <si>
    <t>Primäranforde- rung nicht erf.</t>
  </si>
  <si>
    <t>K24</t>
  </si>
  <si>
    <t>Anforderung 2 nicht erfüllt</t>
  </si>
  <si>
    <t>BC37</t>
  </si>
  <si>
    <t>BC38</t>
  </si>
  <si>
    <t>BC39</t>
  </si>
  <si>
    <t>BC40</t>
  </si>
  <si>
    <t>BC41</t>
  </si>
  <si>
    <t>BC42</t>
  </si>
  <si>
    <t>BC43</t>
  </si>
  <si>
    <t>BC44</t>
  </si>
  <si>
    <t>BC45</t>
  </si>
  <si>
    <t>BC46</t>
  </si>
  <si>
    <t>BC47</t>
  </si>
  <si>
    <t>BC48</t>
  </si>
  <si>
    <t>O36</t>
  </si>
  <si>
    <t>O37</t>
  </si>
  <si>
    <t>O38</t>
  </si>
  <si>
    <t>O39</t>
  </si>
  <si>
    <t>O40</t>
  </si>
  <si>
    <t>O41</t>
  </si>
  <si>
    <t>O42</t>
  </si>
  <si>
    <t>O43</t>
  </si>
  <si>
    <t>N55</t>
  </si>
  <si>
    <t>N56</t>
  </si>
  <si>
    <t>N57</t>
  </si>
  <si>
    <t>N58</t>
  </si>
  <si>
    <t>N59</t>
  </si>
  <si>
    <t>AB47</t>
  </si>
  <si>
    <t>AB48</t>
  </si>
  <si>
    <t>B48</t>
  </si>
  <si>
    <t>C48</t>
  </si>
  <si>
    <t>G48</t>
  </si>
  <si>
    <t>G49</t>
  </si>
  <si>
    <t>B51</t>
  </si>
  <si>
    <t>B52</t>
  </si>
  <si>
    <t>B55</t>
  </si>
  <si>
    <t>B56</t>
  </si>
  <si>
    <t>B58</t>
  </si>
  <si>
    <t>B57</t>
  </si>
  <si>
    <t>B60</t>
  </si>
  <si>
    <t>B61</t>
  </si>
  <si>
    <t>C60</t>
  </si>
  <si>
    <t>F60</t>
  </si>
  <si>
    <t>D38</t>
  </si>
  <si>
    <t>W109</t>
  </si>
  <si>
    <t>W110</t>
  </si>
  <si>
    <t>W111</t>
  </si>
  <si>
    <t>W112</t>
  </si>
  <si>
    <t>W113</t>
  </si>
  <si>
    <t>W114</t>
  </si>
  <si>
    <t>W115</t>
  </si>
  <si>
    <t>W116</t>
  </si>
  <si>
    <t>W117</t>
  </si>
  <si>
    <t>W118</t>
  </si>
  <si>
    <t>W119</t>
  </si>
  <si>
    <t>W120</t>
  </si>
  <si>
    <t>W121</t>
  </si>
  <si>
    <t>W122</t>
  </si>
  <si>
    <t>W123</t>
  </si>
  <si>
    <t>W124</t>
  </si>
  <si>
    <t>W125</t>
  </si>
  <si>
    <t>W126</t>
  </si>
  <si>
    <t>W127</t>
  </si>
  <si>
    <t>W128</t>
  </si>
  <si>
    <t>W129</t>
  </si>
  <si>
    <t>W130</t>
  </si>
  <si>
    <t>W131</t>
  </si>
  <si>
    <t>W132</t>
  </si>
  <si>
    <t>W133</t>
  </si>
  <si>
    <t>W134</t>
  </si>
  <si>
    <t>W135</t>
  </si>
  <si>
    <t>W136</t>
  </si>
  <si>
    <t>W137</t>
  </si>
  <si>
    <t>W138</t>
  </si>
  <si>
    <t>W139</t>
  </si>
  <si>
    <t>W140</t>
  </si>
  <si>
    <t>W141</t>
  </si>
  <si>
    <t>W142</t>
  </si>
  <si>
    <t>W143</t>
  </si>
  <si>
    <t>W144</t>
  </si>
  <si>
    <t>W145</t>
  </si>
  <si>
    <t>W146</t>
  </si>
  <si>
    <t>W147</t>
  </si>
  <si>
    <t>W148</t>
  </si>
  <si>
    <t>W149</t>
  </si>
  <si>
    <t>W150</t>
  </si>
  <si>
    <t>W151</t>
  </si>
  <si>
    <t>W152</t>
  </si>
  <si>
    <t>W153</t>
  </si>
  <si>
    <t>V109</t>
  </si>
  <si>
    <t>V110</t>
  </si>
  <si>
    <t>V111</t>
  </si>
  <si>
    <t>V112</t>
  </si>
  <si>
    <t>V113</t>
  </si>
  <si>
    <t>V114</t>
  </si>
  <si>
    <t>V115</t>
  </si>
  <si>
    <t>V116</t>
  </si>
  <si>
    <t>V117</t>
  </si>
  <si>
    <t>V118</t>
  </si>
  <si>
    <t>V119</t>
  </si>
  <si>
    <t>V120</t>
  </si>
  <si>
    <t>V121</t>
  </si>
  <si>
    <t>V122</t>
  </si>
  <si>
    <t>V123</t>
  </si>
  <si>
    <t>V124</t>
  </si>
  <si>
    <t>V125</t>
  </si>
  <si>
    <t>V126</t>
  </si>
  <si>
    <t>V127</t>
  </si>
  <si>
    <t>V128</t>
  </si>
  <si>
    <t>V129</t>
  </si>
  <si>
    <t>V130</t>
  </si>
  <si>
    <t>V131</t>
  </si>
  <si>
    <t>V132</t>
  </si>
  <si>
    <t>V133</t>
  </si>
  <si>
    <t>V134</t>
  </si>
  <si>
    <t>V135</t>
  </si>
  <si>
    <t>V136</t>
  </si>
  <si>
    <t>V137</t>
  </si>
  <si>
    <t>V138</t>
  </si>
  <si>
    <t>V139</t>
  </si>
  <si>
    <t>V140</t>
  </si>
  <si>
    <t>V141</t>
  </si>
  <si>
    <t>V142</t>
  </si>
  <si>
    <t>V143</t>
  </si>
  <si>
    <t>V144</t>
  </si>
  <si>
    <t>V145</t>
  </si>
  <si>
    <t>V146</t>
  </si>
  <si>
    <t>V147</t>
  </si>
  <si>
    <t>V148</t>
  </si>
  <si>
    <t>V149</t>
  </si>
  <si>
    <t>V150</t>
  </si>
  <si>
    <t>V151</t>
  </si>
  <si>
    <t>V152</t>
  </si>
  <si>
    <t>V153</t>
  </si>
  <si>
    <t>B6</t>
  </si>
  <si>
    <t>AD122</t>
  </si>
  <si>
    <t>AD138</t>
  </si>
  <si>
    <t>AD141</t>
  </si>
  <si>
    <t>AE138</t>
  </si>
  <si>
    <t>AE141</t>
  </si>
  <si>
    <t>H6</t>
  </si>
  <si>
    <t>J6</t>
  </si>
  <si>
    <t>J7</t>
  </si>
  <si>
    <t>B11</t>
  </si>
  <si>
    <t>I7</t>
  </si>
  <si>
    <t>I27</t>
  </si>
  <si>
    <t>L29</t>
  </si>
  <si>
    <t>Heizwärmebedarf Qh,eff</t>
  </si>
  <si>
    <t>Qh mit effektivem Luftwechsel</t>
  </si>
  <si>
    <t>Strom Hilfsbetriebe / Kühlung</t>
  </si>
  <si>
    <t>E46</t>
  </si>
  <si>
    <t>Gewich-tung</t>
  </si>
  <si>
    <t>F45</t>
  </si>
  <si>
    <t>G45</t>
  </si>
  <si>
    <t>gew. Endenergie kWh/m2</t>
  </si>
  <si>
    <t>I45</t>
  </si>
  <si>
    <t>I46</t>
  </si>
  <si>
    <t>J46</t>
  </si>
  <si>
    <t>L45</t>
  </si>
  <si>
    <t>B53</t>
  </si>
  <si>
    <t>B54</t>
  </si>
  <si>
    <t>I56</t>
  </si>
  <si>
    <t>Minergie - Kennzahl Wärme</t>
  </si>
  <si>
    <t>Grenzwert MINERGIE - P</t>
  </si>
  <si>
    <t>L56</t>
  </si>
  <si>
    <t>weitere Wärmeerzeuger</t>
  </si>
  <si>
    <t>I61</t>
  </si>
  <si>
    <t>C63</t>
  </si>
  <si>
    <t>C64</t>
  </si>
  <si>
    <t xml:space="preserve">Bedarf nicht gedeckt  </t>
  </si>
  <si>
    <t>F58</t>
  </si>
  <si>
    <t>ohne Hallenbad</t>
  </si>
  <si>
    <t>B59</t>
  </si>
  <si>
    <t>Aenderungen / Geprüfter Bereich</t>
  </si>
  <si>
    <t>Version 0.8 erstellt</t>
  </si>
  <si>
    <t>B1</t>
  </si>
  <si>
    <t>Parz.-Nr.</t>
  </si>
  <si>
    <t>Gebäudestandort m.ü.M.</t>
  </si>
  <si>
    <t>Sprachversion</t>
  </si>
  <si>
    <t>Gebäudekategorie1</t>
  </si>
  <si>
    <t>Gebäudekategorie4</t>
  </si>
  <si>
    <t>Gebäudekategorie3</t>
  </si>
  <si>
    <t>Gebäudekategorie2</t>
  </si>
  <si>
    <t>Warmwasser1</t>
  </si>
  <si>
    <t>Warmwasser2</t>
  </si>
  <si>
    <t>Warmwasser3</t>
  </si>
  <si>
    <t>Warmwasser4</t>
  </si>
  <si>
    <t>EBF1</t>
  </si>
  <si>
    <t>EBF2</t>
  </si>
  <si>
    <t>EBF3</t>
  </si>
  <si>
    <t>EBF4</t>
  </si>
  <si>
    <t>Neubau1</t>
  </si>
  <si>
    <t>Neubau4</t>
  </si>
  <si>
    <t>Neubau3</t>
  </si>
  <si>
    <t>Neubau2</t>
  </si>
  <si>
    <t>Räume mit Zuluft oder Anzahl Personen Nr.1</t>
  </si>
  <si>
    <t>Räume mit Zuluft oder Anzahl Personen Nr.4</t>
  </si>
  <si>
    <t>Räume mit Zuluft oder Anzahl Personen Nr.3</t>
  </si>
  <si>
    <t>Räume mit Zuluft oder Anzahl Personen Nr.2</t>
  </si>
  <si>
    <t>Kühlung oder Befeuchtung 1</t>
  </si>
  <si>
    <t>Kühlung oder Befeuchtung 4</t>
  </si>
  <si>
    <t>Kühlung oder Befeuchtung 3</t>
  </si>
  <si>
    <t>Kühlung oder Befeuchtung 2</t>
  </si>
  <si>
    <t>Thermisch Wirksame Aussenluftrate1</t>
  </si>
  <si>
    <t>Thermisch Wirksame Aussenluftrate2</t>
  </si>
  <si>
    <t>Thermisch Wirksame Aussenluftrate3</t>
  </si>
  <si>
    <t>Thermisch Wirksame Aussenluftrate4</t>
  </si>
  <si>
    <t>Strom Lüftung1</t>
  </si>
  <si>
    <t>Strom Lüftung2</t>
  </si>
  <si>
    <t>Strom Lüftung3</t>
  </si>
  <si>
    <t>Strom Lüftung4</t>
  </si>
  <si>
    <t xml:space="preserve">1) Externe Berechnung beilegen und Werte in Zellen F40 - I43 eintragen </t>
  </si>
  <si>
    <t>1) Joindre un calcul externe et introduire les valeurs aux cellules F40 - I43</t>
  </si>
  <si>
    <t>Strom Klima und Befeuchtung1</t>
  </si>
  <si>
    <t>Strom Klima und Befeuchtung2</t>
  </si>
  <si>
    <t>Strom Klima und Befeuchtung3</t>
  </si>
  <si>
    <t>Strom Klima und Befeuchtung4</t>
  </si>
  <si>
    <t>Einheit Heizwärmebedarf Qh und Qh,eff</t>
  </si>
  <si>
    <t>WärmeerzeugungA</t>
  </si>
  <si>
    <t>WärmeerzeugungB</t>
  </si>
  <si>
    <t>WärmeerzeugungC</t>
  </si>
  <si>
    <t>WärmeerzeugungD</t>
  </si>
  <si>
    <t>Eingabewert Nutzungsgrad Wärmeerzeugung A</t>
  </si>
  <si>
    <t>Eingabewert Nutzungsgrad Wärmeerzeugung B</t>
  </si>
  <si>
    <t>Eingabewert Nutzungsgrad Wärmeerzeugung C</t>
  </si>
  <si>
    <t>Eingabewert Nutzungsgrad Wärmeerzeugung D</t>
  </si>
  <si>
    <t>Deckungsgrad Heizung Wärmeerzeugung A</t>
  </si>
  <si>
    <t>Deckungsgrad Warmwasser Wärmeerzeugung A</t>
  </si>
  <si>
    <t>Deckungsgrad Heizung Wärmeerzeugung B</t>
  </si>
  <si>
    <t>Deckungsgrad Warmwasser Wärmeerzeugung B</t>
  </si>
  <si>
    <t>Deckungsgrad Heizung Wärmeerzeugung C</t>
  </si>
  <si>
    <t>Deckungsgrad Warmwasser Wärmeerzeugung C</t>
  </si>
  <si>
    <t>Deckungsgrad Heizung Wärmeerzeugung D</t>
  </si>
  <si>
    <t>Deckungsgrad Warmwasser Wärmeerzeugung D</t>
  </si>
  <si>
    <t>Zusatzangabe1 Wärmeerzeugung A (Absorberfläche, WKK-Nutzungsgrad elektrisch, Nennleistung kWp)</t>
  </si>
  <si>
    <t>Zusatzangabe2 Wärmeerzeugung A (Ertrag pro m2 Absorberfläche, Ertrag pro kWp)</t>
  </si>
  <si>
    <t>Zusatzangabe1 Wärmeerzeugung B (Absorberfläche, WKK-Nutzungsgrad elektrisch, Nennleistung kWp)</t>
  </si>
  <si>
    <t>Zusatzangabe2 Wärmeerzeugung B (Ertrag pro m2 Absorberfläche, Ertrag pro kWp)</t>
  </si>
  <si>
    <t>Zusatzangabe1 Wärmeerzeugung C (Absorberfläche, WKK-Nutzungsgrad elektrisch, Nennleistung kWp)</t>
  </si>
  <si>
    <t>Zusatzangabe2 Wärmeerzeugung C (Ertrag pro m2 Absorberfläche, Ertrag pro kWp)</t>
  </si>
  <si>
    <t>Zusatzangabe1 Wärmeerzeugung D (Absorberfläche, WKK-Nutzungsgrad elektrisch, Nennleistung kWp)</t>
  </si>
  <si>
    <t>Zusatzangabe2 Wärmeerzeugung D (Ertrag pro m2 Absorberfläche, Ertrag pro kWp)</t>
  </si>
  <si>
    <t>Deckungsgrad &lt;&gt; 100%</t>
  </si>
  <si>
    <t>J28</t>
  </si>
  <si>
    <t>Netto-Jahresertrag [kWh/kWp] (Berechnung beilegen)</t>
  </si>
  <si>
    <t>Deckungsgrad Heizung weitere Wärmeerzeugung</t>
  </si>
  <si>
    <t>Deckungsgrad Warmwasser weitere Wärmeerzeugung</t>
  </si>
  <si>
    <t>Zugeführter Strom weitere Wärmeerzeugung</t>
  </si>
  <si>
    <t>Zugeführte Energie (gewichtet) weitere Wärmeerzeugung</t>
  </si>
  <si>
    <t>Beilage Schema Heizung und Lüftung (x=beiliegend)</t>
  </si>
  <si>
    <t>Beilage externe Berechnungen und Datenblätter (x=beiliegend)</t>
  </si>
  <si>
    <t>Beilage 3 (x=beiliegend)</t>
  </si>
  <si>
    <t>Bezeichnung Beilage 3</t>
  </si>
  <si>
    <t>Beilage 4 (x=beiliegend)</t>
  </si>
  <si>
    <t>Bezeichnung Beilage 4</t>
  </si>
  <si>
    <t>Rechenwert Nutzungsgrad / JAZ Wärmeerzeugung A</t>
  </si>
  <si>
    <t>Rechenwert Nutzungsgrad / JAZ Wärmeerzeugung B</t>
  </si>
  <si>
    <t>Rechenwert Nutzungsgrad / JAZ Wärmeerzeugung C</t>
  </si>
  <si>
    <t>Rechenwert Nutzungsgrad / JAZ Wärmeerzeugung D</t>
  </si>
  <si>
    <t>Deckungsgrad Heizung total</t>
  </si>
  <si>
    <t>Deckungsgrad Warmwasser total</t>
  </si>
  <si>
    <t>Qh mit effektivem Luftwechsel Zone1  [kWh/m2]</t>
  </si>
  <si>
    <t>Qh mit effektivem Luftwechsel Zone2  [kWh/m2]</t>
  </si>
  <si>
    <t>Qh mit effektivem Luftwechsel Zone3  [kWh/m2]</t>
  </si>
  <si>
    <t>Qh mit effektivem Luftwechsel Zone4  [kWh/m2]</t>
  </si>
  <si>
    <t>Qh mit effektivem Luftwechsel total [kWh/m2]</t>
  </si>
  <si>
    <t>Qww Wärmebedarf Warmwasser Zone1  [kWh/m2]</t>
  </si>
  <si>
    <t>Qww Wärmebedarf Warmwasser Zone2  [kWh/m2]</t>
  </si>
  <si>
    <t>Qww Wärmebedarf Warmwasser Zone3  [kWh/m2]</t>
  </si>
  <si>
    <t>Qww Wärmebedarf Warmwasser Zone4  [kWh/m2]</t>
  </si>
  <si>
    <t>Qww Wärmebedarf Warmwasser total  [kWh/m2]</t>
  </si>
  <si>
    <t>Strombedarf Lüftungsanlage Zone1 [kWh/m2]</t>
  </si>
  <si>
    <t>Strombedarf Lüftungsanlage Zone2 [kWh/m2]</t>
  </si>
  <si>
    <t>Strombedarf Lüftungsanlage Zone3 [kWh/m2]</t>
  </si>
  <si>
    <t>Strombedarf Lüftungsanlage Zone4 [kWh/m2]</t>
  </si>
  <si>
    <t>Strombedarf Lüftungsanlage total [kWh/m2]</t>
  </si>
  <si>
    <t>Strombedarf für Klima + Hilfsbetriebe</t>
  </si>
  <si>
    <t>Strombedarf für Klima + Hilfsbetriebe Zone1  [kWh/m2]</t>
  </si>
  <si>
    <t>Strombedarf für Klima + Hilfsbetriebe Zone2  [kWh/m2]</t>
  </si>
  <si>
    <t>Strombedarf für Klima + Hilfsbetriebe Zone3  [kWh/m2]</t>
  </si>
  <si>
    <t>Strombedarf für Klima + Hilfsbetriebe Zone4  [kWh/m2]</t>
  </si>
  <si>
    <t>Strombedarf für Klima + Hilfsbetriebe total  [kWh/m2]</t>
  </si>
  <si>
    <t>Massgebender Grenzwert total  [kWh/m2]</t>
  </si>
  <si>
    <t>Strom für Klima + Hilfsbetriebe</t>
  </si>
  <si>
    <t>Rechenwert Deckungsgrad Heizung Wärmeerzeugung A</t>
  </si>
  <si>
    <t>Rechenwert Deckungsgrad Heizung Wärmeerzeugung B</t>
  </si>
  <si>
    <t>Rechenwert Deckungsgrad Heizung Wärmeerzeugung D</t>
  </si>
  <si>
    <t>Rechenwert Deckungsgrad Heizung Wärmeerzeugung C</t>
  </si>
  <si>
    <t>Rechenwert Deckungsgrad Heizung weitere Wärmeerzeuger</t>
  </si>
  <si>
    <t>Rechenwert Deckungsgrad Warmwasser Wärmeerzeugung A</t>
  </si>
  <si>
    <t>Rechenwert Deckungsgrad Warmwasser Wärmeerzeugung D</t>
  </si>
  <si>
    <t>Rechenwert Deckungsgrad Warmwasser Wärmeerzeugung B</t>
  </si>
  <si>
    <t>Rechenwert Deckungsgrad Warmwasser Wärmeerzeugung C</t>
  </si>
  <si>
    <t>Rechenwert Deckungsgrad Warmwasser weitere Wärmeerzeuger</t>
  </si>
  <si>
    <t>Gewichtungsfaktor Wärmeerzeugung A</t>
  </si>
  <si>
    <t>Gewichtungsfaktor Wärmeerzeugung B</t>
  </si>
  <si>
    <t>Gewichtungsfaktor Wärmeerzeugung C</t>
  </si>
  <si>
    <t>Gewichtungsfaktor Wärmeerzeugung D</t>
  </si>
  <si>
    <t>Mind. 20% erneuerbare Energie für WW bei Rest. / Sportbauten / Hallenbäder</t>
  </si>
  <si>
    <t>J8</t>
  </si>
  <si>
    <t xml:space="preserve">EGID:  </t>
  </si>
  <si>
    <t>G7</t>
  </si>
  <si>
    <t>ohne Strom</t>
  </si>
  <si>
    <t>Blatt Nachweis, P8, P12, P16, P20, J47-J50: gewichtete Endenergie neu ohne Strom</t>
  </si>
  <si>
    <t>Blatt Nachweis, N24: Formel korrigiert</t>
  </si>
  <si>
    <t>falsche Einheit bei Qh. Korrigiert.</t>
  </si>
  <si>
    <t>Blatt Standardwerte: Klimakorrektur-Werte wie in MINERGIE-Nachweis eingefüllt</t>
  </si>
  <si>
    <t>Klima-Korrektur - Tabellen bisher beim MUKEN-Nachweis noch nicht eingefüllt</t>
  </si>
  <si>
    <t>Blatt Standardwerte: AB153 auf 1 gesetzt</t>
  </si>
  <si>
    <t>Bei Fernwärme &gt; 75% erneuerbar erscheint WW nicht gelb</t>
  </si>
  <si>
    <t>Aussenluftvolumenstrom vo</t>
  </si>
  <si>
    <t>Aussenluftvolumenstrom vo neu als Variable _vo eingeführt</t>
  </si>
  <si>
    <t>Blatt Eingaben: F45-I45, vo neu als Variable, Blatt Standardwerte: U3, Definition von _vo</t>
  </si>
  <si>
    <t>Energienachweis:
Im Energienachweis werden nur die Neubauten berücksichtigt.
Minergie:
Baujahr (Bauvollendung) ab 2000.</t>
  </si>
  <si>
    <t>Fernwärme (&gt;75% nicht erneuerbar)</t>
  </si>
  <si>
    <t>Fernwärme (&lt;=25% nicht erneuerbar)</t>
  </si>
  <si>
    <t>Fernwärme (&lt;=75% nicht erneuerbar)</t>
  </si>
  <si>
    <t>Fernwärme (inkl. Abwärme aus KVA,ARA), &lt;=25% nicht erneuerbar</t>
  </si>
  <si>
    <t>Fernwärme (inkl. Abwärme aus KVA,ARA), &lt;=75% nicht erneuerbar</t>
  </si>
  <si>
    <t>Fernwärme (inkl. Abwärme aus KVA,ARA), &gt;75% nicht erneuerbar</t>
  </si>
  <si>
    <t>Fernwärme (&lt;=50% nicht erneuerbar)</t>
  </si>
  <si>
    <t>Fernwärme (inkl. Abwärme aus KVA,ARA), &lt;=50% nicht erneuerbar</t>
  </si>
  <si>
    <t>Blatt Standardwerte: Reihenfolge bei der Fermwärme gemäss MuKEN angepasst</t>
  </si>
  <si>
    <t>Reihenfolge und Text bei der Erzeugung sollen möglichst nahe an der MuKEn sein.</t>
  </si>
  <si>
    <t>AD118</t>
  </si>
  <si>
    <t>Strom für Wärmepumpen ist doppelt zu gewichten</t>
  </si>
  <si>
    <t>Bemerkung</t>
  </si>
  <si>
    <t>Nr.</t>
  </si>
  <si>
    <t>2=Ja</t>
  </si>
  <si>
    <t>Neu Bemerkungsfeld in Nachweis einprogrammiert / Bezug auf Standardwert AL108:AL153</t>
  </si>
  <si>
    <t>Blatt Nachweis: A9, A13, A17, A21: Wenn 2, dann keine Eingabe (gelb) in Kolonne G</t>
  </si>
  <si>
    <t>Verifica energetica</t>
  </si>
  <si>
    <t>Soluzione tramite calcolo</t>
  </si>
  <si>
    <t>Comune:</t>
  </si>
  <si>
    <t>Part. n.:</t>
  </si>
  <si>
    <t>Fabbr. n.:</t>
  </si>
  <si>
    <t>Cantone:</t>
  </si>
  <si>
    <t>Oggetto:</t>
  </si>
  <si>
    <t>Dati dell'edificio</t>
  </si>
  <si>
    <t>Altitudine:</t>
  </si>
  <si>
    <t>(secondo la SIA 380/1)</t>
  </si>
  <si>
    <t>Tipo di verifica</t>
  </si>
  <si>
    <t>Verifica regolare</t>
  </si>
  <si>
    <t>rispettato</t>
  </si>
  <si>
    <t>non rispettato</t>
  </si>
  <si>
    <t>si</t>
  </si>
  <si>
    <t>no</t>
  </si>
  <si>
    <t>Staz. climatica</t>
  </si>
  <si>
    <t>Somma</t>
  </si>
  <si>
    <t>Categoria d'edificio</t>
  </si>
  <si>
    <t>Con acqua calda?</t>
  </si>
  <si>
    <t>Superficie di riferimento energetico AE</t>
  </si>
  <si>
    <t>Edificio nuovo</t>
  </si>
  <si>
    <t>(media)</t>
  </si>
  <si>
    <t>Fabb. risc. con ricambio d'aria standard</t>
  </si>
  <si>
    <t>La portata d'aria esterna termicamente determinante secondo F45-I45 è da inserire nel calcolo del fabbisogno termico (SIA 380/1)</t>
  </si>
  <si>
    <t>Scambiatore con recupero di calore</t>
  </si>
  <si>
    <t xml:space="preserve">Portata d'aria nominale </t>
  </si>
  <si>
    <t xml:space="preserve">Azionamento dei ventilatori con </t>
  </si>
  <si>
    <t>Piccoli impianti con valori standard</t>
  </si>
  <si>
    <t>Fabb. elettricità per aerazione e antigelo</t>
  </si>
  <si>
    <t>Fabbisogno di elettricità per ausiliari</t>
  </si>
  <si>
    <t>Calcolo esterno</t>
  </si>
  <si>
    <t>Qh con portata d'aria esterna termicamente determinante</t>
  </si>
  <si>
    <t>Fabb. calore effettivo per il risc. con aeraz.</t>
  </si>
  <si>
    <t>Risultati da calcoli esterni, es. foglio di calcolo esterno per l'aerazione, sono da inserire in questa parte.
Sono richiesti i valori per gli impianti di climatizzazione.</t>
  </si>
  <si>
    <t>Verifica energetica:
Nella verifica energetica vengono considerati unicamente gli edifici nuovi.
Minergie: anno di costruzione (completamento dei lavori)  a partire dal 2000</t>
  </si>
  <si>
    <t>La superficie di riferimento energetico AE deve essere ripresa dal calcolo secondo la SIA 380/1</t>
  </si>
  <si>
    <t>Se si seleziona "si" per piccoli impianti con ventilazione standard viene effettuato un calcolo per l'aerazione estremamente semplificato. Questo è possibile solo per le categorie monofamiliari e plurifamiliari con AE fino a 2'000 m2 o per amministrazione e scuole fino a 1'000 m2. In tutti gli altri casi è richiesto un calcolo esterno che deve essere riportato nella parte "Calcolo esterno".</t>
  </si>
  <si>
    <t>Solo per le categorie monofamiliari e plurifamiliari con AE fino a 2'000 m2 o per amministrazione e scuole fino a 1'000 m2.</t>
  </si>
  <si>
    <t>Numero di locali con immissione d'aria:
dato necessario solo per categorie abitazioni monofamiliari o plurifamiliari.
Numero di persone (totale per zona):
dato necessario per categorie amministrazione o scuole.
Il dato è utilizzato per calcolare il volume d'aria immessa.</t>
  </si>
  <si>
    <t>Dato per piccoli impianti con valori standard:
il tipo di recupero di calore è utilizzato per calcolare il rendimento del RC. A dipendenza dell'apparecchio scelto sono a disposizione i seguenti tipi di recuperatori:
- nessun recupero di calore
- scambiatore a correnti incrociate
- scambiatore controcorrente
- scambiatore rotativo</t>
  </si>
  <si>
    <t>Dato di inserimento per piccoli impianti con valori standard: motori utilizzati per i ventilatori d'aerazione: corrente alternata (AC) o corrente continua (DC).</t>
  </si>
  <si>
    <t>Dato mancante</t>
  </si>
  <si>
    <t>Dato errato</t>
  </si>
  <si>
    <t>Requisito primario</t>
  </si>
  <si>
    <t>Requisito 2 non rispettato.</t>
  </si>
  <si>
    <t>Nota: nel foglio "Dati" è stato scelto un impianto di ventilazione con PdC integrata</t>
  </si>
  <si>
    <t>Raffreddam.</t>
  </si>
  <si>
    <t>Umidificaz.</t>
  </si>
  <si>
    <t>Raffr.+Umidif.</t>
  </si>
  <si>
    <t>nessuno</t>
  </si>
  <si>
    <t>Ab. plurif.</t>
  </si>
  <si>
    <t>Ab. monof.</t>
  </si>
  <si>
    <t>Amministraz.</t>
  </si>
  <si>
    <t>Scuole</t>
  </si>
  <si>
    <t>Negozi</t>
  </si>
  <si>
    <t>Ristoranti</t>
  </si>
  <si>
    <t>Locali pubblici</t>
  </si>
  <si>
    <t>Ospedali</t>
  </si>
  <si>
    <t>Magazzini</t>
  </si>
  <si>
    <t>Impianti sport.</t>
  </si>
  <si>
    <t>No ventil.</t>
  </si>
  <si>
    <t>Immiss./estraz.</t>
  </si>
  <si>
    <t>Ventil.+RC</t>
  </si>
  <si>
    <t>Ventil.+PdC</t>
  </si>
  <si>
    <t>Solo estraz.</t>
  </si>
  <si>
    <t>Estraz.+PdC</t>
  </si>
  <si>
    <t>Aeraz. per loc.</t>
  </si>
  <si>
    <t>Finestre,autom.</t>
  </si>
  <si>
    <t>nessun RC</t>
  </si>
  <si>
    <t>flusso incrociato</t>
  </si>
  <si>
    <t>controcorrente</t>
  </si>
  <si>
    <t>scambiatore rotativo</t>
  </si>
  <si>
    <t>scambiatore di calore a circuito chiuso</t>
  </si>
  <si>
    <t>Motore AC</t>
  </si>
  <si>
    <t>Motore DC/EC</t>
  </si>
  <si>
    <t>Tasso di copertura troppo alto</t>
  </si>
  <si>
    <t>Riscaldamento scelto</t>
  </si>
  <si>
    <t>Acqua calda scelta</t>
  </si>
  <si>
    <t>Allegare il calcolo</t>
  </si>
  <si>
    <t>Scegliere uno scaldacqua elettrico aggiuntivo per ACS</t>
  </si>
  <si>
    <t>Allegare calcolo esterno</t>
  </si>
  <si>
    <t>Nota: nel foglio "Dati" è stasto scelto un impianto di ventilazione con PdC integrata
-&gt; scegliere una produzione di calore con PdC con immissione d'aria</t>
  </si>
  <si>
    <t>1) Allegare un calcolo eterno e inserire i valori nelle celle F40 - I43</t>
  </si>
  <si>
    <t>EGID:</t>
  </si>
  <si>
    <t>Argovia</t>
  </si>
  <si>
    <t>Appenzello interno</t>
  </si>
  <si>
    <t>Appenzello esterno</t>
  </si>
  <si>
    <t>Berna</t>
  </si>
  <si>
    <t>Basilea Campagna</t>
  </si>
  <si>
    <t>Basilea Città</t>
  </si>
  <si>
    <t>Friborgo</t>
  </si>
  <si>
    <t>Ginevra</t>
  </si>
  <si>
    <t>Glarona</t>
  </si>
  <si>
    <t>Grigioni</t>
  </si>
  <si>
    <t>Giura</t>
  </si>
  <si>
    <t>Lucerna</t>
  </si>
  <si>
    <t>Nidvaldo</t>
  </si>
  <si>
    <t>Obvaldo</t>
  </si>
  <si>
    <t>San Gallo</t>
  </si>
  <si>
    <t>Sciaffusa</t>
  </si>
  <si>
    <t>Soletta</t>
  </si>
  <si>
    <t>Svitto</t>
  </si>
  <si>
    <t>Turgovia</t>
  </si>
  <si>
    <t>Ticino</t>
  </si>
  <si>
    <t>Vallese</t>
  </si>
  <si>
    <t>Zugo</t>
  </si>
  <si>
    <t>Zurigo</t>
  </si>
  <si>
    <t xml:space="preserve">Principato del Liechtenstein </t>
  </si>
  <si>
    <t>speciale</t>
  </si>
  <si>
    <t>Firme</t>
  </si>
  <si>
    <t>Verifica elaborata da:</t>
  </si>
  <si>
    <t>Controllo della verifica/Controllo esterno:</t>
  </si>
  <si>
    <t>Si attesta la correttezza</t>
  </si>
  <si>
    <t>Nome e indirizzo</t>
  </si>
  <si>
    <t>risp. timbro della ditta</t>
  </si>
  <si>
    <t>Responsabile, tel.:</t>
  </si>
  <si>
    <t>Luogo, data, firma:</t>
  </si>
  <si>
    <t>Controllo esecuzione:</t>
  </si>
  <si>
    <t>stessa persona</t>
  </si>
  <si>
    <t>oppure:</t>
  </si>
  <si>
    <t>Caldaia a gasolio</t>
  </si>
  <si>
    <t>Caldaia a gasolio con condensazione, solo riscaldamento</t>
  </si>
  <si>
    <t>Caldaia a gasolio con condensazione, solo ACS</t>
  </si>
  <si>
    <t>Caldaia a gas</t>
  </si>
  <si>
    <t>Caldaia a gas con condensazione, solo riscaldamento</t>
  </si>
  <si>
    <t>Caldaia a gas con condensazione, solo ACS</t>
  </si>
  <si>
    <t>Scaldacqua a gas</t>
  </si>
  <si>
    <t>Riscaldamento a legna</t>
  </si>
  <si>
    <t>Riscaldamento a pellet</t>
  </si>
  <si>
    <t>Riscaldamento elettrico diretto centralizzato</t>
  </si>
  <si>
    <t>Elettrico diretto</t>
  </si>
  <si>
    <t>Scaldacqua elettrico</t>
  </si>
  <si>
    <t>Cogenerazione (fossile) - termico + elettrico</t>
  </si>
  <si>
    <t>Cogenerazione (legna) - termico + elettrico</t>
  </si>
  <si>
    <t>PdC con sonde geotermiche, solo riscaldamento</t>
  </si>
  <si>
    <t>PdC con sonde geotermiche, solo ACS</t>
  </si>
  <si>
    <t>PdC con acqua di scarico, solo riscaldamento</t>
  </si>
  <si>
    <t>PdC con acqua di scarico, solo ACS</t>
  </si>
  <si>
    <t>PdC con acqua di falda, diretto, solo riscaldamento</t>
  </si>
  <si>
    <t>PdC con acqua di falda, diretto, solo ACS</t>
  </si>
  <si>
    <t>PdC con acqua di falda, indiretto, solo riscaldamento</t>
  </si>
  <si>
    <t>PdC con acqua di falda, indiretto, solo ACS</t>
  </si>
  <si>
    <t>PdC con fasci di tubi orizzontali, solo riscaldamento</t>
  </si>
  <si>
    <t>PdC con fasci di tubi orizzontali, solo ACS</t>
  </si>
  <si>
    <t>Energia solare termica, solo riscaldamento</t>
  </si>
  <si>
    <t>Energia solare termica, solo ACS</t>
  </si>
  <si>
    <t>Energia solare termica, risc. + ACS</t>
  </si>
  <si>
    <t>Fotovoltaico</t>
  </si>
  <si>
    <t>Altro</t>
  </si>
  <si>
    <t>Riporto</t>
  </si>
  <si>
    <t>Impianto di immissione e espulsione dell'aria con recupero di calore e PdC sull'aspirazione dell'aria</t>
  </si>
  <si>
    <t>Impianto di immissione e espulsione dell'aria senza recupero di calore e con PdC sull'aspirazione dell'aria</t>
  </si>
  <si>
    <t>Impianto d'estrazione dell'aria, senza immissione, con PdC sull'aspirazione dell'aria.</t>
  </si>
  <si>
    <t>PdC aria-acqua compatta con immissione e espulsione dell'aria, con recupero di calore</t>
  </si>
  <si>
    <t>PdC aria-acqua compatta con immissione e espulsione dell'aria, senza recupero di calore (solo riscaldamento)</t>
  </si>
  <si>
    <t>PdC aria-acqua compatta con immissione e espulsione dell'aria, senza recupero di calore (solo ACS)</t>
  </si>
  <si>
    <t>Biomassa, collegata alla rete idraulica</t>
  </si>
  <si>
    <t>Caldaia a gasolio con condensazione</t>
  </si>
  <si>
    <t>Scaldacqua a gasolio con condensazione</t>
  </si>
  <si>
    <t>Caldaia a gas con condensazione</t>
  </si>
  <si>
    <t>Scaldacqua a gas con condensazione</t>
  </si>
  <si>
    <t>Caldaia a legna</t>
  </si>
  <si>
    <t>Caldaia a pellet</t>
  </si>
  <si>
    <t>Cogenerazione - termico+elettrico</t>
  </si>
  <si>
    <t>Cogenerazione a legna - termico+elettrico</t>
  </si>
  <si>
    <t>PdC ad aria, riscaldamento</t>
  </si>
  <si>
    <t>PdC ad aria, ACS</t>
  </si>
  <si>
    <t>PdC con sonde geotermiche, riscaldamento</t>
  </si>
  <si>
    <t>PdC con sonde geotermiche, ACS</t>
  </si>
  <si>
    <t>PdC con acqua di scarico, riscaldamento</t>
  </si>
  <si>
    <t>PdC con acqua di scarico, ACS</t>
  </si>
  <si>
    <t>PdC ad acqua, riscaldamento</t>
  </si>
  <si>
    <t>PdC ad acqua, ACS</t>
  </si>
  <si>
    <t>PdC con acqua di falda, diretto, riscaldamento</t>
  </si>
  <si>
    <t>PdC con acqua di falda, diretto, ACS</t>
  </si>
  <si>
    <t>PdC con acqua di falda, indiretto, riscaldamento</t>
  </si>
  <si>
    <t>PdC con acqua di falda, indiretto, ACS</t>
  </si>
  <si>
    <t>PdC con fasci di tubi orizzontali, riscaldamento</t>
  </si>
  <si>
    <t>PdC con fasci di tubi orizzontali, ACS</t>
  </si>
  <si>
    <t>Energia solare termica per riscaldamento</t>
  </si>
  <si>
    <t>Energia solare termica per ACS</t>
  </si>
  <si>
    <t>Energia solare per riscaldamento + ACS</t>
  </si>
  <si>
    <t>Impianto d'estrazione dell'aria, senza immissione, con PdC sull'aspirazione dell'aria</t>
  </si>
  <si>
    <t>PdC compatta + RC</t>
  </si>
  <si>
    <t>PdC compatta senza RC, risc.</t>
  </si>
  <si>
    <t>PdC compatta senza RC, ACS</t>
  </si>
  <si>
    <t>Biomassa, collegata</t>
  </si>
  <si>
    <t>Rendimento elettrico (allegare il calcolo)</t>
  </si>
  <si>
    <t>Superficie dell'assorbitore [m2]</t>
  </si>
  <si>
    <t>Potenza nominale (kWp)</t>
  </si>
  <si>
    <t>Produzione netta per m2 di assorbitore [kWh/m2]</t>
  </si>
  <si>
    <t>Produzione annuale netta [kWh/kWp] (allegare il calcolo)</t>
  </si>
  <si>
    <t>Produzione di calore:</t>
  </si>
  <si>
    <t>Tasso di copertura [%]</t>
  </si>
  <si>
    <t>Produzione di calore A</t>
  </si>
  <si>
    <t>Produzione di calore B</t>
  </si>
  <si>
    <t>Produzione di calore C</t>
  </si>
  <si>
    <t>Produzione di calore D</t>
  </si>
  <si>
    <t>Valore</t>
  </si>
  <si>
    <t>Valore utilizz.</t>
  </si>
  <si>
    <t>Riscaldam.</t>
  </si>
  <si>
    <t>Acqua calda</t>
  </si>
  <si>
    <t>Riporto da altre produzioni di calore</t>
  </si>
  <si>
    <t>Elettricità fornita (non ponderata)</t>
  </si>
  <si>
    <t>Energia fornita (escluso elettricità, ponderata)</t>
  </si>
  <si>
    <t>Copertura totale:</t>
  </si>
  <si>
    <t>Dati dell'edificio, ventilazione e valori limite</t>
  </si>
  <si>
    <t>Tot./media</t>
  </si>
  <si>
    <t>Fabbisogno termico per il riscaldamento Qh,eff</t>
  </si>
  <si>
    <t>Qh con ricambio d'aria effettivo</t>
  </si>
  <si>
    <t>Fabbisogno elettrico per ventilazione</t>
  </si>
  <si>
    <t>Elettricità per ausiliari/climatizzazione</t>
  </si>
  <si>
    <t>Fabbisogno elettrico per climatizzazione e ausiliari</t>
  </si>
  <si>
    <t>Valore limite determinante</t>
  </si>
  <si>
    <t>(Riscaldamento+ACS)</t>
  </si>
  <si>
    <t>o COP</t>
  </si>
  <si>
    <t>Tasso di copertura</t>
  </si>
  <si>
    <t>Fabb. fin. pond. kWh/m2</t>
  </si>
  <si>
    <t>Elettricità</t>
  </si>
  <si>
    <t>altro</t>
  </si>
  <si>
    <t>Calore</t>
  </si>
  <si>
    <t>Fabb. elettricità impianti di aerazione</t>
  </si>
  <si>
    <t>Elettricità per climatizzazione + ausiliari</t>
  </si>
  <si>
    <t>Totale:</t>
  </si>
  <si>
    <t>Rispetto delle esigenze:</t>
  </si>
  <si>
    <t>Esigenza</t>
  </si>
  <si>
    <t>Valore calcolato</t>
  </si>
  <si>
    <t>Indice termico MINERGIE</t>
  </si>
  <si>
    <t>Valore limite MINERGIE - P</t>
  </si>
  <si>
    <t>Valore limite</t>
  </si>
  <si>
    <t>Rispettato?</t>
  </si>
  <si>
    <t>altri produttori di calore</t>
  </si>
  <si>
    <t>Allegati (presentare tutti gli allegati della colonna a sinistra)</t>
  </si>
  <si>
    <t>Crociare gli allegati da presentare</t>
  </si>
  <si>
    <t>Schema riscaldamento e ventilazione</t>
  </si>
  <si>
    <t>Calcoli e schede tecniche</t>
  </si>
  <si>
    <t>Fabbisogno non coperto</t>
  </si>
  <si>
    <t>senza piscina</t>
  </si>
  <si>
    <t>Copertura &lt;&gt; 100%</t>
  </si>
  <si>
    <t>Apporto annuale netto per kWp (valore standard)</t>
  </si>
  <si>
    <t>Scegliere "Impianto d'estrazione dell'aria, con PdC sull'aspirazione dell'aria".</t>
  </si>
  <si>
    <t>Scegliere "Impianto di immissione e espulsione dell'aria senza recupero di calore e con PdC sull'aspirazione dell'aria" oppure "PdC aria-acqua compatta con immissione e espulsione dell'aria, senza recupero di calore"</t>
  </si>
  <si>
    <t>Scegliere "Impianto di immissione e espulsione dell'aria con recupero di calore e  PdC sull'aspirazione dell'aria" oppure "PdC aria-acqua compatta con immissione e espulsione dell'aria e ACS, con recupero di calore"</t>
  </si>
  <si>
    <t>Teleriscaldamento (&lt;=50% di energie non rinnovabili)</t>
  </si>
  <si>
    <t>Teleriscaldamento (&gt;75% di energie non rinnovabili)</t>
  </si>
  <si>
    <t>Teleriscaldamento (&lt;=75% di energie non rinnovabili)</t>
  </si>
  <si>
    <t>Teleriscaldamento (&lt;=25% di energie non rinnovabili)</t>
  </si>
  <si>
    <t>Teleriscaldamento (&lt;=50% non rinnovabili)</t>
  </si>
  <si>
    <t>Teleriscaldamento (&gt;75% non rinnovabili)</t>
  </si>
  <si>
    <t>Teleriscaldamento (&lt;=75% non rinnovabili)</t>
  </si>
  <si>
    <t>Teleriscaldamento (&lt;=25% non rinnovabili)</t>
  </si>
  <si>
    <t>L'elettricità per la PdC ha un fattore di ponderazione g=2</t>
  </si>
  <si>
    <t>Justificatif énergétique</t>
  </si>
  <si>
    <t>Preuve calculée</t>
  </si>
  <si>
    <t>Commune:</t>
  </si>
  <si>
    <t>N° cadastre:</t>
  </si>
  <si>
    <t>N° bâtiment:</t>
  </si>
  <si>
    <t>Objet:</t>
  </si>
  <si>
    <t>Données sur le bâtiment</t>
  </si>
  <si>
    <t xml:space="preserve">Altitude: </t>
  </si>
  <si>
    <t>m</t>
  </si>
  <si>
    <t>(Selon la norme SIA 380/1)</t>
  </si>
  <si>
    <t>Justificatif pour:</t>
  </si>
  <si>
    <t>Preuve officielle</t>
  </si>
  <si>
    <t>satisfait</t>
  </si>
  <si>
    <t>non satisfait</t>
  </si>
  <si>
    <t>Station climat.</t>
  </si>
  <si>
    <t>Somme</t>
  </si>
  <si>
    <t>Catégorie d'ouvrage</t>
  </si>
  <si>
    <t>Avec eau chaude?</t>
  </si>
  <si>
    <t>Surface de référence énergétique SRE</t>
  </si>
  <si>
    <t>Nouvelle construction</t>
  </si>
  <si>
    <t>(moyenne)</t>
  </si>
  <si>
    <t>Besoins pour chauffage avec renouvellement d'air normal</t>
  </si>
  <si>
    <t>Données pour installation de ventilation standard</t>
  </si>
  <si>
    <t>Type d'installation de ventilation standard</t>
  </si>
  <si>
    <t>Locaux avec air fourni ou nombre de personnes</t>
  </si>
  <si>
    <t>Nombre de locaux avec air fourni</t>
  </si>
  <si>
    <t>Nombre de personnes</t>
  </si>
  <si>
    <t>Récupération de chaleur-Echangeur de chaleur</t>
  </si>
  <si>
    <t>Débit d'air nominal</t>
  </si>
  <si>
    <t>Entrainement de ventilateur avec</t>
  </si>
  <si>
    <t>Petite installation avec valeurs standard</t>
  </si>
  <si>
    <t>Débit d'air neuf thermiquement actif</t>
  </si>
  <si>
    <t>Besoins d'électricité pour la ventilation et la protection antigel</t>
  </si>
  <si>
    <t>Besoins pour le chauffage effectif avec l'installation de ventilation</t>
  </si>
  <si>
    <t>Indiquer ici le résulat d'un calcul externe (sur une feuille séparée).
Entrée obligatoire pour les installation de climatisation.</t>
  </si>
  <si>
    <t xml:space="preserve">Installation de ventilation:
Pour les petites installations avec des valeurs standard, il peut être répondu "oui" et le calcul sera fortement simplifié. Cela n'est valable que pour l'habitat jusqu'à 2000 m2 et l'administration et les écoles jusqu'à 1000 m2.
Pour tous les autres cas, un calcul externe est à faire et le résultat à indiquer dans la rubrique "Calcul externe".
</t>
  </si>
  <si>
    <t>Entrée possible que pour l'habitat jusqu'à 2000 m2 et l'administration et les écoles jusqu'à 1000 m2.</t>
  </si>
  <si>
    <t xml:space="preserve">Choix de la ventilation:
- Aucune: pas de ventilation mécanique controlée
- Fourni/repris: installation sans récupération de chaleur
- Double flux: VMC avec récupération de chaleur
- FOU/REP+PAC: air fourni et pompe à chaleur sur l'air repris
- REP: installation d'air repris sans récupération de chaleur
- REP+PAC: pompe à chaleur sur l'air repris
- Local: App. de ventilation par local avec récup. de chaleur
- Fen. auto: Aération automatique par les fenêtres </t>
  </si>
  <si>
    <t>Données pour les petites installations avec des valeurs standard:
Moteurs des ventilateurs: à courant alternatif (AC) ou à courant continu (DC)</t>
  </si>
  <si>
    <t>donnée manquante</t>
  </si>
  <si>
    <t>Exigence primaire pas requise</t>
  </si>
  <si>
    <t>Exigence 2 pas satisfaite</t>
  </si>
  <si>
    <t>aucune</t>
  </si>
  <si>
    <t>Habitat individuel</t>
  </si>
  <si>
    <t>Habitat collectif</t>
  </si>
  <si>
    <t>Administration</t>
  </si>
  <si>
    <t>Ecole</t>
  </si>
  <si>
    <t>Commerce</t>
  </si>
  <si>
    <t>Lieu de rassemblement</t>
  </si>
  <si>
    <t>Hôpital</t>
  </si>
  <si>
    <t>Entrepôt</t>
  </si>
  <si>
    <t>Installation sportive</t>
  </si>
  <si>
    <t>Pas de ventilation</t>
  </si>
  <si>
    <t>Double flux</t>
  </si>
  <si>
    <t>FOU/REP+PAC</t>
  </si>
  <si>
    <t>REP</t>
  </si>
  <si>
    <t>REP+PAC</t>
  </si>
  <si>
    <t>Fen. auto</t>
  </si>
  <si>
    <t>Pas de récup.</t>
  </si>
  <si>
    <t>Courant croisé</t>
  </si>
  <si>
    <t>Contre-courant</t>
  </si>
  <si>
    <t>Rotatif</t>
  </si>
  <si>
    <t>Circulation-KVS</t>
  </si>
  <si>
    <t>Moteur AC</t>
  </si>
  <si>
    <t>Moteur DC/EC</t>
  </si>
  <si>
    <t>Signature</t>
  </si>
  <si>
    <t>Justificatif établi par:</t>
  </si>
  <si>
    <t>Contrôle du justificatif/Contrôle privé:</t>
  </si>
  <si>
    <t>Certifié complet et correct</t>
  </si>
  <si>
    <t>Nom et adresse</t>
  </si>
  <si>
    <t>ou tampon de l'entreprise</t>
  </si>
  <si>
    <t>Responsable, tél.:</t>
  </si>
  <si>
    <t>Lieu, date, signature:</t>
  </si>
  <si>
    <t>Contrôle d'exécution</t>
  </si>
  <si>
    <t>même personne</t>
  </si>
  <si>
    <t>ou:</t>
  </si>
  <si>
    <t>Chaudière à mazout</t>
  </si>
  <si>
    <t>Chaudière à mazout à condensation, que chauffage</t>
  </si>
  <si>
    <t xml:space="preserve">Chaudière à mazout à condensation, qu'eau chaude </t>
  </si>
  <si>
    <t>Chaudière à gaz</t>
  </si>
  <si>
    <t>Chaudière à gaz à condensation, que chauffage</t>
  </si>
  <si>
    <t>Chaudière à gaz à condensation, qu'eau chaude</t>
  </si>
  <si>
    <t>Chauffe-eau à gaz</t>
  </si>
  <si>
    <t>Chauffage au bois</t>
  </si>
  <si>
    <t>Chauffage au pellets</t>
  </si>
  <si>
    <t>Chaleur à distance (min. 50% énergies ren., rejets, CCF)</t>
  </si>
  <si>
    <t>Chauffage central électrique</t>
  </si>
  <si>
    <t>Chauffage électrique direct</t>
  </si>
  <si>
    <t>Chauffe-eau électrique</t>
  </si>
  <si>
    <t>CCF (fossile) - part thermique et électrique</t>
  </si>
  <si>
    <t>CCF (bois) - part thermique et électrique</t>
  </si>
  <si>
    <t>Pompe à chaleur géothermique, que chauffage</t>
  </si>
  <si>
    <t>Pompe à chaleur géothermique, qu'eau chaude</t>
  </si>
  <si>
    <t>Pompe à chaleur eau usée, que chauffage</t>
  </si>
  <si>
    <t>Pompe à chaleur eau usée, qu'eau chaude</t>
  </si>
  <si>
    <t>Pompe à chaleur eau-eau, que chauffage</t>
  </si>
  <si>
    <t>Pompe à chaleur eau-eau, qu'eau chaude</t>
  </si>
  <si>
    <t>Pompe à chaleur eau souterraine, directe, que chauffage</t>
  </si>
  <si>
    <t>Pompe à chaleur eau souterraine, directe, qu'eau chaude</t>
  </si>
  <si>
    <t>Pompe à chaleur eau souterraine, indirecte, que chauffage</t>
  </si>
  <si>
    <t>Pompe à chaleur eau souterraine, indirecte, qu'eau chaude</t>
  </si>
  <si>
    <t>Pompe à chaleur registre terrestre, que chauffage</t>
  </si>
  <si>
    <t>Pompe à chaleur registre terrestre, qu'eau chaude</t>
  </si>
  <si>
    <t>Capteurs solaires thermiques, que chauffage</t>
  </si>
  <si>
    <t>Capteurs solaires thermiques, qu'eau chaude</t>
  </si>
  <si>
    <t>Capteurs solaires thermiques, chauffage et eau chaude</t>
  </si>
  <si>
    <t>Installation photovoltaïque</t>
  </si>
  <si>
    <t>Autre</t>
  </si>
  <si>
    <t>Report</t>
  </si>
  <si>
    <t>PAC compacte avec air fourni/repris avec récup. de chaleur</t>
  </si>
  <si>
    <t>PAC compacte avec air fourni/repris sans récup. de chaleur (que chauffage)</t>
  </si>
  <si>
    <t>PAC compacte avec air fourni/repris sans récup. de chaleur (qu'eau chaude)</t>
  </si>
  <si>
    <t>Chaleur à distance (max. 25% énergies ren., rejets, CCF)</t>
  </si>
  <si>
    <t>Chaleur à distance (min. 25% énergies ren., rejets, CCF)</t>
  </si>
  <si>
    <t>Chaleur à distance (min. 75% énergies ren., rejets, CCF)</t>
  </si>
  <si>
    <t>Chaudière à mazout à condensation</t>
  </si>
  <si>
    <t xml:space="preserve">Chaudière à mazout à condensation. Eau chaude. </t>
  </si>
  <si>
    <t>Chaudière à gaz à condensation</t>
  </si>
  <si>
    <t>Chaudière à gaz à condensation. Eau chaude</t>
  </si>
  <si>
    <t>Chaleur à distance (min. 50% énergies ren.)</t>
  </si>
  <si>
    <t>Pompe à chaleur air-air, chauffage</t>
  </si>
  <si>
    <t>Pompe à chaleur air-air, eau chaude</t>
  </si>
  <si>
    <t>Pompe à chaleur géothermique, chauffage</t>
  </si>
  <si>
    <t>Pompe à chaleur géothermique, eau chaude</t>
  </si>
  <si>
    <t>Pompe à chaleur eau usée (directe), chauffage</t>
  </si>
  <si>
    <t>Pompe à chaleur eau usée directe, eau chaude</t>
  </si>
  <si>
    <t>Pompe à chaleur eau-eau, chauffage</t>
  </si>
  <si>
    <t>Pompe à chaleur eau-eau, eau chaude</t>
  </si>
  <si>
    <t>Pompe à chaleur eau souterraine, directe, chauffage</t>
  </si>
  <si>
    <t>Pompe à chaleur eau souterraine, directe, eau chaude</t>
  </si>
  <si>
    <t>Pompe à chaleur eau souterraine, indirecte, chauffage</t>
  </si>
  <si>
    <t>Pompe à chaleur eau souterraine, indirecte, eau chaude</t>
  </si>
  <si>
    <t>Pompe à chaleur registre terrestre, chauffage</t>
  </si>
  <si>
    <t>Pompe à chaleur registre terrestre, eau chaude</t>
  </si>
  <si>
    <t>Capteurs solaires thermiques, chauffage</t>
  </si>
  <si>
    <t>Capteurs solaires thermiques, eau chaude</t>
  </si>
  <si>
    <t>PAC compacte sans récup. de chaleur, eau chaude</t>
  </si>
  <si>
    <t>Chaleur à distance (&lt;=25% renouvelable)</t>
  </si>
  <si>
    <t>Chaleur à distance (&gt;25% renouvelable)</t>
  </si>
  <si>
    <t>Chaleur à distance (&gt;75% renouvelable)</t>
  </si>
  <si>
    <t>Rendement électrique (joindre calcul)</t>
  </si>
  <si>
    <t>Surface d'absorbeur [m2]</t>
  </si>
  <si>
    <t>Puissance nominale [kWp]</t>
  </si>
  <si>
    <t>Apport net par m2 d'absorbeur [kWh/m2]</t>
  </si>
  <si>
    <t>Apport net annuel [kWh/kWp] (joindre clacul)</t>
  </si>
  <si>
    <t>Production de chaleur:</t>
  </si>
  <si>
    <t>Rendement / COPa</t>
  </si>
  <si>
    <t>Taux de couverture [%]</t>
  </si>
  <si>
    <t>Production de chaleur A</t>
  </si>
  <si>
    <t>Production de chaleur B</t>
  </si>
  <si>
    <t>Production de chaleur C</t>
  </si>
  <si>
    <t>Production de chaleur D</t>
  </si>
  <si>
    <t>Entrée</t>
  </si>
  <si>
    <t>Valeur calculée</t>
  </si>
  <si>
    <t>Chauffage</t>
  </si>
  <si>
    <t>Eau chaude</t>
  </si>
  <si>
    <t>Report autres productions de chaleur</t>
  </si>
  <si>
    <t>Electricité fournie (non pondérée)</t>
  </si>
  <si>
    <t>Energie fournie (sans électricité, pondérée)</t>
  </si>
  <si>
    <t>Taux de couverture total</t>
  </si>
  <si>
    <t>Données du bâtiment, ventilation et valeur limite</t>
  </si>
  <si>
    <t>Besoin pour chauffage Qh,eff</t>
  </si>
  <si>
    <t>Qh avec renouvelement d'air effectif</t>
  </si>
  <si>
    <t>Besoin en électricité pour la ventilation</t>
  </si>
  <si>
    <t>Electricité pour les auxiliaires / le refroidissement</t>
  </si>
  <si>
    <t>Besoin en électricité pour la climatisation + auxiliaires</t>
  </si>
  <si>
    <t>Valeur limite déterminante</t>
  </si>
  <si>
    <t>(chauffage et eau chaude)</t>
  </si>
  <si>
    <t>ou COPa</t>
  </si>
  <si>
    <t>Pondération</t>
  </si>
  <si>
    <t>Taux de couverture</t>
  </si>
  <si>
    <t>Energie finale pondérée kWh/m2</t>
  </si>
  <si>
    <t>Courant</t>
  </si>
  <si>
    <t>autre</t>
  </si>
  <si>
    <t>Chaleur</t>
  </si>
  <si>
    <t>Besoin d'électricité ventilation</t>
  </si>
  <si>
    <t>Electricité climatisation + auxiliaires</t>
  </si>
  <si>
    <t>Respect des exigences:</t>
  </si>
  <si>
    <t>Exigences</t>
  </si>
  <si>
    <t>Minergie - Indice chaleur</t>
  </si>
  <si>
    <t>Valeur limite MINERGIE-P</t>
  </si>
  <si>
    <t>Valeur limite</t>
  </si>
  <si>
    <t>Respectée?</t>
  </si>
  <si>
    <t>autre production de chaleur</t>
  </si>
  <si>
    <t>Annexes (déposer toute celles de la colonne de gauche)</t>
  </si>
  <si>
    <t>Marquer d'une croix ce qui convient</t>
  </si>
  <si>
    <t>Schéma chauffage et ventilation</t>
  </si>
  <si>
    <t>Calculs externes et fiches techniques</t>
  </si>
  <si>
    <t>Besoin pas couvert</t>
  </si>
  <si>
    <t>sans piscine couverte</t>
  </si>
  <si>
    <t>Taux de couverture &lt;&gt; 100%</t>
  </si>
  <si>
    <t>L'électricité pour les PAC doit être pondérée double</t>
  </si>
  <si>
    <t>Definitive Version 1.0 in deutsch, französisch und italienisch erstellt.</t>
  </si>
  <si>
    <t>1.0</t>
  </si>
  <si>
    <t>Verifica</t>
  </si>
  <si>
    <t>Dati</t>
  </si>
  <si>
    <t>Entrées</t>
  </si>
  <si>
    <t>Justificatif</t>
  </si>
  <si>
    <t>Energiebedarf</t>
  </si>
  <si>
    <t>Besoin d'énergie</t>
  </si>
  <si>
    <t>Fabbisogno energetico</t>
  </si>
  <si>
    <t>Qh mit effektivem, thermisch wirksamem Aussenluftvolumenstrom</t>
  </si>
  <si>
    <t>Minergie-Kennzahl (MKZ)</t>
  </si>
  <si>
    <t>Der thermisch wirksame Aussenluft-Volumenstrom ist in der Heizwärmebedarfsberechnung (SIA 380/1) entsprechend F45 - I45 einzusetzen</t>
  </si>
  <si>
    <t>Minergie-P Grenzwert</t>
  </si>
  <si>
    <t>Erneuerung</t>
  </si>
  <si>
    <t>Höhen-</t>
  </si>
  <si>
    <t>korrektur</t>
  </si>
  <si>
    <t>K</t>
  </si>
  <si>
    <t>Ehwlk</t>
  </si>
  <si>
    <t>kWh/m²</t>
  </si>
  <si>
    <t>Grenzwert (ev. ohne WW)</t>
  </si>
  <si>
    <t>Blatt Nachweis: T2, Formel angepasst. EBF_MUKEN neu immer ohne Altbauten</t>
  </si>
  <si>
    <t>Bei Altbauten wurde bisher EBF mitgezählt.</t>
  </si>
  <si>
    <t>Elektrizität</t>
  </si>
  <si>
    <t>Alle Wäschetrockner Klasse A+++</t>
  </si>
  <si>
    <t>Alles Induktionskochherde</t>
  </si>
  <si>
    <t>Angaben für Wohnungsnutzung:</t>
  </si>
  <si>
    <t>Photovoltaik-Anlage</t>
  </si>
  <si>
    <t>Jahresertrag [kWh/m2]</t>
  </si>
  <si>
    <t>Zusatzangaben für den</t>
  </si>
  <si>
    <t>Blatt Nachweis: AA10,AA14,AA18,AA22,X8,X12,X16,X20,X10,X14,X18,X22,Y10,Y14,Y18,Y22 angepasst.</t>
  </si>
  <si>
    <t>Formeln für Solarertrag nach MINERGIE, Qh falsch von MJ in kWh umgerechnet.</t>
  </si>
  <si>
    <t>Appenzell Rhodes-Extérieures</t>
  </si>
  <si>
    <t>Grisons</t>
  </si>
  <si>
    <t>Pompe à chaleur air-eau, que chauffage</t>
  </si>
  <si>
    <t>Pompe à chaleur air-eau, qu'eau chaude</t>
  </si>
  <si>
    <t>Der Nachweis des sommerlichen Wärmeschutzes ist eine Selbstdeklaration des Antragstellers. Die Zertifizierungsstelle kann im Rahmen der Zertifizierung oder bei Stichproben detaillierte Unterlagen verlangen. Der Glasanteil bezieht sich immer auf die Fassadenfläche (NICHT Energiebezugsfläche). Die Glasflächen sind kleiner als die Fensterflächen (um den Betrag des Rahmenanteils)</t>
  </si>
  <si>
    <t>Die Globalbeurteilung gilt für Zonen in denen in allen Räumen folgende Bedingungen eingehalten sind:</t>
  </si>
  <si>
    <t>Rollläden</t>
  </si>
  <si>
    <t>- keine Oblichter oder Dachflächenfenster mit Glasflächen &gt; 0.5 m2, grössere Glasflächen können in vertikale Flächen
  umgerechnet werden -&gt; siehe Anwendungshilfe</t>
  </si>
  <si>
    <t>- Nachtauskühlung mit Fensterlüftung ist möglich;</t>
  </si>
  <si>
    <t>- interne Wärmelasten nicht höher als die Standardwerte im Merkblatt SIA 2024.</t>
  </si>
  <si>
    <t>Prüfung ob nicht alle Eingaben "n.a."</t>
  </si>
  <si>
    <t xml:space="preserve">  Zone</t>
  </si>
  <si>
    <t>Erfüllen die Räume in der Zone die Kriterien?</t>
  </si>
  <si>
    <t>Aussenliegender beweglicher Sonnenschutz. Bei "andere" hier deklarieren:</t>
  </si>
  <si>
    <t>Wohnen (EFH, MFH), Räume mit 1 Fassade, Betondecke (&gt;80% frei):
- Glasanteil &lt;70%</t>
  </si>
  <si>
    <t>Wohnen (EFH,MFH), Eckzimmer; Betondecke (&gt;80% frei):
- Glasanteil pro Fassade &lt;50%</t>
  </si>
  <si>
    <t>Wohnen (EFH, MFH), 1 Fassade oder Eckzimmer. Holzdecke und Zementunterlagsboden mit min. 6 cm oder Anhydrit min. 5 cm Stärke:
- Glasanteil &lt;40%</t>
  </si>
  <si>
    <t>Wohnen (EFH, MFH), Räume mit 1 Fassade, Betondecke (&gt;80% frei) oder Zement-unterlagsboden mit min. 6 cm oder Anhydrit min. 5 cmStärke. Süd-Orientierung und Verschattung durch Balkon von min. 1 m Tiefe. 
- Glasanteil &lt;100%</t>
  </si>
  <si>
    <t>"n.a.":    Nicht vorhanden. Ein solcher Raumtyp existiert nicht.
"ja":       Ein solcher Raumtyp ist vorhanden und alle Kriterien sind erfüllt.
"nein":   Ein solcher Raumtyp ist vorhanden, aber die Kriterien sind nicht erfüllt (z.B. zu hoher Glasanteil)</t>
  </si>
  <si>
    <t>Variante 2: Externer Nachweis der Kriterien gemäss SIA382/1 (ohne Kühlung)</t>
  </si>
  <si>
    <t>Die Erfüllung dieser Kriterien wird in Beilagen beschrieben und dokumentiert.</t>
  </si>
  <si>
    <t>SIA 382/1 Ziffer</t>
  </si>
  <si>
    <t>S21</t>
  </si>
  <si>
    <t>Anforderungen an den Sonnenschutz sind gemäss Zusatzformular sommerlicher Wärmeschutz erfüllt.</t>
  </si>
  <si>
    <t>S23</t>
  </si>
  <si>
    <t>S24</t>
  </si>
  <si>
    <t>S25</t>
  </si>
  <si>
    <t>S26</t>
  </si>
  <si>
    <t>Bemerkungen zum externen Nachweis (Art, Beilage, z.B. Hilfskriterien gemäss Anwendungshilfe):</t>
  </si>
  <si>
    <t>Die sommerlichen Raumlufttemperaturen wurden gemäss SIA 382/1, Zif. 4.4.4 berechnet. Die Grenzwertkurve wird ohne Kühlung an weniger als 100 h überschritten.</t>
  </si>
  <si>
    <t>S32</t>
  </si>
  <si>
    <t>Die Zone ist gekühlt und der Energiebedarf wurde berechnet. 
Es treten keinen hohen sommerlichen Raumlufttemperaturen auf.</t>
  </si>
  <si>
    <t>S33</t>
  </si>
  <si>
    <t>S34</t>
  </si>
  <si>
    <t>erfüllt?</t>
  </si>
  <si>
    <t>Gemäss Deklaration sind Anforderungen an den sommerlichen Wärmeschutz erfüllt.</t>
  </si>
  <si>
    <t>Sommer</t>
  </si>
  <si>
    <t>Register</t>
  </si>
  <si>
    <t>B2</t>
  </si>
  <si>
    <t>Variante 1: Globalbeurteilung von Standardfällen für die Nutzungen Wohnen, Einzelbüro, Gruppenbüro, Sitzungszimmer und Lager (ohne Kühlung)</t>
  </si>
  <si>
    <t>B10</t>
  </si>
  <si>
    <t>B12</t>
  </si>
  <si>
    <t>B18</t>
  </si>
  <si>
    <t>g-Wert und Produktebezeichnung</t>
  </si>
  <si>
    <t>B20</t>
  </si>
  <si>
    <t>B22</t>
  </si>
  <si>
    <t>Einzelbüro, Gruppenbüro, Sitzungszimmer mit 1 Fassade, Betondecke (&gt;80% frei):
- Glasanteil &lt;50% und automat. Steuerung des Sonnenschutzes</t>
  </si>
  <si>
    <t>Einzelbüro, Gruppenbüro, Sitzungszimmer als Eckzimmer, Betondecke (&gt;80% frei):
- Glasanteil &lt;35% und automat. Steuerung des Sonnenschutzes</t>
  </si>
  <si>
    <t>Lager mit geringen internen Wärmelasten</t>
  </si>
  <si>
    <t>B26</t>
  </si>
  <si>
    <t>Wenn S14 zutrifft, ist in S11 n.a. anzuwählen.</t>
  </si>
  <si>
    <t>Tag
B20</t>
  </si>
  <si>
    <t>Wenn Beschreibung zutrifft, ist Bedingung 'Glasanteil' nicht relevant. Wenn eine der beschriebenen Eigenschaften nicht zutrifft, ist n.a. anzuwählen.</t>
  </si>
  <si>
    <t>Tag
B23</t>
  </si>
  <si>
    <t>B33</t>
  </si>
  <si>
    <t>C35</t>
  </si>
  <si>
    <t>Variante 3: Externer Nachweis der Kriterien gemäss SIA382/1 (mit Kühlung)</t>
  </si>
  <si>
    <t>B47</t>
  </si>
  <si>
    <t>P11</t>
  </si>
  <si>
    <t>P12</t>
  </si>
  <si>
    <t>Rafflamellen</t>
  </si>
  <si>
    <t>P13</t>
  </si>
  <si>
    <t>P14</t>
  </si>
  <si>
    <t>Blatt Sommer eingefügt, Uebersetzungstext in Blatt Übersetzung</t>
  </si>
  <si>
    <t>Projektname:</t>
  </si>
  <si>
    <t>I8</t>
  </si>
  <si>
    <t xml:space="preserve">MOP - Nr.: </t>
  </si>
  <si>
    <t>Gebäudeadresse:</t>
  </si>
  <si>
    <t>Grenzwert für Endenergiebedarf ohne PV</t>
  </si>
  <si>
    <t>Grenzwert für Minergie-Kennzahl MKZ</t>
  </si>
  <si>
    <t>nach SIA 380/1:2009</t>
  </si>
  <si>
    <t>Verwaltung1</t>
  </si>
  <si>
    <t>Schulen1</t>
  </si>
  <si>
    <t>Verkauf1,2</t>
  </si>
  <si>
    <t>Restaurants1</t>
  </si>
  <si>
    <t>Versammlung1</t>
  </si>
  <si>
    <t>Spitäler1</t>
  </si>
  <si>
    <t>Industrie1</t>
  </si>
  <si>
    <t>Lager1</t>
  </si>
  <si>
    <t>Sportbauten1</t>
  </si>
  <si>
    <t xml:space="preserve">Gebäudekategorie </t>
  </si>
  <si>
    <t>Minergiekennzahl MKZ:</t>
  </si>
  <si>
    <t>B36</t>
  </si>
  <si>
    <t>Übrige Nutzungen: Angaben zur Beleuchtung</t>
  </si>
  <si>
    <t>B49</t>
  </si>
  <si>
    <t>Uebrsicht</t>
  </si>
  <si>
    <t>Uebersicht</t>
  </si>
  <si>
    <t>AF6</t>
  </si>
  <si>
    <t>AF7</t>
  </si>
  <si>
    <t>AF8</t>
  </si>
  <si>
    <t>AF9</t>
  </si>
  <si>
    <t>AF10</t>
  </si>
  <si>
    <t>Nutzung der Abwärme</t>
  </si>
  <si>
    <t>AF11</t>
  </si>
  <si>
    <t>AF12</t>
  </si>
  <si>
    <t>BA8</t>
  </si>
  <si>
    <t>BA6</t>
  </si>
  <si>
    <t>Wird die Abwärme genutzt?</t>
  </si>
  <si>
    <t>BA11</t>
  </si>
  <si>
    <t>BA12</t>
  </si>
  <si>
    <t>BA13</t>
  </si>
  <si>
    <t>Anforderung Beleuchtung eingehalten?</t>
  </si>
  <si>
    <t>Weitere Anforderungen</t>
  </si>
  <si>
    <r>
      <t>MKZ</t>
    </r>
    <r>
      <rPr>
        <vertAlign val="subscript"/>
        <sz val="9"/>
        <rFont val="Arial"/>
        <family val="2"/>
      </rPr>
      <t>HLK</t>
    </r>
    <r>
      <rPr>
        <sz val="9"/>
        <rFont val="Arial"/>
        <family val="2"/>
      </rPr>
      <t xml:space="preserve"> = </t>
    </r>
  </si>
  <si>
    <t>Zone =</t>
  </si>
  <si>
    <r>
      <t>MKZ</t>
    </r>
    <r>
      <rPr>
        <vertAlign val="subscript"/>
        <sz val="9"/>
        <rFont val="Arial"/>
        <family val="2"/>
      </rPr>
      <t>ww</t>
    </r>
    <r>
      <rPr>
        <sz val="9"/>
        <rFont val="Arial"/>
        <family val="2"/>
      </rPr>
      <t xml:space="preserve"> = </t>
    </r>
  </si>
  <si>
    <r>
      <t>f</t>
    </r>
    <r>
      <rPr>
        <vertAlign val="subscript"/>
        <sz val="9"/>
        <rFont val="Arial"/>
        <family val="2"/>
      </rPr>
      <t>A</t>
    </r>
    <r>
      <rPr>
        <sz val="9"/>
        <rFont val="Arial"/>
        <family val="2"/>
      </rPr>
      <t xml:space="preserve"> =</t>
    </r>
  </si>
  <si>
    <r>
      <t>f</t>
    </r>
    <r>
      <rPr>
        <vertAlign val="subscript"/>
        <sz val="8"/>
        <rFont val="Arial"/>
        <family val="2"/>
      </rPr>
      <t>w</t>
    </r>
    <r>
      <rPr>
        <sz val="8"/>
        <rFont val="Arial"/>
        <family val="2"/>
      </rPr>
      <t xml:space="preserve"> = 0.9</t>
    </r>
  </si>
  <si>
    <r>
      <t>f</t>
    </r>
    <r>
      <rPr>
        <vertAlign val="subscript"/>
        <sz val="8"/>
        <rFont val="Arial"/>
        <family val="2"/>
      </rPr>
      <t xml:space="preserve">A </t>
    </r>
    <r>
      <rPr>
        <sz val="8"/>
        <rFont val="Arial"/>
        <family val="2"/>
      </rPr>
      <t>= 0.9</t>
    </r>
  </si>
  <si>
    <t xml:space="preserve"> - Abminderung Armaturen</t>
  </si>
  <si>
    <t xml:space="preserve"> - Abminderung Warmhaltung</t>
  </si>
  <si>
    <r>
      <t>g/</t>
    </r>
    <r>
      <rPr>
        <sz val="9"/>
        <rFont val="Symbol"/>
        <family val="1"/>
        <charset val="2"/>
      </rPr>
      <t>h</t>
    </r>
    <r>
      <rPr>
        <sz val="9"/>
        <rFont val="Arial"/>
        <family val="2"/>
      </rPr>
      <t xml:space="preserve"> (qh)</t>
    </r>
  </si>
  <si>
    <r>
      <t>g/</t>
    </r>
    <r>
      <rPr>
        <sz val="9"/>
        <rFont val="Symbol"/>
        <family val="1"/>
        <charset val="2"/>
      </rPr>
      <t>h</t>
    </r>
    <r>
      <rPr>
        <sz val="9"/>
        <rFont val="Arial"/>
        <family val="2"/>
      </rPr>
      <t>(qww)</t>
    </r>
  </si>
  <si>
    <t>Mittelwert</t>
  </si>
  <si>
    <t>Qww Wärmebedarf Warmwasser alt</t>
  </si>
  <si>
    <t>Energieeff.</t>
  </si>
  <si>
    <t>Geschirrsp.</t>
  </si>
  <si>
    <t>Kühlschrank</t>
  </si>
  <si>
    <t>Wohnung:</t>
  </si>
  <si>
    <t>EBF wohnen:</t>
  </si>
  <si>
    <r>
      <t>E</t>
    </r>
    <r>
      <rPr>
        <vertAlign val="subscript"/>
        <sz val="9"/>
        <rFont val="Arial"/>
        <family val="2"/>
      </rPr>
      <t>Aufzug</t>
    </r>
  </si>
  <si>
    <t xml:space="preserve"> - Länge Warmhaltebänder</t>
  </si>
  <si>
    <t>Wohnfl. Aw</t>
  </si>
  <si>
    <t>Mittelwert / 
Summe</t>
  </si>
  <si>
    <r>
      <t>MKZ</t>
    </r>
    <r>
      <rPr>
        <vertAlign val="subscript"/>
        <sz val="9"/>
        <rFont val="Arial"/>
        <family val="2"/>
      </rPr>
      <t>El,Wohnen</t>
    </r>
    <r>
      <rPr>
        <sz val="9"/>
        <rFont val="Arial"/>
        <family val="2"/>
      </rPr>
      <t xml:space="preserve"> = </t>
    </r>
  </si>
  <si>
    <t>Wohnbauten:</t>
  </si>
  <si>
    <t>Beleuchtung: Umfassende Sanierung?</t>
  </si>
  <si>
    <t>B50</t>
  </si>
  <si>
    <t>K62</t>
  </si>
  <si>
    <t>I62</t>
  </si>
  <si>
    <t>D62</t>
  </si>
  <si>
    <t>B62</t>
  </si>
  <si>
    <t>G54</t>
  </si>
  <si>
    <t>Q13</t>
  </si>
  <si>
    <t>R13</t>
  </si>
  <si>
    <r>
      <t>MKZ</t>
    </r>
    <r>
      <rPr>
        <vertAlign val="subscript"/>
        <sz val="9"/>
        <rFont val="Arial"/>
        <family val="2"/>
      </rPr>
      <t>Bel,gross</t>
    </r>
  </si>
  <si>
    <r>
      <t>r</t>
    </r>
    <r>
      <rPr>
        <vertAlign val="subscript"/>
        <sz val="9"/>
        <rFont val="Arial"/>
        <family val="2"/>
      </rPr>
      <t>Bel</t>
    </r>
    <r>
      <rPr>
        <sz val="9"/>
        <rFont val="Arial"/>
        <family val="2"/>
      </rPr>
      <t xml:space="preserve"> =</t>
    </r>
  </si>
  <si>
    <r>
      <t>MKZ</t>
    </r>
    <r>
      <rPr>
        <vertAlign val="subscript"/>
        <sz val="9"/>
        <rFont val="Arial"/>
        <family val="2"/>
      </rPr>
      <t>Bel,Standard</t>
    </r>
  </si>
  <si>
    <t>Geräte</t>
  </si>
  <si>
    <t>Geräte bei Zweckbauten</t>
  </si>
  <si>
    <r>
      <t>MKZ</t>
    </r>
    <r>
      <rPr>
        <vertAlign val="subscript"/>
        <sz val="9"/>
        <color theme="1"/>
        <rFont val="Arial"/>
        <family val="2"/>
      </rPr>
      <t>Geräte</t>
    </r>
    <r>
      <rPr>
        <sz val="9"/>
        <color theme="1"/>
        <rFont val="Arial"/>
        <family val="2"/>
      </rPr>
      <t xml:space="preserve"> =</t>
    </r>
  </si>
  <si>
    <t>Allgemeine Gebäudetechnik</t>
  </si>
  <si>
    <r>
      <t>MKZ</t>
    </r>
    <r>
      <rPr>
        <vertAlign val="subscript"/>
        <sz val="9"/>
        <color theme="1"/>
        <rFont val="Arial"/>
        <family val="2"/>
      </rPr>
      <t>AGT</t>
    </r>
    <r>
      <rPr>
        <sz val="9"/>
        <color theme="1"/>
        <rFont val="Arial"/>
        <family val="2"/>
      </rPr>
      <t xml:space="preserve"> =</t>
    </r>
  </si>
  <si>
    <t>Strom-Eigenproduktion</t>
  </si>
  <si>
    <r>
      <t>MKZ</t>
    </r>
    <r>
      <rPr>
        <vertAlign val="subscript"/>
        <sz val="9"/>
        <color theme="1"/>
        <rFont val="Arial"/>
        <family val="2"/>
      </rPr>
      <t>Prod</t>
    </r>
    <r>
      <rPr>
        <sz val="9"/>
        <color theme="1"/>
        <rFont val="Arial"/>
        <family val="2"/>
      </rPr>
      <t xml:space="preserve"> =</t>
    </r>
  </si>
  <si>
    <r>
      <t>E</t>
    </r>
    <r>
      <rPr>
        <vertAlign val="subscript"/>
        <sz val="10"/>
        <rFont val="Arial"/>
        <family val="2"/>
      </rPr>
      <t>EB</t>
    </r>
    <r>
      <rPr>
        <sz val="10"/>
        <rFont val="Arial"/>
        <family val="2"/>
      </rPr>
      <t xml:space="preserve"> =</t>
    </r>
  </si>
  <si>
    <r>
      <t>E</t>
    </r>
    <r>
      <rPr>
        <vertAlign val="subscript"/>
        <sz val="10"/>
        <rFont val="Arial"/>
        <family val="2"/>
      </rPr>
      <t>Netz</t>
    </r>
    <r>
      <rPr>
        <sz val="10"/>
        <rFont val="Arial"/>
        <family val="2"/>
      </rPr>
      <t xml:space="preserve"> =</t>
    </r>
  </si>
  <si>
    <t>kWp</t>
  </si>
  <si>
    <t>W/m2</t>
  </si>
  <si>
    <t xml:space="preserve">MKZ = </t>
  </si>
  <si>
    <t>Berechnung Objkektwert der MINERGIE-Kennzahl:</t>
  </si>
  <si>
    <t>Berechnung des Grenzwertes der MINERGIE-Kennzahl:</t>
  </si>
  <si>
    <r>
      <t>MKZ</t>
    </r>
    <r>
      <rPr>
        <vertAlign val="subscript"/>
        <sz val="9"/>
        <rFont val="Arial"/>
        <family val="2"/>
      </rPr>
      <t>li</t>
    </r>
    <r>
      <rPr>
        <sz val="9"/>
        <rFont val="Arial"/>
        <family val="2"/>
      </rPr>
      <t xml:space="preserve"> = </t>
    </r>
  </si>
  <si>
    <r>
      <t>E</t>
    </r>
    <r>
      <rPr>
        <vertAlign val="subscript"/>
        <sz val="9"/>
        <rFont val="Arial"/>
        <family val="2"/>
      </rPr>
      <t>Bel,Standard</t>
    </r>
    <r>
      <rPr>
        <sz val="9"/>
        <rFont val="Arial"/>
        <family val="2"/>
      </rPr>
      <t xml:space="preserve"> =</t>
    </r>
  </si>
  <si>
    <r>
      <t>E</t>
    </r>
    <r>
      <rPr>
        <vertAlign val="subscript"/>
        <sz val="9"/>
        <rFont val="Arial"/>
        <family val="2"/>
      </rPr>
      <t>SIA380/4,ta</t>
    </r>
    <r>
      <rPr>
        <sz val="9"/>
        <rFont val="Arial"/>
        <family val="2"/>
      </rPr>
      <t xml:space="preserve"> =</t>
    </r>
  </si>
  <si>
    <r>
      <t>MKZ</t>
    </r>
    <r>
      <rPr>
        <vertAlign val="subscript"/>
        <sz val="9"/>
        <rFont val="Arial"/>
        <family val="2"/>
      </rPr>
      <t>li,ZB</t>
    </r>
  </si>
  <si>
    <t>Klimazu. =</t>
  </si>
  <si>
    <r>
      <t>MKZ</t>
    </r>
    <r>
      <rPr>
        <vertAlign val="subscript"/>
        <sz val="9"/>
        <rFont val="Arial"/>
        <family val="2"/>
      </rPr>
      <t>li,o</t>
    </r>
    <r>
      <rPr>
        <sz val="9"/>
        <rFont val="Arial"/>
        <family val="2"/>
      </rPr>
      <t xml:space="preserve"> = </t>
    </r>
  </si>
  <si>
    <t>Blatt Standardwerte, Zelle Z123, neu 0.5</t>
  </si>
  <si>
    <t>Gewichtungsfaktor WKK Holz von 0.7 auf 0.5 geändert.</t>
  </si>
  <si>
    <t>Übersicht</t>
  </si>
  <si>
    <t>Anleitung</t>
  </si>
  <si>
    <t xml:space="preserve">Dieses Nachweisformular dient zum Nachweis der Standards Minergie, Minergie-P und Minergie-A. Der entsprechende Standard </t>
  </si>
  <si>
    <t>kann im Blatt "Eingabe" ausgewählt werden. Der ausgefüllte Nachweis wird auf der Minergie-Online-Plattform (MOP) hochgeladen.</t>
  </si>
  <si>
    <t>Das Antragsformular wird nach der Einreichung auf der MOP automatisch generiert. Der unterschriebene Antrag, dieses Nachweis-</t>
  </si>
  <si>
    <t>formular, sowie weitere auf dem Antrag vermerkte Unterlagen sind der zuständigen Zertifizierungsstelle schriftlich einzureichen.</t>
  </si>
  <si>
    <t>Folgende Farbcodierung ist beim Ausfüllen des Nachweisformulars zu beachten:</t>
  </si>
  <si>
    <t>Eingabefeld (Pflicht)</t>
  </si>
  <si>
    <t>Eingabefeld (Fakultativ)</t>
  </si>
  <si>
    <t>Auswahlfeld (Pflicht)</t>
  </si>
  <si>
    <t>Projekt</t>
  </si>
  <si>
    <t>Erfüllung der Hauptanforderung</t>
  </si>
  <si>
    <t>Minergie-Kennzahl in kWh/m2</t>
  </si>
  <si>
    <t>B9</t>
  </si>
  <si>
    <t>D17</t>
  </si>
  <si>
    <t>H17</t>
  </si>
  <si>
    <t>Berechnung der Primäranforderung MINERGIE:</t>
  </si>
  <si>
    <r>
      <t>D</t>
    </r>
    <r>
      <rPr>
        <b/>
        <sz val="9"/>
        <color theme="0"/>
        <rFont val="Arial"/>
        <family val="2"/>
      </rPr>
      <t>Qh,li</t>
    </r>
  </si>
  <si>
    <t>Grenzwert Qh,li0  [kWh/m2]</t>
  </si>
  <si>
    <r>
      <t xml:space="preserve">Grenzwert </t>
    </r>
    <r>
      <rPr>
        <b/>
        <sz val="9"/>
        <color indexed="9"/>
        <rFont val="Symbol"/>
        <family val="1"/>
        <charset val="2"/>
      </rPr>
      <t>D</t>
    </r>
    <r>
      <rPr>
        <b/>
        <sz val="9"/>
        <color indexed="9"/>
        <rFont val="Arial"/>
        <family val="2"/>
      </rPr>
      <t>Qh,li  [kWh/m2]</t>
    </r>
  </si>
  <si>
    <r>
      <t>Q</t>
    </r>
    <r>
      <rPr>
        <vertAlign val="subscript"/>
        <sz val="9"/>
        <rFont val="Arial"/>
        <family val="2"/>
      </rPr>
      <t>h,li</t>
    </r>
    <r>
      <rPr>
        <sz val="9"/>
        <rFont val="Arial"/>
        <family val="2"/>
      </rPr>
      <t xml:space="preserve"> = </t>
    </r>
  </si>
  <si>
    <r>
      <t>Q</t>
    </r>
    <r>
      <rPr>
        <vertAlign val="subscript"/>
        <sz val="9"/>
        <rFont val="Arial"/>
        <family val="2"/>
      </rPr>
      <t>h,li</t>
    </r>
    <r>
      <rPr>
        <sz val="9"/>
        <rFont val="Arial"/>
        <family val="2"/>
      </rPr>
      <t xml:space="preserve"> (Neu)</t>
    </r>
  </si>
  <si>
    <t>Anforderung Heizwärmebedarf Qh:</t>
  </si>
  <si>
    <t>M42</t>
  </si>
  <si>
    <t>M43</t>
  </si>
  <si>
    <t>M44</t>
  </si>
  <si>
    <t>M45</t>
  </si>
  <si>
    <t>M46</t>
  </si>
  <si>
    <t>Endenergiebedarf</t>
  </si>
  <si>
    <t>M49</t>
  </si>
  <si>
    <t>M50</t>
  </si>
  <si>
    <t>M47</t>
  </si>
  <si>
    <t>M51</t>
  </si>
  <si>
    <t>M52</t>
  </si>
  <si>
    <t>M55</t>
  </si>
  <si>
    <t>M57</t>
  </si>
  <si>
    <t>Bedarf</t>
  </si>
  <si>
    <t>M39</t>
  </si>
  <si>
    <t>Optimierungspotential</t>
  </si>
  <si>
    <t>M59</t>
  </si>
  <si>
    <t>M58</t>
  </si>
  <si>
    <t>PV Eigenverbrauch</t>
  </si>
  <si>
    <t>PV Anteil Einspeisung</t>
  </si>
  <si>
    <t>Se si riscontra questa situazione, la percentuale di vetro non è rilevante. Se una delle caratteristiche elencate non è presente, bisogna rispondere n.a.</t>
  </si>
  <si>
    <t>Tag
B65</t>
  </si>
  <si>
    <t>Gilt für Kategorien ‚Restaurants’, ‚Sportbauten’ und ‚Hallenbäder’:
20% mit erneuerbarer Energie erbringen.</t>
  </si>
  <si>
    <t>20% mit erneuerbarer Energie gedeckt?</t>
  </si>
  <si>
    <t>Gilt für Kategorie "Hallenbad"</t>
  </si>
  <si>
    <t>Tag
B69</t>
  </si>
  <si>
    <t>Eigenstromerzeugung:</t>
  </si>
  <si>
    <t>EBF Neubau:</t>
  </si>
  <si>
    <t>EBF Altbau:</t>
  </si>
  <si>
    <t>PV-befreit:</t>
  </si>
  <si>
    <t>Min-Anforder:</t>
  </si>
  <si>
    <t>Luftdichtigkeit der Hüllfläche, Neubau</t>
  </si>
  <si>
    <t>Luftdichtigkeit der Hüllfläche, Erneuerung</t>
  </si>
  <si>
    <t>BA9</t>
  </si>
  <si>
    <t>BA10</t>
  </si>
  <si>
    <t>Einsatz erneuerbarer Energien</t>
  </si>
  <si>
    <t>Maximal 30% fossile Spitzenlast?</t>
  </si>
  <si>
    <t>Monitoringkonzept</t>
  </si>
  <si>
    <t>Monitoringkonzept:</t>
  </si>
  <si>
    <t>AF13, AF14</t>
  </si>
  <si>
    <t>Grosse Eingriffe in  Gebäudetechnik?</t>
  </si>
  <si>
    <t>Monitor?</t>
  </si>
  <si>
    <t>BA14</t>
  </si>
  <si>
    <t>Blatt "Uebersicht" und "MINERGIE" eingefügt</t>
  </si>
  <si>
    <t>MINERGIE-Nachweis-Anpassungen</t>
  </si>
  <si>
    <t>Art des Nachweises, Auswahl-Nr. (1=behördlicher Nachweis, 2=MINERGIE, 3=MINERGIE-P, 4=MINERGIE-A)</t>
  </si>
  <si>
    <t>Projektname (MINERGIE) / Gemeinde (behördlicher Nachweis)</t>
  </si>
  <si>
    <t>MOP-Nr. (MINERGIE) / Geb.-Nr. (behördlicher Nachweis)</t>
  </si>
  <si>
    <t>EGID (behördlicher Nachweis)</t>
  </si>
  <si>
    <t>Gebäudeadresse (MINERGIE) / Bauvorhaben (behördlicher Nachweis)</t>
  </si>
  <si>
    <t>Klimastation, Auswahl-Nr. (1: leer; 2: Adelboden; etc.)</t>
  </si>
  <si>
    <t>Gebäudehüllzahl1</t>
  </si>
  <si>
    <t>Gebäudehüllzahl2</t>
  </si>
  <si>
    <t>Gebäudehüllzahl3</t>
  </si>
  <si>
    <t>Gebäudehüllzahl4</t>
  </si>
  <si>
    <t>Heizwärmebedarf mit Standardluftwechsel, Qh1  (kWh/m2)</t>
  </si>
  <si>
    <t>Heizwärmebedarf mit Standardluftwechsel, Qh2  (kWh/m2)</t>
  </si>
  <si>
    <t>Heizwärmebedarf mit Standardluftwechsel, Qh3  (kWh/m2)</t>
  </si>
  <si>
    <t>Heizwärmebedarf mit Standardluftwechsel, Qh4  (kWh/m2)</t>
  </si>
  <si>
    <t>WRG1 (nur wenn Standardlüftung1 = wahr)</t>
  </si>
  <si>
    <t>WRG2 (nur wenn Standardlüftung1 = wahr)</t>
  </si>
  <si>
    <t>WRG3 (nur wenn Standardlüftung1 = wahr)</t>
  </si>
  <si>
    <t>WRG4 (nur wenn Standardlüftung1 = wahr)</t>
  </si>
  <si>
    <t>Ventilator-Motortyp1 (nur wenn Standardlüftung1 = wahr)</t>
  </si>
  <si>
    <t>Ventilator-Motortyp4 (nur wenn Standardlüftung4 = wahr)</t>
  </si>
  <si>
    <t>Ventilator-Motortyp2 (nur wenn Standardlüftung2 = wahr)</t>
  </si>
  <si>
    <t>Ventilator-Motortyp3 (nur wenn Standardlüftung3 = wahr)</t>
  </si>
  <si>
    <t>Einheit Heizwärmebedarf Qh  und Qh,eff, Auswahl-Nr.  (1: MJ/m2;  2: kWh/m2)</t>
  </si>
  <si>
    <t>eff. Heizwärmebedarf mit Lüftungsanlage, Qh,eff1  (kWh/m2)</t>
  </si>
  <si>
    <t>eff. Heizwärmebedarf mit Lüftungsanlage, Qh,eff2  (kWh/m2)</t>
  </si>
  <si>
    <t>eff. Heizwärmebedarf mit Lüftungsanlage, Qh,eff3  (kWh/m2)</t>
  </si>
  <si>
    <t>eff. Heizwärmebedarf mit Lüftungsanlage, Qh,eff4  (kWh/m2)</t>
  </si>
  <si>
    <t>Thermisch wirksamer Aussenluft-Volumenstrom1</t>
  </si>
  <si>
    <t>Thermisch wirksamer Aussenluft-Volumenstrom4</t>
  </si>
  <si>
    <t>Thermisch wirksamer Aussenluft-Volumenstrom3</t>
  </si>
  <si>
    <t>Thermisch wirksamer Aussenluft-Volumenstrom2</t>
  </si>
  <si>
    <t>Übertrag weitere Wärmeerzeugung: Bezeichnung</t>
  </si>
  <si>
    <t>Massgebender Grenzwert Zone1 für Endenergiebedarf ohne PV [kWh/m2]</t>
  </si>
  <si>
    <t>Massgebender Grenzwert Zone2  für Endenergiebedarf ohne PV  [kWh/m2]</t>
  </si>
  <si>
    <t>Massgebender Grenzwert Zone3  für Endenergiebedarf ohne PV  [kWh/m2]</t>
  </si>
  <si>
    <t>Massgebender Grenzwert Zone4  für Endenergiebedarf ohne PV  [kWh/m2]</t>
  </si>
  <si>
    <t>Anforderung Endenergie ohne PV eingehalten</t>
  </si>
  <si>
    <t>Kanton, Auswahl-Nr. ( 1: leer; 2: Aargau; etc.)</t>
  </si>
  <si>
    <t>Anforderung Grenzwert Endenergie ohne PV  [kWh/m2]</t>
  </si>
  <si>
    <t>Berechneter Wert Endenergie ohne PV  [kWh/m2]</t>
  </si>
  <si>
    <t>Anforderung MKZ  [kWh/m2]</t>
  </si>
  <si>
    <t>Berechneter Wert MKZ  [kWh/m2]</t>
  </si>
  <si>
    <t>Anforderung MKZ eingehalten</t>
  </si>
  <si>
    <t>Massgebender Grenzwert Zone1 für MKZ [kWh/m2]</t>
  </si>
  <si>
    <t>Massgebender Grenzwert Zone2 für MKZ [kWh/m2]</t>
  </si>
  <si>
    <t>Massgebender Grenzwert Zone3 für MKZ [kWh/m2]</t>
  </si>
  <si>
    <t>Massgebender Grenzwert Zone4 für MKZ [kWh/m2]</t>
  </si>
  <si>
    <t>Warmwasser, Abminderung Armaturen Zone1</t>
  </si>
  <si>
    <t>Warmwasser, Abminderung Armaturen Zone2</t>
  </si>
  <si>
    <t>Warmwasser, Abminderung Armaturen Zone3</t>
  </si>
  <si>
    <t>Warmwasser, Abminderung Armaturen Zone4</t>
  </si>
  <si>
    <t>Anzahl Wohnungen Zone1</t>
  </si>
  <si>
    <t>Anzahl Wohnungen Zone4</t>
  </si>
  <si>
    <t>Anzahl Wohnungen Zone2</t>
  </si>
  <si>
    <t>Anzahl Wohnungen Zone3</t>
  </si>
  <si>
    <t>Aufzugsanlage / Lift vorhanden?</t>
  </si>
  <si>
    <t>Lift vorhanden, Zone1</t>
  </si>
  <si>
    <t>Lift vorhanden, Zone4</t>
  </si>
  <si>
    <t>Lift vorhanden, Zone2</t>
  </si>
  <si>
    <t>Lift vorhanden, Zone3</t>
  </si>
  <si>
    <t>Alle Wäschetrockner Klasse A+++, Zone1</t>
  </si>
  <si>
    <t>Alle Wäschetrockner Klasse A+++, Zone2</t>
  </si>
  <si>
    <t>Alle Wäschetrockner Klasse A+++, Zone3</t>
  </si>
  <si>
    <t>Alle Wäschetrockner Klasse A+++, Zone4</t>
  </si>
  <si>
    <t>Alles Induktionskochherde, Zone1</t>
  </si>
  <si>
    <t>Alles Induktionskochherde, Zone2</t>
  </si>
  <si>
    <t>Alles Induktionskochherde, Zone3</t>
  </si>
  <si>
    <t>Alles Induktionskochherde, Zone4</t>
  </si>
  <si>
    <t>Beleuchtung: Umfassende Sanierung?, Zone1</t>
  </si>
  <si>
    <t>Beleuchtung: Umfassende Sanierung?, Zone2</t>
  </si>
  <si>
    <t>Beleuchtung: Umfassende Sanierung?, Zone3</t>
  </si>
  <si>
    <t>Beleuchtung: Umfassende Sanierung?, Zone4</t>
  </si>
  <si>
    <t>Leuchten: Minergie-Modul oder Klasse A+, Zone1</t>
  </si>
  <si>
    <t>Leuchten: Minergie-Modul oder Klasse A+, Zone2</t>
  </si>
  <si>
    <t>Leuchten: Minergie-Modul oder Klasse A+, Zone3</t>
  </si>
  <si>
    <t>Leuchten: Minergie-Modul oder Klasse A+, Zone4</t>
  </si>
  <si>
    <t>Lichtsteuerung Klasse A++, Zone1</t>
  </si>
  <si>
    <t>Lichtsteuerung Klasse A++, Zone2</t>
  </si>
  <si>
    <t>Lichtsteuerung Klasse A++, Zone3</t>
  </si>
  <si>
    <t>Lichtsteuerung Klasse A++, Zone4</t>
  </si>
  <si>
    <t>Beleuchtung: Zielwert SIA 380/4, Zone1</t>
  </si>
  <si>
    <t>Beleuchtung: Projektwert SIA 380/4, Zone1</t>
  </si>
  <si>
    <t>Beleuchtung: Zielwert SIA 380/4, Zone2</t>
  </si>
  <si>
    <t>Beleuchtung: Zielwert SIA 380/4, Zone3</t>
  </si>
  <si>
    <t>Beleuchtung: Zielwert SIA 380/4, Zone4</t>
  </si>
  <si>
    <t>Beleuchtung: Projektwert SIA 380/4, Zone2</t>
  </si>
  <si>
    <t>Beleuchtung: Projektwert SIA 380/4, Zone3</t>
  </si>
  <si>
    <t>Beleuchtung: Projektwert SIA 380/4, Zone4</t>
  </si>
  <si>
    <t>Jahresertrag PV [kWh/kWp], Eingabewert</t>
  </si>
  <si>
    <t>Jahresertrag PV [kWh/kWp], Rechenwert</t>
  </si>
  <si>
    <t>Eigenbedarf PV [%], Eingabewert</t>
  </si>
  <si>
    <t>Eigenbedarf PV [%], Rechenwert</t>
  </si>
  <si>
    <t>Anforderung Luftdichtigkeit der Hüllfläche, Neubau [m3/(h*m2)]</t>
  </si>
  <si>
    <t>Eingabewert Luftdichtigkeit der Hüllfläche, Neubau [m3/(h*m2)]</t>
  </si>
  <si>
    <t>Anforderung Luftdichtigkeit der Hüllfläche, Erneuerung [m3/(h*m2)]</t>
  </si>
  <si>
    <t>Eingabewert Luftdichtigkeit der Hüllfläche, Erneuerung [m3/(h*m2)]</t>
  </si>
  <si>
    <t>20% mit erneuerbarer Energie gedeckt?  (Restaurant, Sportbauten, Hallenbäder)</t>
  </si>
  <si>
    <t>20% mit erneuerbarer Energie gedeckt?  (Restaurant, Sportbauten, Hallenbäder): Anforderung erfüllt?</t>
  </si>
  <si>
    <t>Einsatz erneuerbarer Energien, Maximal 30% fossile Spitzenlast?</t>
  </si>
  <si>
    <t>Einsatz erneuerbarer Energien, Maximal 30% fossile Spitzenlast: Anforderung erfüllt?</t>
  </si>
  <si>
    <t>Optimierter Badebetrieb (Reserve)</t>
  </si>
  <si>
    <t>Optimierter Badebetrieb (Reserve): Anforderung erfüllt?</t>
  </si>
  <si>
    <t>Monitoringkonzept: Anforderung erfüllt?</t>
  </si>
  <si>
    <t>Aussenliegender beweglicher Sonnenschutz. Zone2</t>
  </si>
  <si>
    <t>Aussenliegender beweglicher Sonnenschutz. Zone1</t>
  </si>
  <si>
    <t>Aussenliegender beweglicher Sonnenschutz. Zone3</t>
  </si>
  <si>
    <t>Aussenliegender beweglicher Sonnenschutz. Zone4</t>
  </si>
  <si>
    <t>Anderer Sonnenschutz (Text)</t>
  </si>
  <si>
    <t>Bemerkung sommerlicher Wärmeschutz ohen Kühlung (Text)</t>
  </si>
  <si>
    <t>Die Grenzwertkurve SIA 382/1wird ohne Kühlung an weniger als 100 h überschritten. Zone1</t>
  </si>
  <si>
    <t>Die Grenzwertkurve SIA 382/1wird ohne Kühlung an weniger als 100 h überschritten. Zone2</t>
  </si>
  <si>
    <t>Die Grenzwertkurve SIA 382/1wird ohne Kühlung an weniger als 100 h überschritten. Zone3</t>
  </si>
  <si>
    <t>Die Grenzwertkurve SIA 382/1wird ohne Kühlung an weniger als 100 h überschritten. Zone4</t>
  </si>
  <si>
    <t>Die Zone ist gekühlt und OK. Zone1</t>
  </si>
  <si>
    <t>Die Zone ist gekühlt und OK. Zone2</t>
  </si>
  <si>
    <t>Die Zone ist gekühlt und OK. Zone3</t>
  </si>
  <si>
    <t>Die Zone ist gekühlt und OK. Zone4</t>
  </si>
  <si>
    <t>Sprachversions-Nr.  (1=deutsch / 2=französisch / 3=italienisch)</t>
  </si>
  <si>
    <t>Minergi-Kennzahl MKZ, Anforderung (kWh/m2)</t>
  </si>
  <si>
    <t>MKZ erfüllt?</t>
  </si>
  <si>
    <t>MKZ in CO2, Anforderung</t>
  </si>
  <si>
    <t>MKZ in CO2, Berechneter Wert</t>
  </si>
  <si>
    <t>Heizwärmebedarf, Anforderung (kWh/m2)</t>
  </si>
  <si>
    <t>Heizwärmebedarf, berechneter Wert (kWh/m2)</t>
  </si>
  <si>
    <t>Minergi-Kennzahl MKZ, berechneter Wert (kWh/m2)</t>
  </si>
  <si>
    <t>Heizwärmebedarf efüllt?</t>
  </si>
  <si>
    <t>Endenergie ohne PV, Anforderung  (kWh/m2)</t>
  </si>
  <si>
    <t>Endenergie ohne PV, berechneter Wert  (kWh/m2)</t>
  </si>
  <si>
    <t>Endenergie ohne PV erfüllt?</t>
  </si>
  <si>
    <t>Beleuchtung, Anforderung (kWh/m2)</t>
  </si>
  <si>
    <t>Beleuchtung, berechneter Wert (kWh/m2)</t>
  </si>
  <si>
    <t>Beleuchtung erfüllt?</t>
  </si>
  <si>
    <t>Nachweis erarbeitet Durch: Firma (Text)</t>
  </si>
  <si>
    <t>private Kontrolle: Firma (Text)</t>
  </si>
  <si>
    <t>Nachweis erarbeitet Durch: Name (Text)</t>
  </si>
  <si>
    <t>private Kontrolle: Name (Text)</t>
  </si>
  <si>
    <t>private Kontrolle: Ort / Datum / Unterschrift (Text)</t>
  </si>
  <si>
    <t>Nachweis erarbeitet Durch: Ort  / Datum / Unterschrift (Text)</t>
  </si>
  <si>
    <t>Ausführungskontrolle: Gleiche Person</t>
  </si>
  <si>
    <t>Ausführungskontrolle: Andere Person (Text)</t>
  </si>
  <si>
    <t>G53</t>
  </si>
  <si>
    <t>Teilkennzahl
Bedarf</t>
  </si>
  <si>
    <t>G58</t>
  </si>
  <si>
    <t>H58</t>
  </si>
  <si>
    <t>Anforderung PV (gewichtet)</t>
  </si>
  <si>
    <t>F29</t>
  </si>
  <si>
    <t>Produktion PV (gewichtet)</t>
  </si>
  <si>
    <t>H29</t>
  </si>
  <si>
    <t>MUKEN-Versionsnummer</t>
  </si>
  <si>
    <t>Jahr Nachweisformular</t>
  </si>
  <si>
    <t>Jahresversion Nachweisformular</t>
  </si>
  <si>
    <t>Version Nachweisformular</t>
  </si>
  <si>
    <t>Minergie-Nachweis: Jahresversion und Jahr</t>
  </si>
  <si>
    <t>MOP</t>
  </si>
  <si>
    <t>Gebäudekategorie1, Auswahl-Nr.  (0: leer; 1:MFH; 2: EFH; 3:Verwaltung; 4: Schule; 5: Verkauf; 6: Restaurant; 7: Versammlungslokal; 8: Spital; 9: Industrie; 10: Lager; 11: Sportbau; 12: Hallenbad)</t>
  </si>
  <si>
    <t>Gebäudekategorie4, Auswahl-Nr.  (0: leer; 1:MFH; 2: EFH; 3:Verwaltung; 4: Schule; 5: Verkauf; 6: Restaurant; 7: Versammlungslokal; 8: Spital; 9: Industrie; 10: Lager; 11: Sportbau; 12: Hallenbad)</t>
  </si>
  <si>
    <t>Gebäudekategorie2, Auswahl-Nr.  (0: leer; 1:MFH; 2: EFH; 3:Verwaltung; 4: Schule; 5: Verkauf; 6: Restaurant; 7: Versammlungslokal; 8: Spital; 9: Industrie; 10: Lager; 11: Sportbau; 12: Hallenbad)</t>
  </si>
  <si>
    <t>Gebäudekategorie3, Auswahl-Nr.  (0: leer; 1:MFH; 2: EFH; 3:Verwaltung; 4: Schule; 5: Verkauf; 6: Restaurant; 7: Versammlungslokal; 8: Spital; 9: Industrie; 10: Lager; 11: Sportbau; 12: Hallenbad)</t>
  </si>
  <si>
    <t>Warmwasser1, Auswahl-Nr. (0: leer; 1: Ja; 2:Nein)</t>
  </si>
  <si>
    <t>Warmwasser4, Auswahl-Nr. (0: leer; 1: Ja; 2:Nein)</t>
  </si>
  <si>
    <t>Warmwasser3, Auswahl-Nr. (0: leer; 1: Ja; 2:Nein)</t>
  </si>
  <si>
    <t>Warmwasser2, Auswahl-Nr. (0: leer; 1: Ja; 2:Nein)</t>
  </si>
  <si>
    <t>Neubau1, Auswahl-Nr. (0: leer;  1: Ja;  2: Nein)</t>
  </si>
  <si>
    <t>Neubau4, Auswahl-Nr. (0: leer;  1: Ja;  2: Nein)</t>
  </si>
  <si>
    <t>Neubau2, Auswahl-Nr. (0: leer;  1: Ja;  2: Nein)</t>
  </si>
  <si>
    <t>Neubau3, Auswahl-Nr. (0: leer;  1: Ja;  2: Nein)</t>
  </si>
  <si>
    <t>WRG1, Auswahl-Nr. (0: leer;  1: keine WRG;  2: Kreuzstrom;  3: Gegensstrom;  4: Rotations-WT;  5: Kreislauf-KVS)</t>
  </si>
  <si>
    <t>WRG2, Auswahl-Nr. (0: leer;  1: keine WRG;  2: Kreuzstrom;  3: Gegensstrom;  4: Rotations-WT;  5: Kreislauf-KVS)</t>
  </si>
  <si>
    <t>WRG3, Auswahl-Nr. (0: leer;  1: keine WRG;  2: Kreuzstrom;  3: Gegensstrom;  4: Rotations-WT;  5: Kreislauf-KVS)</t>
  </si>
  <si>
    <t>WRG4, Auswahl-Nr. (0: leer;  1: keine WRG;  2: Kreuzstrom;  3: Gegensstrom;  4: Rotations-WT;  5: Kreislauf-KVS)</t>
  </si>
  <si>
    <t>Ventilator-Motortyp4, Auswahl-Nr. (0: leer;  1: AC-Motor;  2: DC/EC-Motor)</t>
  </si>
  <si>
    <t>Ventilator-Motortyp1, Auswahl-Nr. (0: leer;  1: AC-Motor;  2: DC/EC-Motor)</t>
  </si>
  <si>
    <t>Ventilator-Motortyp2, Auswahl-Nr. (0: leer;  1: AC-Motor;  2: DC/EC-Motor)</t>
  </si>
  <si>
    <t>Ventilator-Motortyp3, Auswahl-Nr. (0: leer;  1: AC-Motor;  2: DC/EC-Motor)</t>
  </si>
  <si>
    <t>Kühlung oder Befeuchtung 4, Auswahl-Nr. (0: leer;  1: Kühlung;  2: Befeuchtung;  3: Kühl. + Bef.;  4: keine )</t>
  </si>
  <si>
    <t>Kühlung oder Befeuchtung 1, Auswahl-Nr. (0: leer;  1: Kühlung;  2: Befeuchtung;  3: Kühl. + Bef.;  4: keine )</t>
  </si>
  <si>
    <t>Kühlung oder Befeuchtung 2, Auswahl-Nr. (0: leer;  1: Kühlung;  2: Befeuchtung;  3: Kühl. + Bef.;  4: keine )</t>
  </si>
  <si>
    <t>Kühlung oder Befeuchtung 3, Auswahl-Nr. (0: leer;  1: Kühlung;  2: Befeuchtung;  3: Kühl. + Bef.;  4: keine )</t>
  </si>
  <si>
    <t>Anforderung Endenergie ohne PV eingehalten, Auswahl-Nr. (0=leer / 1=Ja / 2=Nein)</t>
  </si>
  <si>
    <t>Mind. 20% erneuerbare Energie für WW bei Rest. / Sportbauten / Hallenbäder, Auswahl-Nr. (0 = leer / 1=Ja / 2=Nein)</t>
  </si>
  <si>
    <t>Anforderung MKZ eingehalten, Auswahl-Nr. (0=leer / 1=Ja / 2=Nein)</t>
  </si>
  <si>
    <t>Warmwasser, Abminderung Armaturen Zone1, Auswahl-Nr. (0=leer / 1=Ja / 2=Nein)</t>
  </si>
  <si>
    <t>Warmwasser, Abminderung Armaturen Zone4, Auswahl-Nr. (0=leer / 1=Ja / 2=Nein)</t>
  </si>
  <si>
    <t>Warmwasser, Abminderung Armaturen Zone3, Auswahl-Nr. (0=leer / 1=Ja / 2=Nein)</t>
  </si>
  <si>
    <t>Warmwasser, Abminderung Armaturen Zone2, Auswahl-Nr. (0=leer / 1=Ja / 2=Nein)</t>
  </si>
  <si>
    <t>Lift vorhanden, Zone1, Auswahl-Nr.  (0=leer / 1=Ja / 2=Nein)</t>
  </si>
  <si>
    <t>Lift vorhanden, Zone2, Auswahl-Nr.  (0=leer / 1=Ja / 2=Nein)</t>
  </si>
  <si>
    <t>Lift vorhanden, Zone3, Auswahl-Nr.  (0=leer / 1=Ja / 2=Nein)</t>
  </si>
  <si>
    <t>Lift vorhanden, Zone4, Auswahl-Nr. (0=leer / 1=Ja / 2=Nein)</t>
  </si>
  <si>
    <t>Alle Wäschetrockner Klasse A+++, Zone1 (0=leer / 1=Ja / 2=Nein)</t>
  </si>
  <si>
    <t>Alle Wäschetrockner Klasse A+++, Zone2 (0=leer / 1=Ja / 2=Nein)</t>
  </si>
  <si>
    <t>Alle Wäschetrockner Klasse A+++, Zone3 (0=leer / 1=Ja / 2=Nein)</t>
  </si>
  <si>
    <t>Alle Wäschetrockner Klasse A+++, Zone4 (0=leer / 1=Ja / 2=Nein)</t>
  </si>
  <si>
    <t>Alles Induktionskochherde, Zone1 (0=leer / 1=Ja / 2=Nein)</t>
  </si>
  <si>
    <t>Alles Induktionskochherde, Zone2  (0=leer / 1=Ja / 2=Nein)</t>
  </si>
  <si>
    <t>Alles Induktionskochherde, Zone3  (0=leer / 1=Ja / 2=Nein)</t>
  </si>
  <si>
    <t>Alles Induktionskochherde, Zone4 (0=leer / 1=Ja / 2=Nein)</t>
  </si>
  <si>
    <t>Beleuchtung: Umfassende Sanierung?, Zone1 (0=leer / 1=Ja / 2=Nein)</t>
  </si>
  <si>
    <t>Beleuchtung: Umfassende Sanierung?, Zone2 (0=leer / 1=Ja / 2=Nein)</t>
  </si>
  <si>
    <t>Beleuchtung: Umfassende Sanierung?, Zone3 (0=leer / 1=Ja / 2=Nein)</t>
  </si>
  <si>
    <t>Beleuchtung: Umfassende Sanierung?, Zone4 (0=leer / 1=Ja / 2=Nein)</t>
  </si>
  <si>
    <t>Leuchten: Minergie-Modul oder Klasse A+, Zone1 (0=leer / 1=Ja / 2=Nein)</t>
  </si>
  <si>
    <t>Leuchten: Minergie-Modul oder Klasse A+, Zone2 (0=leer / 1=Ja / 2=Nein)</t>
  </si>
  <si>
    <t>Leuchten: Minergie-Modul oder Klasse A+, Zone3 (0=leer / 1=Ja / 2=Nein)</t>
  </si>
  <si>
    <t>Leuchten: Minergie-Modul oder Klasse A+, Zone4  (0=leer / 1=Ja / 2=Nein)</t>
  </si>
  <si>
    <t>Lichtsteuerung Klasse A++, Zone1 (0=leer / 1=Ja / 2=Nein)</t>
  </si>
  <si>
    <t>Lichtsteuerung Klasse A++, Zone2 (0=leer / 1=Ja / 2=Nein)</t>
  </si>
  <si>
    <t>Lichtsteuerung Klasse A++, Zone3 (0=leer / 1=Ja / 2=Nein)</t>
  </si>
  <si>
    <t>Lichtsteuerung Klasse A++, Zone4 (0=leer / 1=Ja / 2=Nein)</t>
  </si>
  <si>
    <t>Anforderung Beleuchtung eingehalten? (0=leer / 1=efüllt / 2=nicht erfüllt)</t>
  </si>
  <si>
    <t>Luftdichtigkeit der Hüllfläche, Neubau (0=leer / 1=Ja / 2=Nein)</t>
  </si>
  <si>
    <t>Luftdichtigkeit der Hüllfläche, Erneuerung (0=leer / 1=Ja / 2=Nein)</t>
  </si>
  <si>
    <t>20% mit erneuerbarer Energie gedeckt?  (Restaurant, Sportbauten, Hallenbäder) (0=leer / 1=Ja / 2=Nein)</t>
  </si>
  <si>
    <t>Einsatz erneuerbarer Energien, Maximal 30% fossile Spitzenlast: Anforderung erfüllt?  (0=leer / 1=efüllt / 2=nicht erfüllt)</t>
  </si>
  <si>
    <t>Einsatz erneuerbarer Energien, Maximal 30% fossile Spitzenlast? (0=leer / 1=Ja / 2=Nein)</t>
  </si>
  <si>
    <t>20% mit erneuerbarer Energie gedeckt?  (Restaurant, Sportbauten, Hallenbäder): Anforderung erfüllt?  (0=leer / 1=efüllt / 2=nicht erfüllt)</t>
  </si>
  <si>
    <t>Fällt Abwärme an? (0=leer / 1=Ja / 2=Nein)</t>
  </si>
  <si>
    <t>Wird die Abwärme genutzt? (0=leer / 1=Ja / 2=Nein)</t>
  </si>
  <si>
    <t>Optimierter Badebetrieb (Reserve) (0=leer / 1=Ja / 2=Nein)</t>
  </si>
  <si>
    <t>Optimierter Badebetrieb (Reserve): Anforderung erfüllt?  (0=leer / 1=efüllt / 2=nicht erfüllt)</t>
  </si>
  <si>
    <t>Grosse Eingriffe in  Gebäudetechnik?  (0=leer / 1=Ja / 2=Nein)</t>
  </si>
  <si>
    <t>Monitoringkonzept  (0=leer / 1=Ja / 2=Nein)</t>
  </si>
  <si>
    <t>Monitoringkonzept: Anforderung erfüllt?  (0=leer / 1=efüllt / 2=nicht erfüllt)</t>
  </si>
  <si>
    <t>Aussenliegender beweglicher Sonnenschutz. Zone4 (0=leer / 1=Rolläden / 2=Rafflamellen / 3=Modul MINERGIE / 4=andere)</t>
  </si>
  <si>
    <t>Aussenliegender beweglicher Sonnenschutz. Zone1 (0=leer / 1=Rolläden / 2=Rafflamellen / 3=Modul MINERGIE / 4=andere)</t>
  </si>
  <si>
    <t>Aussenliegender beweglicher Sonnenschutz. Zone2 (0=leer / 1=Rolläden / 2=Rafflamellen / 3=Modul MINERGIE / 4=andere)</t>
  </si>
  <si>
    <t>Aussenliegender beweglicher Sonnenschutz. Zone3 (0=leer / 1=Rolläden / 2=Rafflamellen / 3=Modul MINERGIE / 4=andere)</t>
  </si>
  <si>
    <t>Die Zone ist gekühlt und OK. Zone4  (0=leer / 1=Ja / 2=Nein)</t>
  </si>
  <si>
    <t>Die Zone ist gekühlt und OK. Zone3  (0=leer / 1=Ja / 2=Nein)</t>
  </si>
  <si>
    <t>Die Zone ist gekühlt und OK. Zone2  (0=leer / 1=Ja / 2=Nein)</t>
  </si>
  <si>
    <t>Die Zone ist gekühlt und OK. Zone1  (0=leer / 1=Ja / 2=Nein)</t>
  </si>
  <si>
    <t>Die Grenzwertkurve SIA 382/1wird ohne Kühlung an weniger als 100 h überschritten. Zone4  (0=leer / 1=Ja / 2=Nein)</t>
  </si>
  <si>
    <t>Die Grenzwertkurve SIA 382/1wird ohne Kühlung an weniger als 100 h überschritten. Zone1  (0=leer / 1=Ja / 2=Nein)</t>
  </si>
  <si>
    <t>Die Grenzwertkurve SIA 382/1wird ohne Kühlung an weniger als 100 h überschritten. Zone2  (0=leer / 1=Ja / 2=Nein)</t>
  </si>
  <si>
    <t>Die Grenzwertkurve SIA 382/1wird ohne Kühlung an weniger als 100 h überschritten. Zone3  (0=leer / 1=Ja / 2=Nein)</t>
  </si>
  <si>
    <t>MKZ erfüllt?   (0=leer / 1=Ja / 2=Nein)</t>
  </si>
  <si>
    <t>Heizwärmebedarf efüllt?   (0=leer / 1=Ja / 2=Nein)</t>
  </si>
  <si>
    <t>Endenergie ohne PV erfüllt?   (0=leer / 1=Ja / 2=Nein)</t>
  </si>
  <si>
    <t>Beleuchtung erfüllt?   (0=leer / 1=Ja / 2=Nein)</t>
  </si>
  <si>
    <t>Ausführungskontrolle: Gleiche Person   (0=leer / 1=Ja / 2=Nein)</t>
  </si>
  <si>
    <t>THG</t>
  </si>
  <si>
    <t>kg/kWh</t>
  </si>
  <si>
    <t>THG (CO2)</t>
  </si>
  <si>
    <t>Strom:</t>
  </si>
  <si>
    <t>Andere:</t>
  </si>
  <si>
    <t>kg/m2</t>
  </si>
  <si>
    <t>Minergie-Kennzahl in kg CO2/m2</t>
  </si>
  <si>
    <t>Keine Anforderungen</t>
  </si>
  <si>
    <t>F31</t>
  </si>
  <si>
    <t>Wärme A:</t>
  </si>
  <si>
    <t>Wärme B:</t>
  </si>
  <si>
    <t>Wärme C:</t>
  </si>
  <si>
    <t>Wärme D:</t>
  </si>
  <si>
    <t>Strom E:</t>
  </si>
  <si>
    <t>Energie E:</t>
  </si>
  <si>
    <t>Strom MKZ (ohne PV):</t>
  </si>
  <si>
    <t>PV Netz:</t>
  </si>
  <si>
    <t>Strom MKZ (ohne PV Netz, ohne HLK):</t>
  </si>
  <si>
    <t>kg CO2 / m2</t>
  </si>
  <si>
    <t>Rechenwert Qh:</t>
  </si>
  <si>
    <r>
      <t>Q</t>
    </r>
    <r>
      <rPr>
        <vertAlign val="subscript"/>
        <sz val="9"/>
        <rFont val="Arial"/>
        <family val="2"/>
      </rPr>
      <t>h</t>
    </r>
    <r>
      <rPr>
        <sz val="9"/>
        <rFont val="Arial"/>
        <family val="2"/>
      </rPr>
      <t xml:space="preserve"> = </t>
    </r>
  </si>
  <si>
    <t>Erfüllung der Zusatzanforderungen</t>
  </si>
  <si>
    <t xml:space="preserve">kWp </t>
  </si>
  <si>
    <t>Eigenstrom-</t>
  </si>
  <si>
    <t>Produktion</t>
  </si>
  <si>
    <t>(ungewichtet)</t>
  </si>
  <si>
    <t>Eigenstrom (A-D):</t>
  </si>
  <si>
    <t>Eigenstromerzeugung</t>
  </si>
  <si>
    <t>Anzahl Wohneinheiten</t>
  </si>
  <si>
    <t>Maximal:</t>
  </si>
  <si>
    <t>Allgemeinstrom</t>
  </si>
  <si>
    <t>Produktion
(gewichtet)</t>
  </si>
  <si>
    <t>Anforderung Minergie-A: 
Teilkennzahl Beleuchtung, Geräte und allg. Gebäudetechnik ist kleiner als die Eigenproduktion</t>
  </si>
  <si>
    <t>Neu+Alt</t>
  </si>
  <si>
    <t>Stromproduktion deckt Bedarf:</t>
  </si>
  <si>
    <t>Minergie - A</t>
  </si>
  <si>
    <r>
      <t>kWh/m</t>
    </r>
    <r>
      <rPr>
        <vertAlign val="superscript"/>
        <sz val="9"/>
        <rFont val="Arial"/>
        <family val="2"/>
      </rPr>
      <t xml:space="preserve">2 </t>
    </r>
  </si>
  <si>
    <t>Si la description est exacte, la condition "taux de surface vitrée" n'est pas significative. Si l'une des caractéristiques ne correspond pas, "n.a." doit être sélectionné.</t>
  </si>
  <si>
    <t>Aperçu</t>
  </si>
  <si>
    <t>Eté</t>
  </si>
  <si>
    <t>La justification de la protection thermique estivale se base sur la déclaration du requérant. L'office de certification peut, dans le cadre de la certification ou lors de contrôles aléatoires, demander des justificatifs détaillés. La part vitrée se rapporte toujours à la surface de la façade (et NON à la surface de référence énergétique). Les surfaces vitrées sont inférieures aux surfaces de fenêtres (déduction des cadres).</t>
  </si>
  <si>
    <t>Variante 1: Evaluation globale de cas standards pour les affectations suivantes: habitation, bureau individuel ou paysager, salle de réunion et dépôt (sans refroidissement)</t>
  </si>
  <si>
    <t>L'évaluation globale est valable pour les zones dans lesquelles les conditions suivantes sont respectées pour tous les locaux:</t>
  </si>
  <si>
    <t>- rafraîchissement nocturne possible grâce aux fenêtres;</t>
  </si>
  <si>
    <t>- charges thermiques internes pas plus élevées que la valeur standard figurant dans le cahier technique SIA 2024.</t>
  </si>
  <si>
    <t>Les locaux de cette zone satisfont-ils les critères?</t>
  </si>
  <si>
    <t>Protection solaire extérieure mobile. A déclarer ici sous "autres":</t>
  </si>
  <si>
    <t>Valeur g et désignation du produit</t>
  </si>
  <si>
    <t>Dépôt avec faibles charges thermiques internes</t>
  </si>
  <si>
    <t>Si S14 s'avère exact, "n.a." doit être sélectionné dans S11.</t>
  </si>
  <si>
    <t>Variante 2: justification externe des critères selon SIA 382/1 (sans refroidissement)</t>
  </si>
  <si>
    <t>Les conditions propres au respect de ces critères sont décrites et documentées en annexe.</t>
  </si>
  <si>
    <t>SIA 382/1 chiffre</t>
  </si>
  <si>
    <t>Les exigences concernant la protection thermique estivale sont remplies conformément au formulaire supplémentaire correspondant.</t>
  </si>
  <si>
    <t>Remarques concernant la justification externe (manière, annexes, par ex. critères de choix selon Aide à l'utilisation):</t>
  </si>
  <si>
    <t>Variante 3: justification externe des critères selon SIA 382/1 (avec refroidissement)</t>
  </si>
  <si>
    <t>Les températures de l'air intérieur en été sont calculées selon SIA 382/1 chiffre 4.4.4. Sans refroidissement, la courbe limite est dépassée en moins de 100 h.</t>
  </si>
  <si>
    <t>Selon cette déclaration, les exigences pour la protection thermique estivale sont remplies.</t>
  </si>
  <si>
    <t>Volets roulants</t>
  </si>
  <si>
    <t>Stores à lamelles</t>
  </si>
  <si>
    <t>Autres</t>
  </si>
  <si>
    <t>La zone est refroidie et les besoins en énergie sont calculés. 
Il n'y a aucune température trop élevée en été.</t>
  </si>
  <si>
    <t>Nom du projet:</t>
  </si>
  <si>
    <t>Facteur d'enveloppe</t>
  </si>
  <si>
    <t xml:space="preserve">N° MOP: </t>
  </si>
  <si>
    <t>Adresse du bâtiment:</t>
  </si>
  <si>
    <t>Valeur limite pour les besoins en énergie finale sans photovoltaïque</t>
  </si>
  <si>
    <t>Valeur limite pour l'indice Minergie MKZ</t>
  </si>
  <si>
    <t xml:space="preserve"> - Réduction pour la robinetterie</t>
  </si>
  <si>
    <t xml:space="preserve"> - Réduction pour le maintien de la chaleur</t>
  </si>
  <si>
    <t>Electricité</t>
  </si>
  <si>
    <t xml:space="preserve">Données concernant l'utilisation du logement: </t>
  </si>
  <si>
    <t>Ascenseur / élévateur disponible sur place?</t>
  </si>
  <si>
    <t>Tous les sèche-linge sont de classe A+++</t>
  </si>
  <si>
    <t>Toutes les cuisinières sont à induction</t>
  </si>
  <si>
    <t>Autres utilisations: données concernant l'éclairage</t>
  </si>
  <si>
    <t>Données supplémentaires pour le</t>
  </si>
  <si>
    <t>Luminaires: module Minergie ou classe A+</t>
  </si>
  <si>
    <t>Commande d'éclairage de classe A++</t>
  </si>
  <si>
    <t>Rendement annuel [kWh/m2]</t>
  </si>
  <si>
    <t>Besoins personnels [%]</t>
  </si>
  <si>
    <t>Rendement annuel net [kWh/kWp] (joindre le calcul)</t>
  </si>
  <si>
    <t>Autres exigences</t>
  </si>
  <si>
    <t>Autodéclaration/attestation</t>
  </si>
  <si>
    <t>Exigence</t>
  </si>
  <si>
    <t>Valeur objet</t>
  </si>
  <si>
    <t>Etanchéité de la surface de l'enveloppe, rénovation</t>
  </si>
  <si>
    <t>Rejets thermiques issus de froid industriel</t>
  </si>
  <si>
    <t>Rejets thermiques</t>
  </si>
  <si>
    <t>Utilisation des rejets thermiques</t>
  </si>
  <si>
    <t>Exploitation optimisée piscine couverte</t>
  </si>
  <si>
    <t>Recours aux énergies renouvelables</t>
  </si>
  <si>
    <t>Production de rejets thermiques?</t>
  </si>
  <si>
    <t>Recours à 20% d'énergies renouvelables?</t>
  </si>
  <si>
    <t>Etanchéité qa,50 &lt; 1,2 m3/(h*m2)</t>
  </si>
  <si>
    <t>Etanchéité qa,50 &lt; 0,8 m3/(h*m2)</t>
  </si>
  <si>
    <t>Les rejets thermiques sont-ils utilisés?</t>
  </si>
  <si>
    <t>RC avec PAC sur ventilation, RC des eaux de piscine</t>
  </si>
  <si>
    <t>Etanchéité qa,50 &lt; 1,6 m3/(h*m2)</t>
  </si>
  <si>
    <t>Pics de charge couverts avec max. 30% d'énergies fossiles?</t>
  </si>
  <si>
    <t>Exigence éclairage respectée?</t>
  </si>
  <si>
    <t xml:space="preserve"> - Longueur des bandes de chauffage</t>
  </si>
  <si>
    <t>Eclairage: rénovation complète?</t>
  </si>
  <si>
    <t>Interventions importantes sur installations techniques?</t>
  </si>
  <si>
    <t>Concept de monitoring</t>
  </si>
  <si>
    <t>Concept de monitoring annexé?</t>
  </si>
  <si>
    <t>Projet</t>
  </si>
  <si>
    <t>Instructions</t>
  </si>
  <si>
    <t>Champ de saisie (obligatoire)</t>
  </si>
  <si>
    <t>Champ de saisie (facultatif)</t>
  </si>
  <si>
    <t>Liste déroulante (obligatoire)</t>
  </si>
  <si>
    <t>Satisfaction de l'exigence principale</t>
  </si>
  <si>
    <t>Satisfaction des exigences de base</t>
  </si>
  <si>
    <t>Indice Minergie en kWh/m2</t>
  </si>
  <si>
    <t>Indice Minergie en CO2/m2</t>
  </si>
  <si>
    <t>Visualisation de l'indice Minergie</t>
  </si>
  <si>
    <t>Eclairage</t>
  </si>
  <si>
    <t>Appareils</t>
  </si>
  <si>
    <t>Besoins d'énergie finale</t>
  </si>
  <si>
    <t>Besoins</t>
  </si>
  <si>
    <t>Potentiel d'optimisation</t>
  </si>
  <si>
    <t>Valable pour les catégories "Restaurants", "Installations sportives" et "Piscines couvertes":
fournir 20% d'énergie à partir de sources renouvelables.</t>
  </si>
  <si>
    <t>Valable pour la catégorie "Piscine couverte".</t>
  </si>
  <si>
    <t>Indice partiel
Besoins</t>
  </si>
  <si>
    <t>Production PV
(pondérée)</t>
  </si>
  <si>
    <t>Exigence PV (pondérée)</t>
  </si>
  <si>
    <t>Production PV (pondérée)</t>
  </si>
  <si>
    <t>MINERGIE-A: les besoins MKZ (sans PV) sont-ils couverts par le photovoltaïque?</t>
  </si>
  <si>
    <t>Visione d'insieme</t>
  </si>
  <si>
    <t>Estate</t>
  </si>
  <si>
    <t>La verifica della protezione termica estiva si basa sull'auto-dichiarazione del richiedente. Il centro di certificazione, nell'ambito della certificazione o durante le verifiche a campione, può richiedere ulteriori documenti di dettaglio. La percentuale di vetro si riferisce sempre alla superficie della facciata e NON alla AE. Le superfici vetrate sono inferiori alle superfici delle finestre (pari alla quota di telaio).</t>
  </si>
  <si>
    <t>Variante 1: valutazione complessiva di casi standard per le categorie d'edificio abitazioni, amministrazioni (uffici singoli e non), sale riunioni e depositi (senza raffreddamento).</t>
  </si>
  <si>
    <t>La valutazione globale si applica alle zone in cui tutti i locali rispettano le seguenti condizioni:</t>
  </si>
  <si>
    <t>- è possibile eseguire il raffreddamento notturno tramite finestre;</t>
  </si>
  <si>
    <t>- carichi interni non superiori ai valori standard secondo quaderno tecnico SIA 2024</t>
  </si>
  <si>
    <t>Nella zona, i locali soddisfano i seguenti criteri?</t>
  </si>
  <si>
    <t>Schermatura solare esterna mobile. Se "altro" precisare qui:</t>
  </si>
  <si>
    <t>Valore g e descrizione del prodotto</t>
  </si>
  <si>
    <t>Magazzino con bassi carichi di calore interni</t>
  </si>
  <si>
    <t>Se S14 è vero, in S11 bisogna inserire n.a.</t>
  </si>
  <si>
    <t>Variante 2: verifica esterna dei criteri secondo SIA 382/1 (senza raffreddamento)</t>
  </si>
  <si>
    <t>Il rispetto di questi criteri è descritto e documentato negli allegati</t>
  </si>
  <si>
    <t>SIA 382/1 cfr.</t>
  </si>
  <si>
    <t>I requisiti per la protezione termica estiva sono soddisfatti tramite il formulario supplementare.</t>
  </si>
  <si>
    <t>Osservazioni sulla verifica esterna (tipo, allegati, p.es. criteri di scelta secondo la guida all'uso):</t>
  </si>
  <si>
    <t>Variante 3: calcolo tramite Tool SIA TEC 382/1 (con raffreddamento)</t>
  </si>
  <si>
    <t>Se S14 è vero, in S11 bisogna inserire n.a</t>
  </si>
  <si>
    <t>Le temperature estive dell'aria interna sono calcolate tramite SIA 382/1, cifra 4.4.4. La curva dei valori limite non viene oltrepassata per più di 100 h senza raffreddamento.</t>
  </si>
  <si>
    <t>La zona è climatizzata e il fabbisogno energetico è stato calcolato. Nei locali non si riscontrano temperature estive elevate.</t>
  </si>
  <si>
    <t>Secondo quanto dichiarato, i requisiti per la protezione termica estiva sono soddisfatte.</t>
  </si>
  <si>
    <t>Lamelle</t>
  </si>
  <si>
    <t>Modulo Minergie</t>
  </si>
  <si>
    <t>Nome del progetto:</t>
  </si>
  <si>
    <t>Rapporto di forma</t>
  </si>
  <si>
    <t>Indirizzo dell'edificio</t>
  </si>
  <si>
    <t>Valore limite fabbisogno finale d'energia senza PV</t>
  </si>
  <si>
    <t>Valore limite indice Minergie</t>
  </si>
  <si>
    <t>Informazioni sull'utilizzo dell'abitazione</t>
  </si>
  <si>
    <t>Impianti di elevazione / lift presenti</t>
  </si>
  <si>
    <t>- riduttori di flusso per rubinetteria</t>
  </si>
  <si>
    <t>- riduttori per mantenimento del calore</t>
  </si>
  <si>
    <t>Tutti le asciugatrici classe A+++</t>
  </si>
  <si>
    <t>Tutti i piani di cottura ad induzione</t>
  </si>
  <si>
    <t>Altri utilizzi: dati sull'illuminazione</t>
  </si>
  <si>
    <t>Dati supplementari per</t>
  </si>
  <si>
    <t>Verifica Minergie</t>
  </si>
  <si>
    <t>Impianto fotovoltaico</t>
  </si>
  <si>
    <t>Produzione annuale [kWh/m2]</t>
  </si>
  <si>
    <t>Autoconsumo [%]</t>
  </si>
  <si>
    <t>Produzione annuale netta [kWh/m2] (allegare calcolo)</t>
  </si>
  <si>
    <t>Altri requisiti</t>
  </si>
  <si>
    <t>Autodichiarazione/conferma</t>
  </si>
  <si>
    <t>Requisito</t>
  </si>
  <si>
    <t>Valore oggetto</t>
  </si>
  <si>
    <t>Ermeticità involucro, risanamento</t>
  </si>
  <si>
    <t>Acqua calda sanitaria</t>
  </si>
  <si>
    <t>Calore residuo industriale</t>
  </si>
  <si>
    <t>Calore residuo</t>
  </si>
  <si>
    <t>Utilizzo del calore residuo</t>
  </si>
  <si>
    <t>Ottimizzazione d'esercizio per piscine coperte</t>
  </si>
  <si>
    <t>Utilizzo energie rinnovabili</t>
  </si>
  <si>
    <t>In presenza di calore residuo?</t>
  </si>
  <si>
    <t>20% coperto con energie rinnovabili?</t>
  </si>
  <si>
    <t>Ermeticità involucro qa,50 &lt; 1.2 m3/(h*m2)</t>
  </si>
  <si>
    <t>Ermeticità involucro qa,50 &lt; 0.8 m3/(h*m2)</t>
  </si>
  <si>
    <t>Il calore residuo è utilizzato?</t>
  </si>
  <si>
    <t>Recupero di calore con PdC sulla ventilazione, recupero di calore dall'acqua della vasca</t>
  </si>
  <si>
    <t>Ermeticità involucro qa,50 &lt; 1.6 m3/(h*m2)</t>
  </si>
  <si>
    <t>Carico di picco con fonti fossili, massimo 30%?</t>
  </si>
  <si>
    <t>I requisiti sull'illuminazione sono rispettati?</t>
  </si>
  <si>
    <t>Illuminazione: risanamento completo?</t>
  </si>
  <si>
    <t>Interventi importanti sull'impiantistica?</t>
  </si>
  <si>
    <t>Concetto di monitoraggio</t>
  </si>
  <si>
    <t>Il concetto di monitoraggio è stato allegato?</t>
  </si>
  <si>
    <t>Progetto</t>
  </si>
  <si>
    <t>Istruzioni</t>
  </si>
  <si>
    <t>La seguente codifica cromatica è da ricordare durante la compilazione del formulario di verifica.</t>
  </si>
  <si>
    <t>Immissione dati (obbligatori)</t>
  </si>
  <si>
    <t>Immissione dati (facoltativi)</t>
  </si>
  <si>
    <t>Campo di selezione(facoltativo)</t>
  </si>
  <si>
    <t>Rispetto del requisito principale</t>
  </si>
  <si>
    <t>Rispetto dei requisiti supplementari</t>
  </si>
  <si>
    <t>Indice Minergie in kWh/m2</t>
  </si>
  <si>
    <t>Indice Minergie in CO2/m2</t>
  </si>
  <si>
    <t>Fabbisogno per il riscaldamento in kWh/m2</t>
  </si>
  <si>
    <t>Energia finale senza PV in kWh/m2</t>
  </si>
  <si>
    <t>- lunghezza cavo riscaldante</t>
  </si>
  <si>
    <t>Visualizzazione Indice Minergie</t>
  </si>
  <si>
    <t>Riscaldamento</t>
  </si>
  <si>
    <t>Illuminazione</t>
  </si>
  <si>
    <t>Apparecchi</t>
  </si>
  <si>
    <t>Impiantistica dell'edificio</t>
  </si>
  <si>
    <t>Fabbisogno d'energia finale</t>
  </si>
  <si>
    <t>Autoconsumo PV</t>
  </si>
  <si>
    <t>Quota di PV immessa in rete</t>
  </si>
  <si>
    <t>Fabbisogno</t>
  </si>
  <si>
    <t>Potenziale d'ottimizzazione</t>
  </si>
  <si>
    <t>Valore limite Minergie</t>
  </si>
  <si>
    <t>Fabbisogno massimo permesso</t>
  </si>
  <si>
    <t>Vale per la categoria "Piscine coperte"</t>
  </si>
  <si>
    <t>Requisito PV (ponderato)</t>
  </si>
  <si>
    <t>Produzione PV (ponderata)</t>
  </si>
  <si>
    <t>Vale per le categorie "ristoranti", "impianti sportivi" e "piscine coperte":
20% fornito con energie rinnovabili</t>
  </si>
  <si>
    <t>Indice parziale
fabbisogno</t>
  </si>
  <si>
    <t>Produzione PV
(ponderata)</t>
  </si>
  <si>
    <t>Habitation (individuelle ou collective), pièce avec 1 façade et plafond en béton apparent à &gt;80%: - taux de surface vitrée &lt;70%</t>
  </si>
  <si>
    <t>Habitation (individuelle ou collective), pièce d'angle avec plafond en béton apparent à &gt;80%: - taux de surface vitrée de chaque façade &lt;50%</t>
  </si>
  <si>
    <t>Habitation (individuelle ou collective), pièce avec 1 façade, plafond en béton apparent à &gt;80% ou chape ciment (min. 6 cm d'épaisseur) ou anhydrite (min. 5 cm d'épaisseur); orientation sud et ombrage par un balcon (min. 1 m de profondeur):  - taux de surface vitrée &lt;100%</t>
  </si>
  <si>
    <t>Bureau individuel ou paysager, salle de réunion avec 1 façade et plafond en béton apparent à &gt;80%: - taux de surface vitrée &lt;50% et commande automatique des protections solaires</t>
  </si>
  <si>
    <t>Bureau individuel ou paysager, salle de réunion avec 2 façades (pièce d'angle) et plafond en béton apparent à &gt;80%: - taux de surface vitrée &lt;35% et commande automatique des protections solaires</t>
  </si>
  <si>
    <t>"n.a.":    non applicable. Un tel type de local n'existe pas.
"oui":     il y a un local de ce type et tous les critères sont remplis.
"non":    il y a un local de ce type mais tous les critères ne sont pas remplis (p.ex. taux de surface vitrée trop élevé).</t>
  </si>
  <si>
    <t>Abitazioni (mono- e plurifamiliari), locale con 1 facciata, soletta in calcestruzzo (libera &gt;80%): - percentuale di vetro &lt;70%</t>
  </si>
  <si>
    <t>Abitazioni (mono - e plurifamiliari), locale ad angolo, soletta in calcestruzzo (libera &gt;80%): - percentuale di vetro per facciata &lt;50%</t>
  </si>
  <si>
    <t>"n.a.": non applicabile. Un locale di questo tipo non esiste
"si":    un locale di questo tipo esiste e tutti i criteri sono soddisfatti
"no":   un locale di questo tipo esiste, ma i criteri non sono soddisfatti (p.es. percentuale di vetro troppo elevata)</t>
  </si>
  <si>
    <t>Total /
Moyenne</t>
  </si>
  <si>
    <t>Effiziente Geräte Allgemeinstrom, Zone1</t>
  </si>
  <si>
    <t>Effiziente Geräte Allgemeinstrom, Zone1  (0=leer / 1=Ja / 2=Nein)</t>
  </si>
  <si>
    <t>Effiziente Geräte Allgemeinstrom, Zone2</t>
  </si>
  <si>
    <t>Effiziente Geräte Allgemeinstrom, Zone2  (0=leer / 1=Ja / 2=Nein)</t>
  </si>
  <si>
    <t>Effiziente Geräte Allgemeinstrom, Zone3</t>
  </si>
  <si>
    <t>Effiziente Geräte Allgemeinstrom, Zone3  (0=leer / 1=Ja / 2=Nein)</t>
  </si>
  <si>
    <t>Effiziente Geräte Allgemeinstrom, Zone4</t>
  </si>
  <si>
    <t>Effiziente Geräte Allgemeinstrom, Zone4  (0=leer / 1=Ja / 2=Nein)</t>
  </si>
  <si>
    <t>EBF inkl. Nutzung Hallenbad</t>
  </si>
  <si>
    <t>Minimale Grösse der der Eigenstromerzeugung [kWp]</t>
  </si>
  <si>
    <t>spezifische, installierte Leistung ohne WKK pro m2 EBF:</t>
  </si>
  <si>
    <t>Nennleistung Eigenstromerzeugung (ohne WKK) [kWp]</t>
  </si>
  <si>
    <t>Anforderung Eigenstromerzeugung erfüllt?</t>
  </si>
  <si>
    <t>Anforderung Eigenstromerzeugung erfüllt? (0=leer / 1=Ja / 2=Nein)</t>
  </si>
  <si>
    <t>Sommerlicher Wärmeschutz erfüllt?</t>
  </si>
  <si>
    <t>Sommerlicher Wärmeschutz erfüllt?  (0=leer / 1=Ja / 2=Nein)</t>
  </si>
  <si>
    <t>Blatt "Standardwerte", U39:AC43, Werte angepasst</t>
  </si>
  <si>
    <t>Luftwechsel bei Kleinanlagen mit Standardwerten teilweise zu hoch.</t>
  </si>
  <si>
    <t>Blatt "Nachweis", F10,F14,F18,F22 angepasst</t>
  </si>
  <si>
    <t>Neu Darstellung des thermischen Solareertrages kWh/m2 (Rechenwert)</t>
  </si>
  <si>
    <r>
      <t>kWh/m</t>
    </r>
    <r>
      <rPr>
        <b/>
        <i/>
        <vertAlign val="superscript"/>
        <sz val="9"/>
        <rFont val="Arial"/>
        <family val="2"/>
      </rPr>
      <t>2</t>
    </r>
  </si>
  <si>
    <t>MKZ,HLK, kWh/m2</t>
  </si>
  <si>
    <t>MKZ,ww,  kWh/m2</t>
  </si>
  <si>
    <t>MKZ,El,Wohnen  kWh/m2</t>
  </si>
  <si>
    <t>MKZ,Bel  kWh/m2</t>
  </si>
  <si>
    <t>MKZ,Geräte  kWh/m2</t>
  </si>
  <si>
    <t>MKZ,AGT  kWh/m2</t>
  </si>
  <si>
    <t>E,EB  kWh/m2</t>
  </si>
  <si>
    <t>E,Netz  kWh</t>
  </si>
  <si>
    <t>elektrischer Jahresbedarf Lüftung  kWh/m2</t>
  </si>
  <si>
    <t>elektrischer Jahresbedarf Klimatisierung  kWh/m2</t>
  </si>
  <si>
    <t>gewichteter Strombedarf in kWh/m2 (mit Faktor 2 multiplizierter Strombedarf)</t>
  </si>
  <si>
    <t>Blatt "MINERGIE", O57-R57, O59-R59, O63-R63, Gewichtungsfaktor 2 in Formel entfernt</t>
  </si>
  <si>
    <t>Gemäss MINERGIE-Reglement sind Werte in Tabelle 3, 4, 5 schon gewichtet</t>
  </si>
  <si>
    <t>Blatt "Standardwerte" AD72-AD83 gemäss neuem Reglementsentwurf angepasst</t>
  </si>
  <si>
    <t>Tabelle 3 (Strom Beleuchtung) in MINERGIE-Reglement mit neuen Werten</t>
  </si>
  <si>
    <t>gewichtete Endenergie Strom Wärmeerzeugung A</t>
  </si>
  <si>
    <t>gewichtete Endenergie Strom Wärmeerzeugung B</t>
  </si>
  <si>
    <t>gewichtete Endenergie Strom Wärmeerzeugung C</t>
  </si>
  <si>
    <t>gewichtete Endenergie Strom Wärmeerzeugung D</t>
  </si>
  <si>
    <t>gewichtete Endenergie Strom Wärmeerzeugung E</t>
  </si>
  <si>
    <t>gewichtete Endenergie andere (ohne Strom) Wärmeerzeugung A</t>
  </si>
  <si>
    <t>gewichtete Endenergie andere (ohne Strom) Wärmeerzeugung E</t>
  </si>
  <si>
    <t>gewichtete Endenergie andere (ohne Strom) Wärmeerzeugung D</t>
  </si>
  <si>
    <t>gewichtete Endenergie andere (ohne Strom) Wärmeerzeugung C</t>
  </si>
  <si>
    <t>gewichtete Endenergie andere (ohne Strom) Wärmeerzeugung B</t>
  </si>
  <si>
    <t>gewichtete Endenergie Strom Lüftung</t>
  </si>
  <si>
    <t>gewichtete Endenergie Strom Klima + Hilfsbetriebe</t>
  </si>
  <si>
    <t>Blatt "Standardwerte", J10-K21, Werte gemäss MUKEN 2014 eingefügt.</t>
  </si>
  <si>
    <t>Grenzwerte Qh,li Muken 2014 unterscheiden sich von SIA 380/1:2009. Neu gilt MUKEN.</t>
  </si>
  <si>
    <t>Blatt "MINERGIE",  S54, Formel für kleine Zweckbauten angepasst</t>
  </si>
  <si>
    <t>Bei kleinen Zweck-Neubauten fehlte Standard-Wert Beleuchtung. Korrigiert.</t>
  </si>
  <si>
    <t>Luftdichtheit der Hüllfläche, Erneuerung</t>
  </si>
  <si>
    <t>Luftdichtheit qa,50 &lt; 1.2 m3/(h*m2)</t>
  </si>
  <si>
    <t>Luftdichtheit qa,50 &lt; 0.8 m3/(h*m2)</t>
  </si>
  <si>
    <t>Luftdichtheit qa,50 &lt; 1.6 m3/(h*m2)</t>
  </si>
  <si>
    <t>Nessuna esigenza</t>
  </si>
  <si>
    <t>Produzione propria di elettricità</t>
  </si>
  <si>
    <t>Requisito Minergie A:
l’indice parziale illuminazione, apparecchi e impiantistica in genere è inferiore alla produzione propria</t>
  </si>
  <si>
    <t>Numero unità abitative</t>
  </si>
  <si>
    <t>Potenza nominale (senza cogenerazione) [kWp]</t>
  </si>
  <si>
    <t>Nombre d’unités d’habitation</t>
  </si>
  <si>
    <t>Exigence Minergie-A: 
l'indice partiel éclairage, appareils et installations techniques générales est inférieur à l'autoproduction</t>
  </si>
  <si>
    <t>Les besoins sont couverts par la production d’électricité:</t>
  </si>
  <si>
    <t>La produzione di elettricità copre il fabbisogno:</t>
  </si>
  <si>
    <t>Pas d’exigence</t>
  </si>
  <si>
    <t>Autoproduction d‘électricité</t>
  </si>
  <si>
    <t>erneuerbar</t>
  </si>
  <si>
    <t>%</t>
  </si>
  <si>
    <t>Deck. Heiz</t>
  </si>
  <si>
    <t>Deck. ww</t>
  </si>
  <si>
    <t>qh</t>
  </si>
  <si>
    <t>qww</t>
  </si>
  <si>
    <t>qh+qww</t>
  </si>
  <si>
    <t>Wärme E:</t>
  </si>
  <si>
    <t>nicht</t>
  </si>
  <si>
    <t>Blatt "MINERGIE",  V25-Y25, Formel angepasst, neu  Qh nur noch berücksichtigt, falls Grenzwert vorhanden</t>
  </si>
  <si>
    <t>Bei Primäranforderungen war das Qh auch der MINERGIE-Altbauten enthalten. Korriegiert.</t>
  </si>
  <si>
    <r>
      <t>Q</t>
    </r>
    <r>
      <rPr>
        <vertAlign val="subscript"/>
        <sz val="9"/>
        <rFont val="Arial"/>
        <family val="2"/>
      </rPr>
      <t>h,li nicht ern.</t>
    </r>
    <r>
      <rPr>
        <sz val="9"/>
        <rFont val="Arial"/>
        <family val="2"/>
      </rPr>
      <t xml:space="preserve"> = </t>
    </r>
  </si>
  <si>
    <t>Anteil WW</t>
  </si>
  <si>
    <t>Anteil Heiz</t>
  </si>
  <si>
    <t>Max. 30%</t>
  </si>
  <si>
    <r>
      <t>Q</t>
    </r>
    <r>
      <rPr>
        <vertAlign val="subscript"/>
        <sz val="9"/>
        <rFont val="Arial"/>
        <family val="2"/>
      </rPr>
      <t xml:space="preserve">ww, nicht erneuer </t>
    </r>
    <r>
      <rPr>
        <sz val="9"/>
        <rFont val="Arial"/>
        <family val="2"/>
      </rPr>
      <t xml:space="preserve">= </t>
    </r>
  </si>
  <si>
    <r>
      <t>Q</t>
    </r>
    <r>
      <rPr>
        <vertAlign val="subscript"/>
        <sz val="9"/>
        <rFont val="Arial"/>
        <family val="2"/>
      </rPr>
      <t xml:space="preserve">h+ww, nicht ern. </t>
    </r>
    <r>
      <rPr>
        <sz val="9"/>
        <rFont val="Arial"/>
        <family val="2"/>
      </rPr>
      <t xml:space="preserve">= </t>
    </r>
  </si>
  <si>
    <t>Blatt "Uebersicht",  Stromproduktion deckt Bedarf (MINERGIE-A), neu auf Zeile 43</t>
  </si>
  <si>
    <t>Einfügen Nachweis Höchstanteil an nich erneuerbarer Energie</t>
  </si>
  <si>
    <t>Blatt "Standardwerte", AS106-AS153,  erneuerbarer Anteil eingefügt</t>
  </si>
  <si>
    <t>Grundlage für Berechnung Höchstanteil an nich erneuerbarer Energie</t>
  </si>
  <si>
    <t>Blatt "Nachweis", AI2-AK45, Berechnung Anteil nicht erneuerbarer Energie eingefügt</t>
  </si>
  <si>
    <t>Blatt "Uebersicht",  B42-K42, Höchstanteil nicht erneuerbarer Energie eingefügt</t>
  </si>
  <si>
    <t>Blatt "MINERGIE", B76-K77, Zwischenformel für die Eingabe des freiwilligen Beleuchtungsnachweises</t>
  </si>
  <si>
    <t>Grundlage für die Berechnung des freiwilligen Beleuchtungsnachweises bei Zweckbauten</t>
  </si>
  <si>
    <t>Blatt "MINERGIE", U43-AA46, Zwischenformel für die Eingabe des freiwilligen Beleuchtungsnachweises</t>
  </si>
  <si>
    <t>Blatt "MINERGIE", K48, K49, O57-R57, S50, V49-Y54: Formeln angepasst</t>
  </si>
  <si>
    <t>Berechnung des freiwilligen Beleuchtungsnachweises bei Zweckbauten ergänzt</t>
  </si>
  <si>
    <t>Anforderung Höchstanteil nicht erneuerbarer Energie</t>
  </si>
  <si>
    <t>Rechenwert Höchstanteil nicht erneuerbarer Energie</t>
  </si>
  <si>
    <t xml:space="preserve">Anforderung Höchstanteil nicht erneuerbarer Energie erfüllt? </t>
  </si>
  <si>
    <t>Anforderung Höchstanteil nicht erneuerbarer Energie erfüllt?   (0=leer / 1=Ja / 2=Nein)</t>
  </si>
  <si>
    <t>Stromproduktion deckt Bedarf (MINERGIE-A): Anforderungswert</t>
  </si>
  <si>
    <t>Stromproduktion deckt Bedarf (MINERGIE-A): Rechenwert</t>
  </si>
  <si>
    <t>Stromproduktion deckt Bedarf (MINERGIE-A)</t>
  </si>
  <si>
    <t>Stromproduktion deckt Bedarf (MINERGIE-A)   (0=leer / 1=Ja / 2=Nein)</t>
  </si>
  <si>
    <t>Höchstanteil an nich erneuerbarer Energie ergänzt</t>
  </si>
  <si>
    <t>Blatt "MOP", A531-C539 ergänzt</t>
  </si>
  <si>
    <t>Höchstanteil fossile Spitzenlast abfragen?</t>
  </si>
  <si>
    <t>Blatt "Standardwerte", AF9-DA9, Formel angepasst</t>
  </si>
  <si>
    <t>Keine Abfrage mehr der Zusatzbedingung des Höchstanteils an nichterneuerbarer Energie</t>
  </si>
  <si>
    <t>Blatt "Eingaben"K83, Formel für Qe angepasst</t>
  </si>
  <si>
    <t>Bei Altbauten wurde bisher die Lüftung auf dem Nachweisblatt nicht eingerechnet</t>
  </si>
  <si>
    <t>Blatt "Eingaben"K84, Formel für E_Qk angepasst</t>
  </si>
  <si>
    <t>Bei Altbauten wurde bisher der Strombedarf Klima auf dem Nachweisblatt nicht eingerechnet</t>
  </si>
  <si>
    <t>Standardbedarf Elektrizität war um Faktor 2 zu hoch (Tabellenwerte mit Gewichtungsfaktor)</t>
  </si>
  <si>
    <t>Blatt "MINERGIE",  V49-Y49 und V53-Y53, Ebel,standard falsch. Formel korrigiert.</t>
  </si>
  <si>
    <t>Blatt "MINERGIE", W49-Y49, Formel angepasst</t>
  </si>
  <si>
    <t>Grenzwert für MKZ in Blatt "Nachweis" bei mehr als 1 Zone falsch berechnet</t>
  </si>
  <si>
    <t>Blatt "Standardwerte", Y144-Y149, Wert für maximalen COP fehlt. Neu: Max-Wert = Standard +1.2</t>
  </si>
  <si>
    <t>Division durch Null bei Wärmeerzeugung Lüftungs-Wärmepumpen, wenn nicht Standardwert</t>
  </si>
  <si>
    <t>Rubans chauffants</t>
  </si>
  <si>
    <t>Cavi riscaldanti</t>
  </si>
  <si>
    <t>Begleitheizbänder</t>
  </si>
  <si>
    <t>Blatt "Standardwerte", V141-Y141, Begleitheizbänder statt PV</t>
  </si>
  <si>
    <t>Photovoltiaik bei der Wärmeerzeugung durch PV ersetzt.</t>
  </si>
  <si>
    <t>V-W141</t>
  </si>
  <si>
    <t>Höchstanteil fossiler Energie</t>
  </si>
  <si>
    <t>Qww Wärmebedarf Warmwasser SIA 380/1</t>
  </si>
  <si>
    <t>Besoin pour eau chaude Qww SIA 380/1</t>
  </si>
  <si>
    <t>Qww Fabbisogno di calore per ACS SIA 380/1</t>
  </si>
  <si>
    <t>Warmwasser, Rechenwert</t>
  </si>
  <si>
    <t>Eau chaude, valeur calculée</t>
  </si>
  <si>
    <t>Acqua calda, valore utilizz.</t>
  </si>
  <si>
    <t>Warmwasser, SIA 385</t>
  </si>
  <si>
    <t>Eau chaude, SIA 385</t>
  </si>
  <si>
    <t>Acqua calda, SIA 385</t>
  </si>
  <si>
    <t>Part d'énergies fossiles</t>
  </si>
  <si>
    <t>Coperto da energie fossile</t>
  </si>
  <si>
    <t>Blatt "MINERGIE" B17-I18, neu Warmwasser Rechenwert und Eingabe SIA 385 für Berechnung MKZ</t>
  </si>
  <si>
    <t>Neu: Optionale Eingabe Warmwasserbedarf nach SIA 385 für Berechnung MKZ</t>
  </si>
  <si>
    <t>Blatt "MINERGIE" O19-R19, Formel angepasst für optionale Eingabe Warmwasserbedarf nach SIA 385</t>
  </si>
  <si>
    <t>Blatt "Uebersicht" K30-K42: Neu grün bei Ja und rot bei nein</t>
  </si>
  <si>
    <t>Farbliche Hervorhebung wenn erfüllt / nicht erfüllt</t>
  </si>
  <si>
    <t>Blatt "Eingaben" E46: Standard-Eingabe MJ/m2 und rote Schrift des Feldes</t>
  </si>
  <si>
    <t>Eingaben Qh neu auch bei MINERGIE immer MJ/m2</t>
  </si>
  <si>
    <t>Warmwasserbedarf, Rechenwert MKZ, Zone1 kWh/m2</t>
  </si>
  <si>
    <t>Warmwasserbedarf, Rechenwert MKZ, Zone2, kWh/m2</t>
  </si>
  <si>
    <t>Warmwasserbedarf, Rechenwert MKZ, Zone3, kWh/m2</t>
  </si>
  <si>
    <t>Warmwasserbedarf, Rechenwert MKZ, Zone4, kWh/m2</t>
  </si>
  <si>
    <t>Blatt "Standardwerte" AN141 = 58</t>
  </si>
  <si>
    <t>Neue Nr. für Begleitheizband in MOP = 58</t>
  </si>
  <si>
    <t>Mieterausbau</t>
  </si>
  <si>
    <t>unbekannter Mieterausbau</t>
  </si>
  <si>
    <t>Zweckbau</t>
  </si>
  <si>
    <t>Nachw.erford.</t>
  </si>
  <si>
    <t>Zweckneubau</t>
  </si>
  <si>
    <t>Total</t>
  </si>
  <si>
    <t>freiw. Nachw.</t>
  </si>
  <si>
    <t>freiw. gewählt</t>
  </si>
  <si>
    <t>Zweckumbau</t>
  </si>
  <si>
    <t>EBF Zweckneu</t>
  </si>
  <si>
    <t>umf. Sanierung</t>
  </si>
  <si>
    <t>EBF Bel.Nachw.</t>
  </si>
  <si>
    <t>EBF Zw. ohne Nachweis</t>
  </si>
  <si>
    <t>Beleuchtung Zweckbauten ohne Mieterausbau</t>
  </si>
  <si>
    <r>
      <t>MKZ</t>
    </r>
    <r>
      <rPr>
        <vertAlign val="subscript"/>
        <sz val="9"/>
        <rFont val="Arial"/>
        <family val="2"/>
      </rPr>
      <t>Bel,Mieterausbau</t>
    </r>
  </si>
  <si>
    <t>Zwingender Beleuchtungsnachweis</t>
  </si>
  <si>
    <t>Beleuchtungsnachweis zwingend, da umfassende Sanierung</t>
  </si>
  <si>
    <t>Freiwilliger Beleuchtungsnachweis</t>
  </si>
  <si>
    <t>Zweckbau ohne Nachweis</t>
  </si>
  <si>
    <r>
      <t>E</t>
    </r>
    <r>
      <rPr>
        <vertAlign val="subscript"/>
        <sz val="10"/>
        <rFont val="Arial"/>
        <family val="2"/>
      </rPr>
      <t>Bel,Standard</t>
    </r>
  </si>
  <si>
    <r>
      <t>E</t>
    </r>
    <r>
      <rPr>
        <vertAlign val="subscript"/>
        <sz val="10"/>
        <rFont val="Arial"/>
        <family val="2"/>
      </rPr>
      <t xml:space="preserve">SIA380/4,ta </t>
    </r>
    <r>
      <rPr>
        <sz val="10"/>
        <rFont val="Arial"/>
        <family val="2"/>
      </rPr>
      <t>(Zielwert)</t>
    </r>
  </si>
  <si>
    <r>
      <t>E</t>
    </r>
    <r>
      <rPr>
        <vertAlign val="subscript"/>
        <sz val="10"/>
        <rFont val="Arial"/>
        <family val="2"/>
      </rPr>
      <t xml:space="preserve">SIA380/4,Bel </t>
    </r>
    <r>
      <rPr>
        <sz val="10"/>
        <rFont val="Arial"/>
        <family val="2"/>
      </rPr>
      <t>(Projektwert)</t>
    </r>
  </si>
  <si>
    <t>Stand.Beleucht.x 1.2</t>
  </si>
  <si>
    <t>EBF Zweckbau</t>
  </si>
  <si>
    <t>Mieterausbau Zweckbauten</t>
  </si>
  <si>
    <t>Allgemeine Gebäudetechnik bei Zweckbauten</t>
  </si>
  <si>
    <t>Minergie-Kennzahl MKZ</t>
  </si>
  <si>
    <r>
      <t>Aufteilung MKZ</t>
    </r>
    <r>
      <rPr>
        <b/>
        <vertAlign val="subscript"/>
        <sz val="10"/>
        <rFont val="Arial"/>
        <family val="2"/>
      </rPr>
      <t>HLK</t>
    </r>
    <r>
      <rPr>
        <b/>
        <sz val="10"/>
        <rFont val="Arial"/>
        <family val="2"/>
      </rPr>
      <t xml:space="preserve"> in Heizung und Lüftung/Klima:</t>
    </r>
  </si>
  <si>
    <r>
      <t>MKZ</t>
    </r>
    <r>
      <rPr>
        <vertAlign val="subscript"/>
        <sz val="9"/>
        <rFont val="Arial"/>
        <family val="2"/>
      </rPr>
      <t>H</t>
    </r>
    <r>
      <rPr>
        <sz val="9"/>
        <rFont val="Arial"/>
        <family val="2"/>
      </rPr>
      <t xml:space="preserve"> = </t>
    </r>
  </si>
  <si>
    <r>
      <t>MKZ</t>
    </r>
    <r>
      <rPr>
        <vertAlign val="subscript"/>
        <sz val="9"/>
        <rFont val="Arial"/>
        <family val="2"/>
      </rPr>
      <t>LK</t>
    </r>
    <r>
      <rPr>
        <sz val="9"/>
        <rFont val="Arial"/>
        <family val="2"/>
      </rPr>
      <t xml:space="preserve"> = </t>
    </r>
  </si>
  <si>
    <t>Lüftung + Klima</t>
  </si>
  <si>
    <t>PV nicht anrechenbar</t>
  </si>
  <si>
    <t>Reihe 1:</t>
  </si>
  <si>
    <t>Reihe 2:</t>
  </si>
  <si>
    <t>Reihe 3:</t>
  </si>
  <si>
    <t>Berechnung des Standard-Bedarfs:</t>
  </si>
  <si>
    <r>
      <t>E</t>
    </r>
    <r>
      <rPr>
        <vertAlign val="subscript"/>
        <sz val="9"/>
        <rFont val="Arial"/>
        <family val="2"/>
      </rPr>
      <t>hlwk,li</t>
    </r>
  </si>
  <si>
    <t>Grenzwert E hlwk,li</t>
  </si>
  <si>
    <t>M63</t>
  </si>
  <si>
    <t>M65</t>
  </si>
  <si>
    <t>M56</t>
  </si>
  <si>
    <t>Qh</t>
  </si>
  <si>
    <t>Luftdichtheit der Hüllfläche</t>
  </si>
  <si>
    <t>Etanchéité de la surface de l'enveloppe</t>
  </si>
  <si>
    <t>Ermeticità involucro</t>
  </si>
  <si>
    <t>Installierte Leistung (ohne WKK)  [kWp]</t>
  </si>
  <si>
    <t>Puissance installée (sans CCF) [kWp]</t>
  </si>
  <si>
    <t>Grösse Batterie [kWh]</t>
  </si>
  <si>
    <t>Batterie-verluste [%]:</t>
  </si>
  <si>
    <t>Eigenverbrauchsrate [%]</t>
  </si>
  <si>
    <t>spezifischer Jahresertrag [kWh/kWp]</t>
  </si>
  <si>
    <t>Installations techn. du bâtiment</t>
  </si>
  <si>
    <t>PV autoconsommation</t>
  </si>
  <si>
    <t>PV part injectée</t>
  </si>
  <si>
    <t>ventilation et climatisation</t>
  </si>
  <si>
    <t>Blatt "MINERGIE", B16-K16, neue Zusatzeingabe Mieterausbau</t>
  </si>
  <si>
    <t>Neu: Zweckbauten mit Mieterausbau: MKZ,Bel / Geräte = 1.2 x Standardwert</t>
  </si>
  <si>
    <t>Blatt "MINERGIE", N46-T56, Neues Berechnungsfeld für Berechnung Mieterausbau MKZ,Bel</t>
  </si>
  <si>
    <t>Neu: Hilfsberechnungen Mieterausbau und Berechnung MKZ,Bel Mieterausbau</t>
  </si>
  <si>
    <t>MKZ,Geräte bei Mieterausbau neu 1.2 x Standardwert</t>
  </si>
  <si>
    <t>Blatt "MINERGIE", N74-T92, neues Feld mit Hilfsberechnungen für Beleuchtung Zweckbauten</t>
  </si>
  <si>
    <t>Blatt "MINERGIE", O59-S59, Anpassung Formel für MKZ,Geräte bei Mieterausbau</t>
  </si>
  <si>
    <t>Blatt "MINERGIE", F48-K49, neue Formatierung basierend auf Hilfsberechnung Felder N74-T92</t>
  </si>
  <si>
    <t>1. Mieterausbau, 2. Zweckbau &gt;250m2, 3. grosser Eingriff Technik, 4. Freiwillig 380/4</t>
  </si>
  <si>
    <t>Formatierungen neu auf den Zellen der Hilfsberechnung N74-T92</t>
  </si>
  <si>
    <t>Blatt "MINERGIE", G56-K56: Neue Eingabefelder für Batterie und Batterieverluste</t>
  </si>
  <si>
    <t>Blatt "MINERGIE",S45 und S63: Batterieverluste addiert</t>
  </si>
  <si>
    <t>MKZ,el wohnen oder MKZ AGT neu mit Batterieverlusten</t>
  </si>
  <si>
    <t>Blatt "MINERGIE", G55-K55: Darstellungsreihenfolge geändert</t>
  </si>
  <si>
    <t>Besser lesbares Formular</t>
  </si>
  <si>
    <t>Blatt "MINERGIE", N94-S98: Neue Hilfsberechnung für MKZ Heizen, Warmwasser, Lüftung/Kühlung</t>
  </si>
  <si>
    <t>Separate Darstellung der Energieverluste Lüftung/Kühlung auf Blatt Uebersicht</t>
  </si>
  <si>
    <t>Blatt "Uebersicht", B44-K63: Neugestaltung grafische Darstellung und Farben Diagramm</t>
  </si>
  <si>
    <t>Neugestaltung gemäss Wunsch MINERGIE-Agentur</t>
  </si>
  <si>
    <t>Blatt "Eingaben" und "MINEREGIE": Diverse Anpassungen Zellengrössen</t>
  </si>
  <si>
    <t>Verbesserte Darstellung der französischen Sprachvesion</t>
  </si>
  <si>
    <t>Blatt "MINEREGIE", D50-K50, Neue Darstellung + Angabe Rechenwert Beleuchtung Zweckbauten</t>
  </si>
  <si>
    <t>Es wird neu der Rechenwert für den Strombedarf Beleuchtung dargestellt</t>
  </si>
  <si>
    <t>Blatt "Uebersicht", B39-L40: Reihenfolge der Zeile 39-40 getauscht</t>
  </si>
  <si>
    <t>Reihenfolge gemäss Wunsch MINERGIE-Agentur</t>
  </si>
  <si>
    <t>Unbekannter Mieterausbau, Zone1</t>
  </si>
  <si>
    <t>Unbekannter Mieterausbau, Zone2</t>
  </si>
  <si>
    <t>Unbekannter Mieterausbau, Zone3</t>
  </si>
  <si>
    <t>Unbekannter Mieterausbau, Zone4</t>
  </si>
  <si>
    <t>Unbekannter Mieterausbau, Zone1   (0=leer / 1=Ja / 2=Nein)</t>
  </si>
  <si>
    <t>Unbekannter Mieterausbau, Zone2   (0=leer / 1=Ja / 2=Nein)</t>
  </si>
  <si>
    <t>Unbekannter Mieterausbau, Zone3   (0=leer / 1=Ja / 2=Nein)</t>
  </si>
  <si>
    <t>Unbekannter Mieterausbau, Zone4   (0=leer / 1=Ja / 2=Nein)</t>
  </si>
  <si>
    <t>MKZBel,Mieterausbau, Zone1</t>
  </si>
  <si>
    <t>MKZBel,Mieterausbau, Zone2</t>
  </si>
  <si>
    <t>MKZBel,Mieterausbau, Zone3</t>
  </si>
  <si>
    <t>MKZBel,Mieterausbau, Zone4</t>
  </si>
  <si>
    <t>MKZBel,Mieterausbau, total</t>
  </si>
  <si>
    <t>MKZBel,Standard, Zone1</t>
  </si>
  <si>
    <t>MKZBel,Standard, Zone2</t>
  </si>
  <si>
    <t>MKZBel,Standard, Zone3</t>
  </si>
  <si>
    <t>MKZBel,Standard, Zone4</t>
  </si>
  <si>
    <t>MKZBel,Standard, total</t>
  </si>
  <si>
    <t>MKZBel,gross, Zone1</t>
  </si>
  <si>
    <t>MKZBel,gross, Zone2</t>
  </si>
  <si>
    <t>MKZBel,gross, Zone3</t>
  </si>
  <si>
    <t>MKZBel,gross, Zone4</t>
  </si>
  <si>
    <t>MKZBel,gross, total</t>
  </si>
  <si>
    <t>MKZAGT, Zone1</t>
  </si>
  <si>
    <t>MKZAGT, Zone2</t>
  </si>
  <si>
    <t>MKZAGT, Zone3</t>
  </si>
  <si>
    <t>MKZAGT, Zone4</t>
  </si>
  <si>
    <t>MKZAGT, total</t>
  </si>
  <si>
    <t>MKZGeräte, Zone1</t>
  </si>
  <si>
    <t>MKZGeräte, Zone2</t>
  </si>
  <si>
    <t>MKZGeräte, Zone3</t>
  </si>
  <si>
    <t>MKZGeräte, Zone4</t>
  </si>
  <si>
    <t>MKZGeräte, total</t>
  </si>
  <si>
    <t>MKZEl,Wohnen, Zone1</t>
  </si>
  <si>
    <t>MKZEl,Wohnen, Zone2</t>
  </si>
  <si>
    <t>MKZEl,Wohnen, Zone3</t>
  </si>
  <si>
    <t>MKZEl,Wohnen, Zone4</t>
  </si>
  <si>
    <t>MKZEl,Wohnen, total</t>
  </si>
  <si>
    <t>MKZHLK, Zone1</t>
  </si>
  <si>
    <t>MKZHLK, Zone2</t>
  </si>
  <si>
    <t>MKZHLK, Zone3</t>
  </si>
  <si>
    <t>MKZHLK, Zone4</t>
  </si>
  <si>
    <t>MKZHLK, total</t>
  </si>
  <si>
    <t>MKZww, Zone1</t>
  </si>
  <si>
    <t>MKZww, Zone2</t>
  </si>
  <si>
    <t>MKZww, Zone3</t>
  </si>
  <si>
    <t>MKZww, Zone4</t>
  </si>
  <si>
    <t>MKZww, total</t>
  </si>
  <si>
    <t>MKZH, Zone1</t>
  </si>
  <si>
    <t>MKZH, Zone2</t>
  </si>
  <si>
    <t>MKZH, Zone3</t>
  </si>
  <si>
    <t>MKZH, Zone4</t>
  </si>
  <si>
    <t>MKZH, total</t>
  </si>
  <si>
    <t>MKZLK, Zone1</t>
  </si>
  <si>
    <t>MKZLK, Zone2</t>
  </si>
  <si>
    <t>MKZLK, Zone3</t>
  </si>
  <si>
    <t>MKZLK, Zone4</t>
  </si>
  <si>
    <t>MKZLK, total</t>
  </si>
  <si>
    <t>M67</t>
  </si>
  <si>
    <t>Grenzwert MKZ,li,ZB wurde in Ver. 1.22 bei externem Beleuchtungsnachweis falsch berechnet.</t>
  </si>
  <si>
    <t>Grün (1 = Ja / 0 = Nein)</t>
  </si>
  <si>
    <t>Blatt "Uebersicht", K50, fehlerhafter Bezug korrigiert</t>
  </si>
  <si>
    <t>Blatt "MINERGIE",  V39-Y39, fehlerhafter Bezug in Formel. Korrigiert.</t>
  </si>
  <si>
    <t>Wert für MKZ,LK auf K50 falsch. Bezug korrigiert.</t>
  </si>
  <si>
    <t>Blatt "Uebersicht", Darstellung des Standaardbedarfs gemäss Wunsch MINERGIE angepasst.</t>
  </si>
  <si>
    <t>Blatt "Nachweis", G40 -L40, Formel für MINERGIE-A geändert</t>
  </si>
  <si>
    <t>Neu gleiche Berechnung für Strom Klima und Hilfsbetriebe für MINERGIE-A wie MINERGIE</t>
  </si>
  <si>
    <t>IM -  Indice Minergie</t>
  </si>
  <si>
    <t>MKZ</t>
  </si>
  <si>
    <t>IM</t>
  </si>
  <si>
    <t>K45</t>
  </si>
  <si>
    <t>H</t>
  </si>
  <si>
    <t>R</t>
  </si>
  <si>
    <t>K47</t>
  </si>
  <si>
    <t>AC</t>
  </si>
  <si>
    <t>VC</t>
  </si>
  <si>
    <t>K49</t>
  </si>
  <si>
    <t>LK</t>
  </si>
  <si>
    <t>el,resid</t>
  </si>
  <si>
    <t>el,wohn.</t>
  </si>
  <si>
    <t>K51</t>
  </si>
  <si>
    <t>K53</t>
  </si>
  <si>
    <t>Bel</t>
  </si>
  <si>
    <t>Ill</t>
  </si>
  <si>
    <t>app</t>
  </si>
  <si>
    <t>AGT</t>
  </si>
  <si>
    <t>Imp</t>
  </si>
  <si>
    <t>EB</t>
  </si>
  <si>
    <t>cp</t>
  </si>
  <si>
    <t>K59</t>
  </si>
  <si>
    <t>K55</t>
  </si>
  <si>
    <t>K57</t>
  </si>
  <si>
    <t>Netz</t>
  </si>
  <si>
    <t>rete</t>
  </si>
  <si>
    <t>K61</t>
  </si>
  <si>
    <t>K45 - K63</t>
  </si>
  <si>
    <t>Piccoli impianti di ventilazione standard</t>
  </si>
  <si>
    <t>Impianti di aerazione e climatizzazione</t>
  </si>
  <si>
    <t>Tipo d'impianto</t>
  </si>
  <si>
    <t>Locali con immissi. d'aria o n. di persone</t>
  </si>
  <si>
    <t>N. di locali con immissione d'aria</t>
  </si>
  <si>
    <t>N. di persone</t>
  </si>
  <si>
    <t>Fabb. elettricità raffreddamento e umidificazione</t>
  </si>
  <si>
    <t>Raffreddamento o umidificazione?</t>
  </si>
  <si>
    <t>È previsto un raffreddamento o un'umidificazione?</t>
  </si>
  <si>
    <t>Portata d'aria esterna termicamente det.</t>
  </si>
  <si>
    <t>Justificatif énergétique:
Seules les nouvelles constructions sont considérées dans le justificatif énergétique.
Minergie:
Année de construction (achèvement) à partir de 2000.</t>
  </si>
  <si>
    <t>PdC aria-acqua, solo riscaldamento</t>
  </si>
  <si>
    <t>PdC aria-acqua, solo ACS</t>
  </si>
  <si>
    <t>PdC acqua-acqua, solo riscaldamento</t>
  </si>
  <si>
    <t>PdC acqua-acqua, solo ACS</t>
  </si>
  <si>
    <t>Sommerlicher Wärmeschutz im Minergie-Standard</t>
  </si>
  <si>
    <t>Protection thermique estivale dans le label Minergie</t>
  </si>
  <si>
    <t>Protezione termica estiva secondo lo standard Minergie</t>
  </si>
  <si>
    <t>- pas de puits de lumière ou de fenêtre de toiture avec plus de 0.5 m² de surface vitrée; les surfaces plus grandes peuvent
  être converties en surfaces verticales (voir Aide à l'utilisation)</t>
  </si>
  <si>
    <t>- aussenliegender beweglicher Sonnenschutz mit Rollläden oder Rafflamellenstoren (z.B. Minergie-Module);</t>
  </si>
  <si>
    <t>- protection solaire extérieure mobile avec volet roulant ou store à lamelles (p.ex. Modules Minergie);</t>
  </si>
  <si>
    <t>- schermatura solare esterna mobile tramite tapparella o lamella; (p. es. modulo minergie per protezioni solari)</t>
  </si>
  <si>
    <t>Tapparelle</t>
  </si>
  <si>
    <t>Modul Minergie</t>
  </si>
  <si>
    <t>Module Minergie</t>
  </si>
  <si>
    <t>Minergie-Nachweis</t>
  </si>
  <si>
    <t>justificatif Minergie</t>
  </si>
  <si>
    <t xml:space="preserve">Leuchten: Minergie-Modul/Lichtausbe. &gt;100 lm/W </t>
  </si>
  <si>
    <t>Lichtsteuerung Präsenz-/ Tageslichtsensor</t>
  </si>
  <si>
    <t>Regolazione illuminazione con sensori di presenza e/o luminosità</t>
  </si>
  <si>
    <t>ZA1: Heizwärmebedarf in kWh/m2</t>
  </si>
  <si>
    <t>Besoins de chaleur en kWh/m²</t>
  </si>
  <si>
    <t>ZA2: Endenergie ohne PV in kWh/m2</t>
  </si>
  <si>
    <t>Energie finale sans photovoltaïque en kWh/m²</t>
  </si>
  <si>
    <t>ZA3: Minergie-Grenzwert Beleuchtung in kWh/m2</t>
  </si>
  <si>
    <t>Valeur limite Minergie pour l'éclairage en kWh/m²</t>
  </si>
  <si>
    <t>Visualisierung Minergie-Kennzahl (MKZ)</t>
  </si>
  <si>
    <t>MKZ berechneter Wert</t>
  </si>
  <si>
    <t>Grenzwert Minergie</t>
  </si>
  <si>
    <t>Valeur limite Minergie</t>
  </si>
  <si>
    <t>MKZ Anforderung</t>
  </si>
  <si>
    <t>Teilkennzahl Minergie-A</t>
  </si>
  <si>
    <t>Indice partiel Minergie-A</t>
  </si>
  <si>
    <t>Indice parziale Minergie-A</t>
  </si>
  <si>
    <t>Minergie-A: Bedarf MKZ (ohne PV)  durch PV gedeckt?</t>
  </si>
  <si>
    <t>Minergie-A: il fabbisogno indice Minergie (senza PV) è coperto da PV?</t>
  </si>
  <si>
    <t>Locataire inconnu</t>
  </si>
  <si>
    <t>Sviluppo spazi da parte del locatario</t>
  </si>
  <si>
    <t>Aerazione + climatizzazione</t>
  </si>
  <si>
    <t>PV non computabile</t>
  </si>
  <si>
    <t>Capacità batterie [kWh]</t>
  </si>
  <si>
    <t>Perdita delle batterie [%]:</t>
  </si>
  <si>
    <t>PV non pris en compte</t>
  </si>
  <si>
    <t>Capacité de la batterie [kWh]</t>
  </si>
  <si>
    <t>Pertes de la batterie [%]:</t>
  </si>
  <si>
    <t>Indice Minergie (MKZ)</t>
  </si>
  <si>
    <t>sélectionné dans la feuille "Entrées". Une fois le justificatif rempli, il doit être téléchargé sur la plateforme Minergie online (MOP).</t>
  </si>
  <si>
    <t>Le présent formulaire sert à la justification des labels Minergie, Minergie-P et Minergie-A. Le label correspondant peut être</t>
  </si>
  <si>
    <t>Après transmission sur MOP, le formulaire de demande est généré automatiquement. La demande signée, le présent formulaire</t>
  </si>
  <si>
    <t>justificatif et tous les éventuels documents notifiés sur la demande doivent être envoyés au format papier à l'office de certification</t>
  </si>
  <si>
    <t>compétent. Observer le code couleur suivant pour remplir le formulaire justificatif:</t>
  </si>
  <si>
    <t>dente può essere selezionato nel foglio "Dati". Il formulario compilato va caricato sulla piattaforma Minergie Online (MOP).</t>
  </si>
  <si>
    <t>nonché altri documenti necessari, devono essere inviati in forma cartacea al centro di certificazione.</t>
  </si>
  <si>
    <t>La richiesta di certificazione è generata automaticamente tramite MOP. La richiesta firmata, il presente formulario di verifica</t>
  </si>
  <si>
    <t>Luminari: modulo Minergie o  luminari efficienti &gt;100 lm/W</t>
  </si>
  <si>
    <t>Abitazioni (mono - e plurifamiliari), locale con 1 facciata o locale ad angolo. Soletta in legno con sottofondo cementizio (min. 6 cm) o anidritico (min. 5 cm):   - percentuale di vetro &lt;40%</t>
  </si>
  <si>
    <t>Habitation (individuelle ou collective), pièce d'angle ou pièce avec 1 façade. Dalle en bois avec chape ciment (min. 6 cm d'épaisseur) ou anhydrite (min. 5 cm d'épaisseur):  - taux de surface vitrée &lt;40%</t>
  </si>
  <si>
    <t>Abitazioni (mono - e plurifamiliari), locale con 1 facciata, soletta in calcestruzzo (libera &gt;80%) o con sottofondo cementizio (min. 6 cm) o anidritico (min. 5 cm), orientato a sud con ombreggiamento tramite balcone di min. 1 m di profondità:  - percentuale di vetro &lt;100%</t>
  </si>
  <si>
    <t>Ufficio singolo, ufficio di gruppo, sala riunioni a locali d’angolo, soletta in calcestruzzo (libera &gt;80%):  - percentuale di vetro &lt; 35% e regolazione automatica della schermatura solare</t>
  </si>
  <si>
    <t>Ufficio singolo, ufficio di gruppo, sala riunioni con 1 facciata, soletta in calcestruzzo (libera &gt;80%):  - percentuale di vetro &lt;50% e regolazione automatica della schermatura solare</t>
  </si>
  <si>
    <t>- non ci sono lucernari o finestre a tetto con una superficie vetrata &gt; 0.5 m2, vetrate più grandi possono essere trasformate in
   superfici verticali -&gt; si rimanda alla guida all'uso</t>
  </si>
  <si>
    <t xml:space="preserve">n. MOP: </t>
  </si>
  <si>
    <t>E38</t>
  </si>
  <si>
    <t>E39</t>
  </si>
  <si>
    <t>E40</t>
  </si>
  <si>
    <t>E41</t>
  </si>
  <si>
    <t>E42</t>
  </si>
  <si>
    <t>E43</t>
  </si>
  <si>
    <t>E45</t>
  </si>
  <si>
    <t>E44</t>
  </si>
  <si>
    <t>M12</t>
  </si>
  <si>
    <t>M13</t>
  </si>
  <si>
    <t>M15</t>
  </si>
  <si>
    <t>M17</t>
  </si>
  <si>
    <t>M18</t>
  </si>
  <si>
    <t>M19</t>
  </si>
  <si>
    <t>M20</t>
  </si>
  <si>
    <t>M25</t>
  </si>
  <si>
    <t>M33</t>
  </si>
  <si>
    <t>M34</t>
  </si>
  <si>
    <t>M35</t>
  </si>
  <si>
    <t>M36</t>
  </si>
  <si>
    <t>M37</t>
  </si>
  <si>
    <t>M38</t>
  </si>
  <si>
    <t>M40</t>
  </si>
  <si>
    <t>M41</t>
  </si>
  <si>
    <t>M48</t>
  </si>
  <si>
    <t>M66</t>
  </si>
  <si>
    <t>M68</t>
  </si>
  <si>
    <t>M70</t>
  </si>
  <si>
    <t>M71</t>
  </si>
  <si>
    <t>M69</t>
  </si>
  <si>
    <t>S30</t>
  </si>
  <si>
    <t>S35</t>
  </si>
  <si>
    <t>S43</t>
  </si>
  <si>
    <t>S45</t>
  </si>
  <si>
    <t>S47</t>
  </si>
  <si>
    <t>S48</t>
  </si>
  <si>
    <t>S52</t>
  </si>
  <si>
    <t>N27</t>
  </si>
  <si>
    <t>N34</t>
  </si>
  <si>
    <t>N43</t>
  </si>
  <si>
    <t>N44</t>
  </si>
  <si>
    <t>N47</t>
  </si>
  <si>
    <t>N48</t>
  </si>
  <si>
    <t>N49</t>
  </si>
  <si>
    <t>N50</t>
  </si>
  <si>
    <t>N51</t>
  </si>
  <si>
    <t>N52</t>
  </si>
  <si>
    <t>N53</t>
  </si>
  <si>
    <t>N54</t>
  </si>
  <si>
    <t>N60</t>
  </si>
  <si>
    <t>N63</t>
  </si>
  <si>
    <t>N64</t>
  </si>
  <si>
    <t>U20</t>
  </si>
  <si>
    <t>U21</t>
  </si>
  <si>
    <t>U22</t>
  </si>
  <si>
    <t>U28</t>
  </si>
  <si>
    <t>U30</t>
  </si>
  <si>
    <t>U31</t>
  </si>
  <si>
    <t>U35</t>
  </si>
  <si>
    <t>U37</t>
  </si>
  <si>
    <t>U38</t>
  </si>
  <si>
    <t>U39</t>
  </si>
  <si>
    <t>U40</t>
  </si>
  <si>
    <t>U41</t>
  </si>
  <si>
    <t>U42</t>
  </si>
  <si>
    <t>U43</t>
  </si>
  <si>
    <t>U46</t>
  </si>
  <si>
    <t>U9</t>
  </si>
  <si>
    <t>Bisheriger Toleranzbereich beim Vergleich Anforderung - Rechenwert durch Rundung ersetzt</t>
  </si>
  <si>
    <t>Blatt "Nachweis", L58-L59, Rundung beim Vergleich Ist-Soll je auf eine Stelle nach Komma</t>
  </si>
  <si>
    <t>Blatt "Uebersicht", K30-K43, Rundung beim Vergleich Ist-Soll je auf eine oder 2 Stelle nach Komma</t>
  </si>
  <si>
    <t>Blatt "Uebersicht", K45-K63, Abkürzungen MKZ neu aus Uebersetzungsliste</t>
  </si>
  <si>
    <t>MKZ-Variablen werden neu in italienischer Version übersetzt (nicht aber auf französisch)</t>
  </si>
  <si>
    <t xml:space="preserve">Blatt "Nachweis", B59, Text neu aus Uebersetzungsliste </t>
  </si>
  <si>
    <t>Blätter "Eingaben", "MINERGIE", "Sommer", "Nachweis", "Uebersicht", neue Zeilennummerierung</t>
  </si>
  <si>
    <t>In Kolonne A wird überall die Zeilennumer = Zeilennummer der Zelle eingegeben.</t>
  </si>
  <si>
    <t>Blatt "Uebersetzung", neue Uebersetzungen</t>
  </si>
  <si>
    <t>Neue Übersetzungsliste von MINERGIE vom 2. 5. 2017</t>
  </si>
  <si>
    <t>Blätter "Eingaben", "MINERGIE", "Sommer", "Nachweis", "Uebersicht", Formatierungen angepasst</t>
  </si>
  <si>
    <t>Formatierungsanpassungen gemäss neuer Üebersetzungsliste / Ausdruck mit Zeilennummern</t>
  </si>
  <si>
    <t xml:space="preserve">                                          E HWLK,li  +
                             Standardbedarf Elektrizität
  </t>
  </si>
  <si>
    <t xml:space="preserve">                                  E HWLK,li +
                        Besoins standard électricité
  </t>
  </si>
  <si>
    <t xml:space="preserve">                                            E rvcac,li +
                            Fabbisogno elettrico standard
  </t>
  </si>
  <si>
    <t xml:space="preserve">           Valore oggetto
 </t>
  </si>
  <si>
    <t xml:space="preserve">           Objektwert
 </t>
  </si>
  <si>
    <t xml:space="preserve">   Produktion PV</t>
  </si>
  <si>
    <t xml:space="preserve">   Production PV</t>
  </si>
  <si>
    <t xml:space="preserve">   Produzione PV
 </t>
  </si>
  <si>
    <t xml:space="preserve">       Valeur de l'objet
 </t>
  </si>
  <si>
    <t xml:space="preserve">Exigence remplie?    </t>
  </si>
  <si>
    <t xml:space="preserve">Requisito soddisfatto?    </t>
  </si>
  <si>
    <t xml:space="preserve">Anforderung erfüllt?    </t>
  </si>
  <si>
    <t>Concept d'étanchéité annexé?</t>
  </si>
  <si>
    <t>Konzept Lufdichtheit beigelegt?</t>
  </si>
  <si>
    <t>Konzept Lufdichtheit und Messkonzept beigelegt?</t>
  </si>
  <si>
    <t>Concept d'étanchéité et de mesure annexé?</t>
  </si>
  <si>
    <t>Concetto dell'ermeticità e di misura è stato allegato?</t>
  </si>
  <si>
    <t>Blatt "MINERGIE",  D63 - K71, Neugestaltung</t>
  </si>
  <si>
    <t>Keine Eingabemöglichkeit für Objektwerte mehr</t>
  </si>
  <si>
    <t>MINERGIE: Konzept Luftdichtheit / MINERGIE-A/-P zusätzlich Messkonzept erforderlich</t>
  </si>
  <si>
    <t>Blatt "Standardwerte"  BA6, Anpassungen Luftdichtheitsanforderungen</t>
  </si>
  <si>
    <t>Blatt "MINERGIE", Z40, Formel neu ohne Hallenbad</t>
  </si>
  <si>
    <t>Berechnung Grenzwert MINERGIE ohne Berücksichtigung Hallenbadanteil</t>
  </si>
  <si>
    <t>Fehler bei Auswahl Hallenbad. Neu Standard-Beleuchtung inkl. Hallenbad.</t>
  </si>
  <si>
    <t>Blatt "MINERGIE", O90-R90, V48-y48, Formel neu inkl. Bezug auf  Hallenbad</t>
  </si>
  <si>
    <t>Blatt "MINERGIE", v13-y13, Primäranforderung ZA1 bei Hallenbad angepasst</t>
  </si>
  <si>
    <t>Bei Hallenbad-Sanierungen gilt für ZA1 der Neubau-Grenzwert</t>
  </si>
  <si>
    <t>Bei Nutzung Hallenbad gibt es keine MINERGIE-Kennzahl</t>
  </si>
  <si>
    <t>Blatt "MINERGIE", O16-R16, O98-R99, Null wenn Hallenbad</t>
  </si>
  <si>
    <t>Blatt "MINERGIE", O89-S89, Null wenn Hallenbad</t>
  </si>
  <si>
    <t>Hallenbad wird bei Berechnung der MINERGIE-Kennzahl nicht berücksichtigt</t>
  </si>
  <si>
    <t>Blatt "Sommer", I27-L29, n.a.  Eingefüllt.</t>
  </si>
  <si>
    <t>Beim sommerlichen Wärmeschutz sollte nicht erfüllt stehen, wenn alles n.a. eingegeben.</t>
  </si>
  <si>
    <t>Blatt "Sommer", Zeile 26 eingeblendet und Text für Lager eingefüllt.</t>
  </si>
  <si>
    <t>Lager mit geringen, internen Wärmelasten ergänzt</t>
  </si>
  <si>
    <t>Muken ohne Standardlüftung</t>
  </si>
  <si>
    <t>Blatt "Eingaben", F40-I41  hellgelb bei behördlichem Nachweis und keine Standardlüftung</t>
  </si>
  <si>
    <t xml:space="preserve">Neue Zeile 94 mit Kriterium für hellgelbe Eingabefarbe bei behördlichem Nachweis </t>
  </si>
  <si>
    <t>Wärmeerzeuger</t>
  </si>
  <si>
    <t>Erz. A</t>
  </si>
  <si>
    <t>Erz. B</t>
  </si>
  <si>
    <t>Erz. C</t>
  </si>
  <si>
    <t>Erz. D</t>
  </si>
  <si>
    <t>Name</t>
  </si>
  <si>
    <t>MOP-Nr.: / Projektname: / Gebäudeadresse:</t>
  </si>
  <si>
    <t xml:space="preserve">Parz.-Nr.:   / Klimastation: / Gebäudestandort: </t>
  </si>
  <si>
    <t>Nutzbare Kapazität (kWh)</t>
  </si>
  <si>
    <t>Energiebezugsfläche EBF (m2)</t>
  </si>
  <si>
    <t>Warmwasser Rechenwert</t>
  </si>
  <si>
    <t>Klimakälte</t>
  </si>
  <si>
    <t>Bedarf Lift</t>
  </si>
  <si>
    <t>Bedarf Heizbänder</t>
  </si>
  <si>
    <t>Reduktion Geschirrspüler</t>
  </si>
  <si>
    <t>Reduktion Kühl- und Gefrierschränke</t>
  </si>
  <si>
    <t>Reduktion Waschmaschine</t>
  </si>
  <si>
    <t>Reduktion Wäschetrockner</t>
  </si>
  <si>
    <t>Reduktion Induktionskochherde</t>
  </si>
  <si>
    <t>Reduktion Wohnungsbeleuchtung</t>
  </si>
  <si>
    <t>Reduktion allgemeine Beleuchtung</t>
  </si>
  <si>
    <t>Reduktion Geräte Gebäudebetrieb</t>
  </si>
  <si>
    <t>Bedarf Beleuchtung Zweckbau Rechenwert</t>
  </si>
  <si>
    <t>Bedarf Geräte Zweckbau Rechenwert</t>
  </si>
  <si>
    <t>Bedarf AGT Zweckbau Rechenwert</t>
  </si>
  <si>
    <t>Bitte den gelben Bereich kopieren und als Inhalt in PVopti einfügen:</t>
  </si>
  <si>
    <t>Übertrag in das Rechentool PVopti</t>
  </si>
  <si>
    <t>Abitazione plurif.</t>
  </si>
  <si>
    <t>Abitazione monof.</t>
  </si>
  <si>
    <t>Amministrazione</t>
  </si>
  <si>
    <t>Scuola</t>
  </si>
  <si>
    <t>Negozio</t>
  </si>
  <si>
    <t>Ristorante</t>
  </si>
  <si>
    <t>Locale pubblico</t>
  </si>
  <si>
    <t>Ospedale</t>
  </si>
  <si>
    <t>Industria</t>
  </si>
  <si>
    <t>Magazzino</t>
  </si>
  <si>
    <t>Impianto sportivo</t>
  </si>
  <si>
    <t>Pvopti</t>
  </si>
  <si>
    <t>A1</t>
  </si>
  <si>
    <t>C3</t>
  </si>
  <si>
    <t>A4</t>
  </si>
  <si>
    <t>A5</t>
  </si>
  <si>
    <t>A8</t>
  </si>
  <si>
    <t>A9</t>
  </si>
  <si>
    <t>A10</t>
  </si>
  <si>
    <t>A11</t>
  </si>
  <si>
    <t>A12</t>
  </si>
  <si>
    <t>A14</t>
  </si>
  <si>
    <t>A16</t>
  </si>
  <si>
    <t>A17</t>
  </si>
  <si>
    <t>A18</t>
  </si>
  <si>
    <t>A19</t>
  </si>
  <si>
    <t>A20</t>
  </si>
  <si>
    <t>A21</t>
  </si>
  <si>
    <t>A22</t>
  </si>
  <si>
    <t>A23</t>
  </si>
  <si>
    <t>A24</t>
  </si>
  <si>
    <t>A25</t>
  </si>
  <si>
    <t>A26</t>
  </si>
  <si>
    <t>A27</t>
  </si>
  <si>
    <t>A28</t>
  </si>
  <si>
    <t>A29</t>
  </si>
  <si>
    <t>A30</t>
  </si>
  <si>
    <t>A31</t>
  </si>
  <si>
    <t>A32</t>
  </si>
  <si>
    <t>A33</t>
  </si>
  <si>
    <t>A34</t>
  </si>
  <si>
    <t>A35</t>
  </si>
  <si>
    <t>A36</t>
  </si>
  <si>
    <t>A37</t>
  </si>
  <si>
    <t>Blatt "PVopti" als Schnittstelle zum Tool PVopti neu eingefügt</t>
  </si>
  <si>
    <t>Berechnung EVR (Standardwert)</t>
  </si>
  <si>
    <t>WP</t>
  </si>
  <si>
    <t>Wärmebedarf</t>
  </si>
  <si>
    <t>Wärme 1</t>
  </si>
  <si>
    <t>Wärme 2</t>
  </si>
  <si>
    <t>Wärme 3</t>
  </si>
  <si>
    <t>Wärme 4</t>
  </si>
  <si>
    <t>Wärme 5</t>
  </si>
  <si>
    <t>Wärmepumpe</t>
  </si>
  <si>
    <t>Anteil WP</t>
  </si>
  <si>
    <t>EVR Standardwerte</t>
  </si>
  <si>
    <t>für Gebäude mit WP</t>
  </si>
  <si>
    <t>für Gebäude ohne WP</t>
  </si>
  <si>
    <t>xi</t>
  </si>
  <si>
    <t>ai</t>
  </si>
  <si>
    <t>bi</t>
  </si>
  <si>
    <r>
      <t>MKZ</t>
    </r>
    <r>
      <rPr>
        <vertAlign val="subscript"/>
        <sz val="9"/>
        <rFont val="Arial"/>
        <family val="2"/>
      </rPr>
      <t>L</t>
    </r>
    <r>
      <rPr>
        <sz val="9"/>
        <rFont val="Arial"/>
        <family val="2"/>
      </rPr>
      <t xml:space="preserve"> = </t>
    </r>
  </si>
  <si>
    <r>
      <t>f</t>
    </r>
    <r>
      <rPr>
        <vertAlign val="subscript"/>
        <sz val="9"/>
        <rFont val="Arial"/>
        <family val="2"/>
      </rPr>
      <t>fr,PV</t>
    </r>
  </si>
  <si>
    <r>
      <t>E</t>
    </r>
    <r>
      <rPr>
        <vertAlign val="subscript"/>
        <sz val="9"/>
        <rFont val="Arial"/>
        <family val="2"/>
      </rPr>
      <t>el,b</t>
    </r>
    <r>
      <rPr>
        <sz val="9"/>
        <rFont val="Arial"/>
        <family val="2"/>
      </rPr>
      <t xml:space="preserve"> </t>
    </r>
  </si>
  <si>
    <r>
      <t>E</t>
    </r>
    <r>
      <rPr>
        <vertAlign val="subscript"/>
        <sz val="9"/>
        <rFont val="Arial"/>
        <family val="2"/>
      </rPr>
      <t>PV</t>
    </r>
    <r>
      <rPr>
        <sz val="9"/>
        <rFont val="Arial"/>
        <family val="2"/>
      </rPr>
      <t xml:space="preserve"> </t>
    </r>
  </si>
  <si>
    <r>
      <t>C</t>
    </r>
    <r>
      <rPr>
        <vertAlign val="subscript"/>
        <sz val="9"/>
        <rFont val="Arial"/>
        <family val="2"/>
      </rPr>
      <t>Bat</t>
    </r>
  </si>
  <si>
    <t>Anteil WP:</t>
  </si>
  <si>
    <t>i =</t>
  </si>
  <si>
    <t>Blatt "MINERGIE": Formel für Standardwerte der Eigenverbrauchsrate eingefügt</t>
  </si>
  <si>
    <t>M21</t>
  </si>
  <si>
    <t xml:space="preserve"> - Wärmerückgewinnung Abwasser in %</t>
  </si>
  <si>
    <t>Blatt "MINERGIE": Zeile 21 eingefügt</t>
  </si>
  <si>
    <t>Wärmerückgewinnung aus Abwasser: Eingabefeld eingefügt.</t>
  </si>
  <si>
    <t>Blatt "MINERGIE": F17 - I17, für angepasst</t>
  </si>
  <si>
    <t>Wärmerückgewinnung aus Abwasser in Formel für Wärme für Warmwasserbedarf eingefügt.</t>
  </si>
  <si>
    <t>Blatt "MINERGIE": AD32-AG32, Formel angepasst</t>
  </si>
  <si>
    <t>Rechenwert fossile Wärmeerzeugung mit Qh statt Qh,eff berechnet. Angepasst.</t>
  </si>
  <si>
    <t>Blatt "Uebersicht",  F42-I42, Angabe neu in % statt in kWh/m2. Formel angepasst.</t>
  </si>
  <si>
    <t>Hochstanteil fossiler Energie für Neubauten: Neu in % statt in kWh/m2 angeben.</t>
  </si>
  <si>
    <t>Spez. Jahresertrag ohne WP</t>
  </si>
  <si>
    <t>Spez. Jahresertrag mit WP</t>
  </si>
  <si>
    <t>Spez. Jahresertrag effektiv</t>
  </si>
  <si>
    <t>in Prozent:</t>
  </si>
  <si>
    <t>1.30</t>
  </si>
  <si>
    <t>Blatt "MINERGIE": AI69-AI70, Formel angepasst</t>
  </si>
  <si>
    <t>Formeln für spez. Jahresertrag gemäss Angaben MINERGIE angepasst.</t>
  </si>
  <si>
    <t>Blatt "MINERGIE": AI63, spez. Strombedarf neu mit Strom Wärmeerzeugung</t>
  </si>
  <si>
    <t>Strombedarf für Berechnung Eigenstrombezug inkl. Strom Wärmeerzeugung</t>
  </si>
  <si>
    <t>Blatt "MINERGIE": O54-R54 / O90-R90, Auswahlbereich zu klein. Formel angepasst.</t>
  </si>
  <si>
    <t>Fehlermeldung bei Nutzung Hallenbad</t>
  </si>
  <si>
    <r>
      <t>Q</t>
    </r>
    <r>
      <rPr>
        <vertAlign val="subscript"/>
        <sz val="9"/>
        <rFont val="Arial"/>
        <family val="2"/>
      </rPr>
      <t xml:space="preserve">h,eff nicht erneuer </t>
    </r>
    <r>
      <rPr>
        <sz val="9"/>
        <rFont val="Arial"/>
        <family val="2"/>
      </rPr>
      <t xml:space="preserve">= </t>
    </r>
  </si>
  <si>
    <t>Wohnstrom</t>
  </si>
  <si>
    <t>Electricité d'habitation</t>
  </si>
  <si>
    <t>Elettricità d'abitazione</t>
  </si>
  <si>
    <t>Blatt "Uebersetzung":E443-G443, Uebersetzung angepasst.</t>
  </si>
  <si>
    <t>Auf Blatt Uebersicht Wohnen durch Wohnstrom ersetzt.</t>
  </si>
  <si>
    <t>1.31</t>
  </si>
  <si>
    <t>Blatt "MINERGIE": G46, I46, bedingte Formatierung (Füllfarbe) angepasst</t>
  </si>
  <si>
    <t>Formatierung bei Hallenbad für Zone2 und Zone4 falsch (weiss, wenn Zon1=Hallenbad).</t>
  </si>
  <si>
    <t>Energieaufwand für Wärmeerzeugung E wurde fälschlicherweise immer 100% fossil berechnet</t>
  </si>
  <si>
    <t>Blatt "Nachweis": AJ24, Formel angepasst. Nur Energieinput ohne Strom wird neu fossil berechnet.</t>
  </si>
  <si>
    <t>Blatt "Nachweis": AJ8,AJ12,AJ16,AJ20, Formel angepasst.  WKK fossil ist nicht erneuerbar, wenn Nutzungsgrad Strom &lt; 35%</t>
  </si>
  <si>
    <t>WKK fossil nur erneuerbar, wenn Nutzungsgrad Strom &gt;=35%</t>
  </si>
  <si>
    <t>Bei WKK ist minimale Grösse Eigenstromerzeugung im Nachweis immer erfüllt</t>
  </si>
  <si>
    <t>Blatt "Uebersicht",  K40, Minimale Grösse Eigenstromerzeugung erfüllt, wenn WKK = wahr</t>
  </si>
  <si>
    <t>Blatt "MINERGIE": I57, Minimale Grösse Eigenstromerzeugung erfüllt, wenn WKK = wahr</t>
  </si>
  <si>
    <t>Blatt "Nachweis": Q33: Neue Variable WKK. WKK = wahr, wenn Eigenstromerzeugung &gt;= 7.5kWh/m2</t>
  </si>
  <si>
    <t>Apport annuel spécifique [kWh/kWp]</t>
  </si>
  <si>
    <t>Apporto annuale specifico [kWh/kWp]</t>
  </si>
  <si>
    <t>Rendimento / CLA</t>
  </si>
  <si>
    <t>Auf Blatt MINEREGIE, spezifischer Jahresertrag falsch übersetzt (spezifisch fehlte)</t>
  </si>
  <si>
    <t>Blatt "Uebersetzung": F413-G413, Uebersetzung angepasst.</t>
  </si>
  <si>
    <t>Blatt "Uebersetzung": G257, Uebersetzung angepasst.</t>
  </si>
  <si>
    <t>Auf Blatt Nachweis  war die JAZ mit COP übersetzt, statt mit CLA</t>
  </si>
  <si>
    <t>Aenderungen im Formular EN 101b / MINERGIE-Nachweis 2017</t>
  </si>
  <si>
    <t>MFH/Zweckbau</t>
  </si>
  <si>
    <t>Nur EFH</t>
  </si>
  <si>
    <t>Blatt "MINERGIE": AC72 - AI75, AI71: Ergänzung / Anpassung Eigenverbrauchsrate MFH / Zweichbauten</t>
  </si>
  <si>
    <t>Eigenverbrauchsrate bei einer Nutzungszone mit Zweckbau oder MFH neu Standardwert 20%</t>
  </si>
  <si>
    <t>Minimale Anzahl Wohneinheiten bei fehlender Eingabe</t>
  </si>
  <si>
    <t>Blatt "MINERGIE": N25-S25, minimale Wohneinheiten bei fehlender Eingabe einprogrammiert</t>
  </si>
  <si>
    <t>M26</t>
  </si>
  <si>
    <t>Gebäudehöhe</t>
  </si>
  <si>
    <r>
      <t>K</t>
    </r>
    <r>
      <rPr>
        <vertAlign val="subscript"/>
        <sz val="9"/>
        <rFont val="Arial"/>
        <family val="2"/>
      </rPr>
      <t>Gh</t>
    </r>
    <r>
      <rPr>
        <sz val="9"/>
        <rFont val="Arial"/>
        <family val="2"/>
      </rPr>
      <t xml:space="preserve"> = </t>
    </r>
  </si>
  <si>
    <t>Gaswärmepumpe, Heizung</t>
  </si>
  <si>
    <t>Gaswärmepumpe, Warmwasser</t>
  </si>
  <si>
    <t>Gaswärmepumpe, nur Heizung</t>
  </si>
  <si>
    <t>Gaswärmepumpe, nur Warmwasser</t>
  </si>
  <si>
    <t>V154</t>
  </si>
  <si>
    <t>V155</t>
  </si>
  <si>
    <t>W154</t>
  </si>
  <si>
    <t>W155</t>
  </si>
  <si>
    <t>Elektro-</t>
  </si>
  <si>
    <r>
      <t>Neue Eingabe Gebäudehöhe / MKZ,li neu inkl. K</t>
    </r>
    <r>
      <rPr>
        <vertAlign val="subscript"/>
        <sz val="10"/>
        <rFont val="Arial"/>
        <family val="2"/>
      </rPr>
      <t>Gh</t>
    </r>
  </si>
  <si>
    <r>
      <t>Blatt "MINERGIE": A26-K26, U30-Z37 Eingabe Gebäudehöhe und Korrekturfaktor K</t>
    </r>
    <r>
      <rPr>
        <vertAlign val="subscript"/>
        <sz val="10"/>
        <rFont val="Arial"/>
        <family val="2"/>
      </rPr>
      <t xml:space="preserve">Gh </t>
    </r>
    <r>
      <rPr>
        <sz val="10"/>
        <rFont val="Arial"/>
        <family val="2"/>
      </rPr>
      <t>für MKZ,li</t>
    </r>
  </si>
  <si>
    <t>Neue Wärmeerzeugungsart Gas-WP Heizung und Gas-WP WW</t>
  </si>
  <si>
    <t>Blatt "Standardwerte": S154-AU155 eingefügt + Bezug aller abhängigen Zellen auf Bereich vergrössert.</t>
  </si>
  <si>
    <r>
      <t>PV E</t>
    </r>
    <r>
      <rPr>
        <vertAlign val="subscript"/>
        <sz val="9"/>
        <rFont val="Arial"/>
        <family val="2"/>
      </rPr>
      <t>EB</t>
    </r>
    <r>
      <rPr>
        <sz val="9"/>
        <rFont val="Arial"/>
        <family val="2"/>
      </rPr>
      <t xml:space="preserve"> = </t>
    </r>
  </si>
  <si>
    <r>
      <t>PV E</t>
    </r>
    <r>
      <rPr>
        <vertAlign val="subscript"/>
        <sz val="10"/>
        <rFont val="Arial"/>
        <family val="2"/>
      </rPr>
      <t>Netz</t>
    </r>
    <r>
      <rPr>
        <sz val="10"/>
        <rFont val="Arial"/>
        <family val="2"/>
      </rPr>
      <t xml:space="preserve"> =</t>
    </r>
  </si>
  <si>
    <t>MKZ ohne PV</t>
  </si>
  <si>
    <t>Einheit prüfen !</t>
  </si>
  <si>
    <t>E47</t>
  </si>
  <si>
    <t>PV darf für die Berechnung der PV-Befreiung nicht in die MKZ eingerechnet werden.</t>
  </si>
  <si>
    <t>Blatt "MINERGIE": U71 - Z73: Berechnung MKZ ohne PV und Vergleich mit Grenzwert für PV-Befreiung.</t>
  </si>
  <si>
    <t>Blatt "Eingaben" D47, E47, E46: Warnmeldung wenn Qh,eff &lt; 30 MJ/m2</t>
  </si>
  <si>
    <t>Warnmeldung wenn Qh,eff &lt; 30 MJ/m2</t>
  </si>
  <si>
    <r>
      <t>Blatt "MINERGIE": O59-R59, MKZ</t>
    </r>
    <r>
      <rPr>
        <vertAlign val="subscript"/>
        <sz val="10"/>
        <rFont val="Arial"/>
        <family val="2"/>
      </rPr>
      <t>Geräte</t>
    </r>
    <r>
      <rPr>
        <sz val="10"/>
        <rFont val="Arial"/>
        <family val="2"/>
      </rPr>
      <t xml:space="preserve"> neu ohne Faktor 1.2</t>
    </r>
  </si>
  <si>
    <r>
      <t>MKZ</t>
    </r>
    <r>
      <rPr>
        <vertAlign val="subscript"/>
        <sz val="10"/>
        <rFont val="Arial"/>
        <family val="2"/>
      </rPr>
      <t>Geräte</t>
    </r>
    <r>
      <rPr>
        <sz val="10"/>
        <rFont val="Arial"/>
        <family val="2"/>
      </rPr>
      <t xml:space="preserve"> wird neu bei unbekanntem Mieterausbau nicht mehr mit Faktor 1.2 multipliziert</t>
    </r>
  </si>
  <si>
    <t>Blatt "Standardwerte": X74 - AA74, neue Grenzwerte</t>
  </si>
  <si>
    <t>Neue Anforderungen an die MKZ Verwaltung</t>
  </si>
  <si>
    <t>Blatt "Standardwerte": AD74 - AF74, neue Standardwerte für Nutzung Verwaltung</t>
  </si>
  <si>
    <t>Verwaltung: Neue Standardwerte MKZ,Bel = 23 / MKZ,Ger = 34 / MKZ,All = 9 kWh/m2a</t>
  </si>
  <si>
    <t>Wohnstrommodell:</t>
  </si>
  <si>
    <t>Wohnungen:</t>
  </si>
  <si>
    <t>m2/Whg</t>
  </si>
  <si>
    <t>S im Wohnstrommodell (für MKZ,li bei Wohnungsgrössen zwischen 69 bis 125 m2)</t>
  </si>
  <si>
    <t>S</t>
  </si>
  <si>
    <r>
      <t>MKZ</t>
    </r>
    <r>
      <rPr>
        <vertAlign val="subscript"/>
        <sz val="9"/>
        <rFont val="Arial"/>
        <family val="2"/>
      </rPr>
      <t>El,Wohnen,li</t>
    </r>
    <r>
      <rPr>
        <sz val="9"/>
        <rFont val="Arial"/>
        <family val="2"/>
      </rPr>
      <t xml:space="preserve"> </t>
    </r>
  </si>
  <si>
    <r>
      <t>MKZ</t>
    </r>
    <r>
      <rPr>
        <vertAlign val="subscript"/>
        <sz val="9"/>
        <rFont val="Arial"/>
        <family val="2"/>
      </rPr>
      <t>li,Wohnen</t>
    </r>
    <r>
      <rPr>
        <sz val="9"/>
        <rFont val="Arial"/>
        <family val="2"/>
      </rPr>
      <t xml:space="preserve"> </t>
    </r>
  </si>
  <si>
    <t>Blatt "Standardwerte": S55 - AE68, neue Tabelle für Werte S im Wohnstrommodell</t>
  </si>
  <si>
    <t>Wohnstrommodell: Tabellenwerte S für Wärme und PV im Wohnstrommodell</t>
  </si>
  <si>
    <t>Blatt "MINERGIE": U76 - AA84, neue Berechnung MKZ,li,wohnen gemäss Wohnstrommodell</t>
  </si>
  <si>
    <t>Wohnstrommodell: Berechnung des Grenzwertes MKZ,li,wohnen (Grösse Whg 69-125 m2)</t>
  </si>
  <si>
    <t>Blatt "MINERGIE": V34 - Y34, Formel angepasst mit Grenzwert nach Wohnstrommodell</t>
  </si>
  <si>
    <t>Wohnstrommodell: Neuer Grenzwerte für  MKZ wohnen  (Grösse Whg 69-125 m2)</t>
  </si>
  <si>
    <t>Beleuchtungsnachweis vorhanden</t>
  </si>
  <si>
    <t>Blatt "MINERGIE": B16, Text geändert in "Beleuchtungsnachweis vorhanden"</t>
  </si>
  <si>
    <t>Beleuchtungsnachweis neu immer fakultativ</t>
  </si>
  <si>
    <t>Blatt "MINERGIE": N53 - R53, falsch und wahr getauscht (Änderung in Frage B16)</t>
  </si>
  <si>
    <t>Blatt "Standardwerte": AD74, neuer Standardwerte für Nutzung Verwaltung</t>
  </si>
  <si>
    <t>Verwaltung: Neuer Standardwerte MKZ,Bel = 15 kWh/m2a</t>
  </si>
  <si>
    <t>Blatt "MINERGIE": Zeile 16 auf Zeile 44 verschoben</t>
  </si>
  <si>
    <t>Frage nach Beleuchtungsnachweis (alt Mieterausbau) neu bei der Beleuchtung</t>
  </si>
  <si>
    <t>Blatt "Standardwerte": X154 - Y155: Standardwert Gas-WP 1.3 / Grenzwert 1.7</t>
  </si>
  <si>
    <t>Neue Standardwerte Nutzungsgrad Gas-WP gemäss Angaben AWEL</t>
  </si>
  <si>
    <t>Neue Werte für Fossiler Anteil bei Fernwärme (10% / 30% / 60% / 90%)</t>
  </si>
  <si>
    <t>Blatt "Standardwerte": AS 151 - 153 / AS 188 neue Tabellenwerte</t>
  </si>
  <si>
    <t>EBF Zweckumbau</t>
  </si>
  <si>
    <t>Zweckumbau &gt; 250m2</t>
  </si>
  <si>
    <t>Zweckneubau oder umf. Sanierung</t>
  </si>
  <si>
    <t>erforderlich aber nicht eingereicht</t>
  </si>
  <si>
    <t>Zweckbau ohne Nachw</t>
  </si>
  <si>
    <t>Blatt "Standardwerte": BA6, keine Unterscheidung mehr zwischen Minergie / -P / -A</t>
  </si>
  <si>
    <t>Neu bei Minergie -P / -A kein Luftdichtheitskonzept mehr</t>
  </si>
  <si>
    <t>Blatt "MINERGIE": N53 - S100, Logik Beleuchtungsnachweis angepasst</t>
  </si>
  <si>
    <t>Beleuchtungsnachweis Eingabe vorhanden</t>
  </si>
  <si>
    <t>Blatt "MINERGIE": O53 - R54 / V38-Y39: Fehler in Formel behoben</t>
  </si>
  <si>
    <t>MKZ,Bel bei Zweckbauten, Sanierung, falsch berechnet</t>
  </si>
  <si>
    <t>Blatt "MINERGIE": U78 - Z86, Formeln für Wohnstrom-Modell angepasst</t>
  </si>
  <si>
    <t>Wohnstrommodell auf alle Wohnungsgrössen anwenden (variabel nur bei 69 m2 - 125 m2)</t>
  </si>
  <si>
    <t>Fehlende Eingabe Beleuchtungsnachweis</t>
  </si>
  <si>
    <t>Alle Eingaben vorhanden</t>
  </si>
  <si>
    <t>Blatt "Standardwerte": AN154 - AN155, Tabellenwerte geändert</t>
  </si>
  <si>
    <t>Neue MOP-Nr: Gas-WP heizen = 59 / Gas-WP ww = 60</t>
  </si>
  <si>
    <t>Blatt "Uebersicht": S37-S40, Formeln angepasst</t>
  </si>
  <si>
    <t>Falsche Darstellung PV bei MKZ &lt; 0</t>
  </si>
  <si>
    <t>Blatt "MINERGIE": D26-I26, Formatierung angegpasst, Eingeabe Gebäudehöhe auf D26</t>
  </si>
  <si>
    <t>Nur einmalige Eingabe Gebäudehöhe</t>
  </si>
  <si>
    <t>Konzept Luftdichtheitsmessung beigelegt?</t>
  </si>
  <si>
    <t>Bei Min-P / Min-A: Beilage Konzept Luftdichtheitsmessung erfoderglich</t>
  </si>
  <si>
    <t>Blatt "Standardwerte": BA6, Unterschied Text Min-A / Min-P / Minergie</t>
  </si>
  <si>
    <t>A reporter dans PVOpti</t>
  </si>
  <si>
    <t>Trasferire nel tool di calcolo PVopti</t>
  </si>
  <si>
    <t>Veuillez copier la cellule jaune et la reporter dans PVOpti :</t>
  </si>
  <si>
    <t>P.F: copiare i campi gialli e trasferire il contenuto in PVopti</t>
  </si>
  <si>
    <t>N° MOP: / Nom du projet : / Adresse du bâtiment :</t>
  </si>
  <si>
    <t>N.° MOP: /nome progetto: / indirizzo edificio</t>
  </si>
  <si>
    <t xml:space="preserve">N° de la parcelle : / Station météorologique : / LiebeLieu : </t>
  </si>
  <si>
    <t>mapp. N.°: / stazione climatica / indirizzo edificio</t>
  </si>
  <si>
    <t>Installation de production de chaleur</t>
  </si>
  <si>
    <t>Produzione di  calore</t>
  </si>
  <si>
    <t>Prod.  A</t>
  </si>
  <si>
    <t>Prod. A</t>
  </si>
  <si>
    <t>Prod. B</t>
  </si>
  <si>
    <t>Prod. C</t>
  </si>
  <si>
    <t>Prod. D</t>
  </si>
  <si>
    <t>Capacité utile (kWh)</t>
  </si>
  <si>
    <t>Capacità disponibile (kWh)</t>
  </si>
  <si>
    <t>Zona</t>
  </si>
  <si>
    <t>Catégorie de bâtiments</t>
  </si>
  <si>
    <t>Categoria edificio</t>
  </si>
  <si>
    <t>Surface de référence énergétique SRE (m2)</t>
  </si>
  <si>
    <t>Superficie di riferimento energetico AE (m2)</t>
  </si>
  <si>
    <t>Costruzione nuova</t>
  </si>
  <si>
    <t>Valore calcolato acqua calda</t>
  </si>
  <si>
    <t>Climatisation</t>
  </si>
  <si>
    <t>Ventilation</t>
  </si>
  <si>
    <t>Ventilazione</t>
  </si>
  <si>
    <t>Nombre d'unités d'habitation</t>
  </si>
  <si>
    <t>Numero di unità abitative</t>
  </si>
  <si>
    <t>Cons. ascenseur</t>
  </si>
  <si>
    <t>Fabbisogno ascensore</t>
  </si>
  <si>
    <t>Cons. des bandes de chauffage</t>
  </si>
  <si>
    <t>Fabbisogno nastri riscaldanti</t>
  </si>
  <si>
    <t>Réduction pour le lave-vaisselle</t>
  </si>
  <si>
    <t>Riduzione lavastoviglie</t>
  </si>
  <si>
    <t>Réduction pour le frigo et le congélateur</t>
  </si>
  <si>
    <t>Riduzione congelatore e frigorifero</t>
  </si>
  <si>
    <t>Réduction pour le lave-linge</t>
  </si>
  <si>
    <t>Riduzione macchina da lavare</t>
  </si>
  <si>
    <t>Réduction pour le sèche-linge</t>
  </si>
  <si>
    <t>Riduzione asciugatrice</t>
  </si>
  <si>
    <t>Réduction pour la cuisinières à induction</t>
  </si>
  <si>
    <t>Riduzione piano di cottura a induzione</t>
  </si>
  <si>
    <t>Réduction pour l'éclairage</t>
  </si>
  <si>
    <t xml:space="preserve">Riduzione illuminazione abitazione </t>
  </si>
  <si>
    <t>Réduction pour l'éclairage commun</t>
  </si>
  <si>
    <t>Riduzione illuminazione generale</t>
  </si>
  <si>
    <t>Réduction pour les équipements techniques</t>
  </si>
  <si>
    <t>Riduzione apparecchiature d’esercizio</t>
  </si>
  <si>
    <t>Besoin calculé pour l'éclairage des bâtiments du tertiaire</t>
  </si>
  <si>
    <t>Fabbisogno illuminazione ed. funzionale, valore calcolo</t>
  </si>
  <si>
    <t>Besoin calculé pour les appareils des bâtiments du tertiaire</t>
  </si>
  <si>
    <t>Fabbisogno apparecchi ed. funzionale, valore calcolo</t>
  </si>
  <si>
    <t>Besoin calculé pour l'équipement commun des bâtiments du tertiaire</t>
  </si>
  <si>
    <t>Fabbisogno IMP ed. funzionale, valore calcolo</t>
  </si>
  <si>
    <t>- Recupero termico acque di scarico in %</t>
  </si>
  <si>
    <t>Hauteur du bâtiment</t>
  </si>
  <si>
    <t>Altezza edificio</t>
  </si>
  <si>
    <t>Pompe à chaleur à gaz, chauffage</t>
  </si>
  <si>
    <t>Pompa di calore a gas, riscaldamento</t>
  </si>
  <si>
    <t>Pompe à chaleur à gaz, eau chaude</t>
  </si>
  <si>
    <t>Pompa di calore a gas, acqua calda sanitaria</t>
  </si>
  <si>
    <t>Pompe à chaleur à gaz, seul. chauffage</t>
  </si>
  <si>
    <t>Pompa di calore a gas, solo riscaldamento</t>
  </si>
  <si>
    <t>Pompe à chaleur à gaz, seul. eau chaude</t>
  </si>
  <si>
    <t>Pompa di calore a gas, solo acqua calda</t>
  </si>
  <si>
    <t>Vérifier les unités !</t>
  </si>
  <si>
    <t>Controllare le unità!</t>
  </si>
  <si>
    <t>Justificatif des besoins pour l'éclairage est disponible</t>
  </si>
  <si>
    <t>Verifica fabbisogno per illuminazione presente</t>
  </si>
  <si>
    <t xml:space="preserve">Un concept d'étanchéité est-il joint ? </t>
  </si>
  <si>
    <t>Allegato il concetto di misura dell’ermeticità?</t>
  </si>
  <si>
    <t>kWh/m2   / Gebäudehöhe</t>
  </si>
  <si>
    <t>Blatt "MOP", A603-C603 ergänzt</t>
  </si>
  <si>
    <t>Gebäudehöhe neu auch in MOP-Schnittstelle</t>
  </si>
  <si>
    <t>Blatt "MINERGIE", E26 - I26, Z36: Formeln angepasst</t>
  </si>
  <si>
    <t>Gebäudehöhenkorrektur nur für Minergie und Minergie-P, nicht aber für Minergie-A</t>
  </si>
  <si>
    <t>Blatt "MINERGIE", B26 - E26 ausgeblendet bei Minergie-A</t>
  </si>
  <si>
    <t>Blatt "Standardwerte": X68 - AC68, Neue Tabellenwerte</t>
  </si>
  <si>
    <t>Neuer Standard.- Zuschlag S für Wohnstrommodell in Produktregelemt 2017.3</t>
  </si>
  <si>
    <t>kWh/m2 (mittl. EBF &lt;70m2 oder &gt;125m2)</t>
  </si>
  <si>
    <t>Blatt "MINERGIE", V84 - Y86, neue Formeln. Wohnstrommodell nur 70m2 &lt; mittl. EBF &lt; 125m2</t>
  </si>
  <si>
    <t>Wohnstrommodell gemäss Produktregelemt 2017.3 nur von 70 - 125 m2 mittl. EBF/Whg.</t>
  </si>
  <si>
    <t>Blatt "Standardwerte": Y154 - Y155, Wert auf 2.0 gesetzt</t>
  </si>
  <si>
    <t>Maximal möglicher Nutzungsgrad bei Gas-Wärmepumpe neu bei 2.0</t>
  </si>
  <si>
    <t>Blatt "MINERGIE", V83 - Y83, Formel angepasst</t>
  </si>
  <si>
    <t>Wohnstrommodell, Grenzwert immer mit Lift berechnet (egal ob vorhanden oder nicht).</t>
  </si>
  <si>
    <t>Blatt "Eingaben" K23, Mittelwert eingefügt</t>
  </si>
  <si>
    <t>Anzeige EBF-gewichteter Mittelwert der Gebäudehüllzahl</t>
  </si>
  <si>
    <r>
      <t>MKZ</t>
    </r>
    <r>
      <rPr>
        <vertAlign val="subscript"/>
        <sz val="9"/>
        <rFont val="Arial"/>
        <family val="2"/>
      </rPr>
      <t>li,Wohnen,&gt;125m2</t>
    </r>
    <r>
      <rPr>
        <sz val="9"/>
        <rFont val="Arial"/>
        <family val="2"/>
      </rPr>
      <t xml:space="preserve"> </t>
    </r>
  </si>
  <si>
    <t>Blatt "MINERGIE", V85 - Y86, Formel angepasst</t>
  </si>
  <si>
    <t>Wohnstrommodell, Grenzwert bei Wohnungsgrössen &lt; 70m2 auf Grenwert Whg 70m2 gesetzt</t>
  </si>
  <si>
    <t>Wohnstrommodell, min. Grenzwert bei Wohnungsgrössen &lt;125m2 auf Grenwert Whg 125m2 gesetzt</t>
  </si>
  <si>
    <t>D</t>
  </si>
  <si>
    <t>C</t>
  </si>
  <si>
    <t>E</t>
  </si>
  <si>
    <t>B</t>
  </si>
  <si>
    <t>A</t>
  </si>
  <si>
    <t>Wohnen (EFH,MFH), Räume mit bis zu 2 Fassaden, Betondecke (&gt;80% frei)</t>
  </si>
  <si>
    <t>Wohnen (EFH,MFH), Räume mit bis zu 2 Fassaden, Holzdecke und Zementunterlagsboden mit min. 6 cm oder Anhydrit min. 5 cm Stärke</t>
  </si>
  <si>
    <t>Wohnen (EFH,MFH), Räume mit 1 Fassade, Betondecke (&gt;80% frei) SSE-SSW Orientierung und Verschattung durch Balkon mit 1 m Tiefe</t>
  </si>
  <si>
    <t>Einzelbüro, Gruppenbüro, Räume mit bus zu 2 Fassaden, Betondecke (&gt; 40% frei) und automat. Steuerung des Sonnenschutzes, G-Wert Glas &lt;= 30%</t>
  </si>
  <si>
    <t>Maximale Glasflächenzahl bezogen auf Raumkriterien</t>
  </si>
  <si>
    <t>Klimagruppen, aufgeteilt nach Klimastation für den Geäbudestandort (SIA-M 2028)</t>
  </si>
  <si>
    <t>S7</t>
  </si>
  <si>
    <t>S9</t>
  </si>
  <si>
    <t>S19</t>
  </si>
  <si>
    <t>S29</t>
  </si>
  <si>
    <t>Version 2019</t>
  </si>
  <si>
    <t>&lt;-- auf 0 ändern, wenn Variante 2 nur noch mit 2xJa wahr sein soll, sonst 1</t>
  </si>
  <si>
    <t>Logik ausgewählte Variante für Angabe im MOP</t>
  </si>
  <si>
    <t>Wohnen (EFH, MFH), Räume mit bis zu 2 Fassaden, Betondecke (&gt;80% frei)</t>
  </si>
  <si>
    <t>- Maximale Glasflächenzahl:</t>
  </si>
  <si>
    <t>Wohnen (EFH, MFH), Räume mit bis zu 2 Fassaden, Holzdecke und Zementunterlagsboden mit min. 6 cm oder Anhydrit min. 5 cm Stärke</t>
  </si>
  <si>
    <t>Einzelbüro, Gruppenbüro, Räume mit bis zu 2 Fassaden, Betondecke (&gt; 40% frei) und automat. Steuerung des Sonnenschutzes. G-Wert Glas ≤ 30%</t>
  </si>
  <si>
    <t>Variante 2: Externer Nachweis der Kriterien gemäss SIA382/1 und SIA 180 (ohne Kühlung)</t>
  </si>
  <si>
    <t>- Keine Oblichter</t>
  </si>
  <si>
    <t>- Aussen liegender beweglicher Sonnenschutz mit Rolläden oder Rafflamellenstoren (g-Wert-total max 0.1)</t>
  </si>
  <si>
    <t>- Eine Nachauskühlung mit Fensterlüftung ist möglich (Hinweis: Der Einbruchschutz wird im Rahmen der Minergie-Zertifizierung generell nicht geprüft.);</t>
  </si>
  <si>
    <t>- Die internen Wärmelasten sind nicht höher als die Standardwerte im Merkblatt SIA 2024</t>
  </si>
  <si>
    <t>Bis auf weiteres zulässig</t>
  </si>
  <si>
    <t>I36</t>
  </si>
  <si>
    <t>Blatt "Sommer", Zeilen 22,24,26,28 ergänzt</t>
  </si>
  <si>
    <t>Sommerlicher Wärmeschutz mit maximaler Glasflächenzahl, Variante 2 mit S34 oder S34 und S35 gültig für Version 2019</t>
  </si>
  <si>
    <t>S27</t>
  </si>
  <si>
    <t>S36</t>
  </si>
  <si>
    <t>ML</t>
  </si>
  <si>
    <t>Blatt "Standardwerte": X92 - Y93, Werte gemäss Reglement 2019 angepasst.</t>
  </si>
  <si>
    <t>Abminderung Standardbedarf Haushaltstrom: Wegfall Wohnbeleuchtung / Erhöhung Beleuchtung</t>
  </si>
  <si>
    <t>Blatt "MINERGIE", Zeile 39 ausgeblendet</t>
  </si>
  <si>
    <t>Abminderung Standardbedarf Haushaltstrom: Wegfall Wohnbeleuchtung</t>
  </si>
  <si>
    <t>Sanierung</t>
  </si>
  <si>
    <t>Blatt "Standardwerte": AD74-82, Werte gemäss Reglement 2019 angepasst.</t>
  </si>
  <si>
    <t>Neue Standardwerte Elektrizität Beleuchtung Zweckbatuen in Reglement 2019</t>
  </si>
  <si>
    <t>Wegfall Abminderungsfaktor Warmhaltung</t>
  </si>
  <si>
    <t>Blatt "MINERGIE", F17 - I17, Formeln angepasst / N18-S18 gelöscht</t>
  </si>
  <si>
    <t>Blatt "MINERGIE", Zeile 20 ausgeblendet</t>
  </si>
  <si>
    <t>Blatt "Standardwerte": X76-AA82, Werte gemäss Reglement 2019 angepasst.</t>
  </si>
  <si>
    <t>Neue Anforderungen an die MKZ Gesamtbedarf Endenergie gemäss Reglement 2019</t>
  </si>
  <si>
    <t>EBF/Whg.</t>
  </si>
  <si>
    <t>Blatt "MINERGIE", N19-S19 gelöscht</t>
  </si>
  <si>
    <t>Wegfall E_Heizband bei MKZel_wohnen</t>
  </si>
  <si>
    <t>Blatt "MINERGIE", O44-R44,  Formel angepasst</t>
  </si>
  <si>
    <t>Blatt "MINERGIE", U85-Z90, O44-R44, U80-Y80: Formeln angepasst</t>
  </si>
  <si>
    <t>Neue Grenzwerte und MKZ-Werte für MKZ,El,Wohnen (keine Erhöhung bei EBF/Whg.&lt;70m2</t>
  </si>
  <si>
    <t>Beleuchtung: Projektwert SIA 387/4 (ungew.)</t>
  </si>
  <si>
    <t>Eclairage: valeur du projet SIA 387/4</t>
  </si>
  <si>
    <t>Illuminazione: valori di progetto SIA 387/4</t>
  </si>
  <si>
    <r>
      <t>E</t>
    </r>
    <r>
      <rPr>
        <vertAlign val="subscript"/>
        <sz val="8"/>
        <rFont val="Arial"/>
        <family val="2"/>
      </rPr>
      <t xml:space="preserve">SIA387/4,ta  </t>
    </r>
  </si>
  <si>
    <r>
      <t>E</t>
    </r>
    <r>
      <rPr>
        <vertAlign val="subscript"/>
        <sz val="8"/>
        <rFont val="Arial"/>
        <family val="2"/>
      </rPr>
      <t xml:space="preserve">SIA387/4,Bel  </t>
    </r>
  </si>
  <si>
    <t>Sommerlicher Wärmeschutz Komfort erfüllt ohne Kühlung in Zone1  (0=leer / 1=Ja / 2=Nein/ 3=n.a.)</t>
  </si>
  <si>
    <t>Sommerlicher Wärmeschutz Komfort erfüllt ohne Kühlung in Zone 1</t>
  </si>
  <si>
    <t>Sommerlicher Wärmeschutz Komfort erfüllt ohne Kühlung in Zone 2</t>
  </si>
  <si>
    <t>Sommerlicher Wärmeschutz Komfort erfüllt ohne Kühlung in Zone 3</t>
  </si>
  <si>
    <t>Sommerlicher Wärmeschutz Komfort erfüllt ohne Kühlung in Zone 3  (0=leer / 1=Ja / 2=Nein/ 3=n.a.)</t>
  </si>
  <si>
    <t>Sommerlicher Wärmeschutz Komfort erfüllt ohne Kühlung in Zone 2  (0=leer / 1=Ja / 2=Nein/ 3=n.a.)</t>
  </si>
  <si>
    <t>Sommerlicher Wärmeschutz Komfort erfüllt ohne Kühlung in Zone 4</t>
  </si>
  <si>
    <t>Sommerlicher Wärmeschutz Komfort erfüllt ohne Kühlung in Zone 4  (0=leer / 1=Ja / 2=Nein/ 3=n.a.)</t>
  </si>
  <si>
    <t>Baulicher, sommerlicher Wärmeschutz ohne Kühlung erfüllt.  Zone1</t>
  </si>
  <si>
    <t>Baulicher, sommerlicher Wärmeschutz ohne Kühlung erfüllt.  Zone1  (0=leer / 1=Ja / 2=Nein/ 3=n.a.)</t>
  </si>
  <si>
    <t>Baulicher, sommerlicher Wärmeschutz ohne Kühlung erfüllt.  Zone2</t>
  </si>
  <si>
    <t>Baulicher, sommerlicher Wärmeschutz ohne Kühlung erfüllt.  Zone2  (0=leer / 1=Ja / 2=Nein/ 3=n.a.)</t>
  </si>
  <si>
    <t>Baulicher, sommerlicher Wärmeschutz ohne Kühlung erfüllt.  Zone3</t>
  </si>
  <si>
    <t>Baulicher, sommerlicher Wärmeschutz ohne Kühlung erfüllt.  Zone3  (0=leer / 1=Ja / 2=Nein/ 3=n.a.)</t>
  </si>
  <si>
    <t>Baulicher, sommerlicher Wärmeschutz ohne Kühlung erfüllt.  Zone4</t>
  </si>
  <si>
    <t>Baulicher, sommerlicher Wärmeschutz ohne Kühlung erfüllt.  Zone4  (0=leer / 1=Ja / 2=Nein/ 3=n.a.)</t>
  </si>
  <si>
    <t>Wohnen (EFH, MFH), Räume mit 1 Fassade, Betondecke (&gt;80% frei) SSE-SSW-Orientierung und Verschattung durch Balkon mit 1 Meter Tiefe</t>
  </si>
  <si>
    <t>Wohnen (EFH, MFH), Räume mit 1-2 Fassade, Betondecke (&gt;80% frei): Zone1, max. Glasflächenzahl eingehalten?</t>
  </si>
  <si>
    <t>Wohnen (EFH, MFH), Räume mit 1-2 Fassade, Betondecke (&gt;80% frei): Zone1, max. Glasflächenzahl eingehalten?   (0=leer / 1=Ja / 2=Nein/ 3=n.a.)</t>
  </si>
  <si>
    <t>Wohnen (EFH, MFH), Räume mit 1-2 Fassade, Betondecke (&gt;80% frei): Zone2, max. Glasflächenzahl eingehalten?</t>
  </si>
  <si>
    <t>Wohnen (EFH, MFH), Räume mit 1-2 Fassade, Betondecke (&gt;80% frei): Zone2, max. Glasflächenzahl eingehalten?   (0=leer / 1=Ja / 2=Nein/ 3=n.a.)</t>
  </si>
  <si>
    <t>Wohnen (EFH, MFH), Räume mit 1-2 Fassade, Betondecke (&gt;80% frei): Zone3, max. Glasflächenzahl eingehalten?</t>
  </si>
  <si>
    <t>Wohnen (EFH, MFH), Räume mit 1-2 Fassade, Betondecke (&gt;80% frei): Zone3, max. Glasflächenzahl eingehalten?   (0=leer / 1=Ja / 2=Nein/ 3=n.a.)</t>
  </si>
  <si>
    <t>Wohnen (EFH, MFH), Räume mit 1-2 Fassade, Betondecke (&gt;80% frei): Zone4, max. Glasflächenzahl eingehalten?</t>
  </si>
  <si>
    <t>Wohnen (EFH, MFH), Räume mit 1-2 Fassade, Betondecke (&gt;80% frei): Zone4, max. Glasflächenzahl eingehalten?   (0=leer / 1=Ja / 2=Nein/ 3=n.a.)</t>
  </si>
  <si>
    <t>Einzelbüro, Gruppenbüro, Räume mit bis zu 2 Fassaden, Betondecke (&gt; 40% frei) und automat. Steuerung des Sonnenschutzes. G-Wert Glas ≤ 30%:  Zone1, max. Glasflächenzahl eingehalten?</t>
  </si>
  <si>
    <t>Einzelbüro, Gruppenbüro, Räume mit bis zu 2 Fassaden, Betondecke (&gt; 40% frei) und automat. Steuerung des Sonnenschutzes. G-Wert Glas ≤ 30%:  Zone4, max. Glasflächenzahl eingehalten?</t>
  </si>
  <si>
    <t>Einzelbüro, Gruppenbüro, Räume mit bis zu 2 Fassaden, Betondecke (&gt; 40% frei) und automat. Steuerung des Sonnenschutzes. G-Wert Glas ≤ 30%:  Zone3, max. Glasflächenzahl eingehalten?</t>
  </si>
  <si>
    <t>Einzelbüro, Gruppenbüro, Räume mit bis zu 2 Fassaden, Betondecke (&gt; 40% frei) und automat. Steuerung des Sonnenschutzes. G-Wert Glas ≤ 30%:  Zone2, max. Glasflächenzahl eingehalten?</t>
  </si>
  <si>
    <t>Einzelbüro, Gruppenbüro, Räume mit bis zu 2 Fassaden, Betondecke (&gt; 40% frei) und automat. Steuerung des Sonnenschutzes. G-Wert Glas ≤ 30%:  Zone1, max. Glasflächenzahl eingehalten?    (0=leer / 1=Ja / 2=Nein/ 3=n.a.)</t>
  </si>
  <si>
    <t>Einzelbüro, Gruppenbüro, Räume mit bis zu 2 Fassaden, Betondecke (&gt; 40% frei) und automat. Steuerung des Sonnenschutzes. G-Wert Glas ≤ 30%:  Zone4, max. Glasflächenzahl eingehalten?    (0=leer / 1=Ja / 2=Nein/ 3=n.a.)</t>
  </si>
  <si>
    <t>Einzelbüro, Gruppenbüro, Räume mit bis zu 2 Fassaden, Betondecke (&gt; 40% frei) und automat. Steuerung des Sonnenschutzes. G-Wert Glas ≤ 30%:  Zone3, max. Glasflächenzahl eingehalten?    (0=leer / 1=Ja / 2=Nein/ 3=n.a.)</t>
  </si>
  <si>
    <t>Einzelbüro, Gruppenbüro, Räume mit bis zu 2 Fassaden, Betondecke (&gt; 40% frei) und automat. Steuerung des Sonnenschutzes. G-Wert Glas ≤ 30%:  Zone2, max. Glasflächenzahl eingehalten?    (0=leer / 1=Ja / 2=Nein/ 3=n.a.)</t>
  </si>
  <si>
    <t>Wohnen (EFH, MFH), Räume mit 1 Fassade, Betondecke (&gt;80% frei) SSE-SSW-Orientierung und Verschattung durch Balkon mit 1 Meter Tiefe:  Zone1, max. Glasflächenzahl eingehalten?</t>
  </si>
  <si>
    <t>Wohnen (EFH, MFH), Räume mit 1 Fassade, Betondecke (&gt;80% frei) SSE-SSW-Orientierung und Verschattung durch Balkon mit 1 Meter Tiefe:  Zone1, max. Glasflächenzahl eingehalten?  (0=leer / 1=Ja / 2=Nein/ 3=n.a.)</t>
  </si>
  <si>
    <t>Wohnen (EFH, MFH), Räume mit 1 Fassade, Betondecke (&gt;80% frei) SSE-SSW-Orientierung und Verschattung durch Balkon mit 1 Meter Tiefe:  Zone2, max. Glasflächenzahl eingehalten?</t>
  </si>
  <si>
    <t>Wohnen (EFH, MFH), Räume mit 1 Fassade, Betondecke (&gt;80% frei) SSE-SSW-Orientierung und Verschattung durch Balkon mit 1 Meter Tiefe:  Zone2, max. Glasflächenzahl eingehalten?  (0=leer / 1=Ja / 2=Nein/ 3=n.a.)</t>
  </si>
  <si>
    <t>Wohnen (EFH, MFH), Räume mit 1 Fassade, Betondecke (&gt;80% frei) SSE-SSW-Orientierung und Verschattung durch Balkon mit 1 Meter Tiefe:  Zone3, max. Glasflächenzahl eingehalten?</t>
  </si>
  <si>
    <t>Wohnen (EFH, MFH), Räume mit 1 Fassade, Betondecke (&gt;80% frei) SSE-SSW-Orientierung und Verschattung durch Balkon mit 1 Meter Tiefe:  Zone3, max. Glasflächenzahl eingehalten?  (0=leer / 1=Ja / 2=Nein/ 3=n.a.)</t>
  </si>
  <si>
    <t>Wohnen (EFH, MFH), Räume mit 1 Fassade, Betondecke (&gt;80% frei) SSE-SSW-Orientierung und Verschattung durch Balkon mit 1 Meter Tiefe:  Zone4, max. Glasflächenzahl eingehalten?</t>
  </si>
  <si>
    <t>Wohnen (EFH, MFH), Räume mit 1 Fassade, Betondecke (&gt;80% frei) SSE-SSW-Orientierung und Verschattung durch Balkon mit 1 Meter Tiefe:  Zone5, max. Glasflächenzahl eingehalten?  (0=leer / 1=Ja / 2=Nein/ 3=n.a.)</t>
  </si>
  <si>
    <t>Wohnen (EFH, MFH), Räume mit bis zu 2 Fassaden, Holzdecke und Zementunterlagsboden mit min. 6 cm oder Anhydrit min. 5 cm Stärke: Zone1, max. Glasflächenzahl eingehalten?</t>
  </si>
  <si>
    <t>Wohnen (EFH, MFH), Räume mit bis zu 2 Fassaden, Holzdecke und Zementunterlagsboden mit min. 6 cm oder Anhydrit min. 5 cm Stärke: Zone1, max. Glasflächenzahl eingehalten?    (0=leer / 1=Ja / 2=Nein/ 3=n.a.)</t>
  </si>
  <si>
    <t>Wohnen (EFH, MFH), Räume mit bis zu 2 Fassaden, Holzdecke und Zementunterlagsboden mit min. 6 cm oder Anhydrit min. 5 cm Stärke: Zone2, max. Glasflächenzahl eingehalten?</t>
  </si>
  <si>
    <t>Wohnen (EFH, MFH), Räume mit bis zu 2 Fassaden, Holzdecke und Zementunterlagsboden mit min. 6 cm oder Anhydrit min. 5 cm Stärke: Zone2, max. Glasflächenzahl eingehalten?    (0=leer / 1=Ja / 2=Nein/ 3=n.a.)</t>
  </si>
  <si>
    <t>Wohnen (EFH, MFH), Räume mit bis zu 2 Fassaden, Holzdecke und Zementunterlagsboden mit min. 6 cm oder Anhydrit min. 5 cm Stärke: Zone3, max. Glasflächenzahl eingehalten?</t>
  </si>
  <si>
    <t>Wohnen (EFH, MFH), Räume mit bis zu 2 Fassaden, Holzdecke und Zementunterlagsboden mit min. 6 cm oder Anhydrit min. 5 cm Stärke: Zone3, max. Glasflächenzahl eingehalten?    (0=leer / 1=Ja / 2=Nein/ 3=n.a.)</t>
  </si>
  <si>
    <t>Wohnen (EFH, MFH), Räume mit bis zu 2 Fassaden, Holzdecke und Zementunterlagsboden mit min. 6 cm oder Anhydrit min. 5 cm Stärke: Zone4, max. Glasflächenzahl eingehalten?</t>
  </si>
  <si>
    <t>Wohnen (EFH, MFH), Räume mit bis zu 2 Fassaden, Holzdecke und Zementunterlagsboden mit min. 6 cm oder Anhydrit min. 5 cm Stärke: Zone4, max. Glasflächenzahl eingehalten?    (0=leer / 1=Ja / 2=Nein/ 3=n.a.)</t>
  </si>
  <si>
    <t>Max. Glasflächenzah Wohnen (EFH, MFH), Räume mit bis zu 2 Fassaden, Holzdecke und Zementunterlagsboden mit min. 6 cm oder Anhydrit min. 5 cm Stärke</t>
  </si>
  <si>
    <t xml:space="preserve">Max. Glasflächenzahl Wohnen (EFH, MFH), Räume mit 1 Fassade, Betondecke (&gt;80% frei) </t>
  </si>
  <si>
    <t>Max. Glasflächenzah Wohnen (EFH, MFH), Räume mit 1 Fassade, Betondecke (&gt;80% frei) SSE-SSW-Orientierung und Verschattung durch Balkon mit 1 Meter Tiefe</t>
  </si>
  <si>
    <t>Max. Glasflächenzah Einzelbüro, Gruppenbüro, Räume mit bis zu 2 Fassaden, Betondecke (&gt; 40% frei) und automat. Steuerung des Sonnenschutzes. G-Wert Glas ≤ 30%</t>
  </si>
  <si>
    <t>Sommerlicher Wärmeschutz, Lager mit geringen internen Wärmelasten, Zone 1</t>
  </si>
  <si>
    <t>Sommerlicher Wärmeschutz, Lager mit geringen internen Wärmelasten, Zone 1  (0=leer / 1=Ja / 2=Nein/ 3=n.a.)</t>
  </si>
  <si>
    <t>Sommerlicher Wärmeschutz, Lager mit geringen internen Wärmelasten, Zone 2</t>
  </si>
  <si>
    <t>Sommerlicher Wärmeschutz, Lager mit geringen internen Wärmelasten, Zone 2  (0=leer / 1=Ja / 2=Nein/ 3=n.a.)</t>
  </si>
  <si>
    <t>Sommerlicher Wärmeschutz, Lager mit geringen internen Wärmelasten, Zone 3</t>
  </si>
  <si>
    <t>Sommerlicher Wärmeschutz, Lager mit geringen internen Wärmelasten, Zone 3  (0=leer / 1=Ja / 2=Nein/ 3=n.a.)</t>
  </si>
  <si>
    <t>Sommerlicher Wärmeschutz, Lager mit geringen internen Wärmelasten, Zone 4</t>
  </si>
  <si>
    <t>Sommerlicher Wärmeschutz, Lager mit geringen internen Wärmelasten, Zone 4  (0=leer / 1=Ja / 2=Nein/ 3=n.a.)</t>
  </si>
  <si>
    <t>M72</t>
  </si>
  <si>
    <t>AF15</t>
  </si>
  <si>
    <t>Leerrohre Elektromobilität</t>
  </si>
  <si>
    <t>BA16</t>
  </si>
  <si>
    <t>Sommerlicher Wärmeschutz erfüllt, Zone1</t>
  </si>
  <si>
    <t>Sommerlicher Wärmeschutz erfüllt, Zone2</t>
  </si>
  <si>
    <t>Sommerlicher Wärmeschutz erfüllt, Zone3</t>
  </si>
  <si>
    <t>Sommerlicher Wärmeschutz erfüllt, Zone4</t>
  </si>
  <si>
    <t>Sommerlicher Wärmeschutz erfüllt, Zone1  (0=leer / 1=Ja / 2=Nein)</t>
  </si>
  <si>
    <t>Sommerlicher Wärmeschutz erfüllt, Zone4  (0=leer / 1=Ja / 2=Nein)</t>
  </si>
  <si>
    <t>Sommerlicher Wärmeschutz erfüllt, Zone3  (0=leer / 1=Ja / 2=Nein)</t>
  </si>
  <si>
    <t>Sommerlicher Wärmeschutz erfüllt, Zone2  (0=leer / 1=Ja / 2=Nein)</t>
  </si>
  <si>
    <t>Neue Variante sommerlicher Wärmeschutz hinzugefügt</t>
  </si>
  <si>
    <t>Variante, nach der der sommerliche Wärmeschutz erfüllt ist in Zone 1  (0=leer oder nicht erfüllt / 1 = Variante 1 / 2 = Variante 2 / 3 = Variante 3)</t>
  </si>
  <si>
    <t>Variante, nach der der sommerliche Wärmeschutz erfüllt ist in Zone 2  (0=leer oder nicht erfüllt / 1 = Variante 1 / 2 = Variante 2 / 3 = Variante 3)</t>
  </si>
  <si>
    <t>Variante, nach der der sommerliche Wärmeschutz erfüllt ist in Zone 3  (0=leer oder nicht erfüllt / 1 = Variante 1 / 2 = Variante 2 / 3 = Variante 3)</t>
  </si>
  <si>
    <t>Variante, nach der der sommerliche Wärmeschutz erfüllt ist in Zone 4  (0=leer oder nicht erfüllt / 1 = Variante 1 / 2 = Variante 2 / 3 = Variante 3)</t>
  </si>
  <si>
    <t>Blatt "MPO", A380-C469 / A604 - C627 angepast und ergänzt</t>
  </si>
  <si>
    <t>Blatt "Sommer", U45 - X52 ergänzt</t>
  </si>
  <si>
    <t>Auswertung, ob der sommerliche Wärmeschutz mit Variante 1, 2 oder 3 erfüllt ist.</t>
  </si>
  <si>
    <t>Blatt "Standardwerte": AF15 - BA15 ergänzt</t>
  </si>
  <si>
    <t>Neue Anforderung Elektro-Mobililtät für Neubauten</t>
  </si>
  <si>
    <t>Blatt "MINERGIE", A72 - K72 ergänzt</t>
  </si>
  <si>
    <t>Blatt "MINERGIE", K25 / M25, Fehlermeldung ergänzt.</t>
  </si>
  <si>
    <t>Fehlermeldung, wenn bei MFH die Anzahl Wohnungen nicht ausgefüllt wurden</t>
  </si>
  <si>
    <t>Blatt "MINERGIE", M48 / M49 und "Uebersetzung" Zeile 404 / 405 angepasst</t>
  </si>
  <si>
    <t>SIA 380/4 durch SIA 387/4 ersetzt</t>
  </si>
  <si>
    <t>Blatt "Standardwerte": Tabellen A199 - 240 und D199 - I210 ergänzt</t>
  </si>
  <si>
    <t>Tabellen zur Berechnung der Glasflächenzahl für den sommerlichen Wärmeschutz ergänzt.</t>
  </si>
  <si>
    <t>MKZ,H: Minergie-Teilkennzahl Heizung</t>
  </si>
  <si>
    <t>MKZ,ww: Minergie-Teilkennzahl Warmwasser</t>
  </si>
  <si>
    <t>MKZ,LK: Minergie-Teilkennzahl Lüftung und Klima</t>
  </si>
  <si>
    <t>MKZel,wohn: Minergie-Teilkennzahl Wohnstrom</t>
  </si>
  <si>
    <t>MKZ,Bel: Minergie-Teilkennzahl Beleuchtung</t>
  </si>
  <si>
    <t>MKZ,Geräte: Minergie-Teilkennzahl Geräte</t>
  </si>
  <si>
    <t>MKZ,AGT: Minergie-Teilkennzahl allgemeine Gebäudetechnik</t>
  </si>
  <si>
    <t>E,EB: Eigenverbrauch des selbstproduzierten PV-Stroms</t>
  </si>
  <si>
    <t>E,Netz: Ins Netz eingespiesener PV-Strom aus der eigenen Anlage</t>
  </si>
  <si>
    <t>MKZ: Minergie-Kennzahl</t>
  </si>
  <si>
    <t>Tag
K45</t>
  </si>
  <si>
    <t>Tag
K47</t>
  </si>
  <si>
    <t>Tag
K49</t>
  </si>
  <si>
    <t>Tag
K51</t>
  </si>
  <si>
    <t>Tag
K53</t>
  </si>
  <si>
    <t>Tag
K55</t>
  </si>
  <si>
    <t>Tag
K57</t>
  </si>
  <si>
    <t>Tag
K59</t>
  </si>
  <si>
    <t>Tag
K61</t>
  </si>
  <si>
    <t>Tag
K63</t>
  </si>
  <si>
    <t>Blatt "Ueberesicht", K47 - K63 und  "Uebersetzung", Zeile 545 - 554 ergänzt</t>
  </si>
  <si>
    <t>Tags mit Erklärungen zu den Abkürzungen in der Grafik eingefügt</t>
  </si>
  <si>
    <t>Blatt "Standardwerte": AE74 - AF82, Werte gemäss Reglement 2019 angepasst.</t>
  </si>
  <si>
    <t>Standardwerte Elektrizität Geräte und allg. Gebäudetechnik Zweckbatuen gemäss Regl. 2019</t>
  </si>
  <si>
    <r>
      <t>MKZ</t>
    </r>
    <r>
      <rPr>
        <vertAlign val="subscript"/>
        <sz val="9"/>
        <rFont val="Arial"/>
        <family val="2"/>
      </rPr>
      <t>li,Wohnen&lt;70m2</t>
    </r>
  </si>
  <si>
    <t>kWh/m2 (ohne Lift, minus S)</t>
  </si>
  <si>
    <r>
      <t>MKZ</t>
    </r>
    <r>
      <rPr>
        <vertAlign val="subscript"/>
        <sz val="9"/>
        <rFont val="Arial"/>
        <family val="2"/>
      </rPr>
      <t>Lift,125m2</t>
    </r>
  </si>
  <si>
    <r>
      <t>MKZ</t>
    </r>
    <r>
      <rPr>
        <vertAlign val="subscript"/>
        <sz val="9"/>
        <rFont val="Arial"/>
        <family val="2"/>
      </rPr>
      <t>Lift,70m2</t>
    </r>
  </si>
  <si>
    <t>Blatt "MINERGIE", V87 - Y90, Fehler in Formel korrigiert</t>
  </si>
  <si>
    <t>Fehler in Berechnung Wohnstrom bei der Berechnung Strombedarf Lift</t>
  </si>
  <si>
    <t>Blatt "MINERGIE", I72, bedingte Formatierung der Zelle korrigiert</t>
  </si>
  <si>
    <t>Falscher Bezug in der bedingten Zellenformatierung</t>
  </si>
  <si>
    <t>Beleuchtung: Mittelwert SIA 387/4 (ungew.)</t>
  </si>
  <si>
    <t>Eclairage: valeur moyenne SIA 387/4</t>
  </si>
  <si>
    <t>Illuminazione: valore medio SIA 387/4</t>
  </si>
  <si>
    <t>Hinweis: Falls Nein, so muss die Möglichkeit zur Fensterlüftung trotzdem erfüllt sein.</t>
  </si>
  <si>
    <t>Anforderungen an den baulichen sommerlichen Wärmeschutz gemäss Nachweis Sommerlicher Wärmeschutz Variante 2 erfüllt?</t>
  </si>
  <si>
    <t>Anforderungen an Komfortkriterien gemäss Nachweis Sommerlicher Wärmeschutz erfüllt?</t>
  </si>
  <si>
    <t>Tag
B36</t>
  </si>
  <si>
    <t>MUKEN 2014, Vers. 2018</t>
  </si>
  <si>
    <t>Neue Grenzwerte für Zusatzanforderung 1 (ZA1) gemäss Muken 2014, Version 2018</t>
  </si>
  <si>
    <t>Blatt "Standardwerte": AG72 - AH83 / J10 - K21, Werte gemäss Muken 2014, Version 2018 angepasst</t>
  </si>
  <si>
    <t>Blatt "Standardwerte": J47 - J50, Formeln gemäss Muken 2014, Version 2018 angepasst</t>
  </si>
  <si>
    <t>Neue Klimakorrektur für Zusatzanforderung 1 (ZA1) gemäss Muken 2014, Version 2018</t>
  </si>
  <si>
    <t>Sommerlicher Wärmeschutz erfüllt? (1=Ja / 2=Nein)</t>
  </si>
  <si>
    <t>- Windfestigkeit des aussenliegenden beweglichen Sonnenschutzes mindestens Windwiderstandsklasse 5</t>
  </si>
  <si>
    <t>S10</t>
  </si>
  <si>
    <t>Der Standard-Grenzwert für HLK wird neu proportional zum effektiven Verbrauch angepasst</t>
  </si>
  <si>
    <t>Blatt "Ueberesicht", Q41 - Q43, Formel für "Standard-Wert Heizung, WW und Klima wird angepasst</t>
  </si>
  <si>
    <t>m.s.m.</t>
  </si>
  <si>
    <t>Le débit d'air neuf thermiquement actif calculé en F45-I45 est à introduire dans le calcul des besoins de chaleur pour le chauffage (SIA 380/1)</t>
  </si>
  <si>
    <t>Portata d'aria esterna termicamente determinante Vth secondo la SIA 380/1. Questo valore deve corrispondentedere al dato per il calcolo del fabbisogno termico con portata d'aria esterna termicamente determinante.</t>
  </si>
  <si>
    <t>A toujours calculer sans eau chaude sanitaire: restaurants, installations sportives, piscines couvertes.
A toujours calculer avec eau chaude sanitaire: habitats individuels et collectifs, hôpitaux.
Les administrations, écoles, commerces, lieux de rassemblement, industries et entrepôts peuvent être calculés sans eau chaude s'il n'existe pas de système de distribution d'eau chaude (p. ex. uniquement des petits chauffe-eau individules dans les locaux de nettoyage d'une école).</t>
  </si>
  <si>
    <t>Ristoranti, edifici per lo sport e piscine coperte sono sempre da calcolare senza acqua calda. Amministrazioni, scuole, negozi, locali pubblici, industrie e depositi possono essere calcolati senza l'acqua calda alla condizione che sia previsto un impianto decentralizzato senza una rete di distribuzione dell'acqua calda sanitaria (es. solo piccoli scaldacqua nei locali pulizie delle scuole).</t>
  </si>
  <si>
    <t>Scelta dell'aerazione:
- No ventil..:    nessuna ventilazione meccanica
- Immiss./estraz.:  impianto di immissione ed estrazione d'aria senza recupero di calore
- Ventil.+RC:             impianto di immissione ed estrazione d'aria con recupero di calore
- Ventil.+PdC:         Impianto di immissione ed espulsione dell'aria con PdC sull'aspirazione dell'aria
- Solo estraz.:             impianto di estrazione dell'aria senza recupero di calore
- Estraz.+PdC:           impianto d'estrazione dell'aria con PdC sull'aspirazione dell'aria
- Aeraz. per loc.: Aerazione di ogni singolo locale con recupero di calore
- Finestre, autom.:  aerazione automatica tramite finestre, comando automatico</t>
  </si>
  <si>
    <t>Nombre de pièces avec air fourni:
Données obligatoires que pour l'habitat.
Nombre de personnes (total par zones).
Données obligatoires pour administration ou écoles.
Seront utilisées pour le calcul de l'air fourni.</t>
  </si>
  <si>
    <t>Données pour les petites installations avec des valeurs standard:
Le type de récupération de chaleur sera utilisé pour le calcul du taux de récupération. Selon le choix de l'appareil de ventilation, les possibilités sont les suivantes:
- Pas de récupération de chaleur
- Echangeur à courant croisé
- Echangeur à contre-courant
- Echangeur rotatif</t>
  </si>
  <si>
    <t>donnée erronée</t>
  </si>
  <si>
    <t>Ponderazione</t>
  </si>
  <si>
    <t>Il concetto dell'ermeticità  è stato allegato?</t>
  </si>
  <si>
    <t>Questo formulario di verifica è necessario per la verifica dello standard Minergie, Minergie-P e Minergie A. Lo standard corrispondente-</t>
  </si>
  <si>
    <t>Climatizzazione</t>
  </si>
  <si>
    <t>Habitat (individuel, collectif), pièce jusqu'à 2 façades, plafond en béton apparent (&gt;80% libre)</t>
  </si>
  <si>
    <t>Abitazione (mono- e plurifamiliare), locale con 2 facciate vetrate soffitto in calcestruzzo (libero &gt; 80%)</t>
  </si>
  <si>
    <t>- Indice de vitrage maximal</t>
  </si>
  <si>
    <t>- superficie vetrata massima:</t>
  </si>
  <si>
    <t>Habitat (individuel, collectif), pièce jusqu'à 2 façades, plafond en bois et chape ciment min. 6 cm ou anhydrite min. 5 cm d'épais</t>
  </si>
  <si>
    <t>Abitazione (mono- e plurifamiliare), locale con 1 o 2 facciate vetrate soffitto in legno con betoncino min 6 cm o betoncino anidridico 5 cm</t>
  </si>
  <si>
    <t>Habitat (ind., coll.), pièce avec 1 façade, plafond en béton apparent (&gt;80% libre), orientation SSE-SSO et ombrage par balcon de min. 1 m de profondeur</t>
  </si>
  <si>
    <t>Abiatazione (mono- e plurifamiliare), locale con 1 facciata vetrata soffitto in calcestruzzo (libero &gt; 80%) orientata a SSE-SSO  con ombreggiamento tramite balcone con profondità di 1 metro</t>
  </si>
  <si>
    <t>Plafond en béton apparent (&gt;40% libre) et commande automatique de la protection solaire. Valeur g vitrage ≤ 30%</t>
  </si>
  <si>
    <t>Ufficio individuale, ufficio di gruppo, locale con 1 o 2 facciate vetrate, soffitto in cemento (libero &gt; 40% ) e automatismo della protezione solare. Valore G vetro ≤ 30%.</t>
  </si>
  <si>
    <t>Variante 2 : Justificatif externe des critères selon SIA 382/1 et SIA 180 (sans refroidissement)</t>
  </si>
  <si>
    <t>Variante 2: verifica esterna dei criteri secondo SIA382/1 e SIA 180 (senza raffreddamento)</t>
  </si>
  <si>
    <t>Exigences constructives de la protection thermique estivale selon le justificatif pour la protection thermique estivale, Variante 2, remplies?</t>
  </si>
  <si>
    <t>Sono soddisfatti i requisiti costruttivi secondo la verifica della protezione termica estiva , variante 2?</t>
  </si>
  <si>
    <t>- Pas d'ouverture zénithale</t>
  </si>
  <si>
    <t>- nessun lucernario</t>
  </si>
  <si>
    <t>- Protection solaire extérieure mobile avec stores à rouleau ou à lamellles (valeur g-total max. 0.1)</t>
  </si>
  <si>
    <t>- Protezione solare mobile esterna con tapparelle o veneziane (g-valore-totale max 0,1)</t>
  </si>
  <si>
    <t>- Rafraîchis. nocturne par les fen. possible (précision : la protect. contre l'effraction n'est en général pas contrôlée dans le cadre de la certif. Minergie)</t>
  </si>
  <si>
    <t>- Il raffrescamento notturno tramite le finestre é possibile (Nota: la protezione antieffrazione non viene generalmente verificata nell'ambito della certificazione Minergie);</t>
  </si>
  <si>
    <t>- Les charges internes ne sont pas plus élevées que la valeur standart du cahier technique SIA 2024</t>
  </si>
  <si>
    <t>- I carichi termici interni non sono superiori ai valori standard del quaderno tecnico SIA 2024.</t>
  </si>
  <si>
    <t>Exigences des critères de confort selon le justificatif pour la protection thermique estivale remplies?</t>
  </si>
  <si>
    <t>Sono soddisfatti i requisiti per i criteri di comfort secondo la verifica della protezione termica estiva?</t>
  </si>
  <si>
    <t>Admissible jusqu'à nouvel ordre</t>
  </si>
  <si>
    <t>Permesso fino a nuovo avviso</t>
  </si>
  <si>
    <t>Mobilité électrique</t>
  </si>
  <si>
    <t>Tubi vuoti per la mobilità elettrica</t>
  </si>
  <si>
    <t>MKZ,H : indice Minergie partiel chauffage</t>
  </si>
  <si>
    <t>IM,R: indice Minergie riscaldamento</t>
  </si>
  <si>
    <t>MKZ,ww : indice Minergie partiel eau chaude</t>
  </si>
  <si>
    <t>IM,AC: indice Minergie Acqua calda</t>
  </si>
  <si>
    <t>MKZ,LK : indice Minergie partiel aération et climat</t>
  </si>
  <si>
    <t>IM,VC: indice Minergie ventilazione e clima</t>
  </si>
  <si>
    <t>MKZ,el,wohn : indice Minergie partiel électricité bâtiments d'habitation</t>
  </si>
  <si>
    <t>IM, el resid: indice Minergie elettricità residenziale</t>
  </si>
  <si>
    <t>MKZ,Bel : indice Minergie partiel éclairage</t>
  </si>
  <si>
    <t>IM, Ill: indice Minergie illuminazione</t>
  </si>
  <si>
    <t>MKZ,Geräte : indice Minergie partiel appareils</t>
  </si>
  <si>
    <t>IM, app: indice Minergie apparecchi</t>
  </si>
  <si>
    <t>MKZ,AGT : indice Minergie partiel installations techniques</t>
  </si>
  <si>
    <t>IM, imp: indice Minergie impiantistica</t>
  </si>
  <si>
    <t>E,EB : Autoconsommation du courant PV autoproduit</t>
  </si>
  <si>
    <t>E, cp: consumo della produzione propria di elettricità fotovoltaica</t>
  </si>
  <si>
    <t>E,Netz : Courant PV autoproduit injecté dans le réseau</t>
  </si>
  <si>
    <t xml:space="preserve">E, rete: elettricità fotovoltaica del proprio impianto immessa in rete </t>
  </si>
  <si>
    <t>MKZ : indice Minergie</t>
  </si>
  <si>
    <t>IM: indice Minergie</t>
  </si>
  <si>
    <t xml:space="preserve">Précision : Si non, la possibilité d'aération par les fenêtres doit quand même être remplie </t>
  </si>
  <si>
    <t>Nota: In caso negativo, la possibilità di ventilazione tramite le finestre, deve  comunque essere soddisfatta.</t>
  </si>
  <si>
    <t>Variante 3: Externer Nachweis der Kriterien gemäss SIA180 und SIA382/1 (mit Kühlung)</t>
  </si>
  <si>
    <t>Variante 3 : Justificatif externe des critères selon SIA 180 et SIA 382/1 (avec refroidissement)</t>
  </si>
  <si>
    <t>Le justificatif des exigences de base constructives doit être respecté. Les températures des pièces doivent être calculées selon SIA 382/1, chiffre 4.5. Sans refroidissement, la courbe des valeurs limites selon SIA 180, figure 4 ne peut pas être dépassée plus de 100 h.</t>
  </si>
  <si>
    <t>- Résistance au vent des protections solaires extérieures mobiles d'au moins classe 5</t>
  </si>
  <si>
    <t>- Resistenza al vento della protezione solare mobile esterna almeno classe 5 di resistenza al vento</t>
  </si>
  <si>
    <t>Entrée obligatoire: Qh,eff ou Qh,corr
à reporter du calcul SIA 380/1 les besoins de chaleur pour le chauffage Qh,eff avec débit d’air neuf thermiquement actif Vth.</t>
  </si>
  <si>
    <t>Zwingende Eingabe Qh,eff oder Qh,korr:
Heizwärmebedarf Qh,eff mit effektivem, thermisch wirksamen Aussenluftvolumenstrom Vth aus der Berechnung SIA 380/1 übertragen.</t>
  </si>
  <si>
    <t>Valore richiesto per Qh,eff. o Qh,corr.:
inserire fabbisogno di calore per il riscaldamento Qh,eff. con portata d'aria esterna termicamente determinante Vth secondo calcolo SIA 380/1.</t>
  </si>
  <si>
    <t>Valore richiesto per Qh,eff. O Qh,corr.:
inserire fabbisogno di calore per il riscaldamento Qh,eff. con portata d'aria esterna termicamente determinante Vth secondo calcolo SIA 380/1.
Facoltativo: invece di Qh,eff. può essere inserito Qh,corr. che considera anche la correzione dell'altezza del locale (correzione secondo indicazioni MINERGIE)</t>
  </si>
  <si>
    <t>Entrée obligatoire: Qh,eff ou Qh,corr
à reporter du calcul SIA 380/1 les besoins de chaleur pour le chauffage Qh,eff avec débit d’air neuf thermiquement actif Vth.
Facultatif: la valeur corrigée pour la hauteur d'étage Qh,corr (correction selon indications MINERGIE) peut être introduite à la place de Qh,eff</t>
  </si>
  <si>
    <t>Zwingende Eingabe Qh,eff oder Qh,korr:
Heizwärmebedarf Qh,eff mit effektivem, thermisch wirksamen Aussenluftvolumenstrom Vth aus der Berechnung SIA 380/1 übertragen.
Fakultativ darf anstelle von Qh,eff auch der raumhöhenkorrigierte Wert Qh,korr (Korrektur gemäss Angaben MINERGIE) hier eingetragen werden.</t>
  </si>
  <si>
    <t>Uebersetzungen F und I ergänzt.</t>
  </si>
  <si>
    <t>Blatt "MINERGIE", Z72, Formel angepasst</t>
  </si>
  <si>
    <t>Fehler in Formell korrigiert</t>
  </si>
  <si>
    <t>Primäranforderungen MINERGIE (ZA1)</t>
  </si>
  <si>
    <t>Min-P Hallenbad</t>
  </si>
  <si>
    <t>Neue ZA1 für Hallenbäder (90%) bei Minergie-P</t>
  </si>
  <si>
    <t>Blatt "MINERGIE", U17-Z19, Formel angepasst</t>
  </si>
  <si>
    <t>Blatt "Standardwerte": BD48 und AA94-AB94 ergänzt für ZA1 Hallenbäder Min-P</t>
  </si>
  <si>
    <t>Neubau o. Hallenb.</t>
  </si>
  <si>
    <t>EBF ohne Hallenb.</t>
  </si>
  <si>
    <t>Minergie mit SIA 380/1:2016</t>
  </si>
  <si>
    <t>Minergie-P mit SIA 380/1:2016</t>
  </si>
  <si>
    <t>Minergie-A mit SIA 380/1:2016</t>
  </si>
  <si>
    <t>Minergie mit SIA 380/1:2009</t>
  </si>
  <si>
    <t>Minergie-P mit SIA 380/1:2009</t>
  </si>
  <si>
    <t>Minergie-A mit SIA 380/1:2009</t>
  </si>
  <si>
    <t>AJ56</t>
  </si>
  <si>
    <t>AJ57</t>
  </si>
  <si>
    <t>AJ58</t>
  </si>
  <si>
    <t>AJ59</t>
  </si>
  <si>
    <t>AJ60</t>
  </si>
  <si>
    <t>AJ61</t>
  </si>
  <si>
    <t>Minergie avec SIA 380/1:2016</t>
  </si>
  <si>
    <t>Minergie-P avec SIA 380/1:2016</t>
  </si>
  <si>
    <t>Minergie-A avec SIA 380/1:2016</t>
  </si>
  <si>
    <t>Minergie avec SIA 380/1:2009</t>
  </si>
  <si>
    <t>Minergie-P avec SIA 380/1:2009</t>
  </si>
  <si>
    <t>Minergie-A avec SIA 380/1:2009</t>
  </si>
  <si>
    <t>Minergie con SIA 380/1:2016</t>
  </si>
  <si>
    <t>Minergie-P con SIA 380/1:2016</t>
  </si>
  <si>
    <t>Minergie-A con SIA 380/1:2016</t>
  </si>
  <si>
    <t>Minergie con SIA 380/1:2009</t>
  </si>
  <si>
    <t>Minergie-P con SIA 380/1:2009</t>
  </si>
  <si>
    <t>Minergie-A con SIA 380/1:2009</t>
  </si>
  <si>
    <t>_SIA2009</t>
  </si>
  <si>
    <t>MUKEN 2014, alte Vers.</t>
  </si>
  <si>
    <t>Thetaea_0 =</t>
  </si>
  <si>
    <t xml:space="preserve">Klimaanpassung = </t>
  </si>
  <si>
    <t>Auswahl MUKEN</t>
  </si>
  <si>
    <t>Version der Berechnung SIA 380/1:  (1=Version 2016 / 2=Version 2009)</t>
  </si>
  <si>
    <t>Blatt "Eingaben", E14: Auswahl ergänzt mit Norm SIA 380/1:2009</t>
  </si>
  <si>
    <t>Blatt "MOP", A630-C630, Ergänzt Berechnungsart SIA 380/1</t>
  </si>
  <si>
    <t>Übertrag gewichtete Energie ohne Deckungsgradangabe:</t>
  </si>
  <si>
    <t>Blatt "Nachweis", N44 und "MINERGIE", S75, Formeln angepasst</t>
  </si>
  <si>
    <t>Uebertrag in Blatt "Nachweis", G25-27 in MKZ einrechnen auch ohne Deckungsgradangabe</t>
  </si>
  <si>
    <t>Neu Auswahl SIA 380/1:2009 oder SIA 380/1:2016 auf Blatt "Eingaben", E14</t>
  </si>
  <si>
    <t>Luftwechsel bei Kleinanlagen mit Standardwerten bei Abluft-WP in Zone 2-4 nicht id. Zone 1</t>
  </si>
  <si>
    <t>Blatt "Standardwerte": S36 - S38 Formel angepasst.</t>
  </si>
  <si>
    <t>Indice Minergie calculé</t>
  </si>
  <si>
    <t>Indice Minergie calcolato</t>
  </si>
  <si>
    <t>Indice Minergie max.</t>
  </si>
  <si>
    <t>Spezifischer Bedarf aus Übertrag N25 / N27:</t>
  </si>
  <si>
    <t>Eingabe des Energiebedarfs beim Übertrag N25 und N27 neu in kWh statt kWh/m2</t>
  </si>
  <si>
    <t>Blatt "Nachweis", neue Formel in U47-48 zur Umrechnung von kWh in kWh/m2 (EBF)</t>
  </si>
  <si>
    <t>Text in Pulldown (eff. Reihenf. Gemäss AC)</t>
  </si>
  <si>
    <t>Warmhaltebänder</t>
  </si>
  <si>
    <t>WärmeerzeugungA, Auswahl-Nr.  (0: leer;  1: Oelfeuerung;  13: Elektro direkt,  58:Warmhaltebänder, etc.)</t>
  </si>
  <si>
    <t>WärmeerzeugungD, Auswahl-Nr.  (0: leer;  1: Oelfeuerung;  13: Elektro direkt,  58:Warmhaltebänder, etc.)</t>
  </si>
  <si>
    <t>WärmeerzeugungC, Auswahl-Nr.  (0: leer;  1: Oelfeuerung;  13: Elektro direkt,  58:Warmhaltebänder, etc.)</t>
  </si>
  <si>
    <t>WärmeerzeugungB, Auswahl-Nr.  (0: leer;  1: Oelfeuerung;  13: Elektro direkt,  58:Warmhaltebänder, etc.)</t>
  </si>
  <si>
    <t>Abwärme aus Klimakälte</t>
  </si>
  <si>
    <t>Abwärme aus Gewerbekälte oder EDV</t>
  </si>
  <si>
    <t>Temperatur Abwärme  [°C]</t>
  </si>
  <si>
    <t>verfügbar kWh</t>
  </si>
  <si>
    <t>Abwärmemenge  [kWh]</t>
  </si>
  <si>
    <t>Gewerbekälte / EDV</t>
  </si>
  <si>
    <t>Deckung</t>
  </si>
  <si>
    <t>Rejets thermiques issus de climatisation</t>
  </si>
  <si>
    <t>Calore residuo climatizzazione</t>
  </si>
  <si>
    <t>Rejets thermiques  [kWh]</t>
  </si>
  <si>
    <t>Calore residuo  [kWh]</t>
  </si>
  <si>
    <t>AD143</t>
  </si>
  <si>
    <t>Températures des rejets thermique [°C]</t>
  </si>
  <si>
    <t>Temperature del calore residuo [°C]</t>
  </si>
  <si>
    <t>AE142</t>
  </si>
  <si>
    <t>Nutzungsgrad Kälteerzeugung  (EER)</t>
  </si>
  <si>
    <t>AD142</t>
  </si>
  <si>
    <t>Rendement de climatisation  (EER)</t>
  </si>
  <si>
    <t>Rendimento climatizzazione  (EER)</t>
  </si>
  <si>
    <t>Neue Wärmeerzeugungsart Abwärme Klimakälte und Abwärme Gewerbekälte / EDV</t>
  </si>
  <si>
    <t>Blatt "Standardwerte": V142 - AU143, Einträge angepasst.</t>
  </si>
  <si>
    <t>Neue Reihenfolge der Wärmeerzeuger</t>
  </si>
  <si>
    <t>Blatt "Standardwerte": AC108 - AC155: Reihenfolge-Nr angepasst</t>
  </si>
  <si>
    <t>Blatt "Nachweis": AE4-AG23. Neue Formeln zur Berechnung des maximalen Deckungsgrades</t>
  </si>
  <si>
    <t>Blatt "Nachweis": V8-W20. Neue Formeln zur Berechnung des maximalen Nutzungsgrades</t>
  </si>
  <si>
    <t>Blatt "Nachweis": F9,F10,J9,L9. Neue Formeln zur Berechnung des maximalen Deckungsgrades</t>
  </si>
  <si>
    <t>Blatt "Nachweis": F13,F14,J13,L13. Neue Formeln zur Berechnung des maximalen Deckungsgrades</t>
  </si>
  <si>
    <t>Blatt "Nachweis": F17,F18,J17,L17. Neue Formeln zur Berechnung des maximalen Deckungsgrades</t>
  </si>
  <si>
    <t>Blatt "Nachweis": F21,F22,J21,L21. Neue Formeln zur Berechnung des maximalen Deckungsgrades</t>
  </si>
  <si>
    <t>Strombedarf Kälteförderung + Hilfsenergie</t>
  </si>
  <si>
    <t>Fabb. di elettricità per il trasporto di freddo e per ausiliari</t>
  </si>
  <si>
    <t>Besoins d'électricité pour le transport du froid et pour les auxiliaires</t>
  </si>
  <si>
    <t>Blatt "Uebersetzung", E56-G56: neue Uebersetzungen</t>
  </si>
  <si>
    <t>In E43 zusätzlich die Hilfsenergie erwähnen.</t>
  </si>
  <si>
    <t>Verbundlüftung</t>
  </si>
  <si>
    <t>Grundlüftung</t>
  </si>
  <si>
    <t>O44</t>
  </si>
  <si>
    <t>O45</t>
  </si>
  <si>
    <t>Standard-Lüftungen</t>
  </si>
  <si>
    <t>spezifischer Strombedarf der Lüftung (oben, Standardwerte für Kleinanlagen mit AC-Motor)   /  Luftmenge/Einheit (unten)</t>
  </si>
  <si>
    <t>Enthalpie-WT</t>
  </si>
  <si>
    <t>Nachweis der baulichen Grundanforderungen muss eingehalten sein. Die sommerlichen Raumlufttemperaturen wurden gemäss SIA 382/1, Ziffer 4.5 berechnet.  Die Grenzwert- kurve gemäss SIA 180, Figur 4 wird ohne Kühlung an weniger als 100h überschritten.</t>
  </si>
  <si>
    <t>Devono essere rispettati i requisiti costruttivi secondo la verifica della protezione termica estiva . Le temperature  dell'aria interna, in estate, sono state calcolate secondo la norma SIA 382/1, paragrafo 4.5.  La curva dei valori limite secondo la norma SIA 180, figura 4, viene superata per meno di 100 ore all'anno senza raffreddamento.</t>
  </si>
  <si>
    <t>Par Local</t>
  </si>
  <si>
    <t>FOU/REP sans RC</t>
  </si>
  <si>
    <t>Blatt "Sommer", Logik T33 - W42 angepasst.</t>
  </si>
  <si>
    <t>Variante 2, Anforderungen an Komfortkriterien müssen zwingend immer erfüllt sein.</t>
  </si>
  <si>
    <t>Neue Wärmeerzeugungen "Abwärme aus Klimakälte / gewerbliche Kälte" freigeschaltet.</t>
  </si>
  <si>
    <t>Blatt "Standardwerte": Bereich "Erzeugung" bie Zeile 155 vergrössert.</t>
  </si>
  <si>
    <t>Blatt "MINERGIE": Auswahl in I72 mit n.a. auf N14 ergänzt</t>
  </si>
  <si>
    <t>Falls Objekt keine Parkplätze hat, darf n.a. bei der Anforderung Leerrohre gewählt werden.</t>
  </si>
  <si>
    <t>N° MOP: N° du projet sur la plateforme Minergie https://online.minergie.ch est attribué automatiquement à l'ouverture du projet (ex. 51234)</t>
  </si>
  <si>
    <t>Numero MOP: Il numero di progetto della piattaforma online Minergie https://online.minergie.ch ; viene assegnato automaticamente al momento dell'apertura progetto (es. 51234)</t>
  </si>
  <si>
    <t>MOP-Nr.: Projektnummer der Minergie-Online-Plattform https://online.minergie.ch ; wird bei Projekteröffnung automatisch zugeteilt (Bsp. 51234)</t>
  </si>
  <si>
    <t>Tagh
K7</t>
  </si>
  <si>
    <t>Valore di calcolo per acqua calda secondo SIA 380/1</t>
  </si>
  <si>
    <t>Valeur calculée pour l'eau chaude sanitaire selon SIA 380/1</t>
  </si>
  <si>
    <t>Rechenwert für Warmwasser nach SIA 380/1</t>
  </si>
  <si>
    <t>Tag
B18</t>
  </si>
  <si>
    <t>Donnée à saisir, au cas où l'eau chaude sanitaire serait justifiée d'après SIA 385.</t>
  </si>
  <si>
    <t>Eingabefeld, falls Warmwasser nach 385 nachgewiesen wird</t>
  </si>
  <si>
    <t>valore da inserire, se l’acqua calda è calcolata in base alla norma SIA 385</t>
  </si>
  <si>
    <t>Donnée indiquant si une robinetterie à économie d'eau est installée ou non. Au besoin, l'Office de certification peut exiger la documentation (bulletin de livraison, type, etc.).</t>
  </si>
  <si>
    <t xml:space="preserve">Angabe, ob effiziente Armaturen eingesetzt werden oder nicht. Erfüllt, wenn mindestens zwei Drittel der Entnahmearmaturen (mit Warmwasser) der Effizienzklasse A entsprechen. </t>
  </si>
  <si>
    <t>Specificare se è utilizzata rubinetteria efficiente o meno. La documentazione (bolla di consegna, tipo, ecc.) può essere richiesta dal Centro di certificazione.</t>
  </si>
  <si>
    <t>Indication si un système est utilisé pour la récupération de chaleur issue des eaux usées. Il faut reporter la valeur totale en % de la RC basée sur la quantité totale d'eau chaude.</t>
  </si>
  <si>
    <t>Angabe, ob ein System für die Wärmerückgewinnung aus dem Abwasser eingesetzt wird. Es ist der totale %-Wert der WRG bezogen auf die totale Warmwassermenge einzutragen.</t>
  </si>
  <si>
    <t>Indicazione se è previsto l’impiego di un sistema per il recupero di calore dall’acqua di scarico. Va inserito il valore % sulla totalità del RC, riferito alla quantità totale di acqua calda.</t>
  </si>
  <si>
    <t>Tag
B25</t>
  </si>
  <si>
    <t>Nombre d'unités d’habitation : Donnée obligatoire pour les bâtiments d'habitation. Le terme « unité d’habitation » est défini au chapitre 6.1.4.</t>
  </si>
  <si>
    <t>Anzahl Wohneinheiten: Bei Wohnbauten zwingend anzugeben. Die Definition der Wohnein-heiten ist im Kapitel 5.1.4 beschrieben.</t>
  </si>
  <si>
    <t>Numero unità abitative: dato obbligatorio per edifici abitativi. La definizione delle unità abitati-ve è descritta nel capitolo 6.1.4.</t>
  </si>
  <si>
    <t>Elettrodomestici: specificare se vengono utilizzati elettrodomestici con almeno la categoria di efficienza richiesta o meno. La prova può essere richiesta dal Centro di certificazione.</t>
  </si>
  <si>
    <t>Geräte: Angabe, ob Geräte von mindestens der vorgegebenen Effizienzkategorie eingesetzt werden oder nicht. Der Nachweis kann bei Bedarf von der Zertifizierungsstelle eingefordert werden.</t>
  </si>
  <si>
    <t>Appareils : Donnée indiquant si les appareils installés disposent de la classe d'efficacité exigée, au minimum. Au besoin, l'Office de certification peut exiger le justificatif.</t>
  </si>
  <si>
    <t>Tag
B34-B38</t>
  </si>
  <si>
    <t>Tag
B40</t>
  </si>
  <si>
    <t>Eclairage LED A++ &amp; régulation : Indication de l'utilisation ou non de l'éclairage général de la catégorie de rendement concernée.</t>
  </si>
  <si>
    <t>Beleuchtung LED A++ &amp; Regelung: Angabe, ob die Allgemeinbeleuchtung der entsprechen-den Effizienzkategorie eingesetzt wird oder nicht.</t>
  </si>
  <si>
    <t>Illuminazione LED A++ &amp; regolazione: dichiarazione se l’illuminazione generale corrisponde alla rispettiva classe di efficienza sì o no.</t>
  </si>
  <si>
    <t>Tag
B41</t>
  </si>
  <si>
    <t>Effiziente Geräte für Gebäudebetrieb und Wohnnutzung: Angabe, ob für Gebäudebetrieb und Wohnnutzung effiziente Geräte eingesetzt werden: fest installierte Elektroverbraucher, meist im Keller von Gebäuden: Heizungspumpen, Sicherheitsanlagen, Lifte, etc.
Hinweis: Grössere Strombezüger wie das Begleitheizband, der Frostschutz beim Lüftungsgerät usw. sind in diesem Punkt nicht vorhanden und müssen separat erfasst werden.</t>
  </si>
  <si>
    <t>Appareils efficaces pour l'exploitation des bâtiments et dans les appartements : Donnée indiquant si des appareils électriques à économie d'énergie équipent les installations techniques communes et les appartements : présence d'appareils électriques fixes, le plus souvent au sous-sol ; pompes ; installations de sécurité, ascenseurs etc.
Remarque: les gros consommateurs d'électricité comme le ruban chauffant électrique, la protection antigel de l'appareil de ventilation, etc. ne s'appliquent pas au présent point et doivent être saisis séparément.</t>
  </si>
  <si>
    <t>Tag
B44</t>
  </si>
  <si>
    <t>Beleuchtung: Umfassende Sanierung? Angabe bei Modernisierung, ob diese umfassend ist.</t>
  </si>
  <si>
    <t>Éclairage : rénovation complète ? Donnée indiquant s'il s'agit d'une rénovation complète.</t>
  </si>
  <si>
    <t>Illuminazione: risanamento globale? Dati sull’ammodernamento, se è globale.</t>
  </si>
  <si>
    <t>Beleuchtungsnachweis vorhanden: Angabe, ob der Nachweis mit oder ohne Beleuchtungs-nachweis erbracht wird. Wenn nein angewählt ist, wir der Standardwert für Beleuchtung mit 1.2 multipliziert. Bei Mieterausbau ist immer «nein» anzuwählen.</t>
  </si>
  <si>
    <t>Justificatif de l'éclairage disponible : Donnée indiquant si le justificatif comprend l'éclairage ou non. Si l'on sélectionne « non », la valeur par défaut pour l'éclairage est multipliée par 1,2. Sélectionnez toujours « non », pour les bâtiments locatifs.</t>
  </si>
  <si>
    <t xml:space="preserve">Verifica illuminazione prevista: dati, se la verifica necessita o no di una verifica dell’illuminazione. Se si è scelto “no” il valore standard per l’illuminazione viene moltiplicato per 1.2. Nel caso di edifici locativi bisogna sempre scegliere “no”. </t>
  </si>
  <si>
    <t>Leuchten: Minergie Modul oder Leuchten-Lichtausbeute &gt; 100 lm/W: Angabe, ob bei Zweckbauten Leuchten von mindestens der vorgegebenen Effizienzkategorie eingesetzt werden. Nur anwählbar bei Zweckbauten &lt;250m2. Der Nachweis kann bei Bedarf von der Zertifizierungsstelle eingefordert werden.</t>
  </si>
  <si>
    <t>Éclairage : Module Minergie ou éclairage &gt; 100 lm/W : Donnée indiquant si, pour les bâtiments tertiaires, les luminaires atteignent au minimum la classe d'efficacité exigée. A choix uniquement pour les bâtiments du tertiaire &lt;250m2. Au besoin, l'Office de certification peut exiger le justificatif.</t>
  </si>
  <si>
    <t>Tag
B47</t>
  </si>
  <si>
    <t>Tag
B48</t>
  </si>
  <si>
    <t>Lichtsteuerung: Angabe, ob bei Zweckbauten eine Lichtsteuerung mit Präsenz und/oder Ta-geslichtsensor eingesetzt wird. Nur anwählbar bei Zweckbauten &lt;250m2. Der Nachweis kann bei Bedarf von der Zertifizierungsstelle eingefordert werden.</t>
  </si>
  <si>
    <t>Éclairage automatique : Donnée indiquant si, pour les bâtiments du tertiaire, un éclairage avec détecteur de présence ou de lumière de jour est installé. A choix uniquement pour les bâtiments du tertiaire &lt;250m2. Au besoin, l'Office de certification peut exiger le justificatif.</t>
  </si>
  <si>
    <t>Regolazione illuminazione: dichiarare se per gli edifici funzionali è utilizzato un sistema di controllo dell’illuminazione e/o comprende sensori crepuscolari. Selezionabile solo per edifici funzionali &lt; 250m2 La prova può essere richiesta dal Centro di certificazione.</t>
  </si>
  <si>
    <t>Beleuchtung: Es ist der Mittelwert zwischen Grenz- und Zielwert nach SIA387/4 (ungewichtet) aus dem Berechnungstool zu übertragen. Bei Zweckbauten &gt;250m2 zwingend, bei &lt;250m2 zulässig.</t>
  </si>
  <si>
    <t>Éclairage : Il faut reporter la valeur moyenne (non pondérée) de l'outil de calcul selon SIA 387/4. Obligatoire pour les bâtiments du tertiaire &gt;250m2, autorisé pour les bâtiments du tertiaire &lt;250m2.</t>
  </si>
  <si>
    <t>Tag
B50</t>
  </si>
  <si>
    <t>Beleuchtung: Es ist der Projektwert (ungewichtet) aus dem Berechnungstool nach SIA387/4, zu übertragen. Bei Zweckbauten&gt;250m2 zwingend, bei &lt;250m2 zulässig</t>
  </si>
  <si>
    <t xml:space="preserve">Éclairage : Il faut reporter la valeur de projet (non pondérée) de l'outil de calcul selon SIA 387/4. Obligatoire pour les bâtiments du tertiaire &gt;250m2, autorisé pour les bâtiments du tertiaire &lt;250m2. </t>
  </si>
  <si>
    <t xml:space="preserve">Illuminazione: riportare il valore di progetto (non ponderato) calcolato con il tool SIA 387/4. Per edifici funzionali &gt; 250m2 obbligatorio, facoltativo per &lt; 250m2. </t>
  </si>
  <si>
    <t>Anforderung Beleuchtung eingehalten: Wird automatisch ausgefüllt.</t>
  </si>
  <si>
    <t>Exigence éclairage respectée ? Champ rempli automatiquement.</t>
  </si>
  <si>
    <t>Requisiti di illuminazione soddisfatti: viene compilato automaticamente.</t>
  </si>
  <si>
    <t>Tag
D48</t>
  </si>
  <si>
    <t>Tag
D49</t>
  </si>
  <si>
    <t>Tag
B55</t>
  </si>
  <si>
    <t>Tag
G53</t>
  </si>
  <si>
    <t>Spezifischer Jahresertrag: Aus dem PVopti (Blatt «Resultate, Feld M38)) bzw. aus dem PVGis zu übertragen. Falls keine Eingabe gemacht wird, wird mit 800kWh/kWp gerechnet.</t>
  </si>
  <si>
    <t>Rendement annuel spécifique : À reporter de PVopti : (cellule M38, Onglet « Résultats »), resp. de PVGis. Si aucune donnée n'est saisie, le calcul est effectué sur la base de la valeur par défaut (800 kWh/kWp).</t>
  </si>
  <si>
    <t>Apporto annuale specifico: ripreso dal PVopti (campo M38, foglio “Risultati”) o riprendere dal PVGis. Provvisoriamente il valore è fissato come predefinito a 800 kWh/kWp. Nel caso in cui non viene inserito nessun valore, i calcoli sono effettuati con 800kWh/kWp.</t>
  </si>
  <si>
    <t>Eigenverbrauchsrate: Aus dem PVopti (Blatt «Resultate», Feld M36) zu übertragen. Falls keine Eingabe gemacht wird, wird mit 20% gerechnet. Für EFH ist eine Formel hinterlegt, die die Eigenverbrauchsrate berechnet.</t>
  </si>
  <si>
    <t>Auto-consommation : À reporter depuis l'outil PVopti (Onglet « Résultats », cellule M36). Si aucune donnée n'est saisie, le calcul est effectué sur la base de la valeur par défaut (20%). Une formule qui calcule le taux de consommation propre a été définie pour les villas.</t>
  </si>
  <si>
    <t>Autoconsumo: quota da riprendere dal PVopti (campo M36, foglio “Risultati). Nel caso in cui non viene inserito nessun valore, i calcoli sono effettuati con il 20%. Nel caso di case mono-familiari è inserita una formula che calcola la quota di autoconsumo.</t>
  </si>
  <si>
    <t>Tag
B56</t>
  </si>
  <si>
    <t>Spezifische, installierte Leistung pro m2 EBF: Keine Eingabe nötig, wird automatisch berechnet.</t>
  </si>
  <si>
    <t>Puissance installée spécifique, par m2 SRE : Aucune donnée nécessaire ; calculée automatiquement.</t>
  </si>
  <si>
    <t>Potenza specifica installata per m2 AE: nessun valore richiesto; viene calcolato automaticamente.</t>
  </si>
  <si>
    <t>Tag
B57</t>
  </si>
  <si>
    <t xml:space="preserve">Minimale Grösse der Eigenstromerzeugung: Wird anhand der EBF automatisch berechnet. </t>
  </si>
  <si>
    <t xml:space="preserve">Taille minimale de l'installation de production d’électricité : Est automatiquement calculée sur la base de la SRE. </t>
  </si>
  <si>
    <t xml:space="preserve">Dimensione minima della propria produzione di elettricità: viene calcolato automaticamente sulla base della AE. </t>
  </si>
  <si>
    <t>Tag
B59</t>
  </si>
  <si>
    <t>Stromproduktion deckt Bedarf: Zeigt bei Projekten nach Minergie-A an, ob die Eigens-tromproduktion den Bedarf deckt.</t>
  </si>
  <si>
    <t>La production d'électricité couvre la demande : Indique si l’autoproduction d'électricité couvre la demande pour les projets certifiés Minergie-A.</t>
  </si>
  <si>
    <t>Produzione di elettricità copre il fabbisogno: indica nel caso di progetti Minergie-A, se la produzione propria di elettricità copre il fabbisogno.</t>
  </si>
  <si>
    <t>Tag
B63</t>
  </si>
  <si>
    <t xml:space="preserve">Luftdichtheit: Minergie: Angabe, ob Nachweis zum Luftdichtheitskonzept beiliegt. Minergie-P/-A: Angabe ob ein Messkonzept zur Luftdichtheit beiliegt, sofern dieses gefordert wird. </t>
  </si>
  <si>
    <t>Étanchéité à l’air : Indique si un justificatif sur le concept d'étanchéité existe. Minergie-P ou -A : Indique si un concept de mesures de l'étanchéité à l'air existe, le cas échéant.</t>
  </si>
  <si>
    <t xml:space="preserve">Ermeticità all’aria dell’involucro: Minergie: indicare se è allegato il concetto di ermeticità all’aria. Minergie-P/-A: indicare se è allegato il concetto di misurazione dell’ermeticità, qualora questo fosse richiesto. </t>
  </si>
  <si>
    <t>Tag
B66</t>
  </si>
  <si>
    <t>Tag
B67</t>
  </si>
  <si>
    <t>Warmwasser: Gilt für Kategorien Restaurants, Sportbauten und Hallenbäder. Mindestens 20% des Warmwasserbedarfs ist mit erneuerbaren Energien, zu decken.</t>
  </si>
  <si>
    <t>Eau chaude : Valable pour les catégories « Restauration », « Installations sportives » et « Piscines couvertes ». Au moins 20% des besoins en eau chaude sont couverts par des énergies renouvelables.</t>
  </si>
  <si>
    <t>Acqua calda: si applica alle categorie ristoranti, impianti sportivi e piscine. Almeno il 20% del fabbisogno di acqua calda deve essere prodotto con energia rinnovabile.</t>
  </si>
  <si>
    <t>Einsatz erneuerbarer Energien: Angabe, ob die Vorgabe von max. 30% fossile Spitzenlastab-deckung erfüllt wird.</t>
  </si>
  <si>
    <t>Recours aux énergies renouvelables : Donnée indiquant si le recours aux énergies fossiles ne dépasse pas le 30% autorisé.</t>
  </si>
  <si>
    <t>Impiego di energia rinnovabile: indicare se è soddisfatta la specifica costituita dal max. 30% di picco di energia derivante da combustibile fossile.</t>
  </si>
  <si>
    <t>Abwärme: Angabe, ob Abwärme anfällt oder nicht. Falls Abwärme anfällt, muss diese genutzt werden.</t>
  </si>
  <si>
    <t>Rejets de chaleur : Donnée indiquant s'il y a ou non des rejets de chaleur. Tout rejet de chaleur doit être utilisé.</t>
  </si>
  <si>
    <t>Calore residuo: indicare se viene generato calore residuo o no. In caso venga generato calore residuo, esso deve essere recuperato.</t>
  </si>
  <si>
    <t>Tag
B68</t>
  </si>
  <si>
    <t>Tag
B71</t>
  </si>
  <si>
    <t>Nutzung Abwärme: Nur relevant, wenn Abwärme anfällt. Falls Abwärme genutzt wird, Nach-weis beilegen wie die Nutzung vorgesehen ist.</t>
  </si>
  <si>
    <t>Exploitation des rejets de chaleur : Indication pertinente uniquement s'il y a des rejets de chaleur. Si les rejets de chaleur sont exploités, joindre un justificatif indiquant la manière dont ils le sont.</t>
  </si>
  <si>
    <t>Utilizzo del calore residuo: rilevante solo quando viene generato calore residuo. In caso venga utilizzato il calore residuo, è prevista una verifica per tale utilizzo.</t>
  </si>
  <si>
    <t>Monitoringkonzept: Angabe ob Monitoringkonzept vorliegt (nur für Gebäude &gt; 2'000 m2 und für alle Gebäude nach Standard Minergie-A).</t>
  </si>
  <si>
    <t>Concept de monitoring : Indication si un concept de monitoring existe (seulement pour les bâtiments &gt; 2'000 m2 et pour tous les bâtiments Minergie-A).</t>
  </si>
  <si>
    <t>Concetto di monitoraggio: indicare se esiste un concetto di monitoraggio (solo per edifici &gt;2’000 m2 e per tutti gli edifici secondo lo standard Minergie-A).</t>
  </si>
  <si>
    <t>Tag
B72</t>
  </si>
  <si>
    <t>Leerrohre Elektromobilität: Angabe, ob Leerrohre vorgesehen sind.</t>
  </si>
  <si>
    <t>Conduites vides pour la mobilité électrique : indique si des conduites vides sont prévues.</t>
  </si>
  <si>
    <t>Tubi elettrici vuoti per la mobilità elettrica: dichiarare se questi sono previsti.</t>
  </si>
  <si>
    <t>Sonnenschutz: Wahl des Sonnenschutztyps. Wenn „andere“ gewählt wird, ist der Typ, g-Wert und Produktebezeichnung anzugeben</t>
  </si>
  <si>
    <t>Protection solaire : Choix du type de protection solaire. Si l'option « autres » est sélectionnée, il faut indiquer le type de protection, la valeur g ainsi que la désignation du produit.</t>
  </si>
  <si>
    <t>Schermatura solare: scelta del tipo di protezione solare. Quando si seleziona "altro" è da indicare il tipo, il valore g e la descrizione di prodotto.</t>
  </si>
  <si>
    <t>Tag
B21-B29</t>
  </si>
  <si>
    <t>Kriterien: Angabe, ob die Räume in der Zone die Kriterien erfüllen.
Die maximale Glasflächenzahl ist abhängig von der Klimastation.</t>
  </si>
  <si>
    <t>Critères : Indiquent si les locaux de la zone satisfont aux critères.
L’indice de vitrage maximal dépend de la station climatique.</t>
  </si>
  <si>
    <t>Criteri: dichiarare se i locali della zona soddisfano i criteri.
La quota massima di superfice vetrata dipende dalla stazione climatica selezionata.</t>
  </si>
  <si>
    <t>Variante 2 Bauliche Anforderungen: Angabe, ob die Anforderungen an baulichen SoWS gemäss Nachweis SoWS Variante 2 (separates Dokument) erfüllt sind.</t>
  </si>
  <si>
    <t>Variante 2 Exigences constructives : Indication du respect ou non des exigences des critères relatives à la protection thermique estivale selon le justificatif, variante 2 (document séparé).</t>
  </si>
  <si>
    <t>Variante 2 Critères de confort : Indication du respect ou non des exigences des critères de confort selon le justificatif, variante 2 (document séparé).</t>
  </si>
  <si>
    <t xml:space="preserve">Variante 2 criteri di comfort: dichiarare se sono soddisfatti i criteri di comfort secondo Verifica Minergie SoWS Variante 2 (documento separato). </t>
  </si>
  <si>
    <t>Variante 2 Komfortkriterien: Angabe, ob die Komfortkriterien gemäss Nachweis SoWS Variante 2 (separates Dokument) erfüllt sind.</t>
  </si>
  <si>
    <t>Variante 3 SIA 180: Angabe, ob die Temperaturgrenzwerte nach SIA 180 ohne Kühlung nicht überschritten werden</t>
  </si>
  <si>
    <t>Variante 3 SIA 180: Indique si les valeurs limites de température selon SIA 180 ne sont pas dépassées sans refroidissement.</t>
  </si>
  <si>
    <t>Variante 3 SIA 180: dichiarare se il limite di temperatura secondo SIA 180, senza raffreddamento, non viene superato.</t>
  </si>
  <si>
    <t>Variante 3 Kühlung: Angabe, ob die geplante Kühlung ausreicht und der Energiebedarf berechnet wurde.</t>
  </si>
  <si>
    <t>Variante 3 Refroidissement : Indique si le refroidissement prévu est suffisant et si les besoins en énergie ont été calculés.</t>
  </si>
  <si>
    <t>Blätter "Eingaben", "MINERGIE", "Sommer": Diverse Erläuterungs-Tags ergänzt.</t>
  </si>
  <si>
    <t>Die Eingabefelder sollen mehrheitlich mit Info-Tags ergänzt werden.</t>
  </si>
  <si>
    <t>Anforderung 20% des Warmwassers erneuerbar wird gestrichen.</t>
  </si>
  <si>
    <t>Blatt "Standardwerte": AH8-AS8 alle Einträge gelöscht.</t>
  </si>
  <si>
    <t>EBF,alt+neu</t>
  </si>
  <si>
    <r>
      <t>Q</t>
    </r>
    <r>
      <rPr>
        <vertAlign val="subscript"/>
        <sz val="9"/>
        <rFont val="Arial"/>
        <family val="2"/>
      </rPr>
      <t xml:space="preserve">h,eff </t>
    </r>
    <r>
      <rPr>
        <sz val="9"/>
        <rFont val="Arial"/>
        <family val="2"/>
      </rPr>
      <t xml:space="preserve">= </t>
    </r>
  </si>
  <si>
    <t>Rechenwert nicht erneuerbarer Energie</t>
  </si>
  <si>
    <r>
      <t>Q</t>
    </r>
    <r>
      <rPr>
        <vertAlign val="subscript"/>
        <sz val="9"/>
        <rFont val="Arial"/>
        <family val="2"/>
      </rPr>
      <t xml:space="preserve">ww </t>
    </r>
    <r>
      <rPr>
        <sz val="9"/>
        <rFont val="Arial"/>
        <family val="2"/>
      </rPr>
      <t xml:space="preserve">= </t>
    </r>
  </si>
  <si>
    <r>
      <t>Q</t>
    </r>
    <r>
      <rPr>
        <vertAlign val="subscript"/>
        <sz val="9"/>
        <rFont val="Arial"/>
        <family val="2"/>
      </rPr>
      <t xml:space="preserve">ww,li </t>
    </r>
    <r>
      <rPr>
        <sz val="9"/>
        <rFont val="Arial"/>
        <family val="2"/>
      </rPr>
      <t xml:space="preserve">= </t>
    </r>
  </si>
  <si>
    <t>Sanierungsfaktor:</t>
  </si>
  <si>
    <r>
      <t>Q</t>
    </r>
    <r>
      <rPr>
        <vertAlign val="subscript"/>
        <sz val="9"/>
        <rFont val="Arial"/>
        <family val="2"/>
      </rPr>
      <t>h,li</t>
    </r>
  </si>
  <si>
    <r>
      <t>Q</t>
    </r>
    <r>
      <rPr>
        <vertAlign val="subscript"/>
        <sz val="9"/>
        <rFont val="Arial"/>
        <family val="2"/>
      </rPr>
      <t xml:space="preserve">h+ww,li </t>
    </r>
    <r>
      <rPr>
        <sz val="9"/>
        <rFont val="Arial"/>
        <family val="2"/>
      </rPr>
      <t xml:space="preserve">= </t>
    </r>
  </si>
  <si>
    <t>Zulässiger Höchstanteil nicht erneuerbarer Energie</t>
  </si>
  <si>
    <t>Höchstanteil an nich erneuerbarer Energie gilt neu bei Minergie auch für Bestandesbauten</t>
  </si>
  <si>
    <t>Blatt "MINERGIE": Text und Formeln in AC12 - AH37 angepasst</t>
  </si>
  <si>
    <t>Neue Standard-Lüftungsanlagen: Verbundlüftung und Grundlüftung eingeführt.</t>
  </si>
  <si>
    <t>Blatt "Standardwerte": neue Auswahl Standart-Lüftungen (zonenweise) Bereich P66-T79</t>
  </si>
  <si>
    <t>Blatt "Standardwerte": Auswahl-Tabellen im Bereich T22-AC45 angepasst.</t>
  </si>
  <si>
    <t>Blatt "Standardwerte": Pulldown-Auswertungsfelder im Bereich P34-S38 angepasst.</t>
  </si>
  <si>
    <t>Blatt "Eingaben", F31 - K31, Dropdowns angepasst</t>
  </si>
  <si>
    <t>Neue WRG-Art: Enthalpie-Wärmetauscher eingeführt</t>
  </si>
  <si>
    <t>Blatt "Eingaben", F34 - K34, Dropdowns angepasst. Zellen F81 - I88 angepasst</t>
  </si>
  <si>
    <t>Blatt "Standardwerte": Auswahl-Tabellen im Bereich T46 - X51 angepasst.</t>
  </si>
  <si>
    <t>Beleuchtung LED A++ &amp; Regelung, Zone1</t>
  </si>
  <si>
    <t>Beleuchtung LED A++ &amp; Regelung, Zone1 (0=leer / 1=Ja / 2=Nein)</t>
  </si>
  <si>
    <t>Beleuchtung LED A++ &amp; Regelung, Zone2</t>
  </si>
  <si>
    <t>Beleuchtung LED A++ &amp; Regelung, Zone2 (0=leer / 1=Ja / 2=Nein)</t>
  </si>
  <si>
    <t>Beleuchtung LED A++ &amp; Regelung, Zone3</t>
  </si>
  <si>
    <t>Beleuchtung LED A++ &amp; Regelung, Zone3 (0=leer / 1=Ja / 2=Nein)</t>
  </si>
  <si>
    <t>Beleuchtung LED A++ &amp; Regelung, Zone4</t>
  </si>
  <si>
    <t>Beleuchtung LED A++ &amp; Regelung, Zone4 (0=leer / 1=Ja / 2=Nein)</t>
  </si>
  <si>
    <t>Blatt "MOP", A35 - A38, neuer Bezug auf Eingabeblatt F19 - I19</t>
  </si>
  <si>
    <t>EBF auf Blatt MOP neu inkl. EBF Hallenbad</t>
  </si>
  <si>
    <t>Blatt "MOP", C231-C238, C291-C298, Text gelöscht. C299-C306, Text umbenennen.</t>
  </si>
  <si>
    <t>Anforderung Warmhaltung und Anforderung feste Wohnungsbeleuchtung von MOP gelöscht</t>
  </si>
  <si>
    <t>KategorieEFH</t>
  </si>
  <si>
    <t>gibt es in einer Zone eine EFH-Nutzung?</t>
  </si>
  <si>
    <t>Grösse Batterie</t>
  </si>
  <si>
    <t>Batterieverluste ausblenden</t>
  </si>
  <si>
    <t>Blatt "MINERGIE": I56 - K56 ausgeblendet, Wert auf Null gesetzt.</t>
  </si>
  <si>
    <t>Batterieverluste werden bereits im PVOpti berücksichtigt und sind keine Eingabe mehr</t>
  </si>
  <si>
    <t>Batteriegrösse nur noch bei EFH sichtbar, für alle übrigen Nutzungen eingabe in PVOpti</t>
  </si>
  <si>
    <t>Blatt "MINERGIE": G56 - H56 ausgeblendet und auf Null gesetzt, wenn keine EFH-Nutzung.</t>
  </si>
  <si>
    <t>Wärmeerzeugung 100%</t>
  </si>
  <si>
    <t>Blatt "Uebersicht", K29-K42, Überprüfungen, ob alle Eingaben erfolgt.</t>
  </si>
  <si>
    <t>Keine Erfüllungen mehr der Anforderungen bei fehlenden Eingaben</t>
  </si>
  <si>
    <t>Süd</t>
  </si>
  <si>
    <t>Alpen-Südseite:</t>
  </si>
  <si>
    <t>Alpin:</t>
  </si>
  <si>
    <t>Reduktion</t>
  </si>
  <si>
    <t>Einzellüftung</t>
  </si>
  <si>
    <t>alpin</t>
  </si>
  <si>
    <t>Reduktion WRG bei Einzelraumlüftungen, abhängig von WRG-Typ und Standort (Höhe)</t>
  </si>
  <si>
    <t>Blatt "Standardwerte", C200-D242, N61-S64, S35-S38 ergänzt und angepasst</t>
  </si>
  <si>
    <t>Blatt "Standardwerte", S61-S64 ergänzt und angepasst</t>
  </si>
  <si>
    <t>Reduktion WRG bei ERL mit konv. Plattentauscher im Tessin unter 800 m.ü.M.auf 0%</t>
  </si>
  <si>
    <t>&gt; 1'000 m3/h Abluft</t>
  </si>
  <si>
    <t>&gt; 1'000 m3/h d'air reprise</t>
  </si>
  <si>
    <t>&gt; 1'000 m3/h estrazione dell'aria</t>
  </si>
  <si>
    <t>F27 - I27</t>
  </si>
  <si>
    <t>Strombedarf Klimakälte fehlt</t>
  </si>
  <si>
    <t>L10,L14,L18,L22</t>
  </si>
  <si>
    <t>Electricité pour la climatisation manquante</t>
  </si>
  <si>
    <t>Fabb. elettricità raffreddamento mancante</t>
  </si>
  <si>
    <t>Enthalpie</t>
  </si>
  <si>
    <t>Vent. de transfert d’air</t>
  </si>
  <si>
    <t>Vent. de base</t>
  </si>
  <si>
    <t>Ventil. composito</t>
  </si>
  <si>
    <t>Ventil. di base</t>
  </si>
  <si>
    <t>Blatt "Nachweis", L10, L14, L18, L22, Fehlermeldung ergänzt</t>
  </si>
  <si>
    <t>Fehlermeldung bei Abwärmenutzung aus Klimakälte wenn kein Strombedarf Klima</t>
  </si>
  <si>
    <t>Blatt "Eingaben",B31, B34, Tag angepasst</t>
  </si>
  <si>
    <t>Erläuterungen Standardlüftungen Verbundlüftung, Grundlüftung und WT Enthalpie ergänzt</t>
  </si>
  <si>
    <t>Grundlüftung und Verbundlüftung wurden nicht in MOP übertragen. Behoben</t>
  </si>
  <si>
    <t>Blatt "MOP", A56-A62: Eingabebereich bis Standardwerte!T45 erweitert.</t>
  </si>
  <si>
    <t>Nenn-Luftvolumenstrom 1 ,  m3/h</t>
  </si>
  <si>
    <t>Nenn-Luftvolumenstrom 2 ,  m3/h</t>
  </si>
  <si>
    <t>Nenn-Luftvolumenstrom 3,   m3/h</t>
  </si>
  <si>
    <t>Nenn-Luftvolumenstrom 4 ,  m3/h</t>
  </si>
  <si>
    <t>Anzahl Wohneinheiten, Zone 1</t>
  </si>
  <si>
    <t>Anzahl Wohneinheiten, Zone 2</t>
  </si>
  <si>
    <t>Anzahl Wohneinheiten, Zone 3</t>
  </si>
  <si>
    <t>Anzahl Wohneinheiten, Zone 4</t>
  </si>
  <si>
    <t>Wärmerückgewinnung Abwasser, Zone 1</t>
  </si>
  <si>
    <t>Wärmerückgewinnung Abwasser, Zone 2</t>
  </si>
  <si>
    <t>Wärmerückgewinnung Abwasser, Zone 3</t>
  </si>
  <si>
    <t>Wärmerückgewinnung Abwasser, Zone 4</t>
  </si>
  <si>
    <t>Effiziente Geräte Gebäudebetrieb/Wohnnutzung, Zone 1</t>
  </si>
  <si>
    <t>Effiziente Geräte Gebäudebetrieb/Wohnnutzung, Zone 2</t>
  </si>
  <si>
    <t>Effiziente Geräte Gebäudebetrieb/Wohnnutzung, Zone 3</t>
  </si>
  <si>
    <t>Effiziente Geräte Gebäudebetrieb/Wohnnutzung, Zone 4</t>
  </si>
  <si>
    <t>Beleuchtung Mittelwert SIA, Zone 1, kWh/m2</t>
  </si>
  <si>
    <t>Beleuchtung Mittelwert SIA, Zone 4, kWh/m2</t>
  </si>
  <si>
    <t>Beleuchtung Mittelwert SIA, Zone 3, kWh/m2</t>
  </si>
  <si>
    <t>Beleuchtung Mittelwert SIA, Zone 2, kWh/m2</t>
  </si>
  <si>
    <t>Effiziente Geräte Gebäudebetrieb/Wohnnutzung, Zone 4  (0=leer / 1=Ja / 2=Nein)</t>
  </si>
  <si>
    <t>Effiziente Geräte Gebäudebetrieb/Wohnnutzung, Zone 3  (0=leer / 1=Ja / 2=Nein)</t>
  </si>
  <si>
    <t>Effiziente Geräte Gebäudebetrieb/Wohnnutzung, Zone 2  (0=leer / 1=Ja / 2=Nein)</t>
  </si>
  <si>
    <t>Effiziente Geräte Gebäudebetrieb/Wohnnutzung, Zone 1  (0=leer / 1=Ja / 2=Nein)</t>
  </si>
  <si>
    <t>Beleuchtungsnachweis vorhanden?  Zone 1  ( 0=leer / 1=Ja / 2=Nein)</t>
  </si>
  <si>
    <t>Beleuchtungsnachweis vorhanden?  Zone 4  ( 0=leer / 1=Ja / 2=Nein)</t>
  </si>
  <si>
    <t>Beleuchtungsnachweis vorhanden?  Zone 3  ( 0=leer / 1=Ja / 2=Nein)</t>
  </si>
  <si>
    <t>Beleuchtungsnachweis vorhanden?  Zone 3</t>
  </si>
  <si>
    <t xml:space="preserve">Beleuchtungsnachweis vorhanden?  Zone 4 </t>
  </si>
  <si>
    <t>Beleuchtungsnachweis vorhanden?  Zone 2  ( 0=leer / 1=Ja / 2=Nein)</t>
  </si>
  <si>
    <t>Beleuchtungsnachweis vorhanden?  Zone 2</t>
  </si>
  <si>
    <t>Beleuchtungsnachweis vorhanden?  Zone 1</t>
  </si>
  <si>
    <t>Konzept Luftdichtdichtheit beigelegt?</t>
  </si>
  <si>
    <t>Konzept Luftdichtdichtheit beigelegt?  ( 0=leer / 1=Ja / 2=Nein)</t>
  </si>
  <si>
    <t>Leerrohre Elektromobilität   ( 0=leer / 1=Ja / 2=Nein / 3=n.a.)</t>
  </si>
  <si>
    <t>Variante 2 Bauliche Anforderungen,  Zone 1</t>
  </si>
  <si>
    <t>Variante 2 Bauliche Anforderungen,  Zone 1  (0=leer / 1=Ja / 2=Nein)</t>
  </si>
  <si>
    <t>Variante 2 Bauliche Anforderungen,  Zone 4  (0=leer / 1=Ja / 2=Nein)</t>
  </si>
  <si>
    <t>Variante 2 Bauliche Anforderungen,  Zone 3  (0=leer / 1=Ja / 2=Nein)</t>
  </si>
  <si>
    <t>Variante 2 Bauliche Anforderungen,  Zone 2  (0=leer / 1=Ja / 2=Nein)</t>
  </si>
  <si>
    <t>Variante 2 Bauliche Anforderungen,  Zone 2</t>
  </si>
  <si>
    <t>Variante 2 Bauliche Anforderungen,  Zone 3</t>
  </si>
  <si>
    <t>Variante 2 Bauliche Anforderungen,  Zone 4</t>
  </si>
  <si>
    <t>Variante 2, Komfortkriterien, Zone 1</t>
  </si>
  <si>
    <t>Variante 2, Komfortkriterien, Zone 1  (0=leer / 1=Ja / 2=Nein)</t>
  </si>
  <si>
    <t>Variante 2, Komfortkriterien, Zone 2</t>
  </si>
  <si>
    <t>Variante 2, Komfortkriterien, Zone 2  (0=leer / 1=Ja / 2=Nein)</t>
  </si>
  <si>
    <t>Variante 2, Komfortkriterien, Zone 3</t>
  </si>
  <si>
    <t>Variante 2, Komfortkriterien, Zone 3  (0=leer / 1=Ja / 2=Nein)</t>
  </si>
  <si>
    <t>Variante 2, Komfortkriterien, Zone 4</t>
  </si>
  <si>
    <t>Variante 2, Komfortkriterien, Zone 4  (0=leer / 1=Ja / 2=Nein)</t>
  </si>
  <si>
    <t>Bemerkungen externer Nachweis</t>
  </si>
  <si>
    <t>Temperaturgrenzwerte SIA 180 in Zone 1 eingehalten?</t>
  </si>
  <si>
    <t>Temperaturgrenzwerte SIA 180 in Zone 1 eingehalten?   (0=leer / 1=Ja / 2=Nein)</t>
  </si>
  <si>
    <t>Temperaturgrenzwerte SIA 180 in Zone 2 eingehalten?</t>
  </si>
  <si>
    <t>Temperaturgrenzwerte SIA 180 in Zone 2 eingehalten?   (0=leer / 1=Ja / 2=Nein)</t>
  </si>
  <si>
    <t>Temperaturgrenzwerte SIA 180 in Zone 3 eingehalten?</t>
  </si>
  <si>
    <t>Temperaturgrenzwerte SIA 180 in Zone 3 eingehalten?   (0=leer / 1=Ja / 2=Nein)</t>
  </si>
  <si>
    <t>Temperaturgrenzwerte SIA 180 in Zone 4 eingehalten?</t>
  </si>
  <si>
    <t>Temperaturgrenzwerte SIA 180 in Zone 4 eingehalten?   (0=leer / 1=Ja / 2=Nein)</t>
  </si>
  <si>
    <t>Höchstanteil Fossiler Energie %  (Anforderung)</t>
  </si>
  <si>
    <t>Höchstanteil Fossiler Energie %  (Berechneter Wert)</t>
  </si>
  <si>
    <t>Höchstanteil Fossiler Energie: Grenzwert eingehalten?</t>
  </si>
  <si>
    <t>Höchstanteil Fossiler Energie: Grenzwert eingehalten?  (0=leer / 1=Ja / 2=Nein)</t>
  </si>
  <si>
    <t>Gebäudehöhe [m]</t>
  </si>
  <si>
    <t>Strom Wärme und Kälteförderung1</t>
  </si>
  <si>
    <t>Strom Wärme und Kälteförderung2</t>
  </si>
  <si>
    <t>Strom Wärme und Kälteförderung3</t>
  </si>
  <si>
    <t>Strom Wärme und Kälteförderung4</t>
  </si>
  <si>
    <t>Kleinanlagen mit Standardwerten 1</t>
  </si>
  <si>
    <t>Kleinanlagen mit Standardwerten 4</t>
  </si>
  <si>
    <t>Kleinanlagen mit Standardwerten 3</t>
  </si>
  <si>
    <t>Kleinanlagen mit Standardwerten 2</t>
  </si>
  <si>
    <t>Kleinanlagen mit Standardwerten 1, Auswahl-Nr.  (0: leer; 1: Ja; 2:Nein)</t>
  </si>
  <si>
    <t>Kleinanlagen mit Standardwerten 2, Auswahl-Nr.  (0: leer; 1: Ja; 2:Nein)</t>
  </si>
  <si>
    <t>Kleinanlagen mit Standardwerten 3, Auswahl-Nr.  (0: leer; 1: Ja; 2:Nein)</t>
  </si>
  <si>
    <t>Kleinanlagen mit Standardwerten 4, Auswahl-Nr.  (0: leer; 1: Ja; 2:Nein)</t>
  </si>
  <si>
    <t>Standard-Lüftungsanlagentyp 1 (nur wenn Standardlüftung1 = wahr)</t>
  </si>
  <si>
    <t>Standard-Lüftungsanlagentyp 2 (nur wenn Standardlüftung2 = wahr)</t>
  </si>
  <si>
    <t>Standard-Lüftungsanlagentyp 3 (nur wenn Standardlüftung3 = wahr)</t>
  </si>
  <si>
    <t>Standard-Lüftungsanlagentyp 4 (nur wenn Standardlüftung4 = wahr)</t>
  </si>
  <si>
    <t>Standard-Lüftungsanlagentyp 1, Auswahl-Nr.  (0: leer; 1: keine Lüftung; 2: Zu-/Abluft; 3: Lüftung+WRG; 4: Lüftung+WP; 5: nur Abluft; 6: Abluft-WP; 7: Einzelraumlüftung; 8: Aut Fensterl.; 9: Verbundlüftung; 10: Grundlüftung)</t>
  </si>
  <si>
    <t>Standard-Lüftungsanlagentyp 2, Auswahl-Nr.  (0: leer; 1: keine Lüftung; 2: Zu-/Abluft; 3: Lüftung+WRG; 4: Lüftung+WP; 5: nur Abluft; 6: Abluft-WP; 7: Einzelraumlüftung; 8: Aut Fensterl.; 9: Verbundlüftung; 10: Grundlüftung)</t>
  </si>
  <si>
    <t>Standard-Lüftungsanlagentyp 3, Auswahl-Nr.  (0: leer; 1: keine Lüftung; 2: Zu-/Abluft; 3: Lüftung+WRG; 4: Lüftung+WP; 5: nur Abluft; 6: Abluft-WP; 7: Einzelraumlüftung; 8: Aut Fensterl.; 9: Verbundlüftung; 10: Grundlüftung)</t>
  </si>
  <si>
    <t>Standard-Lüftungsanlagentyp 4, Auswahl-Nr.  (0: leer; 1: keine Lüftung; 2: Zu-/Abluft; 3: Lüftung+WRG; 4: Lüftung+WP; 5: nur Abluft; 6: Abluft-WP; 7: Einzelraumlüftung; 8: Aut Fensterl.; 9: Verbundlüftung; 10: Grundlüftung)</t>
  </si>
  <si>
    <t>Blatt "MOP", Zeile 631 bis 696 ergänzt</t>
  </si>
  <si>
    <t>Zusätzliche Werte in MOP übertragen</t>
  </si>
  <si>
    <t>Versions-Nummer  2020.2  erstellt</t>
  </si>
  <si>
    <t>Blatt "Uebersetzung", A2 auf 2 gesetzt.</t>
  </si>
  <si>
    <t>Wird die Ausbaustufe A gemäss SIA 2060 umgesetzt?</t>
  </si>
  <si>
    <t>Blatt "Uebersetzung", E544 - G544</t>
  </si>
  <si>
    <t>Anpassung Text zur Elektro-Mobilität</t>
  </si>
  <si>
    <t>Bei Minergie-A, Kat. Restaurant und Sportbau muss Warmwasser einbezogen werden.</t>
  </si>
  <si>
    <t>Blatt  "Standardwerte", D120, neuer Wert 27 statt 2</t>
  </si>
  <si>
    <t>Wetterstation Kt. Waadt neu Pully anstelle von Adelboden</t>
  </si>
  <si>
    <t>Blatt  "Standardwerte", AD151-AD153 und AD118 gelöscht</t>
  </si>
  <si>
    <t>Wärmeerzeugung Fernwärme: Bemerkung "Strom für Wärmepumpen ist doppelt zu gewichten"</t>
  </si>
  <si>
    <t>Umf. Sanierung ohne Nachweis</t>
  </si>
  <si>
    <t>Abfrage umfassende Sanierung Zweckbauten ohne Nachweis ergänzt</t>
  </si>
  <si>
    <t>Grenzwert bei umfassender Sanierung (ohne Nachweis) ohne Abzug der Standardbeleuchtung</t>
  </si>
  <si>
    <t>Blatt  "MINERGIE", N96 - R96, Zeile ergänzt</t>
  </si>
  <si>
    <t>Blatt  "MINERGIE", V41 - Y41, Formeln angepasst</t>
  </si>
  <si>
    <t>Blatt "Uebersetzung", Zeile 2 - 5, angepasst</t>
  </si>
  <si>
    <t>Versions-Nummer  V2.5, 2021.1, gültig bis 31. 12. 2021</t>
  </si>
  <si>
    <t>Bedarf WW</t>
  </si>
  <si>
    <t>C18</t>
  </si>
  <si>
    <t>MKZww (MinA, Rest. oder Sport)</t>
  </si>
  <si>
    <t>-Récupération de la chaleur des eaux usées en%</t>
  </si>
  <si>
    <t>Blatt  "Standardwerte", AN68-AO83, Standard-WW bei Minergie-A ergänzt und angepasst</t>
  </si>
  <si>
    <t>Blatt  "MINERGIE", C17 - D18, neue Eingabefelder für WW: Nutzungsgrad und Gewichtung WW-Produktion</t>
  </si>
  <si>
    <t>Blatt  "MINERGIE", M19-T19: Neue Formeln für MKZ WW bei Min-A für Restaurant und Sportbau</t>
  </si>
  <si>
    <t>Blatt  "MINERGIE", G59: Formeln ergänzt für PV-Bedarf für WW bei Min-A für Restaurant und Sportbau</t>
  </si>
  <si>
    <t>Blatt  "Uebersetzung" E248-G248: Gewichtung ergänzt</t>
  </si>
  <si>
    <t xml:space="preserve">Blatt  "MINERGIE", O18-R18, Formeln ergänzt </t>
  </si>
  <si>
    <r>
      <rPr>
        <sz val="9"/>
        <rFont val="Symbol"/>
        <family val="1"/>
        <charset val="2"/>
      </rPr>
      <t>D</t>
    </r>
    <r>
      <rPr>
        <sz val="9"/>
        <rFont val="Arial"/>
        <family val="2"/>
      </rPr>
      <t>MKZ</t>
    </r>
    <r>
      <rPr>
        <vertAlign val="subscript"/>
        <sz val="9"/>
        <rFont val="Arial"/>
        <family val="2"/>
      </rPr>
      <t>WW</t>
    </r>
  </si>
  <si>
    <t>Reduktion Grenzwert, wenn WW abgewählt wurde.</t>
  </si>
  <si>
    <t xml:space="preserve">Grenzwert MKZ,li,ZB wird bei Abwahl des Warmwassers und den Wärmebedarf WW reduziert </t>
  </si>
  <si>
    <t>Blatt  "MINERGIE", Q41 - AA43, Reduktion Grenzwert MKZ um WW-Bedarf, wenn WW abgewählt wurde.</t>
  </si>
  <si>
    <t>WW-Zuschlag</t>
  </si>
  <si>
    <t>WW-Zusatz Restaurant + Sportbau bei MinA</t>
  </si>
  <si>
    <t>Blatt  "Standardwerte", I110 - O110, WW-Zuschlag zu MKZ,li für Restaurant / Sportbau bei MinA</t>
  </si>
  <si>
    <t>Infiltration immer 0.15 m3/m2h, unabhängig von Art des Nachweises (auch MinP / MinA)</t>
  </si>
  <si>
    <t>Blatt  "Standardwerte", P51 fest auf 0.15 gesetzt.</t>
  </si>
  <si>
    <t>Le niveau d’installation A sera-t-elle mis en œuvre conformément à la SIA 2060?</t>
  </si>
  <si>
    <t>Übersetzung, dass Ausbaustufe A gemäss SIA 2060 umgesetzt wird.</t>
  </si>
  <si>
    <t>Blatt  "Uebersetzung" F544 und TAG B72, neue Übesetzung und Ergänzung TAG</t>
  </si>
  <si>
    <t>Il livello di equipaggiamento A sarà implementato in conformità alla SIA 2060?</t>
  </si>
  <si>
    <t>Blatt  "Uebersetzung" G544 und TAG B72, neue Übesetzung und Ergänzung TAG</t>
  </si>
  <si>
    <t>Effiziente Geräte für Gebäudebetrieb</t>
  </si>
  <si>
    <t>Gefrierschrank</t>
  </si>
  <si>
    <t>Waschmaschinen</t>
  </si>
  <si>
    <t>Wäschetrockner</t>
  </si>
  <si>
    <t>Induktionskochherde</t>
  </si>
  <si>
    <t>Beleuchtung LED</t>
  </si>
  <si>
    <t>Alle Geschirrspüler Klasse C, Zone1</t>
  </si>
  <si>
    <t>Alle Geschirrspüler Klasse C, Zone1  (0=leer / 1=Ja / 2=Nein)</t>
  </si>
  <si>
    <t>Alle Geschirrspüler Klasse C, Zone2</t>
  </si>
  <si>
    <t>Alle Geschirrspüler Klasse C, Zone2 (0=leer / 1=Ja / 2=Nein)</t>
  </si>
  <si>
    <t>Alle Geschirrspüler Klasse C, Zone3</t>
  </si>
  <si>
    <t>Alle Geschirrspüler Klasse C, Zone3  (0=leer / 1=Ja / 2=Nein)</t>
  </si>
  <si>
    <t>Alle Geschirrspüler Klasse C, Zone4</t>
  </si>
  <si>
    <t>Alle Geschirrspüler Klasse C, Zone4 (0=leer / 1=Ja / 2=Nein)</t>
  </si>
  <si>
    <t>Alle Kühlschränke Klasse D, Zone1</t>
  </si>
  <si>
    <t>Alle Kühlschränke Klasse D, Zone1  (0=leer / 1=Ja / 2=Nein)</t>
  </si>
  <si>
    <t>Alle Kühlschränke Klasse D, Zone2</t>
  </si>
  <si>
    <t>Alle Kühlschränke Klasse D, Zone2  (0=leer / 1=Ja / 2=Nein)</t>
  </si>
  <si>
    <t>Alle Kühlschränke Klasse D, Zone3</t>
  </si>
  <si>
    <t>Alle Kühlschränke Klasse D, Zone3  (0=leer / 1=Ja / 2=Nein)</t>
  </si>
  <si>
    <t>Alle Kühlschränke Klasse D, Zone4</t>
  </si>
  <si>
    <t>Alle Kühlschränke Klasse D, Zone4  (0=leer / 1=Ja / 2=Nein)</t>
  </si>
  <si>
    <t>Alle Waschmaschinen Klasse C, Zone1</t>
  </si>
  <si>
    <t>Alle Waschmaschinen Klasse C, Zone1  (0=leer / 1=Ja / 2=Nein)</t>
  </si>
  <si>
    <t>Alle Waschmaschinen Klasse C, Zone2</t>
  </si>
  <si>
    <t>Alle Waschmaschinen Klasse C, Zone2 (0=leer / 1=Ja / 2=Nein)</t>
  </si>
  <si>
    <t>Alle Waschmaschinen Klasse C, Zone3</t>
  </si>
  <si>
    <t>Alle Waschmaschinen Klasse C, Zone3 (0=leer / 1=Ja / 2=Nein)</t>
  </si>
  <si>
    <t>Alle Waschmaschinen Klasse C, Zone4</t>
  </si>
  <si>
    <t>Alle Waschmaschinen Klasse C, Zone4 (0=leer / 1=Ja / 2=Nein)</t>
  </si>
  <si>
    <t>Alle Gefrierschränke Klasse E, Zone1</t>
  </si>
  <si>
    <t>Alle Gefrierschränke Klasse E, Zone1  (0=leer / 1=Ja / 2=Nein)</t>
  </si>
  <si>
    <t>Alle Gefrierschränke Klasse E, Zone2</t>
  </si>
  <si>
    <t>Alle Gefrierschränke Klasse E, Zone2  (0=leer / 1=Ja / 2=Nein)</t>
  </si>
  <si>
    <t>Alle Gefrierschränke Klasse E, Zone3</t>
  </si>
  <si>
    <t>Alle Gefrierschränke Klasse E, Zone3  (0=leer / 1=Ja / 2=Nein)</t>
  </si>
  <si>
    <t>Alle Gefrierschränke Klasse E, Zone4</t>
  </si>
  <si>
    <t>Alle Gefrierschränke Klasse E, Zone4  (0=leer / 1=Ja / 2=Nein)</t>
  </si>
  <si>
    <t>Blatt "Uebersetzung", E367-G370, neue Gerätelabel</t>
  </si>
  <si>
    <t>Blatt "MINERGIE" Zeile 39 eingeblendet, neue Kategorie "Gefrierschränke" in Zeile 36</t>
  </si>
  <si>
    <t>Neue Kategorie "Gefrierschränke"</t>
  </si>
  <si>
    <t>Blatt "Standardwerte" X87-Y94, neue Werte eingesetzt</t>
  </si>
  <si>
    <t>Neue Abminderungsfaktoren gemäss angepasstem Reglement</t>
  </si>
  <si>
    <t>Neue Gerätelabel / Neue Kategorie Gefrierschränke</t>
  </si>
  <si>
    <t>Blatt "MOP", A267-A290, neue Verweise auf verschobene Gerätekategorien, A697-C704 neu</t>
  </si>
  <si>
    <t>Blatt "MINERGIE" , TAG B35-B39 angepasst</t>
  </si>
  <si>
    <t>Neue Gerätelabel / Neue Kategorie Gefrierschränke / Neue Erklärung zu Kühlschränken</t>
  </si>
  <si>
    <t>Neuer Rechenwert ist das Minimum vom Grenzwert Qh,li und effektivem Wert Qh,eff</t>
  </si>
  <si>
    <t>Blatt "MINERGIE" , AD34 - AG34, Formel für Höchstanteil fossile Energie angepasst wenn Qh,eff&gt;Qh,li</t>
  </si>
  <si>
    <t>Tous les congélateurs min. classe E</t>
  </si>
  <si>
    <t>Tutti i congelatori min. classe E</t>
  </si>
  <si>
    <t>Alle Gefrierschränke mind. Klasse E</t>
  </si>
  <si>
    <t>Alle Waschmaschinen mind. Klasse C</t>
  </si>
  <si>
    <t>Tous les lave-linge min. classe C</t>
  </si>
  <si>
    <t>Tutti le macchine da lavare min. classe C</t>
  </si>
  <si>
    <t>Appareils efficaces pour l’exploitation du bâtiment</t>
  </si>
  <si>
    <t>Apparecchi efficienti per l’esercizio dell’edificio</t>
  </si>
  <si>
    <t>Alle Geschirrspüler mind. Klasse C</t>
  </si>
  <si>
    <t>Tous les lave-vaiselle min. classe C</t>
  </si>
  <si>
    <t>Tutte le lavastoviglie min. classe C</t>
  </si>
  <si>
    <t>Alle Kühlschränke mind. Klasse D</t>
  </si>
  <si>
    <t>Tous les réfrigérateurs min. classe D</t>
  </si>
  <si>
    <t>Tutti i frigoriferi min. classe D</t>
  </si>
  <si>
    <t>Blatt "MINERGIE" , B34-B41, neue Tags eingefügt</t>
  </si>
  <si>
    <t>Neue Erklärungen zum Ausfüllen der Anforderungen an die Energieeffizienzklassen</t>
  </si>
  <si>
    <t>Blatt "Sommer" , O29 - W29, Bedingung MinergieA aus Formel entfernt</t>
  </si>
  <si>
    <t>Ausnahmeregelung für sommerllichen Wärmeschutz für Lager bei MinergieA entfernt</t>
  </si>
  <si>
    <t>Wetterstation Kt. Waadt neu Adelboden anstelle von Pully</t>
  </si>
  <si>
    <t>Zusatzangaben</t>
  </si>
  <si>
    <t>Benutzereingaben</t>
  </si>
  <si>
    <t>Erstellung</t>
  </si>
  <si>
    <t>Geschossfläche</t>
  </si>
  <si>
    <t>Bauweise</t>
  </si>
  <si>
    <t>Einsatz von CO2-angereichertem Beton</t>
  </si>
  <si>
    <t>Fensteranteil</t>
  </si>
  <si>
    <t>Deckenstärke</t>
  </si>
  <si>
    <t>UG-Gestaltung</t>
  </si>
  <si>
    <t>Tragstruktur</t>
  </si>
  <si>
    <t>Fundation</t>
  </si>
  <si>
    <t>Baugrube</t>
  </si>
  <si>
    <t>Eingriffstiefe Dach</t>
  </si>
  <si>
    <t>Eingriffstiefe Fassade</t>
  </si>
  <si>
    <t>Eingriffstiefe Ausbau</t>
  </si>
  <si>
    <t>Fensterersatz</t>
  </si>
  <si>
    <t>Eingriffstiefe Gebäudetechnik</t>
  </si>
  <si>
    <t>kein UG vorhanden</t>
  </si>
  <si>
    <t>UG kleiner als GGF</t>
  </si>
  <si>
    <t>UG vollständig innerhalb GGF</t>
  </si>
  <si>
    <t>UG teilweise ausserhalb GGF</t>
  </si>
  <si>
    <t>UG deutlich grösser als GGF oder zweistöckig</t>
  </si>
  <si>
    <t>schwerer Massivbau</t>
  </si>
  <si>
    <t>leichter Massivbau</t>
  </si>
  <si>
    <t>schwerer Holzbau</t>
  </si>
  <si>
    <t>leichter Holzbau</t>
  </si>
  <si>
    <t>Hybridbau</t>
  </si>
  <si>
    <t>Glasbau</t>
  </si>
  <si>
    <t>Stahlbau</t>
  </si>
  <si>
    <t>Flachfundation</t>
  </si>
  <si>
    <t>Mikrobohrpfahl</t>
  </si>
  <si>
    <t>Ortbetonpfahl</t>
  </si>
  <si>
    <t>Rüttelstopfsäule</t>
  </si>
  <si>
    <t>Vorgef. Betonpfahl</t>
  </si>
  <si>
    <t>Böschung</t>
  </si>
  <si>
    <t>Bohrpfahlwand</t>
  </si>
  <si>
    <t>Nagelwand</t>
  </si>
  <si>
    <t>Rühlwand</t>
  </si>
  <si>
    <t>Schlitzwand</t>
  </si>
  <si>
    <t>Spundwand</t>
  </si>
  <si>
    <t>geringe Spannweiten</t>
  </si>
  <si>
    <t>moderate Spannweiten</t>
  </si>
  <si>
    <t>mittlere Spannweiten</t>
  </si>
  <si>
    <t>erhöhte Spannweiten</t>
  </si>
  <si>
    <t>grosse Spannweiten</t>
  </si>
  <si>
    <t>Gespeicherter Kohlenstoff</t>
  </si>
  <si>
    <t>Treibhausgasemissionen (Betrieb)</t>
  </si>
  <si>
    <t>Treibhausgasemissionen</t>
  </si>
  <si>
    <t>Vollständige Sanierung der Gebäudetechnik</t>
  </si>
  <si>
    <t>Mehrheitliche Sanierung der Gebäudetechnik</t>
  </si>
  <si>
    <t>Teilweise Sanierung der Gebäudetechnik</t>
  </si>
  <si>
    <t>Geringfügige Sanierung der Gebäudetechnik</t>
  </si>
  <si>
    <t>keine Sanierung Gebäudetechnik</t>
  </si>
  <si>
    <t>keine Sanierung</t>
  </si>
  <si>
    <t>Pinsel-Sanierung geringer Umfang</t>
  </si>
  <si>
    <t>Teilweise Pinsel-Sanierung</t>
  </si>
  <si>
    <t>Mehrheitliche Pinsel-Sanierung</t>
  </si>
  <si>
    <t>Vollständige Pinsel-Sanierung</t>
  </si>
  <si>
    <t>Oberflächliche Sanierung geringer Umfang</t>
  </si>
  <si>
    <t>Teilweise oberflächliche Sanierung</t>
  </si>
  <si>
    <t>Mehrheitliche oberflächliche Sanierung</t>
  </si>
  <si>
    <t>Vollständige oberflächliche Sanierung</t>
  </si>
  <si>
    <t>Thermische Sanierung geringer Umfang</t>
  </si>
  <si>
    <t>Teilweise thermische Sanierung</t>
  </si>
  <si>
    <t>Mehrheitliche thermische Sanierung</t>
  </si>
  <si>
    <t>Vollständige thermische Sanierung</t>
  </si>
  <si>
    <t>Bauteilersatz geringer Umfang</t>
  </si>
  <si>
    <t>Teilweiser Bauteilersatz</t>
  </si>
  <si>
    <t>Mehrheitlicher Bauteilersatz</t>
  </si>
  <si>
    <t>Vollständiger Bauteilersatz</t>
  </si>
  <si>
    <t>Richtwert THGE Erstellung</t>
  </si>
  <si>
    <t>Visualisierung Treibhausgase in der Erstellung</t>
  </si>
  <si>
    <t>minimal</t>
  </si>
  <si>
    <t>eingelegte Haustechnik</t>
  </si>
  <si>
    <t>Zuordnung der Tabellenbezeichnungen zu Gebäudetyp und Bauweise Neubau</t>
  </si>
  <si>
    <t>Zuordnung der Tabellenbezeichnungen bez. Kompaktheit</t>
  </si>
  <si>
    <t>Oeko!$D$26:$M$64</t>
  </si>
  <si>
    <t>Oeko!$N$26:$W$64</t>
  </si>
  <si>
    <t>Oeko!$X$26:$AG$64</t>
  </si>
  <si>
    <t>Oeko!$AH$26:$AQ$64</t>
  </si>
  <si>
    <t>Oeko!$AR$26:$BA$64</t>
  </si>
  <si>
    <t>Oeko!$BB$26:$BK$64</t>
  </si>
  <si>
    <t>Oeko!$BL$26:$BU$64</t>
  </si>
  <si>
    <t>Oeko!$BV$26:$CE$64</t>
  </si>
  <si>
    <t>Oeko!$CF$26:$CO$64</t>
  </si>
  <si>
    <t>Oeko!$CP$26:$CY$64</t>
  </si>
  <si>
    <t>Oeko!$CZ$26:$DI$64</t>
  </si>
  <si>
    <t>Oeko!$DJ$26:$DS$64</t>
  </si>
  <si>
    <t>tab_kompaktheit_1</t>
  </si>
  <si>
    <t>tab_kompaktheit_2</t>
  </si>
  <si>
    <t>tab_kompaktheit_3</t>
  </si>
  <si>
    <t>tab_kompaktheit_4</t>
  </si>
  <si>
    <t>Oeko!$D$65:$M$103</t>
  </si>
  <si>
    <t>Oeko!$N$65:$W$103</t>
  </si>
  <si>
    <t>Oeko!$X$65:$AG$103</t>
  </si>
  <si>
    <t>Oeko!$AH$65:$AQ$103</t>
  </si>
  <si>
    <t>Oeko!$AR$65:$BA$103</t>
  </si>
  <si>
    <t>Oeko!$BB$65:$BK$103</t>
  </si>
  <si>
    <t>Oeko!$BL$65:$BU$103</t>
  </si>
  <si>
    <t>Oeko!$BV$65:$CE$103</t>
  </si>
  <si>
    <t>Oeko!$CF$65:$CO$103</t>
  </si>
  <si>
    <t>Oeko!$CP$65:$CY$103</t>
  </si>
  <si>
    <t>Oeko!$CZ$65:$DI$103</t>
  </si>
  <si>
    <t>Oeko!$DJ$65:$DS$103</t>
  </si>
  <si>
    <t>Oeko!$D$143:$M$181</t>
  </si>
  <si>
    <t>Oeko!$N$143:$W$181</t>
  </si>
  <si>
    <t>Oeko!$X$143:$AG$181</t>
  </si>
  <si>
    <t>Oeko!$AH$143:$AQ$181</t>
  </si>
  <si>
    <t>Oeko!$AR$143:$BA$181</t>
  </si>
  <si>
    <t>Oeko!$BB$143:$BK$181</t>
  </si>
  <si>
    <t>Oeko!$BL$143:$BU$181</t>
  </si>
  <si>
    <t>Oeko!$BV$143:$CE$181</t>
  </si>
  <si>
    <t>Oeko!$CF$143:$CO$181</t>
  </si>
  <si>
    <t>Oeko!$CP$143:$CY$181</t>
  </si>
  <si>
    <t>Oeko!$CZ$143:$DI$181</t>
  </si>
  <si>
    <t>Oeko!$DJ$143:$DS$181</t>
  </si>
  <si>
    <t>Faktor Deckeneinlagen</t>
  </si>
  <si>
    <t>Kompaktheit:</t>
  </si>
  <si>
    <t>Oeko!$D$182:$M$220</t>
  </si>
  <si>
    <t>Oeko!$N$182:$W$220</t>
  </si>
  <si>
    <t>Oeko!$X$182:$AG$220</t>
  </si>
  <si>
    <t>Oeko!$AH$182:$AQ$220</t>
  </si>
  <si>
    <t>Oeko!$AR$182:$BA$220</t>
  </si>
  <si>
    <t>Oeko!$BB$182:$BK$220</t>
  </si>
  <si>
    <t>Oeko!$BL$182:$BU$220</t>
  </si>
  <si>
    <t>Oeko!$BV$182:$CE$220</t>
  </si>
  <si>
    <t>Oeko!$CF$182:$CO$220</t>
  </si>
  <si>
    <t>Oeko!$CP$182:$CY$220</t>
  </si>
  <si>
    <t>Oeko!$CZ$182:$DI$220</t>
  </si>
  <si>
    <t>Oeko!$DJ$182:$DS$220</t>
  </si>
  <si>
    <t>EP,nren [kWh/kWp]</t>
  </si>
  <si>
    <t>MGHG [kg CO2eq/kWp]</t>
  </si>
  <si>
    <t>Lebensdauer PV [Jahre]</t>
  </si>
  <si>
    <t>EP,nren</t>
  </si>
  <si>
    <t>MGHG</t>
  </si>
  <si>
    <t>Zuordnung</t>
  </si>
  <si>
    <t>Basiswerte Graue Energie der Gebäudemodelle Neubau</t>
  </si>
  <si>
    <t>Oeko!$D$104:$M$142</t>
  </si>
  <si>
    <t>Oeko!$N$104:$W$142</t>
  </si>
  <si>
    <t>Oeko!$X$104:$AG$142</t>
  </si>
  <si>
    <t>Oeko!$AH$104:$AQ$142</t>
  </si>
  <si>
    <t>Oeko!$AR$104:$BA$142</t>
  </si>
  <si>
    <t>Oeko!$BB$104:$BK$142</t>
  </si>
  <si>
    <t>Oeko!$BL$104:$BU$142</t>
  </si>
  <si>
    <t>Oeko!$BV$104:$CE$142</t>
  </si>
  <si>
    <t>Oeko!$CF$104:$CO$142</t>
  </si>
  <si>
    <t>Oeko!$CP$104:$CY$142</t>
  </si>
  <si>
    <t>Oeko!$CZ$104:$DI$142</t>
  </si>
  <si>
    <t>Oeko!$DJ$104:$DS$142</t>
  </si>
  <si>
    <t>Steigung Kompaktheit gesamt</t>
  </si>
  <si>
    <t>Zuordnung:</t>
  </si>
  <si>
    <t>Keine Auswahl</t>
  </si>
  <si>
    <t>Gebäudetyp</t>
  </si>
  <si>
    <t>C Speicherung</t>
  </si>
  <si>
    <t>Oeko!$D$260:$M$298</t>
  </si>
  <si>
    <t>Oeko!$N$260:$W$298</t>
  </si>
  <si>
    <t>Oeko!$X$260:$AG$298</t>
  </si>
  <si>
    <t>Oeko!$AH$260:$AQ$298</t>
  </si>
  <si>
    <t>Oeko!$AR$260:$BA$298</t>
  </si>
  <si>
    <t>Oeko!$BB$260:$BK$298</t>
  </si>
  <si>
    <t>Oeko!$BL$260:$BU$298</t>
  </si>
  <si>
    <t>Oeko!$BV$260:$CE$298</t>
  </si>
  <si>
    <t>Oeko!$CF$260:$CO$298</t>
  </si>
  <si>
    <t>Oeko!$CP$260:$CY$298</t>
  </si>
  <si>
    <t>Oeko!$CZ$260:$DI$298</t>
  </si>
  <si>
    <t>Oeko!$DJ$260:$DS$298</t>
  </si>
  <si>
    <t>Spannweite</t>
  </si>
  <si>
    <t>Steigung Fensteranteil gesamt</t>
  </si>
  <si>
    <t xml:space="preserve">A/EBF = </t>
  </si>
  <si>
    <t>Oeko!$D$221:$M$259</t>
  </si>
  <si>
    <t>Oeko!$N$221:$W$259</t>
  </si>
  <si>
    <t>Oeko!$X$221:$AG$259</t>
  </si>
  <si>
    <t>Oeko!$AH$221:$AQ$259</t>
  </si>
  <si>
    <t>Oeko!$AR$221:$BA$259</t>
  </si>
  <si>
    <t>Oeko!$BB$221:$BK$259</t>
  </si>
  <si>
    <t>Oeko!$BL$221:$BU$259</t>
  </si>
  <si>
    <t>Oeko!$BV$221:$CE$259</t>
  </si>
  <si>
    <t>Oeko!$CF$221:$CO$259</t>
  </si>
  <si>
    <t>Oeko!$CP$221:$CY$259</t>
  </si>
  <si>
    <t>Oeko!$CZ$221:$DI$259</t>
  </si>
  <si>
    <t>Oeko!$DJ$221:$DS$259</t>
  </si>
  <si>
    <t>Kategorie0=</t>
  </si>
  <si>
    <t>Steigungsfaktor total</t>
  </si>
  <si>
    <t>Kompaktheit</t>
  </si>
  <si>
    <t>UG Gestaltung</t>
  </si>
  <si>
    <t>Baugrubensicherung</t>
  </si>
  <si>
    <t>Zuordnung der Tabellenbezeichnungen zu Gebäudetyp und Bauweise Neubau Kohlenstoffspeicherung</t>
  </si>
  <si>
    <t>Erdwärmesonde</t>
  </si>
  <si>
    <t>kein UG</t>
  </si>
  <si>
    <t>1a</t>
  </si>
  <si>
    <t>1b</t>
  </si>
  <si>
    <t>EP,nren [kWh/m]</t>
  </si>
  <si>
    <t>MGHG [kg CO2eq/m]</t>
  </si>
  <si>
    <t>Lebensdauer</t>
  </si>
  <si>
    <t>Oeko!$D$307:$H$345</t>
  </si>
  <si>
    <t>Oeko!$I$307:$M$345</t>
  </si>
  <si>
    <t>Oeko!$N$307:$R$345</t>
  </si>
  <si>
    <t>Oeko!$S$307:$W$345</t>
  </si>
  <si>
    <t>Oeko!$X$307:$AB$345</t>
  </si>
  <si>
    <t>Oeko!$AC$307:$AG$345</t>
  </si>
  <si>
    <t>Oeko!$AH$307:$AL$345</t>
  </si>
  <si>
    <t>Oeko!$AM$307:$AQ$345</t>
  </si>
  <si>
    <t>Oeko!$AR$307:$AV$345</t>
  </si>
  <si>
    <t>Oeko!$AW$307:$BA$345</t>
  </si>
  <si>
    <t>Oeko!$BB$307:$BF$345</t>
  </si>
  <si>
    <t>Oeko!$BG$307:$BK$345</t>
  </si>
  <si>
    <t>UG&lt;GGF</t>
  </si>
  <si>
    <t>2a</t>
  </si>
  <si>
    <t>2b</t>
  </si>
  <si>
    <t>Oeko!$D$346:$H$384</t>
  </si>
  <si>
    <t>Oeko!$I$346:$M$384</t>
  </si>
  <si>
    <t>Oeko!$N$346:$R$384</t>
  </si>
  <si>
    <t>Oeko!$S$346:$W$384</t>
  </si>
  <si>
    <t>Oeko!$X$346:$AB$384</t>
  </si>
  <si>
    <t>Oeko!$AC$346:$AG$384</t>
  </si>
  <si>
    <t>Oeko!$AH$346:$AL$384</t>
  </si>
  <si>
    <t>Oeko!$AM$346:$AQ$384</t>
  </si>
  <si>
    <t>Oeko!$AR$346:$AV$384</t>
  </si>
  <si>
    <t>Oeko!$AW$346:$BA$384</t>
  </si>
  <si>
    <t>Oeko!$BB$346:$BF$384</t>
  </si>
  <si>
    <t>Oeko!$BG$346:$BK$384</t>
  </si>
  <si>
    <t>UG≙GGF</t>
  </si>
  <si>
    <t>3a</t>
  </si>
  <si>
    <t>3b</t>
  </si>
  <si>
    <t>Oeko!$D$424:$H$462</t>
  </si>
  <si>
    <t>Oeko!$I$424:$M$462</t>
  </si>
  <si>
    <t>Oeko!$N$424:$R$462</t>
  </si>
  <si>
    <t>Oeko!$S$424:$W$462</t>
  </si>
  <si>
    <t>Oeko!$X$424:$AB$462</t>
  </si>
  <si>
    <t>Oeko!$AC$424:$AG$462</t>
  </si>
  <si>
    <t>Oeko!$AH$424:$AL$462</t>
  </si>
  <si>
    <t>Oeko!$AM$424:$AQ$462</t>
  </si>
  <si>
    <t>Oeko!$AR$424:$AV$462</t>
  </si>
  <si>
    <t>Oeko!$AW$424:$BA$462</t>
  </si>
  <si>
    <t>Oeko!$BB$424:$BF$462</t>
  </si>
  <si>
    <t>Oeko!$BG$424:$BK$462</t>
  </si>
  <si>
    <t>UG&gt;GGF</t>
  </si>
  <si>
    <t>4a</t>
  </si>
  <si>
    <t>4b</t>
  </si>
  <si>
    <t>Oeko!$D$463:$H$501</t>
  </si>
  <si>
    <t>Oeko!$I$463:$M$501</t>
  </si>
  <si>
    <t>Oeko!$N$463:$R$501</t>
  </si>
  <si>
    <t>Oeko!$S$463:$W$501</t>
  </si>
  <si>
    <t>Oeko!$X$463:$AB$501</t>
  </si>
  <si>
    <t>Oeko!$AC$463:$AG$501</t>
  </si>
  <si>
    <t>Oeko!$AH$463:$AL$501</t>
  </si>
  <si>
    <t>Oeko!$AM$463:$AQ$501</t>
  </si>
  <si>
    <t>Oeko!$AR$463:$AV$501</t>
  </si>
  <si>
    <t>Oeko!$AW$463:$BA$501</t>
  </si>
  <si>
    <t>Oeko!$BB$463:$BF$501</t>
  </si>
  <si>
    <t>Oeko!$BG$463:$BK$501</t>
  </si>
  <si>
    <t>UG&gt;&gt;GGF</t>
  </si>
  <si>
    <t>5a</t>
  </si>
  <si>
    <t>5b</t>
  </si>
  <si>
    <t>Oeko!$D$385:$H$423</t>
  </si>
  <si>
    <t>Oeko!$I$385:$M$423</t>
  </si>
  <si>
    <t>Oeko!$N$385:$R$423</t>
  </si>
  <si>
    <t>Oeko!$S$385:$W$423</t>
  </si>
  <si>
    <t>Oeko!$X$385:$AB$423</t>
  </si>
  <si>
    <t>Oeko!$AC$385:$AG$423</t>
  </si>
  <si>
    <t>Oeko!$AH$385:$AL$423</t>
  </si>
  <si>
    <t>Oeko!$AM$385:$AQ$423</t>
  </si>
  <si>
    <t>Oeko!$AR$385:$AV$423</t>
  </si>
  <si>
    <t>Oeko!$AW$385:$BA$423</t>
  </si>
  <si>
    <t>Oeko!$BB$385:$BF$423</t>
  </si>
  <si>
    <t>Oeko!$BG$385:$BK$423</t>
  </si>
  <si>
    <t>Oeko!$D$541:$H$579</t>
  </si>
  <si>
    <t>Oeko!$I$541:$M$579</t>
  </si>
  <si>
    <t>Oeko!$N$541:$R$579</t>
  </si>
  <si>
    <t>Oeko!$S$541:$W$579</t>
  </si>
  <si>
    <t>Oeko!$X$541:$AB$579</t>
  </si>
  <si>
    <t>Oeko!$AC$541:$AG$579</t>
  </si>
  <si>
    <t>Oeko!$AH$541:$AL$579</t>
  </si>
  <si>
    <t>Oeko!$AM$541:$AQ$579</t>
  </si>
  <si>
    <t>Oeko!$AR$541:$AV$579</t>
  </si>
  <si>
    <t>Oeko!$AW$541:$BA$579</t>
  </si>
  <si>
    <t>Oeko!$BB$541:$BF$579</t>
  </si>
  <si>
    <t>Oeko!$BG$541:$BK$579</t>
  </si>
  <si>
    <t>Oeko!$D$502:$H$540</t>
  </si>
  <si>
    <t>Oeko!$I$502:$M$540</t>
  </si>
  <si>
    <t>Oeko!$N$502:$R$540</t>
  </si>
  <si>
    <t>Oeko!$S$502:$W$540</t>
  </si>
  <si>
    <t>Oeko!$X$502:$AB$540</t>
  </si>
  <si>
    <t>Oeko!$AC$502:$AG$540</t>
  </si>
  <si>
    <t>Oeko!$AH$502:$AL$540</t>
  </si>
  <si>
    <t>Oeko!$AM$502:$AQ$540</t>
  </si>
  <si>
    <t>Oeko!$AR$502:$AV$540</t>
  </si>
  <si>
    <t>Oeko!$AW$502:$BA$540</t>
  </si>
  <si>
    <t>Oeko!$BB$502:$BF$540</t>
  </si>
  <si>
    <t>Oeko!$BG$502:$BK$540</t>
  </si>
  <si>
    <t>tab_bauweise_os_og</t>
  </si>
  <si>
    <t>tab_bauweise_os</t>
  </si>
  <si>
    <t>tab_bauweise</t>
  </si>
  <si>
    <t>Faktoren Neubau</t>
  </si>
  <si>
    <t>tab_bauweise1</t>
  </si>
  <si>
    <t>MFH, Verwaltung, Schule, Restaurant, Spital</t>
  </si>
  <si>
    <t>übrige</t>
  </si>
  <si>
    <t>Übrige</t>
  </si>
  <si>
    <t>Restaurant, Hallenbad</t>
  </si>
  <si>
    <t>Gebäudetyp →</t>
  </si>
  <si>
    <t>Spannweite →</t>
  </si>
  <si>
    <t>Bauweise ↓</t>
  </si>
  <si>
    <t>Variante</t>
  </si>
  <si>
    <t>Variante ↓</t>
  </si>
  <si>
    <t>Kompaktheit 0.5</t>
  </si>
  <si>
    <t>Kompaktheit 0.6</t>
  </si>
  <si>
    <t>Kompaktheit 0.7</t>
  </si>
  <si>
    <t>Kompaktheit 0.8</t>
  </si>
  <si>
    <t>Kompaktheit 0.9</t>
  </si>
  <si>
    <t>Kompaktheit 1</t>
  </si>
  <si>
    <t>Kompaktheit 1.2</t>
  </si>
  <si>
    <t>Kompaktheit 1.4</t>
  </si>
  <si>
    <t>Kompaktheit 1.6</t>
  </si>
  <si>
    <t>Kompaktheit 1.8</t>
  </si>
  <si>
    <t>Kompaktheit 2</t>
  </si>
  <si>
    <t>Kompaktheit 2.5</t>
  </si>
  <si>
    <t>Faktoren gesp Kohlenstoff(in dieser Matrix keine Daten rein kopieren)</t>
  </si>
  <si>
    <t>Die Daten müssen hier hinein kopiert werden</t>
  </si>
  <si>
    <t>Faktoren gesp Kohlenstoff (ohne CO2-angereicherten Beton)</t>
  </si>
  <si>
    <t>Faktoren gesp Kohlenstoff (mit CO2-angereicherten Beton)</t>
  </si>
  <si>
    <t>Minimale Kompaktheit</t>
  </si>
  <si>
    <t>mx_mfh_schwerer_massivbau</t>
  </si>
  <si>
    <t>mx_efh_schwerer_massivbau</t>
  </si>
  <si>
    <t>mx_verwaltung_schwerer_massivbau</t>
  </si>
  <si>
    <t>mx_schule_schwerer_massivbau</t>
  </si>
  <si>
    <t>mx_verkauf_schwerer_massivbau</t>
  </si>
  <si>
    <t>mx_restaurant_schwerer_massivbau</t>
  </si>
  <si>
    <t>mx_vers_schwerer_massivbau</t>
  </si>
  <si>
    <t>mx_spitaeler_schwerer_massivbau</t>
  </si>
  <si>
    <t>mx_industrie_schwerer_massivbau</t>
  </si>
  <si>
    <t>mx_lager_schwerer_massivbau</t>
  </si>
  <si>
    <t>mx_sportbau_schwerer_massivbau</t>
  </si>
  <si>
    <t>mx_hallenbad_schwerer_massivbau</t>
  </si>
  <si>
    <t>mx_mfh_c_schwerer_massivbau</t>
  </si>
  <si>
    <t>mx_efh_c_schwerer_massivbau</t>
  </si>
  <si>
    <t>mx_verwaltung_c_schwerer_massivbau</t>
  </si>
  <si>
    <t>mx_schule_c_schwerer_massivbau</t>
  </si>
  <si>
    <t>mx_verkauf_c_schwerer_massivbau</t>
  </si>
  <si>
    <t>mx_restaurant_c_schwerer_massivbau</t>
  </si>
  <si>
    <t>mx_vers_c_schwerer_massivbau</t>
  </si>
  <si>
    <t>mx_spitaeler_c_schwerer_massivbau</t>
  </si>
  <si>
    <t>mx_industrie_c_schwerer_massivbau</t>
  </si>
  <si>
    <t>mx_lager_c_schwerer_massivbau</t>
  </si>
  <si>
    <t>mx_sportbau_c_schwerer_massivbau</t>
  </si>
  <si>
    <t>mx_hallenbad_c_schwerer_massivbau</t>
  </si>
  <si>
    <t>mx_mfh_leichter_massivbau</t>
  </si>
  <si>
    <t>mx_efh_leichter_massivbau</t>
  </si>
  <si>
    <t>mx_verwaltung_leichter_massivbau</t>
  </si>
  <si>
    <t>mx_schule_leichter_massivbau</t>
  </si>
  <si>
    <t>mx_verkauf_leichter_massivbau</t>
  </si>
  <si>
    <t>mx_restaurant_leichter_massivbau</t>
  </si>
  <si>
    <t>mx_vers_leichter_massivbau</t>
  </si>
  <si>
    <t>mx_spitaeler_leichter_massivbau</t>
  </si>
  <si>
    <t>mx_industrie_leichter_massivbau</t>
  </si>
  <si>
    <t>mx_lager_leichter_massivbau</t>
  </si>
  <si>
    <t>mx_sportbau_leichter_massivbau</t>
  </si>
  <si>
    <t>mx_hallenbad_leichter_massivbau</t>
  </si>
  <si>
    <t>mx_mfh_c_leichter_massivbau</t>
  </si>
  <si>
    <t>mx_efh_c_leichter_massivbau</t>
  </si>
  <si>
    <t>mx_verwaltung_c_leichter_massivbau</t>
  </si>
  <si>
    <t>mx_schule_c_leichter_massivbau</t>
  </si>
  <si>
    <t>mx_verkauf_c_leichter_massivbau</t>
  </si>
  <si>
    <t>mx_restaurant_c_leichter_massivbau</t>
  </si>
  <si>
    <t>mx_vers_c_leichter_massivbau</t>
  </si>
  <si>
    <t>mx_spitaeler_c_leichter_massivbau</t>
  </si>
  <si>
    <t>mx_industrie_c_leichter_massivbau</t>
  </si>
  <si>
    <t>mx_lager_c_leichter_massivbau</t>
  </si>
  <si>
    <t>mx_sportbau_c_leichter_massivbau</t>
  </si>
  <si>
    <t>mx_hallenbad_c_leichter_massivbau</t>
  </si>
  <si>
    <t>mx_mfh_schwerer_holzbau</t>
  </si>
  <si>
    <t>mx_efh_schwerer_holzbau</t>
  </si>
  <si>
    <t>mx_verwaltung_schwerer_holzbau</t>
  </si>
  <si>
    <t>mx_schule_schwerer_holzbau</t>
  </si>
  <si>
    <t>mx_verkauf_schwerer_holzbau</t>
  </si>
  <si>
    <t>mx_restaurant_schwerer_holzbau</t>
  </si>
  <si>
    <t>mx_vers_schwerer_holzbau</t>
  </si>
  <si>
    <t>mx_spitaeler_schwerer_holzbau</t>
  </si>
  <si>
    <t>mx_industrie_schwerer_holzbau</t>
  </si>
  <si>
    <t>mx_lager_schwerer_holzbau</t>
  </si>
  <si>
    <t>mx_sportbau_schwerer_holzbau</t>
  </si>
  <si>
    <t>mx_hallenbad_schwerer_holzbau</t>
  </si>
  <si>
    <t>mx_mfh_c_schwerer_holzbau</t>
  </si>
  <si>
    <t>mx_efh_c_schwerer_holzbau</t>
  </si>
  <si>
    <t>mx_verwaltung_c_schwerer_holzbau</t>
  </si>
  <si>
    <t>mx_schule_c_schwerer_holzbau</t>
  </si>
  <si>
    <t>mx_verkauf_c_schwerer_holzbau</t>
  </si>
  <si>
    <t>mx_restaurant_c_schwerer_holzbau</t>
  </si>
  <si>
    <t>mx_vers_c_schwerer_holzbau</t>
  </si>
  <si>
    <t>mx_spitaeler_c_schwerer_holzbau</t>
  </si>
  <si>
    <t>mx_industrie_c_schwerer_holzbau</t>
  </si>
  <si>
    <t>mx_lager_c_schwerer_holzbau</t>
  </si>
  <si>
    <t>mx_sportbau_c_schwerer_holzbau</t>
  </si>
  <si>
    <t>mx_hallenbad_c_schwerer_holzbau</t>
  </si>
  <si>
    <t>mx_mfh_leichter_holzbau</t>
  </si>
  <si>
    <t>mx_efh_leichter_holzbau</t>
  </si>
  <si>
    <t>mx_verwaltung_leichter_holzbau</t>
  </si>
  <si>
    <t>mx_schule_leichter_holzbau</t>
  </si>
  <si>
    <t>mx_verkauf_leichter_holzbau</t>
  </si>
  <si>
    <t>mx_restaurant_leichter_holzbau</t>
  </si>
  <si>
    <t>mx_vers_leichter_holzbau</t>
  </si>
  <si>
    <t>mx_spitaeler_leichter_holzbau</t>
  </si>
  <si>
    <t>mx_industrie_leichter_holzbau</t>
  </si>
  <si>
    <t>mx_lager_leichter_holzbau</t>
  </si>
  <si>
    <t>mx_sportbau_leichter_holzbau</t>
  </si>
  <si>
    <t>mx_hallenbad_leichter_holzbau</t>
  </si>
  <si>
    <t>mx_mfh_c_leichter_holzbau</t>
  </si>
  <si>
    <t>mx_efh_c_leichter_holzbau</t>
  </si>
  <si>
    <t>mx_verwaltung_c_leichter_holzbau</t>
  </si>
  <si>
    <t>mx_schule_c_leichter_holzbau</t>
  </si>
  <si>
    <t>mx_verkauf_c_leichter_holzbau</t>
  </si>
  <si>
    <t>mx_restaurant_c_leichter_holzbau</t>
  </si>
  <si>
    <t>mx_vers_c_leichter_holzbau</t>
  </si>
  <si>
    <t>mx_spitaeler_c_leichter_holzbau</t>
  </si>
  <si>
    <t>mx_industrie_c_leichter_holzbau</t>
  </si>
  <si>
    <t>mx_lager_c_leichter_holzbau</t>
  </si>
  <si>
    <t>mx_sportbau_c_leichter_holzbau</t>
  </si>
  <si>
    <t>mx_hallenbad_c_leichter_holzbau</t>
  </si>
  <si>
    <t>mx_mfh_hybridbau</t>
  </si>
  <si>
    <t>mx_efh_hybridbau</t>
  </si>
  <si>
    <t>mx_verwaltung_hybridbau</t>
  </si>
  <si>
    <t>mx_schule_hybridbau</t>
  </si>
  <si>
    <t>mx_verkauf_hybridbau</t>
  </si>
  <si>
    <t>mx_restaurant_hybridbau</t>
  </si>
  <si>
    <t>mx_vers_hybridbau</t>
  </si>
  <si>
    <t>mx_spitaeler_hybridbau</t>
  </si>
  <si>
    <t>mx_industrie_hybridbau</t>
  </si>
  <si>
    <t>mx_lager_hybridbau</t>
  </si>
  <si>
    <t>mx_sportbau_hybridbau</t>
  </si>
  <si>
    <t>mx_hallenbad_hybridbau</t>
  </si>
  <si>
    <t>mx_mfh_c_hybridbau</t>
  </si>
  <si>
    <t>mx_efh_c_hybridbau</t>
  </si>
  <si>
    <t>mx_verwaltung_c_hybridbau</t>
  </si>
  <si>
    <t>mx_schule_c_hybridbau</t>
  </si>
  <si>
    <t>mx_verkauf_c_hybridbau</t>
  </si>
  <si>
    <t>mx_restaurant_c_hybridbau</t>
  </si>
  <si>
    <t>mx_vers_c_hybridbau</t>
  </si>
  <si>
    <t>mx_spitaeler_c_hybridbau</t>
  </si>
  <si>
    <t>mx_industrie_c_hybridbau</t>
  </si>
  <si>
    <t>mx_lager_c_hybridbau</t>
  </si>
  <si>
    <t>mx_sportbau_c_hybridbau</t>
  </si>
  <si>
    <t>mx_hallenbad_c_hybridbau</t>
  </si>
  <si>
    <t>mx_mfh_glasbau</t>
  </si>
  <si>
    <t>mx_efh_glasbau</t>
  </si>
  <si>
    <t>mx_verwaltung_glasbau</t>
  </si>
  <si>
    <t>mx_schule_glasbau</t>
  </si>
  <si>
    <t>mx_verkauf_glasbau</t>
  </si>
  <si>
    <t>mx_restaurant_glasbau</t>
  </si>
  <si>
    <t>mx_vers_glasbau</t>
  </si>
  <si>
    <t>mx_spitaeler_glasbau</t>
  </si>
  <si>
    <t>mx_industrie_glasbau</t>
  </si>
  <si>
    <t>mx_lager_glasbau</t>
  </si>
  <si>
    <t>mx_sportbau_glasbau</t>
  </si>
  <si>
    <t>mx_hallenbad_glasbau</t>
  </si>
  <si>
    <t>mx_mfh_c_glasbau</t>
  </si>
  <si>
    <t>mx_efh_c_glasbau</t>
  </si>
  <si>
    <t>mx_verwaltung_c_glasbau</t>
  </si>
  <si>
    <t>mx_schule_c_glasbau</t>
  </si>
  <si>
    <t>mx_verkauf_c_glasbau</t>
  </si>
  <si>
    <t>mx_restaurant_c_glasbau</t>
  </si>
  <si>
    <t>mx_vers_c_glasbau</t>
  </si>
  <si>
    <t>mx_spitaeler_c_glasbau</t>
  </si>
  <si>
    <t>mx_industrie_c_glasbau</t>
  </si>
  <si>
    <t>mx_lager_c_glasbau</t>
  </si>
  <si>
    <t>mx_sportbau_c_glasbau</t>
  </si>
  <si>
    <t>mx_hallenbad_c_glasbau</t>
  </si>
  <si>
    <t>mx_mfh_stahlbau</t>
  </si>
  <si>
    <t>mx_efh_stahlbau</t>
  </si>
  <si>
    <t>mx_verwaltung_stahlbau</t>
  </si>
  <si>
    <t>mx_schule_stahlbau</t>
  </si>
  <si>
    <t>mx_verkauf_stahlbau</t>
  </si>
  <si>
    <t>mx_restaurant_stahlbau</t>
  </si>
  <si>
    <t>mx_vers_stahlbau</t>
  </si>
  <si>
    <t>mx_spitaeler_stahlbau</t>
  </si>
  <si>
    <t>mx_industrie_stahlbau</t>
  </si>
  <si>
    <t>mx_lager_stahlbau</t>
  </si>
  <si>
    <t>mx_sportbau_stahlbau</t>
  </si>
  <si>
    <t>mx_hallenbad_stahlbau</t>
  </si>
  <si>
    <t>mx_mfh_c_stahlbau</t>
  </si>
  <si>
    <t>mx_efh_c_stahlbau</t>
  </si>
  <si>
    <t>mx_verwaltung_c_stahlbau</t>
  </si>
  <si>
    <t>mx_schule_c_stahlbau</t>
  </si>
  <si>
    <t>mx_verkauf_c_stahlbau</t>
  </si>
  <si>
    <t>mx_restaurant_c_stahlbau</t>
  </si>
  <si>
    <t>mx_vers_c_stahlbau</t>
  </si>
  <si>
    <t>mx_spitaeler_c_stahlbau</t>
  </si>
  <si>
    <t>mx_industrie_c_stahlbau</t>
  </si>
  <si>
    <t>mx_lager_c_stahlbau</t>
  </si>
  <si>
    <t>mx_sportbau_c_stahlbau</t>
  </si>
  <si>
    <t>mx_hallenbad_c_stahlbau</t>
  </si>
  <si>
    <t>Tabelle 6 Heizgradtage 20/12 aus SIA2028</t>
  </si>
  <si>
    <t>Heizgradtage</t>
  </si>
  <si>
    <t>Standardleistung PV</t>
  </si>
  <si>
    <t>Max. Leistung Modul</t>
  </si>
  <si>
    <t>W</t>
  </si>
  <si>
    <t>Fläche Modul</t>
  </si>
  <si>
    <t>Leistung/m2</t>
  </si>
  <si>
    <t>Fläche  PV/kW</t>
  </si>
  <si>
    <t>Grenzwerte Neubau</t>
  </si>
  <si>
    <t>Neubau in MJ/m2a</t>
  </si>
  <si>
    <t>Basisgrenzwerte ECO Neubauten GE</t>
  </si>
  <si>
    <t>GE GW1</t>
  </si>
  <si>
    <t>GE GW2</t>
  </si>
  <si>
    <t>MxEcoGWPE_N</t>
  </si>
  <si>
    <t>Neubau in kg CO2/m2a</t>
  </si>
  <si>
    <t>Basisgrenzwerte ECO Neubauten THGE</t>
  </si>
  <si>
    <t>THGE GW1</t>
  </si>
  <si>
    <t>THGE GW2</t>
  </si>
  <si>
    <t>MxEcoGWTH_N</t>
  </si>
  <si>
    <t>Analog SIA 2040</t>
  </si>
  <si>
    <t>Steigerungswerte für Haustechnik</t>
  </si>
  <si>
    <t>Bezeichnung</t>
  </si>
  <si>
    <t>Werte</t>
  </si>
  <si>
    <t>GWPEpv</t>
  </si>
  <si>
    <t>PV Kollektoren PE</t>
  </si>
  <si>
    <t>GWPEthermie</t>
  </si>
  <si>
    <t>Thermische Kollektoren PE</t>
  </si>
  <si>
    <t>GWPEerdsonde1</t>
  </si>
  <si>
    <t>Erdsonden MuKEn/Minergie PE</t>
  </si>
  <si>
    <t>MJ/m2 EBF</t>
  </si>
  <si>
    <t>GWPEerdsonde2</t>
  </si>
  <si>
    <t>Erdsonden Minergie-P/-A PE</t>
  </si>
  <si>
    <t>GWTHpv</t>
  </si>
  <si>
    <t>PV Kollektoren THGE</t>
  </si>
  <si>
    <t>kg CO2/m2</t>
  </si>
  <si>
    <t>GWTHthermie</t>
  </si>
  <si>
    <t>Thermische Kollektoren THGE</t>
  </si>
  <si>
    <t>GWTHerdsonde1</t>
  </si>
  <si>
    <t>Erdsonden MuKEn/Minergie THGE</t>
  </si>
  <si>
    <t>kg CO2/m2 EBF</t>
  </si>
  <si>
    <t>GWTHerdsonde2</t>
  </si>
  <si>
    <t>Erdsonden Minergie-P/-A THGE</t>
  </si>
  <si>
    <t>Steigerungswerte für unbeheizte Geschossflächen</t>
  </si>
  <si>
    <t>MJ/m2 bzw. kg CO2/m2</t>
  </si>
  <si>
    <t>GWPE1unbeh</t>
  </si>
  <si>
    <t>GW1 PE GF Unbeheizt</t>
  </si>
  <si>
    <t>GWPE2unbeh</t>
  </si>
  <si>
    <t>GW2 PE GF Unbeheizt</t>
  </si>
  <si>
    <t>GWTH1unbeh</t>
  </si>
  <si>
    <t>GW1 THGE GF Unbeheizt</t>
  </si>
  <si>
    <t>GWTH2unbeh</t>
  </si>
  <si>
    <t>GW2 THGE GF Unbeheizt</t>
  </si>
  <si>
    <t>Umrechnungs- und Zuschlagsfaktoren</t>
  </si>
  <si>
    <t>Faktor MEP</t>
  </si>
  <si>
    <t>Zuschlagsfaktor für Bauteile Minergie-P</t>
  </si>
  <si>
    <t>FaktorMEP_WE</t>
  </si>
  <si>
    <t>Abminderungsfaktor für Wärmeerzeugung Minergie-P</t>
  </si>
  <si>
    <t>FaktorPE_TH_SNBS</t>
  </si>
  <si>
    <t>Umrechnungsfaktor kWh PE zu kg CO2</t>
  </si>
  <si>
    <t>FaktorPE_TH_ECO_N</t>
  </si>
  <si>
    <t>Umrechnungsfaktor MJ PE zu kg CO2 für ME-ECO Neubauten</t>
  </si>
  <si>
    <t>FaktorPE_TH_ECO_M</t>
  </si>
  <si>
    <t>Umrechnungsfaktor MJ PE zu kg CO2 für ME-ECO Modernisierung</t>
  </si>
  <si>
    <t>FaktorSondenME</t>
  </si>
  <si>
    <t>Umrechnungsfaktor EBF zu Sondenlänge, Annahmen 25W/m2 Heizleistung, 35 W/m Sonde</t>
  </si>
  <si>
    <t>Neubau C-Speicherung</t>
  </si>
  <si>
    <t>Benötigte Fläche PV-Anlage</t>
  </si>
  <si>
    <r>
      <t>kWh/m</t>
    </r>
    <r>
      <rPr>
        <vertAlign val="superscript"/>
        <sz val="8"/>
        <rFont val="Arial"/>
        <family val="2"/>
      </rPr>
      <t>2</t>
    </r>
    <r>
      <rPr>
        <sz val="8"/>
        <rFont val="Arial"/>
        <family val="2"/>
      </rPr>
      <t>a</t>
    </r>
  </si>
  <si>
    <r>
      <t>kg/m</t>
    </r>
    <r>
      <rPr>
        <vertAlign val="superscript"/>
        <sz val="8"/>
        <rFont val="Arial"/>
        <family val="2"/>
      </rPr>
      <t>2</t>
    </r>
    <r>
      <rPr>
        <sz val="8"/>
        <rFont val="Arial"/>
        <family val="2"/>
      </rPr>
      <t>a</t>
    </r>
  </si>
  <si>
    <t>Minergie-Standard</t>
  </si>
  <si>
    <t>Basiswert</t>
  </si>
  <si>
    <t>Umrechnungsfaktor</t>
  </si>
  <si>
    <t>AE</t>
  </si>
  <si>
    <r>
      <t>m</t>
    </r>
    <r>
      <rPr>
        <vertAlign val="superscript"/>
        <sz val="10"/>
        <rFont val="Arial"/>
        <family val="2"/>
      </rPr>
      <t>2</t>
    </r>
  </si>
  <si>
    <t>Temp. Differenz</t>
  </si>
  <si>
    <t>Zuordnung Kompaktheit</t>
  </si>
  <si>
    <t>Ath/AE</t>
  </si>
  <si>
    <t>Heizleistung gesamt</t>
  </si>
  <si>
    <t>kW</t>
  </si>
  <si>
    <t>Heizleistung Anteil Erdreich</t>
  </si>
  <si>
    <t>Alle Zonen sind Neubauten?</t>
  </si>
  <si>
    <t>W/m</t>
  </si>
  <si>
    <t>NRE EWS</t>
  </si>
  <si>
    <t>&lt;-- für alle vier Zonen</t>
  </si>
  <si>
    <t>Erdsondenlänge</t>
  </si>
  <si>
    <t>PV (pro m2 EBF und mit Lebensdauer gem. SIA2032)</t>
  </si>
  <si>
    <t>GF</t>
  </si>
  <si>
    <t>gewählt:</t>
  </si>
  <si>
    <t>Spannweite
Wert</t>
  </si>
  <si>
    <t>&lt;-- Faktoren zur Anpassung der Basiswerte</t>
  </si>
  <si>
    <t>&lt;-- ""</t>
  </si>
  <si>
    <t>UG</t>
  </si>
  <si>
    <t>reduzierter Basiswert</t>
  </si>
  <si>
    <t>Grenzwert Neubau PE1&amp;TH1</t>
  </si>
  <si>
    <t>Grenzwert Neubau PE2&amp;TH2</t>
  </si>
  <si>
    <t>Fehler Geschossfläche zu klein</t>
  </si>
  <si>
    <t>Blatt  "Standardwerte", C111, Wert 11 eingesetzt</t>
  </si>
  <si>
    <t>Wetterstation Kt. Nidwalden, neu zusätzlich Engelberg</t>
  </si>
  <si>
    <t>Text für Blatt "Erstellung" ergänzt</t>
  </si>
  <si>
    <t>Geschossfläche GF</t>
  </si>
  <si>
    <t>Fundation (1=leer / 2=Flachfundation / 3=Mikrobohrpfahl / 4 = Ortbetonpfahl / 5=Rüttelstopfsäule / 6=Vorgef. Betonpfahl)</t>
  </si>
  <si>
    <t>Baugrube  (1=leer / 2=Böschung / 3=Bohrpfahlwand / 4=Nagelwand / 5=Rühlwand / 6=Schlitzwand / 7=Spundwand)</t>
  </si>
  <si>
    <t>UG-Gestaltung  (1=leer / 2=kein Ugvorhanden / 3=UG kleiner als GGF / 4=UG vollständig innerhalg GGF / 5=UG teilweise ausserhalb GGF / 6=UG deutlich grösser als GGF oder zweistöckig)</t>
  </si>
  <si>
    <t>Bauweise  (1=leer / 2=schwerer Massivbau / 3=leichter Massivbau / 4=schwerer Holzbau / 5=leichter Holzbau / 6=Hybridbau / 7=Glasbau / 8 = Stahlbau)</t>
  </si>
  <si>
    <t>Fensteranteil  (1=leer / 2=0% / 3=10% / 4=20% / 5=30% / 6=40% / 7=50% / 8=60% / 9=70% / 10=80% / 11=90% / 12=100%)</t>
  </si>
  <si>
    <t>Deckenstärke  (1=leer / 2=minimal / 3=eingelegte Haustechnik)</t>
  </si>
  <si>
    <t>Einsatz von CO2-angereichertem Beton  (0=leer / 1=Ja / 2=Nein)</t>
  </si>
  <si>
    <t>Richtwert THGE Erstellung: Treibhausgasemissionen  [kg/m2a]</t>
  </si>
  <si>
    <t>Berechneter Wert: Treibhausgasemissionen  [kg/m2a]</t>
  </si>
  <si>
    <t>Richtwert THGE Erstellung: Graue Energie  [kWh/m2a]</t>
  </si>
  <si>
    <t>Berechneter Wert: Graue Energie  [kWh/m2a]</t>
  </si>
  <si>
    <t>Berechneter Wert: Gespeicherter Kohlenstoff  [kg/m2a]</t>
  </si>
  <si>
    <t>Neue Eingaben auf dem Blatt "Erstellung"</t>
  </si>
  <si>
    <t>Beleuchtung LED mind. C &amp; Regelung</t>
  </si>
  <si>
    <t>Illuminazione LED almeno C e regolazione</t>
  </si>
  <si>
    <t>Eclairage LED au moins C &amp; régulation</t>
  </si>
  <si>
    <t>Beleuchtungsanforderung auf Blatt "Minergie" neu mindestens C statt A++</t>
  </si>
  <si>
    <t>Blatt  "Uebersetzung" E373 - G373: Neuer Text mind. C statt A++ für Beleuchtungsanforderung</t>
  </si>
  <si>
    <t>Baugrube:Falls mehrere verschiedene Verbauungsarten in einem Projekt vorhanden sind, ist diejenige mit dem grössten Flächenanteil zu wählen.</t>
  </si>
  <si>
    <t>Fundation:Falls mehrere Fundationsarten vorhanden sind, so ist die Variante mit der grössten fundierten Fläche zu wählen.</t>
  </si>
  <si>
    <t>Untergeschoss-Gestaltung:Die Grundfläche des UGs wird in Relation zu der Gebäudegrundfläche (GGF, siehe SIA 416) betrachtet.</t>
  </si>
  <si>
    <t>Bauweise:Die überwiegende Bauweise des Gebäudes ist hier zu wählen.
- Schwerer Massivbau: Zweischalenmauerwerk, schwere hinterlüftete Fassade
- Leichter Massivbau: Einschaliges Mauerwerk mit WDVS oder leichter hinterlüfteter Fassade
- Schwerer Holzbau: Holzbau mit schwerer hinterlüfteter Fassade oder Holzbetonverbunddecken
- Leichter Holzbau: Holzbau mit leichter Bekleidung und Holzbalkendecken
- Hybridbau: Gebäude mit massivem Kern und Decken sowie einer Leichtbaufassade und einem leichten Innenausbau
- Stahlbau: Gebäude mit massivem Kern; Decken sowie Fassade in Stahlbau
- Glasbau: Gebäude mit massivem Kern; verglaste vorgehängte Fassade</t>
  </si>
  <si>
    <t>Fensteranteil:
Anteil der Fenster an der Fassadenfläche; kann der SIA380/1 Berechnung entnommen werden</t>
  </si>
  <si>
    <t>Tag
C23</t>
  </si>
  <si>
    <t>Tag
C24</t>
  </si>
  <si>
    <t>Tag
C25</t>
  </si>
  <si>
    <t>Tag
C26</t>
  </si>
  <si>
    <t>Tag
C27</t>
  </si>
  <si>
    <t>Tag
C28</t>
  </si>
  <si>
    <t>Tag
C29</t>
  </si>
  <si>
    <t>Tag
C30</t>
  </si>
  <si>
    <t>Tag
C31</t>
  </si>
  <si>
    <t>CO2-angereicherter Beton:
Wenn mindestens 80 % aller Betonbauteile, bei denen dies möglich ist, aus mit CO2 angereichertem Beton bestehen, kann hier "ja" gewählt werden.</t>
  </si>
  <si>
    <t>Blatt  "Uebersetzung" A684 - E692: Tag-Text aus Blatt "Erstellung" (nur deutsch) ergänzt</t>
  </si>
  <si>
    <t>Hilfe-Tags auf deutsch von Blatt "Erstellung" in Übersetzungsliste eingetragen</t>
  </si>
  <si>
    <t xml:space="preserve">Verhältnis C zu CO2: </t>
  </si>
  <si>
    <t>red. Basiswert</t>
  </si>
  <si>
    <t>K d</t>
  </si>
  <si>
    <t>MJ/(W d)</t>
  </si>
  <si>
    <t>Ant. Heizung</t>
  </si>
  <si>
    <t>Durschnittliche JAZ</t>
  </si>
  <si>
    <t>Ant. WW</t>
  </si>
  <si>
    <t>Auslegungstemp</t>
  </si>
  <si>
    <t>Basiswert  EP,nren,  Zone 1  [kWh/m2a]</t>
  </si>
  <si>
    <t>Basiswert  EP,nren,  Zone 2  [kWh/m2a]</t>
  </si>
  <si>
    <t>Basiswert  EP,nren,  Zone 3  [kWh/m2a]</t>
  </si>
  <si>
    <t>Basiswert  EP,nren,  Zone 4  [kWh/m2a]</t>
  </si>
  <si>
    <t>Basiswert  MGHG,  Zone 1  [kWh/m2a]</t>
  </si>
  <si>
    <t>Basiswert  MGHG,  Zone 2  [kWh/m2a]</t>
  </si>
  <si>
    <t>Basiswert  MGHG,  Zone 3  [kWh/m2a]</t>
  </si>
  <si>
    <t>Basiswert  MGHG,  Zone 4  [kWh/m2a]</t>
  </si>
  <si>
    <t>Faktor Kompaktheit, EP,nren,  Zone 1</t>
  </si>
  <si>
    <t>Faktor Kompaktheit, EP,nren,  Zone 2</t>
  </si>
  <si>
    <t>Faktor Kompaktheit, EP,nren,  Zone 3</t>
  </si>
  <si>
    <t>Faktor Kompaktheit, EP,nren,  Zone 4</t>
  </si>
  <si>
    <t>Faktor Kompaktheit, MGHG,  Zone 1</t>
  </si>
  <si>
    <t>Faktor Kompaktheit, MGHG,  Zone 2</t>
  </si>
  <si>
    <t>Faktor Kompaktheit, MGHG,  Zone 3</t>
  </si>
  <si>
    <t>Faktor Kompaktheit, MGHG,  Zone 4</t>
  </si>
  <si>
    <t>Faktor Fensteranteil,  EP,nren,  Zone 1</t>
  </si>
  <si>
    <t>Faktor Fensteranteil,  EP,nren,  Zone 2</t>
  </si>
  <si>
    <t>Faktor Fensteranteil,  EP,nren,  Zone 3</t>
  </si>
  <si>
    <t>Faktor Fensteranteil,  EP,nren,  Zone 4</t>
  </si>
  <si>
    <t>Faktor Fensteranteil,  MGHG,  Zone 1</t>
  </si>
  <si>
    <t>Faktor Fensteranteil,  MGHG,  Zone 2</t>
  </si>
  <si>
    <t>Faktor Fensteranteil,  MGHG,  Zone 3</t>
  </si>
  <si>
    <t>Faktor Fensteranteil,  MGHG,  Zone 4</t>
  </si>
  <si>
    <t>Faktor UG,  EP,nren,  Zone 1</t>
  </si>
  <si>
    <t>Faktor UG,  EP,nren,  Zone 2</t>
  </si>
  <si>
    <t>Faktor UG,  EP,nren,  Zone 3</t>
  </si>
  <si>
    <t>Faktor UG,  EP,nren,  Zone 4</t>
  </si>
  <si>
    <t>Faktor UG,  MGHG,  Zone 1</t>
  </si>
  <si>
    <t>Faktor UG,  MGHG,  Zone 2</t>
  </si>
  <si>
    <t>Faktor UG,  MGHG,  Zone 3</t>
  </si>
  <si>
    <t>Faktor UG,  MGHG,  Zone 4</t>
  </si>
  <si>
    <t>Faktor Fundation  EP,nren,  Zone 1</t>
  </si>
  <si>
    <t>Faktor Fundation  EP,nren,  Zone 2</t>
  </si>
  <si>
    <t>Faktor Fundation  EP,nren,  Zone 3</t>
  </si>
  <si>
    <t>Faktor Fundation  EP,nren,  Zone 4</t>
  </si>
  <si>
    <t>Faktor Fundation  MGHG,  Zone 1</t>
  </si>
  <si>
    <t>Faktor Fundation  MGHG,  Zone 2</t>
  </si>
  <si>
    <t>Faktor Fundation  MGHG,  Zone 3</t>
  </si>
  <si>
    <t>Faktor Fundation  MGHG,  Zone 4</t>
  </si>
  <si>
    <t>Faktor Baugrube  EP,nren,  Zone 1</t>
  </si>
  <si>
    <t>Faktor Baugrube  EP,nren,  Zone 2</t>
  </si>
  <si>
    <t>Faktor Baugrube  EP,nren,  Zone 3</t>
  </si>
  <si>
    <t>Faktor Baugrube  EP,nren,  Zone 4</t>
  </si>
  <si>
    <t>Faktor Baugrube  MGHG,  Zone 1</t>
  </si>
  <si>
    <t>Faktor Baugrube  MGHG,  Zone 2</t>
  </si>
  <si>
    <t>Faktor Baugrube  MGHG,  Zone 3</t>
  </si>
  <si>
    <t>Faktor Baugrube  MGHG,  Zone 4</t>
  </si>
  <si>
    <t>Deckeneinlage</t>
  </si>
  <si>
    <t>Faktor Deckeneinlagen,  EP,nren,  Zone 1</t>
  </si>
  <si>
    <t>Faktor Deckeneinlagen,  EP,nren,  Zone 2</t>
  </si>
  <si>
    <t>Faktor Deckeneinlagen,  EP,nren,  Zone 3</t>
  </si>
  <si>
    <t>Faktor Deckeneinlagen,  EP,nren,  Zone 4</t>
  </si>
  <si>
    <t>Faktor Deckeneinlagen,  MGHG,  Zone 1</t>
  </si>
  <si>
    <t>Faktor Deckeneinlagen,  MGHG,  Zone 2</t>
  </si>
  <si>
    <t>Faktor Deckeneinlagen,  MGHG,  Zone 3</t>
  </si>
  <si>
    <t>Faktor Deckeneinlagen,  MGHG,  Zone 4</t>
  </si>
  <si>
    <t>reduzierter Basiswert,  EP,nren,  Zone 1</t>
  </si>
  <si>
    <t>reduzierter Basiswert,  EP,nren,  Zone 2</t>
  </si>
  <si>
    <t>reduzierter Basiswert,  EP,nren,  Zone 3</t>
  </si>
  <si>
    <t>reduzierter Basiswert,  EP,nren,  Zone 4</t>
  </si>
  <si>
    <t>reduzierter Basiswert,  MGHG,  Zone 1</t>
  </si>
  <si>
    <t>reduzierter Basiswert,  MGHG,  Zone 2</t>
  </si>
  <si>
    <t>reduzierter Basiswert,  MGHG,  Zone 3</t>
  </si>
  <si>
    <t>reduzierter Basiswert,  MGHG,  Zone 4</t>
  </si>
  <si>
    <t>Null</t>
  </si>
  <si>
    <t>CO2</t>
  </si>
  <si>
    <t>CO-frei:</t>
  </si>
  <si>
    <t>THG (Scope1)</t>
  </si>
  <si>
    <t>(Betrieb)</t>
  </si>
  <si>
    <t>(exploitation du bâtiment)</t>
  </si>
  <si>
    <t>Treibhausgasemissionen im Betrieb in CO2 kg/m2 (Scope 1)</t>
  </si>
  <si>
    <t>NRE EWS,  EP,nren</t>
  </si>
  <si>
    <t>NRE EWS,  MGHG</t>
  </si>
  <si>
    <t>PV (pro m2 EBF und mit Lebensdauer gem. SIA2032),  EP,nren</t>
  </si>
  <si>
    <t>PV (pro m2 EBF und mit Lebensdauer gem. SIA2032),  MGHG</t>
  </si>
  <si>
    <t>Aufsummierte Länge aller Erdwärmesonden  [m]</t>
  </si>
  <si>
    <t>Länge [m]</t>
  </si>
  <si>
    <t>Sondenlänge A  [m]</t>
  </si>
  <si>
    <t>Sondenlänge B  [m]</t>
  </si>
  <si>
    <t>Sondenlänge C  [m]</t>
  </si>
  <si>
    <t>Sondenlänge D  [m]</t>
  </si>
  <si>
    <t>spez. Leistung EWS</t>
  </si>
  <si>
    <t>Hilfsberechnung Länge Erdwärmesonden:</t>
  </si>
  <si>
    <t>Longueur totale de toutes les sondes [m]</t>
  </si>
  <si>
    <t>Lunghezza totale di tutte le sonde [m]</t>
  </si>
  <si>
    <t>U67</t>
  </si>
  <si>
    <t>Weitere Kennzahlen</t>
  </si>
  <si>
    <t>U45</t>
  </si>
  <si>
    <t>U47</t>
  </si>
  <si>
    <t>(Erstellung)</t>
  </si>
  <si>
    <t>AD126 / AD127</t>
  </si>
  <si>
    <t>Treibhausgasemissionen in kg CO2/m2</t>
  </si>
  <si>
    <t>Gespeicherter Kohlenstoff in kg/m2</t>
  </si>
  <si>
    <r>
      <t xml:space="preserve"> kg/m</t>
    </r>
    <r>
      <rPr>
        <b/>
        <vertAlign val="superscript"/>
        <sz val="9"/>
        <rFont val="Arial"/>
        <family val="2"/>
      </rPr>
      <t>2</t>
    </r>
  </si>
  <si>
    <r>
      <t xml:space="preserve"> kWh/m</t>
    </r>
    <r>
      <rPr>
        <b/>
        <vertAlign val="superscript"/>
        <sz val="9"/>
        <rFont val="Arial"/>
        <family val="2"/>
      </rPr>
      <t>2</t>
    </r>
  </si>
  <si>
    <r>
      <t xml:space="preserve"> kWh/m</t>
    </r>
    <r>
      <rPr>
        <b/>
        <vertAlign val="superscript"/>
        <sz val="9"/>
        <color theme="1"/>
        <rFont val="Arial"/>
        <family val="2"/>
      </rPr>
      <t>2</t>
    </r>
  </si>
  <si>
    <r>
      <t xml:space="preserve"> kg/m</t>
    </r>
    <r>
      <rPr>
        <b/>
        <vertAlign val="superscript"/>
        <sz val="9"/>
        <color theme="1"/>
        <rFont val="Arial"/>
        <family val="2"/>
      </rPr>
      <t>2</t>
    </r>
  </si>
  <si>
    <t>U46 / U47</t>
  </si>
  <si>
    <t>Neue Eingabe Sondenlänge bei Auswahl Erdsonden-Wärmepumpe</t>
  </si>
  <si>
    <t>Ergänzung Minergie-Kennzahl in CO2 (Betrieb) und THGE / Gespeichertes C in Erstellung</t>
  </si>
  <si>
    <t>Annahme Sperrzeit pro Tag</t>
  </si>
  <si>
    <t>h/d</t>
  </si>
  <si>
    <t>Monitoring-Modul auf MOP gewählt oder Monitoringkonzept beigelegt?</t>
  </si>
  <si>
    <t>Tragstruktur  (1=leer / 2=geringe Spannweiten / 3=moderate Spannweiten / 4=mittlere Spannweiten / 5=erhöhte Spannweiten / 6=grosse Spannweiten)</t>
  </si>
  <si>
    <t>U49</t>
  </si>
  <si>
    <t>U51</t>
  </si>
  <si>
    <t>U53</t>
  </si>
  <si>
    <t>U55</t>
  </si>
  <si>
    <t>U57</t>
  </si>
  <si>
    <t>U59</t>
  </si>
  <si>
    <t>U61</t>
  </si>
  <si>
    <t>U63</t>
  </si>
  <si>
    <t>U65</t>
  </si>
  <si>
    <t>U68</t>
  </si>
  <si>
    <t>zur Erstellung von Neubauten</t>
  </si>
  <si>
    <t>F2</t>
  </si>
  <si>
    <t>F3</t>
  </si>
  <si>
    <t>Blatt "Oeko", Neue Tabellenwerte eingefügt</t>
  </si>
  <si>
    <t>Tabellenwerte ergänzt für Einsatz von CO2-angereichertem Beton</t>
  </si>
  <si>
    <t>Blatt "Erstellung" neu erstellt</t>
  </si>
  <si>
    <t>Blatt für Nachweis der Grauen Energie und des CO2-Aufwandes bei der Erstellung eingefügt</t>
  </si>
  <si>
    <t>Blatt "Oeko" neu erstellt</t>
  </si>
  <si>
    <t>Blatt mit Grundlagendaten für die Erstellung von Neubauten eingefügt</t>
  </si>
  <si>
    <t>Blatt "MOP", A705 - A794 neue Eingaben von Blatt "Erstellung"</t>
  </si>
  <si>
    <t>Blatt  "Uebersicht", Zeilen 44 - 48 ergänzt mit Rubrik "Weitere Kennzahlen"</t>
  </si>
  <si>
    <t>Costruzione</t>
  </si>
  <si>
    <t>Superficie di piano</t>
  </si>
  <si>
    <t>Metodo di costruzione</t>
  </si>
  <si>
    <t>Impiego di calcestruzzo arricchito con CO2</t>
  </si>
  <si>
    <t>Quota finestrata</t>
  </si>
  <si>
    <t>Spessore soletta</t>
  </si>
  <si>
    <t>Struttura portante</t>
  </si>
  <si>
    <t>Fondazione</t>
  </si>
  <si>
    <t>Sostituzione finestre</t>
  </si>
  <si>
    <t>Costruzione massiccia pesante</t>
  </si>
  <si>
    <t>Costruzione massiccia leggera</t>
  </si>
  <si>
    <t>Costruzione pesante in legno</t>
  </si>
  <si>
    <t>Costruzione leggera in legno</t>
  </si>
  <si>
    <t>Costruzione ibrida</t>
  </si>
  <si>
    <t>Costruzione in vetro</t>
  </si>
  <si>
    <t>Costruzione in metallo</t>
  </si>
  <si>
    <t xml:space="preserve">Micropali </t>
  </si>
  <si>
    <t>Pali in calcestruzzo gettati in opera</t>
  </si>
  <si>
    <t>Palo prefabbricato in calcestruzzo</t>
  </si>
  <si>
    <t>Terrapieno</t>
  </si>
  <si>
    <t>Diaframma</t>
  </si>
  <si>
    <t>Palancole</t>
  </si>
  <si>
    <t>Piccola campata</t>
  </si>
  <si>
    <t>Campata moderata</t>
  </si>
  <si>
    <t>Campata media</t>
  </si>
  <si>
    <t>Campata aumentata</t>
  </si>
  <si>
    <t>Grande campata</t>
  </si>
  <si>
    <t>Anidride carbonica assorbita</t>
  </si>
  <si>
    <t>Emissioni di gas serra (esercizio)</t>
  </si>
  <si>
    <t>Energia grigia</t>
  </si>
  <si>
    <t>Risanamento completo dell'impiantistica dell'edifico</t>
  </si>
  <si>
    <t>Risanamento della maggior parte dell'impiantistica dell'edifico</t>
  </si>
  <si>
    <t>Risanamento parziale dell'impiantistica dell'edifico</t>
  </si>
  <si>
    <t>Risanamento minimo dell'impiantistica dell'edifico</t>
  </si>
  <si>
    <t>Nessun risanamento dell'impiantistica dell'edificio</t>
  </si>
  <si>
    <t>Risanamento energetico di piccola portata</t>
  </si>
  <si>
    <t>Risanamento energetico parziale</t>
  </si>
  <si>
    <t>Risanamento energetico per la maggior parte</t>
  </si>
  <si>
    <t>Risanamento energetico completo</t>
  </si>
  <si>
    <t>Sostituzione parziale di elementi costruttivi</t>
  </si>
  <si>
    <t>Sostituzione della maggior parte degli elementi costruttivi</t>
  </si>
  <si>
    <t>Sostituzione completa degli elementi costruttivi</t>
  </si>
  <si>
    <t>Panoramica gas serra nella fase di costruzione</t>
  </si>
  <si>
    <t>Minimo</t>
  </si>
  <si>
    <t>Inserimento componenti impiantistiche</t>
  </si>
  <si>
    <t>Superficie di piano SP: Inserire la superficie di piano totale dell'edificio secondo SIA 416/1. La superficie di piano deve essere maggiore della superficie di riferimento energetico AE.</t>
  </si>
  <si>
    <t>Campate: 
esempio di campate in casa plurifamiliare
piccola: 6 m o meno
moderata: 7 m 
media: 8 m 
elevato: 9 m
grande: 10 m o più
Selezionare in ogni caso la campata più grande presente. Il calcolo presuppone un trasferimento di carico regolare e logico. Per le strutture portanti irregolari, si deve scegliere una campata più grande.</t>
  </si>
  <si>
    <t>Quota finestrata: 
Quota di superficie delle finestre rispetto alla superficie delle facciate; può essere ripresa dai calcoli secondo SIA 380/1</t>
  </si>
  <si>
    <t>Calcestruzzo arricchito con CO2:
Se almeno l'80% di tutti i componenti in calcestruzzo (dove possibile) è costituito da calcestruzzo arricchito di CO2, selezionare "sì".</t>
  </si>
  <si>
    <t>(Costruzione)</t>
  </si>
  <si>
    <t>Emissioni di gas serra in kg CO2/m2</t>
  </si>
  <si>
    <t>Anidride carbonica assorbita in kg</t>
  </si>
  <si>
    <t>Informations complémentaires</t>
  </si>
  <si>
    <t>Type de justification</t>
  </si>
  <si>
    <t>Données saisies par l'utilisateur</t>
  </si>
  <si>
    <t>Surface de plancher</t>
  </si>
  <si>
    <t>Typologie de construction</t>
  </si>
  <si>
    <t>Emploi de béton enrichi en CO2</t>
  </si>
  <si>
    <t>Proportion de fenêtres</t>
  </si>
  <si>
    <t>Epaisseur des dalles</t>
  </si>
  <si>
    <t>Composition du sous sol</t>
  </si>
  <si>
    <t>Structure porteuse</t>
  </si>
  <si>
    <t>Fondation</t>
  </si>
  <si>
    <t>Fouille</t>
  </si>
  <si>
    <t>Ampleur de l'intervention dans le toit</t>
  </si>
  <si>
    <t>Ampleur de l'intervention dans la façade</t>
  </si>
  <si>
    <t>Ampleur de l'intervention dans l'extension</t>
  </si>
  <si>
    <t>Remplacement des fenêtres</t>
  </si>
  <si>
    <t>Ampleur de l'intervention sur les installations techniques</t>
  </si>
  <si>
    <t>Pas de sous-sol</t>
  </si>
  <si>
    <t>Contruction massive lourde</t>
  </si>
  <si>
    <t>Contruction massive légère</t>
  </si>
  <si>
    <t>Construction en bois lourde</t>
  </si>
  <si>
    <t>Construction en bois légère</t>
  </si>
  <si>
    <t>Construction hybride</t>
  </si>
  <si>
    <t>Construction vitrée</t>
  </si>
  <si>
    <t>Construction métallique</t>
  </si>
  <si>
    <t>Fondation superficielle</t>
  </si>
  <si>
    <t>Micro-pieux</t>
  </si>
  <si>
    <t>Pieux en béton coulé sur place</t>
  </si>
  <si>
    <t>Colonnes ballastées</t>
  </si>
  <si>
    <t>Pieu en béton préfabriqué (battus)</t>
  </si>
  <si>
    <t>Talus</t>
  </si>
  <si>
    <t>Paroi de pieux forés</t>
  </si>
  <si>
    <t>Paroi clouée</t>
  </si>
  <si>
    <t>Paroi berlinoise</t>
  </si>
  <si>
    <t>Paroi moulée</t>
  </si>
  <si>
    <t>Palplanches</t>
  </si>
  <si>
    <t>petites portées</t>
  </si>
  <si>
    <t>portées modérées</t>
  </si>
  <si>
    <t>portées moyennes</t>
  </si>
  <si>
    <t>portes accrues</t>
  </si>
  <si>
    <t>grands portées</t>
  </si>
  <si>
    <t>Carbone stocké</t>
  </si>
  <si>
    <t>Emissions de gaz à effet de serre (exploitation)</t>
  </si>
  <si>
    <t>Emissions de gaz à effet de serre</t>
  </si>
  <si>
    <t>Energie grise</t>
  </si>
  <si>
    <t>Rénovation complète des installations techniques</t>
  </si>
  <si>
    <t>Rénovation majoritaire des installations techniques</t>
  </si>
  <si>
    <t>Rénovation partielle des installations techniques</t>
  </si>
  <si>
    <t>Rénovation mineure des installations techniques</t>
  </si>
  <si>
    <t>Pas de rénovation des installations techniques</t>
  </si>
  <si>
    <t>Pas de rénovation</t>
  </si>
  <si>
    <t>Rénovation de l'enveloppe d'ampleur mineure</t>
  </si>
  <si>
    <t>Rénovation de l'enveloppe partielle</t>
  </si>
  <si>
    <t>Rénovation de l'enveloppe modérée</t>
  </si>
  <si>
    <t>Rénovation de l'enveloppe complète</t>
  </si>
  <si>
    <t>Rénovation superficielle d'ampleur mineure</t>
  </si>
  <si>
    <t>Rénovation superficielle partielle</t>
  </si>
  <si>
    <t>Rénovation superficielle modérée</t>
  </si>
  <si>
    <t>Rénovation superficielle complète</t>
  </si>
  <si>
    <t>Rénovation thermique d'ampleur mineure</t>
  </si>
  <si>
    <t>Rénovation thermique partielle</t>
  </si>
  <si>
    <t>Rénovation thermique modérée</t>
  </si>
  <si>
    <t>Rénovation thermique complète</t>
  </si>
  <si>
    <t>Remplacement d'ampleur mineure d'éléments de construction</t>
  </si>
  <si>
    <t>Remplacement partiel d'éléments de construction</t>
  </si>
  <si>
    <t>Remplacement majoritaire d'éléments de construction</t>
  </si>
  <si>
    <t>Remplacement complet d'éléments de construction</t>
  </si>
  <si>
    <t>Valeur indidactive GES Construction</t>
  </si>
  <si>
    <t>Visualisation des GES pendant la construction</t>
  </si>
  <si>
    <t>Installations techniques incorporées</t>
  </si>
  <si>
    <t>Surface de plancher SP : la surface de plancher totale du bâtiment selon SIA 416/1 doit être saisie. La SP doit être supérieure à la SRE.</t>
  </si>
  <si>
    <t>Fouille:si différentes techniques sont utilisées, il faut choisir celle qui est utilisée sur la plus grande surface.</t>
  </si>
  <si>
    <t>Fondations:s'il existe plusieurs types de fondations, il faut choisir celle représentant la plus grande surface.</t>
  </si>
  <si>
    <t>Aménagement du sous-sol:La surface au sol du sous-sol est considérée par rapport à la surface au sol du bâtiment (voir SIA 416).</t>
  </si>
  <si>
    <t>Typologie de construction : Le mode de construction prédominant du bâtiment doit être choisi ici.
- Construction massive lourde : maçonnerie à double parois, façade ventilée lourde
- Construction massive légère : maçonnerie à simple paroi avec isolation thermique compacte ou façade ventilée légère
- Construction en bois lourde : construction en bois avec façade ventilée lourde ventilée ou plancher mixte bois-béton
- Construction en bois légère : construction en bois avec revêtement léger et planchers à poutres en bois porteuses
- Construction hybride : bâtiment avec un noyau et planchers massifs et une façade et des cloisons intérieures légères
- Construction vitrée : bâtiment avec noyau massif et façade rideau vitrée
- Construction métallique : bâtiment avec noyau massif ; plafonds et façade en structure métallique</t>
  </si>
  <si>
    <t>Portées :
Exemple de portées d'un immeuble collectif
petite : 6 m ou moins
modérée : 7 m
moyenne : 8 m
accrue : 9 m
grande : 10 m ou plus
La plus grande portée existante doit être sélectionnée. Dans le calcul, on part d'une répartition de charge régulière et logique. En cas de structures porteuses irrégulières, il faut choisir une portée plus grande.</t>
  </si>
  <si>
    <t>Proportion de fenêtres :
Proportion de fenêtres par rapport à la surface de la façade ; peut être tirée du calcul SIA380/1".</t>
  </si>
  <si>
    <t>Béton enrichi en CO2 :
Si au moins 80 % de tous les éléments en béton pour lesquels cela est possible sont constitués de béton enrichi en CO2, "oui" peut être sélectionné ici.</t>
  </si>
  <si>
    <t>Emission de GES pendant l'exploitatio en CO2/m2 (Scope 1)</t>
  </si>
  <si>
    <t>(Construction)</t>
  </si>
  <si>
    <t>Gaz à effet de serre GES en kg CO2/m2</t>
  </si>
  <si>
    <t>Carbone stocké en kg</t>
  </si>
  <si>
    <t>Blatt  "Uebersetzung" F607-G698 ergänzt</t>
  </si>
  <si>
    <t>Blatt  "Uebersetzung" A607-E698 ergänzt</t>
  </si>
  <si>
    <t>fränzösische und italienische Übersetzung des Blattes Erstellung</t>
  </si>
  <si>
    <t>Deckenstärke:
Falls grosse (z. B. Lüftungsleitungen) oder sehr viele Deckeneinlagen geplant sind, ist hier "&gt; 24 cm" zu wählen.</t>
  </si>
  <si>
    <t>Spannweiten:
Beispiel Spannweiten MFH oder EFH
geringe: 6 m oder weniger
moderate: 7 m
mittlere: 8 m
erhöhte: 9 m
grosse: 10 m oder mehr
Es ist jeweils die grösste vorhandene Spannweite zu wählen. In der Berechnung wird von einer regelmässigen und logischen Lastableitung ausgegangen. Bei unregelmässigen Tragstrukturen muss eine grössere Spannweite gewählt werden.</t>
  </si>
  <si>
    <t>Geschossfläche GF: Die gesamte Geschossfläche des Gebäudes gem. SIA 416 muss eingegeben werden. Die GF muss grösser als die EBF sein.</t>
  </si>
  <si>
    <t>SP</t>
  </si>
  <si>
    <t>D23</t>
  </si>
  <si>
    <t>Altri indici</t>
  </si>
  <si>
    <t>Autres indicateurs</t>
  </si>
  <si>
    <t>Informazioni supplementari</t>
  </si>
  <si>
    <t>Inserimento dati utente</t>
  </si>
  <si>
    <t>Dimensione piano interrato</t>
  </si>
  <si>
    <t>Fossa di scavo</t>
  </si>
  <si>
    <t>Profondità d'intevento nel tetto</t>
  </si>
  <si>
    <t>Profondità d'intevento nella facciata</t>
  </si>
  <si>
    <t>Profondità d'intevento nell'ampliamento</t>
  </si>
  <si>
    <t>Profondità d'intevento nell' impiantistica</t>
  </si>
  <si>
    <t>Nessun piano interrato</t>
  </si>
  <si>
    <t>Platea</t>
  </si>
  <si>
    <t>Colonne vibrate</t>
  </si>
  <si>
    <t>Paratia di pali trivellati</t>
  </si>
  <si>
    <t>Paratia chiodata</t>
  </si>
  <si>
    <t>Paratia di sostegno</t>
  </si>
  <si>
    <t>Emissioni di gas serra</t>
  </si>
  <si>
    <t xml:space="preserve">Nessun risanamento </t>
  </si>
  <si>
    <t>Risanamento non energetico di piccola entità</t>
  </si>
  <si>
    <t>Risanamento non energetico parziale</t>
  </si>
  <si>
    <t>Risanamento non energetico della maggior parte dell'edificio</t>
  </si>
  <si>
    <t>Risanamento non energetico completo</t>
  </si>
  <si>
    <t>Risanamento dei rivestimenti di piccola portata</t>
  </si>
  <si>
    <t>Risanamento dei rivestimenti parziale</t>
  </si>
  <si>
    <t>Risanamento dei rivestimenti per la maggior parte</t>
  </si>
  <si>
    <t>Risanamento dei rivestimenti completo</t>
  </si>
  <si>
    <t>Sostituzione di piccola entità di elementi costruttivi</t>
  </si>
  <si>
    <t>Val. riff. EGES Costruzione</t>
  </si>
  <si>
    <t>Fossa di scavo: Se in un progetto sono presenti diversi tipi di puntellamenti, scegliere la variante con la superficie più grande.</t>
  </si>
  <si>
    <t>Fondazione: Se sono presenti diversi tipi di fondazione, scegliere la variante con la superficie più grande.</t>
  </si>
  <si>
    <t>Dimensione piano interrato: La superficie del piano interrato viene considerata in relazione alla superficie edificata  (SE, vedi SIA 416).</t>
  </si>
  <si>
    <t xml:space="preserve">Sistema costruttivo: scegliere qui il metodo di costruzione predominante dell'edificio. 
- Costruzione massiccia pesante: muratura a doppio strato, facciata ventilata pesante
- Costruzione massiccia leggera: muratura a singolo strato con sistema di isolamento termico a cappotto o facciata ventilata leggera
Costruzione pesante in legno: costruzione in legno con facciata ventilata pesante o solai misti legno e calcestruzzo
Costruzione leggera in legno: costruzione in legno con rivestimento leggero e solai in travi di legno
Costruzione ibrida: edificio con nucleo e soffitti massicci, oltre che facciata e elementi interni leggeri
- Costruzione metallica: edificio con nucleo massiccio; Solai e facciate in metallo
- Costruzioni vetrate: edificio con nucleo massiccio; facciata appesa in vetro </t>
  </si>
  <si>
    <t>Spessore soletta:
Se sono previsti  (es. condotte ventilazione)  o  molti e spessi strati della soletta, selezionare qui &gt;24cm.</t>
  </si>
  <si>
    <t>Emissioni di gas serra (esercizio) in CO2 kg/m2 (Scope 1)</t>
  </si>
  <si>
    <t>Sous-sol plus petit que la surface bâtie du bâtiment</t>
  </si>
  <si>
    <t>Sous-sol intégré dans la surface bâtie du bâtiment</t>
  </si>
  <si>
    <t>Sous-sol partiellement hors de la surface bâtie du bâtiment</t>
  </si>
  <si>
    <t>Sous-sol partiellement nettement plus grand que la surface bâtie du bâtiment</t>
  </si>
  <si>
    <t>Épaisseur des dalles :
Si de grands (par ex. des conduites d'aération) ou de très nombreux incorporés sont prévus, il convient de sélectionner ici "installations techniques incorporées"</t>
  </si>
  <si>
    <t>Blatt "Erstellung", B23, B28, B30</t>
  </si>
  <si>
    <t>Tags angepasst</t>
  </si>
  <si>
    <t>Blatt  "Standardwerte", AD126, AD127, Text mit Eingabeaufforderung für Sondenlänge ergänzt</t>
  </si>
  <si>
    <t>Construction</t>
  </si>
  <si>
    <t>Valore limite Minergie per l'illuminazione in kWh/m2</t>
  </si>
  <si>
    <t>Variante 3: verifica esterna dei criteri secondo SIA382/1 e SIA 180 (con raffreddamento)</t>
  </si>
  <si>
    <t>entalpia</t>
  </si>
  <si>
    <t>Apparecchi efficienti per il funzionamento dell'edificio e uso abitativo: dichiarare se sono utilizzati dispositivi efficienti per l’esercizio dell'edificio e uso residenziale:
dispositivi consumatori di energia fissi per lo più posizionati nella cantina di edifici: pompe di circolazione, impianti di sicurezza, ascensori, ecc.
Osservazione: grossi consumatori di elettricità come i nastri riscaldanti, la protezione antigelo negli apparecchi di ventilazione ecc., non sono previsti qui ma vanno considerati separatamente.</t>
  </si>
  <si>
    <t>Illuminazione: modulo Minergie o efficienza luminosa &gt; 100 lm/W: specificare se vengono utilizzati impianti di Illuminazione per edifici funzionali con almeno la categoria di efficienza richiesta o meno. Selezionabile solo per edifici funzionali &lt; 250m2 La prova può essere richiesta dal Centro di certificazione.</t>
  </si>
  <si>
    <t>Illuminazione: riportare il valore medio secondo SIA 387/4 (non ponderati). Per edifici funzionali &gt;250m2 obbligatorio, facoltativo per &lt; 250m2.</t>
  </si>
  <si>
    <t>Variante 3 Climatizzazione: dichiarare se il raffreddamento previsto è sufficiente e il fabbisogno energetico è stato calcolato.</t>
  </si>
  <si>
    <t>Interrato minore della superfice edificata (SE)</t>
  </si>
  <si>
    <t>Interrato completamente all'interno della SE</t>
  </si>
  <si>
    <t>Interrato parzialmente al di fuori della SE</t>
  </si>
  <si>
    <t>Interrato significativamente più grande della SE o a due piani</t>
  </si>
  <si>
    <t>(esercizio)</t>
  </si>
  <si>
    <t>Oeko</t>
  </si>
  <si>
    <t>Z13</t>
  </si>
  <si>
    <t>Z14</t>
  </si>
  <si>
    <t>Z15</t>
  </si>
  <si>
    <t>Z16</t>
  </si>
  <si>
    <t>Z17</t>
  </si>
  <si>
    <t>S13</t>
  </si>
  <si>
    <t>S14</t>
  </si>
  <si>
    <t>S15</t>
  </si>
  <si>
    <t>S16</t>
  </si>
  <si>
    <t>S17</t>
  </si>
  <si>
    <t>S18</t>
  </si>
  <si>
    <t>AD13</t>
  </si>
  <si>
    <t>AD14</t>
  </si>
  <si>
    <t>AD15</t>
  </si>
  <si>
    <t>AD16</t>
  </si>
  <si>
    <t>AD17</t>
  </si>
  <si>
    <t>AG13</t>
  </si>
  <si>
    <t>AG14</t>
  </si>
  <si>
    <t>AG15</t>
  </si>
  <si>
    <t>AG16</t>
  </si>
  <si>
    <t>AG17</t>
  </si>
  <si>
    <t>AG18</t>
  </si>
  <si>
    <t>AJ13</t>
  </si>
  <si>
    <t>AJ14</t>
  </si>
  <si>
    <t>AJ15</t>
  </si>
  <si>
    <t>AJ16</t>
  </si>
  <si>
    <t>AJ17</t>
  </si>
  <si>
    <t>Blatt  "Uebersetzung" G434 -G694</t>
  </si>
  <si>
    <t>Diverse italienische Übersetzungen angepasst.</t>
  </si>
  <si>
    <t>Minimale Grösse der Eigenstromerzeugung  [kWp]:</t>
  </si>
  <si>
    <t>spezifische, installierte Leistung pro m2 EBF  [W/m2] :</t>
  </si>
  <si>
    <t>Puissance installée spécifique, par m2 SRE [W/m2] :</t>
  </si>
  <si>
    <t>Potenza specifica installata per m2 AE  [W/m2] :</t>
  </si>
  <si>
    <t>E50</t>
  </si>
  <si>
    <t>E54</t>
  </si>
  <si>
    <t>E53</t>
  </si>
  <si>
    <t>E52</t>
  </si>
  <si>
    <t>E51</t>
  </si>
  <si>
    <t>F56</t>
  </si>
  <si>
    <t xml:space="preserve">Besoins / Production PV [kWh] </t>
  </si>
  <si>
    <t xml:space="preserve">Fabbisogno / Produzione PV [kWh] </t>
  </si>
  <si>
    <t xml:space="preserve">Bedarf / Produktion PV [kWh] </t>
  </si>
  <si>
    <t>E55</t>
  </si>
  <si>
    <t>E56</t>
  </si>
  <si>
    <t>Taille min. de l'installation d’autoproduction d’électricité [kWp]:</t>
  </si>
  <si>
    <t>Dimensione min. della produzione propria di elettricità [kWp]:</t>
  </si>
  <si>
    <t>AJ62</t>
  </si>
  <si>
    <t>Bern:</t>
  </si>
  <si>
    <t>MINERGIE
Eingaben</t>
  </si>
  <si>
    <t>G62. G57
H54</t>
  </si>
  <si>
    <t>G52</t>
  </si>
  <si>
    <t>Neue Auswah: Berner Norm 2023</t>
  </si>
  <si>
    <t>Blatt "Standardwerte", AL64 ergänzt</t>
  </si>
  <si>
    <t>Blatt "Standardwerte", AJ62 ergänzt</t>
  </si>
  <si>
    <t>Neue Variable "bern" für die Auswahl Berner Norm 2023</t>
  </si>
  <si>
    <t>Blatt "Eingaben", A50 - K56 ergänzt mit Eingaben für PV</t>
  </si>
  <si>
    <t>Verschieben der Eingabefelder für PV von Blatt "Minergie" auf Blatt "Eingaben"</t>
  </si>
  <si>
    <t>Blatt "Mindergie", A53 - K59 auf A115 - K121 verschoben / ausgeblendet</t>
  </si>
  <si>
    <t>Fehlerbehandlungsfunktionen funktionieren in Excel 2010 nicht. Ersetzt.</t>
  </si>
  <si>
    <t>Blatt "Erstellung", F34-F35, H34-H36, Fehlerbehandlungsfunktionen durch Wenn-Formel ersetzt.</t>
  </si>
  <si>
    <t>Gewichtete Gesamtenergieeffizienz gGEE</t>
  </si>
  <si>
    <t>Bern 2023</t>
  </si>
  <si>
    <r>
      <t>Geräte E</t>
    </r>
    <r>
      <rPr>
        <vertAlign val="subscript"/>
        <sz val="10"/>
        <color theme="0"/>
        <rFont val="Arial"/>
        <family val="2"/>
      </rPr>
      <t>G</t>
    </r>
  </si>
  <si>
    <r>
      <t>Gebäudetech E</t>
    </r>
    <r>
      <rPr>
        <vertAlign val="subscript"/>
        <sz val="10"/>
        <color theme="0"/>
        <rFont val="Arial"/>
        <family val="2"/>
      </rPr>
      <t>AGT</t>
    </r>
  </si>
  <si>
    <t>gewichtet mit Fak. 2</t>
  </si>
  <si>
    <r>
      <t>Licht E</t>
    </r>
    <r>
      <rPr>
        <vertAlign val="subscript"/>
        <sz val="10"/>
        <color theme="0"/>
        <rFont val="Arial"/>
        <family val="2"/>
      </rPr>
      <t>Bel</t>
    </r>
  </si>
  <si>
    <r>
      <t>E</t>
    </r>
    <r>
      <rPr>
        <vertAlign val="subscript"/>
        <sz val="10"/>
        <color theme="0"/>
        <rFont val="Arial"/>
        <family val="2"/>
      </rPr>
      <t>ProdE</t>
    </r>
  </si>
  <si>
    <t>Leistung pro m2 EBF Neubau  [kWh/m2]</t>
  </si>
  <si>
    <t>Blatt "Eingaben", B23 - K24, Eingabe der Anzahl Wohnungen und des Strombedarfs Beleuchtung</t>
  </si>
  <si>
    <t>Berner Nachweis, Eingabefelder für Strombedarf Beleuchtung und Wohnnutzung</t>
  </si>
  <si>
    <t>Blatt "Standardwerte", L126 - L137, neue Grenzwerte für Berner Nachweis ergänzt.</t>
  </si>
  <si>
    <t>Berner Nachweis, Grenzwerte nach Berner Energiegesetz 2023 ergänzt.</t>
  </si>
  <si>
    <t>Blatt "Standardwerte", H140 - R154, Berechnung des gGEE (gewichtete Gesamtenergieeffzizienz)</t>
  </si>
  <si>
    <t>Berner Nachweis, Standardwerte und Berechnung des gGEE für Neubaten</t>
  </si>
  <si>
    <t>Blatt "Nachweis", B43 - L44, Formeln angepasst, Berechnung gGEE und Grenzwert</t>
  </si>
  <si>
    <t>Berner Nachweis, Berechnung Grenzwert und Projektwert gGEE</t>
  </si>
  <si>
    <t>Berner Nachweis, Ewohnen für MFH immer mit Lift / EFH ohne Lift</t>
  </si>
  <si>
    <t xml:space="preserve"> Nachweisprüfung:</t>
  </si>
  <si>
    <t>Contrôle du justificatif:</t>
  </si>
  <si>
    <t>Controllo della verifica:</t>
  </si>
  <si>
    <t>H54</t>
  </si>
  <si>
    <t>Bemerkungen:</t>
  </si>
  <si>
    <t>Remarques:</t>
  </si>
  <si>
    <t>Osservazioni:</t>
  </si>
  <si>
    <t>Uebersicht_BE</t>
  </si>
  <si>
    <t>gGEE</t>
  </si>
  <si>
    <t xml:space="preserve">Visualisierung </t>
  </si>
  <si>
    <t xml:space="preserve">Visualisation </t>
  </si>
  <si>
    <t xml:space="preserve">Visualizzazione </t>
  </si>
  <si>
    <t>Erfüllung der Anforderung</t>
  </si>
  <si>
    <t>Rispetto del requisito</t>
  </si>
  <si>
    <t>Protezione termica estiva</t>
  </si>
  <si>
    <t>Blatt "Eingaben", B54 - K62: Einblenden Unterschriftenfeld bei Berner Nachweis</t>
  </si>
  <si>
    <t>Unterschriften- und Prüffeld für Berner Nachweis ergänzt</t>
  </si>
  <si>
    <t>Blatt "Uebersicht_BE" erstellt für Darstellung der Teilresultate des gGEE</t>
  </si>
  <si>
    <t>Neues Übersichtsblatt für Berner Nachweis mit gGEE erstellt</t>
  </si>
  <si>
    <t>gGEE,H:  indice partiel chauffage
gGEE,R: indice riscaldamento</t>
  </si>
  <si>
    <t>gGEE,H: Teilkennzahl Heizung</t>
  </si>
  <si>
    <t>Tag
K50</t>
  </si>
  <si>
    <t>gGEE,AC: indice acqua calda</t>
  </si>
  <si>
    <t>gGEE,ww: Teilkennzahl Warmwasser</t>
  </si>
  <si>
    <t>Tag
K52</t>
  </si>
  <si>
    <t>gGEE,VC: indice ventilazione e clima</t>
  </si>
  <si>
    <t>gGEE,LK: Teilkennzahl Lüftung und Klima</t>
  </si>
  <si>
    <t>Tag
K54</t>
  </si>
  <si>
    <t>gGEE, el resid: indice elettricità residenziale</t>
  </si>
  <si>
    <t>gGEEel,wohn: Teilkennzahl Wohnstrom</t>
  </si>
  <si>
    <t>Tag
K56</t>
  </si>
  <si>
    <t>Tag
K58</t>
  </si>
  <si>
    <t>Tag
K60</t>
  </si>
  <si>
    <t>Tag
K62</t>
  </si>
  <si>
    <t>gGEE, Ill: indice illuminazione</t>
  </si>
  <si>
    <t>gGEE,Bel: Teilkennzahl Beleuchtung</t>
  </si>
  <si>
    <t>gGEE, app: indice apparecchi</t>
  </si>
  <si>
    <t>gGEE,Geräte: Teilkennzahl Geräte</t>
  </si>
  <si>
    <t>gGEE, imp: indice impiantistica</t>
  </si>
  <si>
    <t>gGEE,AGT: Teilkennzahl allgemeine Gebäudetechnik</t>
  </si>
  <si>
    <t>Nachweis / Uebersicht_BE</t>
  </si>
  <si>
    <t>B58
Tag K68</t>
  </si>
  <si>
    <t>gewichtete Gesamtenergieeffizienz gGEE</t>
  </si>
  <si>
    <t>Wohneinheiten</t>
  </si>
  <si>
    <t>Blatt "Minergie", U77-Z77, Verschiebung Anzahl Woheinheiten von F25 - K25</t>
  </si>
  <si>
    <t>Eingabe Anzahl Wohneinheiten auf Blatt "Eingaben" (Bern) oder Blatt "Minergie" (Minergie)</t>
  </si>
  <si>
    <t>Blatt "Standardwerte" N143 - Q144: bei Berner-Norm Übernahme Werte von "Minergie" O44-R44</t>
  </si>
  <si>
    <t>Strombedarf gGEEel,wohnen mit Ausnahme des Liftes identisch mit MKZel,wohnen</t>
  </si>
  <si>
    <t>Blatt "Minergie" O33 - R33: Formel angepasst</t>
  </si>
  <si>
    <t>Bei Berner Nachweis für MFH immer mit Lift, für EFH immer ohne Lift</t>
  </si>
  <si>
    <t>Blatt "Minergie" O43 - R43: Formel angepasst</t>
  </si>
  <si>
    <t>Bei Berner Nachweis Reduktion für Haushaltgeräte und Beleuchtung immer 0%</t>
  </si>
  <si>
    <r>
      <t>kg CO</t>
    </r>
    <r>
      <rPr>
        <vertAlign val="subscript"/>
        <sz val="10"/>
        <rFont val="Arial"/>
        <family val="2"/>
      </rPr>
      <t>2</t>
    </r>
    <r>
      <rPr>
        <sz val="10"/>
        <rFont val="Arial"/>
        <family val="2"/>
      </rPr>
      <t>-e/m</t>
    </r>
    <r>
      <rPr>
        <vertAlign val="superscript"/>
        <sz val="10"/>
        <rFont val="Arial"/>
        <family val="2"/>
      </rPr>
      <t>2</t>
    </r>
  </si>
  <si>
    <t>Blatt "Erstellung", Grafiken angepasst</t>
  </si>
  <si>
    <t>Treibhausgase in Erstellung und gespeicherter Kohlenstoff in je einer separaten Grafik</t>
  </si>
  <si>
    <t>Leerstellen durch Verschiebung PV auf Eingabe-Blatt ausgeblendet</t>
  </si>
  <si>
    <t>Blatt "Minergie", Zeilen 51-61 ausgeblendet, Zeilenhöhe angepasst</t>
  </si>
  <si>
    <t>Kohlenstoff  [kg C/m2]</t>
  </si>
  <si>
    <t>Carbonio  [kg C/m2]</t>
  </si>
  <si>
    <t>Efficacité énergétique globale pondérée EEGp</t>
  </si>
  <si>
    <t>Puissance par m2 SRE Nouvelle construction  [kWh/m2]</t>
  </si>
  <si>
    <t>EEGp</t>
  </si>
  <si>
    <t>Exigence satisfaite</t>
  </si>
  <si>
    <t>EEGp,ch: indice partiel chauffage</t>
  </si>
  <si>
    <t>EEGp,ecs : indice partiel eau chaude sanitaire</t>
  </si>
  <si>
    <t>EEGp,vc: indice partiel aération et climat</t>
  </si>
  <si>
    <t>EEGp,el,hab: indice partiel électricité bâtiments d'habitation</t>
  </si>
  <si>
    <t>EEGp,ecl: indice partiel éclairage</t>
  </si>
  <si>
    <t>EEGp,app:  indice partiel appareils</t>
  </si>
  <si>
    <t>EEGp,inst:  indice partiel installations techniques</t>
  </si>
  <si>
    <t>Carbone  [kg C/m2]</t>
  </si>
  <si>
    <t>Efficienza energetica complessiva ponderata gGEE</t>
  </si>
  <si>
    <t>Prestazioni per m2 AE nuova costruzione  [kWh/m2]</t>
  </si>
  <si>
    <t>Blatt  "Uebersetzung" F700 - G719</t>
  </si>
  <si>
    <t>Übersetzungen französisch / italienisch angepasst</t>
  </si>
  <si>
    <t>Blatt "MOP" muss an 8. Stelle stehen, damit die automatische Auslesung funktioniert</t>
  </si>
  <si>
    <t>Blatt "MOP" vor das Blatt "Uebersicht_BE gestellt</t>
  </si>
  <si>
    <t>Blatt "Uebersetzung, Zellen E5-G5, H4, B2-C2 angepasst</t>
  </si>
  <si>
    <t>Versionsnummer für Minergie unabhängig von Gültigkeitsjahr eingebbar</t>
  </si>
  <si>
    <t>Blatt "Standardwerte" BN28: Bezug auf AK63 eingefügt</t>
  </si>
  <si>
    <t>Minergie-P war irrtümlich fix auf Ja gesetzt. Korrigiert.</t>
  </si>
  <si>
    <t>Stromproduktion</t>
  </si>
  <si>
    <t xml:space="preserve"> Production d'électricité</t>
  </si>
  <si>
    <t>Strom nicht anrechenbar</t>
  </si>
  <si>
    <t>Électricité non pris en compte</t>
  </si>
  <si>
    <t>Strom Eigenverbrauch</t>
  </si>
  <si>
    <t>Strom-Anteil Einspeisung</t>
  </si>
  <si>
    <t>Électricité autoconsommation</t>
  </si>
  <si>
    <t>Électricité part injectée</t>
  </si>
  <si>
    <t>Blatt "Eingaben", K1, E3, "Uebersetzung", E5, F5 angepasst</t>
  </si>
  <si>
    <t>Neu EN-101 BE statt EN-101b bei Auswahl "Berner Nachweis"</t>
  </si>
  <si>
    <t>Blatt "Uebersicht_BE", neue Übersetzungsverweise in den Zellen M58, M59, M61, M68</t>
  </si>
  <si>
    <t>Stromproduktion / Strom statt PV</t>
  </si>
  <si>
    <t>Blatt "Uebersetzung", neue Zeilen 720 -723</t>
  </si>
  <si>
    <t>Neue Bezeichnungen auf Blatt "Uebersicht_BE", Strom statt PV</t>
  </si>
  <si>
    <t>Blatt "Eingaben", B51 und B53, Formel und Text in Tag angepasst</t>
  </si>
  <si>
    <t>Bei "Berner Nachweis" neu kW zu kWp ergänzt und Volllaststunden für Windkraft</t>
  </si>
  <si>
    <t>Blatt "Uebersicht_BE", K59</t>
  </si>
  <si>
    <t>Bei Zweckbau mit &gt;1000m2 neu Beleuchtung von  "Eingabe" F24 - I24 statt Standardwert</t>
  </si>
  <si>
    <t>"Eingabe" F24 - I24, Grundfarbe neue hellgelb statt dunkelgelb</t>
  </si>
  <si>
    <t>Bei Zweckbau mit &gt;1000m2 neu Beleuchtungseingabe fakultativ (sonst Standardwerte)</t>
  </si>
  <si>
    <t>"Minergie" O26 - R26, Formel beim Berner - Nachweis angepasst</t>
  </si>
  <si>
    <r>
      <t>f</t>
    </r>
    <r>
      <rPr>
        <vertAlign val="subscript"/>
        <sz val="10"/>
        <rFont val="Arial"/>
        <family val="2"/>
      </rPr>
      <t>eff</t>
    </r>
    <r>
      <rPr>
        <sz val="10"/>
        <rFont val="Arial"/>
        <family val="2"/>
      </rPr>
      <t xml:space="preserve"> beim Berner Nachweis immer 1 im Neubau, nicht 0.85 wie bei Minergie</t>
    </r>
  </si>
  <si>
    <t>BE, 50% erneuerbar</t>
  </si>
  <si>
    <t>ausblenden Zeile 60:</t>
  </si>
  <si>
    <t>Sommerlicher Wärmeschutz
(fakultative Eingabe)</t>
  </si>
  <si>
    <t>Protection thermique estivale
(entrée facultative)</t>
  </si>
  <si>
    <t>Blatt "Nachweis" B60 - L60 immer ausgeblendet beim Minergie-Nachweis</t>
  </si>
  <si>
    <t>Keine Zusatzanforderungen Warmwasser mehr in Minergie</t>
  </si>
  <si>
    <t>Blatt "Nachweis" B60 - L60 eingeblendet bei Neubauten Kat. I, II, IV, VI, VIII, XI, XII im Nachweis Bern</t>
  </si>
  <si>
    <t>Zusatzanforderung Warmwasser 50% erneuerbar bei Neubauten Kt. Bern</t>
  </si>
  <si>
    <t>Blatt "Nachweis" B60:  neuer Text für Berner Nachweis</t>
  </si>
  <si>
    <t>Blatt "Sommer" H2:  neuer Text für Berner Nachweis</t>
  </si>
  <si>
    <t>Hinweis, dass sommerlicher Wärmeschutz fakultativ ist in Bern</t>
  </si>
  <si>
    <t>Warmwasser mit mindestens 20% erneuerbarer Energie erzeugt (für Restaurants / Sportbauten / Hallenbäder) ?</t>
  </si>
  <si>
    <t>Eau chaude avec min. 20% d'énergie renouvelable (pour restaurants, installations sportives, piscines couvertes) ?</t>
  </si>
  <si>
    <t>ACS prodotta con almeno 20% di energie rinnovabili (per ristoranti/impianti sportivi/piscine) ?</t>
  </si>
  <si>
    <t>Warmwasser mit mindestens 50% erneuerbarer Energie erzeugt (Gebäudekategorie I, II, IV, VI, VIII, XI, XII) ?</t>
  </si>
  <si>
    <t>Eau chaude avec min. 50% d'énergie renouvelable (Catégorie d'ouvrage I, II, IV, VI, VIII, XI, XII) ?</t>
  </si>
  <si>
    <t>ACS prodotta con almeno 50% di energie rinnovabili (per Categoria d'edificio I, II, IV, VI, VIII, XI, XII) ?</t>
  </si>
  <si>
    <t>Blatt "Uebersicht_BE" R50: Bezug neu auf K59</t>
  </si>
  <si>
    <t>Auf der Visu wurde bei grossen Zweckbauten immer der Standard-Wert Beleuchtung dargesellt.</t>
  </si>
  <si>
    <t>Blatt "Eingaben", "Nachweis", "Sommer", "Uebersicht_BE"</t>
  </si>
  <si>
    <t>Neues Loge für den Kanton Bern</t>
  </si>
  <si>
    <t>Blatt "Standardwerte", N143 - Q143, Stromverbrauch Lift ergänzt.</t>
  </si>
  <si>
    <t>Blatt "Uebersetzung":  E4 - G5, neue Versionsnummer / Gültigkeitsdatum</t>
  </si>
  <si>
    <t>Neu: Version 2.9, im Kanton Bern ohne Gültigkeitsvermerk, behördlicher Nachweis bis 2024</t>
  </si>
  <si>
    <t>Energieeffizienz-Faktor Kt. Bern: Abminderung immer 15% für  Haushaltgeräte</t>
  </si>
  <si>
    <t>Blatt "Minergie":  O26 - R26, Energie-Effizienz bei Neubauten Kt. Bern immer 85%, Abminderung immer 15%</t>
  </si>
  <si>
    <t>Beleuchtung Zweckneubau EBF&gt;1000m2</t>
  </si>
  <si>
    <t>Blatt "Uebersicht_BE": K59, N52, neu: M62-T62, Formeln angepasst / neu</t>
  </si>
  <si>
    <t>Fehler in Anzeige gGEE Beleuchtung grosse Zweckbauten, Zone 2-4. Korrigiert.</t>
  </si>
  <si>
    <t>Blatt "Minergie": U91 - Z92 (neu), V83 -Y83 und O44 - R44 Formeln angepasst</t>
  </si>
  <si>
    <t>MKZ Wohnstrom-Modell: Fehler bei Wohnungsgrössen &lt; 70m2 und &gt; 125m2 (EBF) behoben.</t>
  </si>
  <si>
    <r>
      <t>MKZ</t>
    </r>
    <r>
      <rPr>
        <vertAlign val="subscript"/>
        <sz val="9"/>
        <rFont val="Arial"/>
        <family val="2"/>
      </rPr>
      <t>Wohnen,&gt;125m2</t>
    </r>
    <r>
      <rPr>
        <sz val="9"/>
        <rFont val="Arial"/>
        <family val="2"/>
      </rPr>
      <t xml:space="preserve"> </t>
    </r>
  </si>
  <si>
    <r>
      <t>MKZ</t>
    </r>
    <r>
      <rPr>
        <vertAlign val="subscript"/>
        <sz val="9"/>
        <rFont val="Arial"/>
        <family val="2"/>
      </rPr>
      <t>Wohnen&lt;70m2</t>
    </r>
  </si>
  <si>
    <t>Blatt "Minergie": S15, S18, S103-S108, S71, S72, Formel angepasst.</t>
  </si>
  <si>
    <t>Neu für Mittelung bei Berner Modell oder Muken nur Neubau-Anteil bei der EBF genommen.</t>
  </si>
  <si>
    <t>Blatt "Minergie":  O26 - R26, Energie-Effizienz bei Neubauten Kt. Bern immer 85%, ohne Abminderung</t>
  </si>
  <si>
    <r>
      <t>Energieeffizienz-Faktor Kt. Bern: f</t>
    </r>
    <r>
      <rPr>
        <vertAlign val="subscript"/>
        <sz val="10"/>
        <rFont val="Arial"/>
        <family val="2"/>
      </rPr>
      <t>eff</t>
    </r>
    <r>
      <rPr>
        <sz val="10"/>
        <rFont val="Arial"/>
        <family val="2"/>
      </rPr>
      <t xml:space="preserve"> nur Neubaufaktor 0.85, ohne Abminderung Haushaltgeräte</t>
    </r>
  </si>
  <si>
    <t>Blatt "Eingaben":  O2 - R2, neue Zwischenfelder für Eingabe der EBF pro Kategorie</t>
  </si>
  <si>
    <t>Wird die Nutzungs-Kategorie gelöscht, so wird neu die EBF dieser Kategorie auf 0 gesetzt.</t>
  </si>
  <si>
    <t>Blatt "MINERGIE"  P26 - R26, falsche Berechnung des Wohnstroms in Zone 2 - 4</t>
  </si>
  <si>
    <t>falscher Bezug auf Variable _neu1 in den Zonen 2 - 4 durch _neu2, _neu3_ und _neu4 ersetzt</t>
  </si>
  <si>
    <t>Im Kt. Bern wurde der Mittelwert für Qe un E_Qk auch mit der Altbau-EBF gebildet. Korrigiert.</t>
  </si>
  <si>
    <t>Blatt "Eingaben":  F83 - K84, Auswahlbedingung für MUKEN mit Bern ergänzt.</t>
  </si>
  <si>
    <t>Solarpflicht_BE</t>
  </si>
  <si>
    <t>EBF Neubau wohnen [m2]:</t>
  </si>
  <si>
    <t>Qh,eff  [kWh/m2]</t>
  </si>
  <si>
    <t>Ewohnen  [kWh/m2]</t>
  </si>
  <si>
    <t>Halber Normbedarf [kWh]</t>
  </si>
  <si>
    <t>Zone:</t>
  </si>
  <si>
    <t>Erzeugung:</t>
  </si>
  <si>
    <t>Fläche thermische Solaranlage  [m2]</t>
  </si>
  <si>
    <t>spezifischer Solarertrag  [kWh/m2]</t>
  </si>
  <si>
    <t>Solarertrag  [kWh]</t>
  </si>
  <si>
    <t>Installierte Leistung PV  [kWp]</t>
  </si>
  <si>
    <t>Spezifischer PV-Erstrag  [kWh/kWp]</t>
  </si>
  <si>
    <t>PV-Ertrag  [kWh]</t>
  </si>
  <si>
    <t>Jahresertrag PV + Thermie  [kWh]</t>
  </si>
  <si>
    <t>Solarpflicht erfüllt?</t>
  </si>
  <si>
    <t>Projektwert</t>
  </si>
  <si>
    <r>
      <t>Q</t>
    </r>
    <r>
      <rPr>
        <vertAlign val="subscript"/>
        <sz val="10"/>
        <rFont val="Arial"/>
        <family val="2"/>
      </rPr>
      <t>h,eff</t>
    </r>
  </si>
  <si>
    <r>
      <t>E</t>
    </r>
    <r>
      <rPr>
        <vertAlign val="subscript"/>
        <sz val="10"/>
        <rFont val="Arial"/>
        <family val="2"/>
      </rPr>
      <t>wohnen</t>
    </r>
  </si>
  <si>
    <r>
      <t xml:space="preserve"> m</t>
    </r>
    <r>
      <rPr>
        <vertAlign val="superscript"/>
        <sz val="9"/>
        <rFont val="Arial"/>
        <family val="2"/>
      </rPr>
      <t>2</t>
    </r>
  </si>
  <si>
    <t xml:space="preserve"> kWh</t>
  </si>
  <si>
    <t>Jahresertrag Photovoltaik</t>
  </si>
  <si>
    <t>Heizwärmebedarf Wohnbauten (Neubau)</t>
  </si>
  <si>
    <t>Halber Normbedarf</t>
  </si>
  <si>
    <t>P9</t>
  </si>
  <si>
    <t>P18</t>
  </si>
  <si>
    <t>P19</t>
  </si>
  <si>
    <t>P25</t>
  </si>
  <si>
    <t>P26</t>
  </si>
  <si>
    <t>P27</t>
  </si>
  <si>
    <t>P28</t>
  </si>
  <si>
    <t>P29</t>
  </si>
  <si>
    <t>P30</t>
  </si>
  <si>
    <t>P31</t>
  </si>
  <si>
    <t>Berner Energiegesetz 2026</t>
  </si>
  <si>
    <t>Loi sur l'énergie bernoise 2026</t>
  </si>
  <si>
    <t>Diritto energetico bernese 2026</t>
  </si>
  <si>
    <t>Energiegesetz Kt. Bern 1. 1. 2026</t>
  </si>
  <si>
    <t>Blatt "Uebersetzung":  E702 - G702, geändert</t>
  </si>
  <si>
    <t>Neu: Berner Energiegesetz 2026</t>
  </si>
  <si>
    <t>Blatt "Uebersetzung":  E4 - G5, neue Versionsnummer / D1, Gültigkeitsdatum</t>
  </si>
  <si>
    <t>Neu: Version 2.96, Gültigkeitsdatum neu 2026</t>
  </si>
  <si>
    <t>Blatt "Uebersetzung": E93 - G93, bei Bern Hallenbad gelöscht</t>
  </si>
  <si>
    <t>Im Nachweis Kt. Bern soll das Hallenbad nicht mehr ausgewählt werden können.</t>
  </si>
  <si>
    <t>F24</t>
  </si>
  <si>
    <t>E20</t>
  </si>
  <si>
    <t>Solarpflicht: Anrechenbare Gebäudefläche</t>
  </si>
  <si>
    <t>Anrechenbare Gebäudefläche:</t>
  </si>
  <si>
    <t>Anrechenbare Gebäudefläche</t>
  </si>
  <si>
    <t>Blatt "Eingaben": Neue Zeile E20</t>
  </si>
  <si>
    <t>Eingabe der "anrechenbaren Gebäudefläche" zur Ermittlung der vereinfachten Solarpflicht</t>
  </si>
  <si>
    <t>Vereinfachte Solarpflicht nach 19c KEnV?</t>
  </si>
  <si>
    <t>EBF Neubau nicht wohnen [m2]</t>
  </si>
  <si>
    <t>Mischnutzung Neubau?</t>
  </si>
  <si>
    <t>Neu: vereinfachte Solarpflicht bei Misch-Nutzung (Neubau) nicht möglich.</t>
  </si>
  <si>
    <t>Einhaltung vereinfachte Solarpflicht Kt. Bern ergänzt.</t>
  </si>
  <si>
    <t>Jahresertrag Solarthermie</t>
  </si>
  <si>
    <t>Gesamtjahresertrag (Solarthermie + PV)</t>
  </si>
  <si>
    <t>Norm-Strombedarf Wohnbauten</t>
  </si>
  <si>
    <t>Erläuterung</t>
  </si>
  <si>
    <t>Explication</t>
  </si>
  <si>
    <t>Hinweis: Die automatische Berechnung des Registerblatts erfolgt, wenn der Neubau ausschliesslich Wohnnutzung und eine</t>
  </si>
  <si>
    <t>≤  300</t>
  </si>
  <si>
    <t>L'efficacité énergétique globale pondérée (EEGp), conformément à l'article 42 LCEn et à l'article 30 OCEn, ainsi que l'obligation</t>
  </si>
  <si>
    <t>Pour les petits bâtiments d’habitation (surface déterminante de construction ≤ 300 m²), construits neufs et de manière</t>
  </si>
  <si>
    <t xml:space="preserve">Remarque : Le calcul automatique de la feuille s’effectue si le nouveau bâtiment est exclusivement destiné à l'habitation </t>
  </si>
  <si>
    <t>et présente une surface déterminante de construction ≤ 300 m².</t>
  </si>
  <si>
    <t>P20</t>
  </si>
  <si>
    <t>P32</t>
  </si>
  <si>
    <t>P34</t>
  </si>
  <si>
    <r>
      <t>anrechenbare Gebäudefläche ≤ 300 m</t>
    </r>
    <r>
      <rPr>
        <vertAlign val="superscript"/>
        <sz val="9"/>
        <rFont val="Arial"/>
        <family val="2"/>
      </rPr>
      <t>2</t>
    </r>
    <r>
      <rPr>
        <sz val="9"/>
        <rFont val="Arial"/>
        <family val="2"/>
      </rPr>
      <t xml:space="preserve"> aufweist.</t>
    </r>
  </si>
  <si>
    <t>La moitié du besoin normalisé</t>
  </si>
  <si>
    <t>Surface déterminante de construction</t>
  </si>
  <si>
    <t>Besoins de chauffage des logements neufs</t>
  </si>
  <si>
    <t>Besoins électriques normalisés de l’habitat</t>
  </si>
  <si>
    <t>Production annuelle solaire thermique</t>
  </si>
  <si>
    <t>Production annuelle photovoltaïque</t>
  </si>
  <si>
    <t>Production annuelle solaire (thermique et PV)</t>
  </si>
  <si>
    <t>Valeur du projet</t>
  </si>
  <si>
    <t>Anpassungen Darstellung und Text gemäss Wunsch Kt. Bern</t>
  </si>
  <si>
    <t>Grenze für Solarpflicht kleine Wohngebäude &lt;=300m2 (statt &lt;300m2)</t>
  </si>
  <si>
    <t>Anpassung französischer Text</t>
  </si>
  <si>
    <t>P22</t>
  </si>
  <si>
    <t>P24</t>
  </si>
  <si>
    <t>Normbedarf Warmwasser Wohnbauten</t>
  </si>
  <si>
    <r>
      <t>Q</t>
    </r>
    <r>
      <rPr>
        <vertAlign val="subscript"/>
        <sz val="10"/>
        <rFont val="Arial"/>
        <family val="2"/>
      </rPr>
      <t>w</t>
    </r>
  </si>
  <si>
    <t>Besoin normalisé en eau chaude</t>
  </si>
  <si>
    <t>Qww [kWh/m2]</t>
  </si>
  <si>
    <t>v2.97</t>
  </si>
  <si>
    <t>Ergänzung Warmwasser-Bedarf zur Bestimmung des halben Normbedarfs</t>
  </si>
  <si>
    <t>Beilage zu EN-Solar BE</t>
  </si>
  <si>
    <t>Berechnung halber Normbedarf</t>
  </si>
  <si>
    <t>Es ist in jedem Fall sowohl die gewichtete Gesamtenergieeffizienz (gGEE) nach Art. 42 KEnG und Art. 30 KEnV</t>
  </si>
  <si>
    <t>Gesamtjahresertrag entspricht mindestens halbem Normbedarf?</t>
  </si>
  <si>
    <t>Annexe pour EN-Solaire BE</t>
  </si>
  <si>
    <t>Calcul moitié du besoin normalisé</t>
  </si>
  <si>
    <t>als auch die Solarpflicht zu erfüllen.</t>
  </si>
  <si>
    <t>d’utiliser l’énergie solaire, doivent être respectées dans tous les cas.</t>
  </si>
  <si>
    <r>
      <t>Bei neuen auf Dauer angelegten kleinen Wohnbauten (anrechenbare Gebäudefläche ≤ 300 m</t>
    </r>
    <r>
      <rPr>
        <vertAlign val="superscript"/>
        <sz val="9"/>
        <rFont val="Arial"/>
        <family val="2"/>
      </rPr>
      <t>2</t>
    </r>
    <r>
      <rPr>
        <sz val="9"/>
        <rFont val="Arial"/>
        <family val="2"/>
      </rPr>
      <t>) kann die erleichterte Solarpflicht</t>
    </r>
  </si>
  <si>
    <t>nach Art. 39b KEnG geltend gemacht werden, wenn der Gesamtsolarertrag mindestens dem halben Normbedarf entspricht.</t>
  </si>
  <si>
    <t>permanente, l'obligation allégée selon l'art. 39b LCEN peut être appliquée, si la production d'énergie solaire correspond</t>
  </si>
  <si>
    <t>au moins à la moitié du besoin normalisé.</t>
  </si>
  <si>
    <t>Wenn der Gesamtjahresertrag (Zeile P31) mindestens dem halben Normbedarf (Zeile P28) entspricht und der Neubau</t>
  </si>
  <si>
    <t>Si la production annuelle totale (P31) est au moins égale à la moitié du besoin normalisé (P28) et si le bâtiment</t>
  </si>
  <si>
    <t>remplit les conditions pour l'obligation allégée, cette feuille sert d'annexe pour le justificatif EN-Solaire BE.</t>
  </si>
  <si>
    <t>die Bedingungen für die erleichterte Solarpflicht erfüllt, dient dieses Blatt als Beilage zum Nachweis EN-Solar BE.</t>
  </si>
  <si>
    <t>Production correspond au moins à la moitié du besoin normalisé?</t>
  </si>
  <si>
    <r>
      <t xml:space="preserve"> (Q</t>
    </r>
    <r>
      <rPr>
        <b/>
        <vertAlign val="subscript"/>
        <sz val="10"/>
        <rFont val="Arial"/>
        <family val="2"/>
      </rPr>
      <t>h,eff</t>
    </r>
    <r>
      <rPr>
        <b/>
        <sz val="10"/>
        <rFont val="Arial"/>
        <family val="2"/>
      </rPr>
      <t xml:space="preserve"> + Q</t>
    </r>
    <r>
      <rPr>
        <b/>
        <vertAlign val="subscript"/>
        <sz val="10"/>
        <rFont val="Arial"/>
        <family val="2"/>
      </rPr>
      <t>w</t>
    </r>
    <r>
      <rPr>
        <b/>
        <sz val="10"/>
        <rFont val="Arial"/>
        <family val="2"/>
      </rPr>
      <t xml:space="preserve"> + E</t>
    </r>
    <r>
      <rPr>
        <b/>
        <vertAlign val="subscript"/>
        <sz val="10"/>
        <rFont val="Arial"/>
        <family val="2"/>
      </rPr>
      <t>wohnen</t>
    </r>
    <r>
      <rPr>
        <b/>
        <sz val="10"/>
        <rFont val="Arial"/>
        <family val="2"/>
      </rPr>
      <t xml:space="preserve">)/ 2  </t>
    </r>
  </si>
  <si>
    <t>Blatt "Solar_BE":  Ergänzung Zeile P26</t>
  </si>
  <si>
    <t>Blatt "Solar_BE":  Übersetzungen anpassen / Zeile 37 unten anfügen (zusätzlicher Text)</t>
  </si>
  <si>
    <t>Blatt "Solar_BE":  Anpassung K44</t>
  </si>
  <si>
    <t>Blatt "Solar_BE": und Blatt "Uebersetzung"</t>
  </si>
  <si>
    <t>Blatt "Solar_BE":  Anpassung B38-K55</t>
  </si>
  <si>
    <t>Blatt "Solar_BE": B31 - K31, Zeile ergänzt</t>
  </si>
  <si>
    <t>Neues Blatt "Solar_BE": erstellt.</t>
  </si>
  <si>
    <t>Blatt "Uebersetzung":  D726-D727, D728-D732, D746-D747, D733-D734</t>
  </si>
  <si>
    <t>Text durch Kt. Bern angepasst (deutsch und französisch)</t>
  </si>
  <si>
    <t>MK</t>
  </si>
  <si>
    <t>Blatt "Solar_BE":  G2 + J23 gelöscht. Wert Zeile 31 verschoben.</t>
  </si>
  <si>
    <t>MK / AH</t>
  </si>
  <si>
    <t>Durch Kt. Bern angepasst</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</si>
</sst>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 #,##0.00_ ;_ * \-#,##0.00_ ;_ * &quot;-&quot;??_ ;_ @_ "/>
    <numFmt numFmtId="164" formatCode="#,##0_ ;[Red]\-#,##0\ "/>
    <numFmt numFmtId="165" formatCode="0.00_ ;[Red]\-0.00\ "/>
    <numFmt numFmtId="166" formatCode="#,##0.00_ ;[Red]\-#,##0.00\ "/>
    <numFmt numFmtId="167" formatCode="0.0"/>
    <numFmt numFmtId="168" formatCode="#,##0.0_ ;[Red]\-#,##0.0\ "/>
    <numFmt numFmtId="169" formatCode="0.000"/>
    <numFmt numFmtId="170" formatCode="#,##0.0000_ ;[Red]\-#,##0.0000\ "/>
    <numFmt numFmtId="171" formatCode="0.0%"/>
    <numFmt numFmtId="172" formatCode="&quot;Fr.&quot;\ #,##0.00"/>
    <numFmt numFmtId="173" formatCode="#,##0.0"/>
    <numFmt numFmtId="174" formatCode="_ * #,##0_ ;_ * \-#,##0_ ;_ * &quot;-&quot;??_ ;_ @_ "/>
    <numFmt numFmtId="175" formatCode="#,##0.0_ ;\-#,##0.0\ "/>
    <numFmt numFmtId="176" formatCode="#,##0.000"/>
    <numFmt numFmtId="177" formatCode="0.000000"/>
    <numFmt numFmtId="178" formatCode="0.00000"/>
  </numFmts>
  <fonts count="142">
    <font>
      <sz val="10"/>
      <name val="Arial"/>
    </font>
    <font>
      <sz val="11"/>
      <color theme="1"/>
      <name val="Calibri"/>
      <family val="2"/>
      <scheme val="minor"/>
    </font>
    <font>
      <b/>
      <sz val="10"/>
      <name val="Arial"/>
      <family val="2"/>
    </font>
    <font>
      <sz val="10"/>
      <name val="Arial"/>
      <family val="2"/>
    </font>
    <font>
      <sz val="10"/>
      <name val="Arial"/>
      <family val="2"/>
    </font>
    <font>
      <b/>
      <sz val="12"/>
      <name val="Arial"/>
      <family val="2"/>
    </font>
    <font>
      <sz val="8"/>
      <name val="Arial"/>
      <family val="2"/>
    </font>
    <font>
      <sz val="8"/>
      <name val="Arial"/>
      <family val="2"/>
    </font>
    <font>
      <b/>
      <sz val="10"/>
      <color indexed="9"/>
      <name val="Arial"/>
      <family val="2"/>
    </font>
    <font>
      <vertAlign val="superscript"/>
      <sz val="8"/>
      <name val="Arial"/>
      <family val="2"/>
    </font>
    <font>
      <sz val="9"/>
      <name val="Arial"/>
      <family val="2"/>
    </font>
    <font>
      <b/>
      <sz val="9"/>
      <name val="Arial"/>
      <family val="2"/>
    </font>
    <font>
      <vertAlign val="subscript"/>
      <sz val="9"/>
      <name val="Arial"/>
      <family val="2"/>
    </font>
    <font>
      <sz val="9"/>
      <name val="Symbol"/>
      <family val="1"/>
      <charset val="2"/>
    </font>
    <font>
      <sz val="9"/>
      <name val="Arial"/>
      <family val="2"/>
    </font>
    <font>
      <b/>
      <sz val="9"/>
      <name val="Arial"/>
      <family val="2"/>
    </font>
    <font>
      <b/>
      <sz val="11"/>
      <name val="Arial"/>
      <family val="2"/>
    </font>
    <font>
      <sz val="6"/>
      <name val="Arial"/>
      <family val="2"/>
    </font>
    <font>
      <sz val="12"/>
      <name val="Wingdings"/>
      <charset val="2"/>
    </font>
    <font>
      <b/>
      <sz val="10"/>
      <name val="Arial"/>
      <family val="2"/>
    </font>
    <font>
      <sz val="9"/>
      <color indexed="8"/>
      <name val="Arial"/>
      <family val="2"/>
    </font>
    <font>
      <sz val="10"/>
      <color indexed="9"/>
      <name val="Arial"/>
      <family val="2"/>
    </font>
    <font>
      <sz val="10"/>
      <color indexed="8"/>
      <name val="Arial"/>
      <family val="2"/>
    </font>
    <font>
      <i/>
      <sz val="9"/>
      <color indexed="8"/>
      <name val="Arial"/>
      <family val="2"/>
    </font>
    <font>
      <sz val="9"/>
      <color indexed="9"/>
      <name val="Arial"/>
      <family val="2"/>
    </font>
    <font>
      <b/>
      <sz val="8"/>
      <name val="Arial"/>
      <family val="2"/>
    </font>
    <font>
      <sz val="9"/>
      <color indexed="10"/>
      <name val="Arial"/>
      <family val="2"/>
    </font>
    <font>
      <b/>
      <sz val="9"/>
      <color indexed="9"/>
      <name val="Symbol"/>
      <family val="1"/>
      <charset val="2"/>
    </font>
    <font>
      <b/>
      <sz val="9"/>
      <color indexed="9"/>
      <name val="Arial"/>
      <family val="2"/>
    </font>
    <font>
      <sz val="6"/>
      <color indexed="9"/>
      <name val="Arial"/>
      <family val="2"/>
    </font>
    <font>
      <b/>
      <sz val="10"/>
      <color indexed="12"/>
      <name val="Arial"/>
      <family val="2"/>
    </font>
    <font>
      <b/>
      <sz val="8"/>
      <color indexed="9"/>
      <name val="Arial"/>
      <family val="2"/>
    </font>
    <font>
      <b/>
      <i/>
      <sz val="8"/>
      <name val="Arial"/>
      <family val="2"/>
    </font>
    <font>
      <vertAlign val="subscript"/>
      <sz val="8"/>
      <name val="Arial"/>
      <family val="2"/>
    </font>
    <font>
      <sz val="8"/>
      <name val="Symbol"/>
      <family val="1"/>
      <charset val="2"/>
    </font>
    <font>
      <i/>
      <sz val="8"/>
      <name val="Arial"/>
      <family val="2"/>
    </font>
    <font>
      <b/>
      <sz val="10"/>
      <color indexed="8"/>
      <name val="Arial"/>
      <family val="2"/>
    </font>
    <font>
      <b/>
      <sz val="10"/>
      <color indexed="9"/>
      <name val="Symbol"/>
      <family val="1"/>
      <charset val="2"/>
    </font>
    <font>
      <b/>
      <sz val="10"/>
      <color indexed="9"/>
      <name val="Arial"/>
      <family val="2"/>
    </font>
    <font>
      <sz val="8"/>
      <color indexed="81"/>
      <name val="Tahoma"/>
      <family val="2"/>
    </font>
    <font>
      <sz val="6"/>
      <color indexed="10"/>
      <name val="Arial"/>
      <family val="2"/>
    </font>
    <font>
      <b/>
      <sz val="6"/>
      <color indexed="10"/>
      <name val="Arial"/>
      <family val="2"/>
    </font>
    <font>
      <sz val="10"/>
      <color indexed="10"/>
      <name val="Arial"/>
      <family val="2"/>
    </font>
    <font>
      <b/>
      <sz val="9"/>
      <color indexed="10"/>
      <name val="Arial"/>
      <family val="2"/>
    </font>
    <font>
      <b/>
      <sz val="8"/>
      <color indexed="10"/>
      <name val="Arial"/>
      <family val="2"/>
    </font>
    <font>
      <b/>
      <u/>
      <sz val="12"/>
      <color indexed="10"/>
      <name val="Arial"/>
      <family val="2"/>
    </font>
    <font>
      <b/>
      <sz val="7"/>
      <color indexed="10"/>
      <name val="Arial"/>
      <family val="2"/>
    </font>
    <font>
      <sz val="7"/>
      <color indexed="10"/>
      <name val="Arial"/>
      <family val="2"/>
    </font>
    <font>
      <sz val="8"/>
      <color indexed="8"/>
      <name val="Arial"/>
      <family val="2"/>
    </font>
    <font>
      <b/>
      <vertAlign val="subscript"/>
      <sz val="10"/>
      <color indexed="9"/>
      <name val="Arial"/>
      <family val="2"/>
    </font>
    <font>
      <b/>
      <sz val="8"/>
      <color indexed="81"/>
      <name val="Tahoma"/>
      <family val="2"/>
    </font>
    <font>
      <sz val="8"/>
      <color indexed="9"/>
      <name val="Arial"/>
      <family val="2"/>
    </font>
    <font>
      <b/>
      <sz val="10"/>
      <color indexed="10"/>
      <name val="Arial"/>
      <family val="2"/>
    </font>
    <font>
      <b/>
      <u/>
      <sz val="10"/>
      <color indexed="9"/>
      <name val="Arial"/>
      <family val="2"/>
    </font>
    <font>
      <sz val="7"/>
      <name val="Arial"/>
      <family val="2"/>
    </font>
    <font>
      <b/>
      <sz val="8"/>
      <color indexed="8"/>
      <name val="Arial"/>
      <family val="2"/>
    </font>
    <font>
      <b/>
      <u/>
      <sz val="18"/>
      <name val="Arial"/>
      <family val="2"/>
    </font>
    <font>
      <b/>
      <i/>
      <u/>
      <sz val="12"/>
      <name val="Arial"/>
      <family val="2"/>
    </font>
    <font>
      <b/>
      <u/>
      <sz val="12"/>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b/>
      <i/>
      <sz val="10"/>
      <name val="Arial"/>
      <family val="2"/>
    </font>
    <font>
      <b/>
      <sz val="14"/>
      <name val="Arial"/>
      <family val="2"/>
    </font>
    <font>
      <sz val="10"/>
      <color theme="1"/>
      <name val="Arial"/>
      <family val="2"/>
    </font>
    <font>
      <b/>
      <sz val="16"/>
      <name val="Arial"/>
      <family val="2"/>
    </font>
    <font>
      <sz val="11"/>
      <name val="Arial"/>
      <family val="2"/>
    </font>
    <font>
      <sz val="9"/>
      <color theme="1"/>
      <name val="Arial"/>
      <family val="2"/>
    </font>
    <font>
      <b/>
      <sz val="9"/>
      <color theme="1"/>
      <name val="Arial"/>
      <family val="2"/>
    </font>
    <font>
      <sz val="9"/>
      <color theme="0"/>
      <name val="Arial"/>
      <family val="2"/>
    </font>
    <font>
      <b/>
      <i/>
      <sz val="8"/>
      <color theme="1"/>
      <name val="Arial"/>
      <family val="2"/>
    </font>
    <font>
      <sz val="8"/>
      <color theme="1"/>
      <name val="Arial"/>
      <family val="2"/>
    </font>
    <font>
      <i/>
      <sz val="8"/>
      <color theme="1"/>
      <name val="Arial"/>
      <family val="2"/>
    </font>
    <font>
      <sz val="7"/>
      <color rgb="FFFF0000"/>
      <name val="Arial"/>
      <family val="2"/>
    </font>
    <font>
      <sz val="7"/>
      <color theme="1"/>
      <name val="Arial"/>
      <family val="2"/>
    </font>
    <font>
      <sz val="8"/>
      <color rgb="FFFF0000"/>
      <name val="Arial"/>
      <family val="2"/>
    </font>
    <font>
      <sz val="10"/>
      <color theme="0"/>
      <name val="Arial"/>
      <family val="2"/>
    </font>
    <font>
      <b/>
      <sz val="10"/>
      <color theme="0"/>
      <name val="Arial"/>
      <family val="2"/>
    </font>
    <font>
      <b/>
      <sz val="11"/>
      <color theme="0"/>
      <name val="Arial"/>
      <family val="2"/>
    </font>
    <font>
      <sz val="8"/>
      <color theme="0"/>
      <name val="Arial"/>
      <family val="2"/>
    </font>
    <font>
      <b/>
      <sz val="9"/>
      <color theme="0"/>
      <name val="Arial"/>
      <family val="2"/>
    </font>
    <font>
      <sz val="10"/>
      <name val="Arial"/>
      <family val="2"/>
    </font>
    <font>
      <b/>
      <sz val="10"/>
      <color theme="1"/>
      <name val="Arial"/>
      <family val="2"/>
    </font>
    <font>
      <b/>
      <sz val="9"/>
      <color rgb="FFFF0000"/>
      <name val="Arial"/>
      <family val="2"/>
    </font>
    <font>
      <sz val="10"/>
      <color rgb="FFFF0000"/>
      <name val="Arial"/>
      <family val="2"/>
    </font>
    <font>
      <sz val="7"/>
      <color theme="0"/>
      <name val="Arial"/>
      <family val="2"/>
    </font>
    <font>
      <sz val="8"/>
      <color indexed="81"/>
      <name val="Arial"/>
      <family val="2"/>
    </font>
    <font>
      <b/>
      <sz val="10"/>
      <color rgb="FFFF0000"/>
      <name val="Arial"/>
      <family val="2"/>
    </font>
    <font>
      <sz val="9"/>
      <color rgb="FFFF0000"/>
      <name val="Arial"/>
      <family val="2"/>
    </font>
    <font>
      <sz val="8"/>
      <color indexed="10"/>
      <name val="Arial"/>
      <family val="2"/>
    </font>
    <font>
      <sz val="9"/>
      <color indexed="81"/>
      <name val="Tahoma"/>
      <family val="2"/>
    </font>
    <font>
      <vertAlign val="subscript"/>
      <sz val="9"/>
      <color theme="1"/>
      <name val="Arial"/>
      <family val="2"/>
    </font>
    <font>
      <vertAlign val="subscript"/>
      <sz val="10"/>
      <name val="Arial"/>
      <family val="2"/>
    </font>
    <font>
      <b/>
      <sz val="9"/>
      <color theme="0"/>
      <name val="Symbol"/>
      <family val="1"/>
      <charset val="2"/>
    </font>
    <font>
      <b/>
      <i/>
      <sz val="9"/>
      <name val="Arial"/>
      <family val="2"/>
    </font>
    <font>
      <sz val="11"/>
      <color theme="1"/>
      <name val="Liberation Sans"/>
    </font>
    <font>
      <b/>
      <i/>
      <sz val="16"/>
      <color theme="1"/>
      <name val="Liberation Sans"/>
    </font>
    <font>
      <b/>
      <i/>
      <u/>
      <sz val="11"/>
      <color theme="1"/>
      <name val="Liberation Sans"/>
    </font>
    <font>
      <b/>
      <i/>
      <sz val="9"/>
      <color theme="1"/>
      <name val="Arial"/>
      <family val="2"/>
    </font>
    <font>
      <vertAlign val="superscript"/>
      <sz val="9"/>
      <name val="Arial"/>
      <family val="2"/>
    </font>
    <font>
      <b/>
      <i/>
      <vertAlign val="superscript"/>
      <sz val="9"/>
      <name val="Arial"/>
      <family val="2"/>
    </font>
    <font>
      <b/>
      <vertAlign val="subscript"/>
      <sz val="10"/>
      <name val="Arial"/>
      <family val="2"/>
    </font>
    <font>
      <sz val="9"/>
      <color indexed="81"/>
      <name val="Segoe UI"/>
      <family val="2"/>
    </font>
    <font>
      <b/>
      <sz val="7"/>
      <name val="Arial"/>
      <family val="2"/>
    </font>
    <font>
      <b/>
      <sz val="11"/>
      <color theme="1"/>
      <name val="Calibri"/>
      <family val="2"/>
      <scheme val="minor"/>
    </font>
    <font>
      <b/>
      <i/>
      <sz val="9"/>
      <color rgb="FFFF0000"/>
      <name val="Arial"/>
      <family val="2"/>
    </font>
    <font>
      <b/>
      <sz val="9"/>
      <color indexed="81"/>
      <name val="Segoe UI"/>
      <family val="2"/>
    </font>
    <font>
      <b/>
      <sz val="8"/>
      <color indexed="81"/>
      <name val="Segoe UI"/>
      <family val="2"/>
    </font>
    <font>
      <b/>
      <sz val="9"/>
      <color theme="0"/>
      <name val="Calibri"/>
      <family val="2"/>
      <scheme val="minor"/>
    </font>
    <font>
      <sz val="9"/>
      <color theme="0"/>
      <name val="Calibri"/>
      <family val="2"/>
      <scheme val="minor"/>
    </font>
    <font>
      <b/>
      <sz val="9"/>
      <name val="Calibri"/>
      <family val="2"/>
      <scheme val="minor"/>
    </font>
    <font>
      <sz val="9"/>
      <name val="Calibri"/>
      <family val="2"/>
      <scheme val="minor"/>
    </font>
    <font>
      <u/>
      <sz val="10"/>
      <color theme="10"/>
      <name val="Arial"/>
      <family val="2"/>
    </font>
    <font>
      <b/>
      <u/>
      <sz val="10"/>
      <color theme="10"/>
      <name val="Arial"/>
      <family val="2"/>
    </font>
    <font>
      <b/>
      <u/>
      <sz val="10"/>
      <color theme="0"/>
      <name val="Arial"/>
      <family val="2"/>
    </font>
    <font>
      <sz val="9"/>
      <color theme="1"/>
      <name val="Calibri"/>
      <family val="2"/>
      <scheme val="minor"/>
    </font>
    <font>
      <b/>
      <sz val="24"/>
      <name val="Arial"/>
      <family val="2"/>
    </font>
    <font>
      <b/>
      <sz val="20"/>
      <name val="Arial"/>
      <family val="2"/>
    </font>
    <font>
      <sz val="9"/>
      <name val="DIN-Regular"/>
      <family val="2"/>
    </font>
    <font>
      <vertAlign val="superscript"/>
      <sz val="10"/>
      <name val="Arial"/>
      <family val="2"/>
    </font>
    <font>
      <sz val="6"/>
      <color rgb="FFFF0000"/>
      <name val="Arial"/>
      <family val="2"/>
    </font>
    <font>
      <b/>
      <vertAlign val="superscript"/>
      <sz val="9"/>
      <color theme="1"/>
      <name val="Arial"/>
      <family val="2"/>
    </font>
    <font>
      <b/>
      <vertAlign val="superscript"/>
      <sz val="9"/>
      <name val="Arial"/>
      <family val="2"/>
    </font>
    <font>
      <sz val="10"/>
      <name val="Calibri"/>
      <family val="2"/>
      <scheme val="minor"/>
    </font>
    <font>
      <sz val="8.8000000000000007"/>
      <name val="Arial"/>
      <family val="2"/>
    </font>
    <font>
      <vertAlign val="subscript"/>
      <sz val="10"/>
      <color theme="0"/>
      <name val="Arial"/>
      <family val="2"/>
    </font>
    <font>
      <i/>
      <sz val="10"/>
      <name val="Arial"/>
      <family val="2"/>
    </font>
    <font>
      <b/>
      <sz val="9"/>
      <color indexed="81"/>
      <name val="Segoe UI"/>
      <charset val="1"/>
    </font>
  </fonts>
  <fills count="54">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patternFill>
    </fill>
    <fill>
      <patternFill patternType="solid">
        <fgColor indexed="22"/>
      </patternFill>
    </fill>
    <fill>
      <patternFill patternType="solid">
        <fgColor indexed="55"/>
      </patternFill>
    </fill>
    <fill>
      <patternFill patternType="solid">
        <fgColor indexed="62"/>
      </patternFill>
    </fill>
    <fill>
      <patternFill patternType="solid">
        <fgColor indexed="57"/>
      </patternFill>
    </fill>
    <fill>
      <patternFill patternType="solid">
        <fgColor indexed="43"/>
        <bgColor indexed="64"/>
      </patternFill>
    </fill>
    <fill>
      <patternFill patternType="solid">
        <fgColor indexed="9"/>
        <bgColor indexed="64"/>
      </patternFill>
    </fill>
    <fill>
      <patternFill patternType="solid">
        <fgColor indexed="48"/>
        <bgColor indexed="64"/>
      </patternFill>
    </fill>
    <fill>
      <patternFill patternType="solid">
        <fgColor indexed="12"/>
        <bgColor indexed="64"/>
      </patternFill>
    </fill>
    <fill>
      <patternFill patternType="gray0625">
        <fgColor indexed="9"/>
        <bgColor indexed="9"/>
      </patternFill>
    </fill>
    <fill>
      <patternFill patternType="solid">
        <fgColor indexed="13"/>
        <bgColor indexed="64"/>
      </patternFill>
    </fill>
    <fill>
      <patternFill patternType="solid">
        <fgColor indexed="46"/>
        <bgColor indexed="64"/>
      </patternFill>
    </fill>
    <fill>
      <patternFill patternType="solid">
        <fgColor indexed="47"/>
        <bgColor indexed="64"/>
      </patternFill>
    </fill>
    <fill>
      <patternFill patternType="solid">
        <fgColor indexed="42"/>
        <bgColor indexed="64"/>
      </patternFill>
    </fill>
    <fill>
      <patternFill patternType="solid">
        <fgColor indexed="40"/>
        <bgColor indexed="64"/>
      </patternFill>
    </fill>
    <fill>
      <patternFill patternType="solid">
        <fgColor indexed="56"/>
        <bgColor indexed="64"/>
      </patternFill>
    </fill>
    <fill>
      <patternFill patternType="solid">
        <fgColor rgb="FFFFFF00"/>
        <bgColor indexed="64"/>
      </patternFill>
    </fill>
    <fill>
      <patternFill patternType="solid">
        <fgColor theme="0"/>
        <bgColor indexed="64"/>
      </patternFill>
    </fill>
    <fill>
      <patternFill patternType="solid">
        <fgColor rgb="FFFFFF99"/>
        <bgColor indexed="64"/>
      </patternFill>
    </fill>
    <fill>
      <patternFill patternType="solid">
        <fgColor theme="7" tint="0.39997558519241921"/>
        <bgColor indexed="64"/>
      </patternFill>
    </fill>
    <fill>
      <patternFill patternType="solid">
        <fgColor rgb="FFCC99FF"/>
        <bgColor indexed="64"/>
      </patternFill>
    </fill>
    <fill>
      <patternFill patternType="solid">
        <fgColor rgb="FFCCFF99"/>
        <bgColor indexed="64"/>
      </patternFill>
    </fill>
    <fill>
      <patternFill patternType="solid">
        <fgColor rgb="FF0000FF"/>
        <bgColor indexed="64"/>
      </patternFill>
    </fill>
    <fill>
      <patternFill patternType="solid">
        <fgColor rgb="FFCCFF66"/>
        <bgColor indexed="64"/>
      </patternFill>
    </fill>
    <fill>
      <patternFill patternType="solid">
        <fgColor rgb="FFEEFFDD"/>
        <bgColor indexed="64"/>
      </patternFill>
    </fill>
    <fill>
      <patternFill patternType="solid">
        <fgColor indexed="44"/>
        <bgColor indexed="64"/>
      </patternFill>
    </fill>
    <fill>
      <patternFill patternType="solid">
        <fgColor indexed="29"/>
        <bgColor indexed="64"/>
      </patternFill>
    </fill>
    <fill>
      <patternFill patternType="gray0625">
        <fgColor indexed="9"/>
        <bgColor theme="0"/>
      </patternFill>
    </fill>
    <fill>
      <patternFill patternType="solid">
        <fgColor rgb="FF00CCFF"/>
        <bgColor indexed="64"/>
      </patternFill>
    </fill>
    <fill>
      <patternFill patternType="solid">
        <fgColor rgb="FFFFFF66"/>
        <bgColor indexed="64"/>
      </patternFill>
    </fill>
    <fill>
      <patternFill patternType="solid">
        <fgColor rgb="FF9999FF"/>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FFCC"/>
        <bgColor indexed="64"/>
      </patternFill>
    </fill>
    <fill>
      <patternFill patternType="solid">
        <fgColor rgb="FFCCFFCC"/>
        <bgColor indexed="64"/>
      </patternFill>
    </fill>
  </fills>
  <borders count="15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style="hair">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bottom/>
      <diagonal/>
    </border>
    <border>
      <left style="hair">
        <color indexed="64"/>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medium">
        <color indexed="64"/>
      </bottom>
      <diagonal/>
    </border>
    <border>
      <left/>
      <right/>
      <top/>
      <bottom style="hair">
        <color indexed="64"/>
      </bottom>
      <diagonal/>
    </border>
    <border>
      <left/>
      <right/>
      <top style="thin">
        <color indexed="64"/>
      </top>
      <bottom style="hair">
        <color indexed="64"/>
      </bottom>
      <diagonal/>
    </border>
    <border>
      <left style="medium">
        <color indexed="64"/>
      </left>
      <right style="thin">
        <color indexed="64"/>
      </right>
      <top/>
      <bottom/>
      <diagonal/>
    </border>
    <border>
      <left style="hair">
        <color indexed="64"/>
      </left>
      <right/>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top style="thin">
        <color auto="1"/>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auto="1"/>
      </top>
      <bottom/>
      <diagonal/>
    </border>
    <border>
      <left style="thin">
        <color theme="0" tint="-0.34998626667073579"/>
      </left>
      <right style="thin">
        <color indexed="64"/>
      </right>
      <top style="thin">
        <color theme="0" tint="-0.34998626667073579"/>
      </top>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hair">
        <color indexed="64"/>
      </right>
      <top style="thin">
        <color indexed="64"/>
      </top>
      <bottom/>
      <diagonal/>
    </border>
    <border>
      <left style="thin">
        <color auto="1"/>
      </left>
      <right style="hair">
        <color auto="1"/>
      </right>
      <top style="thin">
        <color auto="1"/>
      </top>
      <bottom style="hair">
        <color auto="1"/>
      </bottom>
      <diagonal/>
    </border>
    <border>
      <left style="thin">
        <color rgb="FFFF0000"/>
      </left>
      <right/>
      <top style="thin">
        <color rgb="FFFF0000"/>
      </top>
      <bottom/>
      <diagonal/>
    </border>
    <border>
      <left/>
      <right/>
      <top style="thin">
        <color rgb="FFFF0000"/>
      </top>
      <bottom/>
      <diagonal/>
    </border>
    <border>
      <left style="thin">
        <color indexed="64"/>
      </left>
      <right/>
      <top style="thin">
        <color rgb="FFFF0000"/>
      </top>
      <bottom/>
      <diagonal/>
    </border>
    <border>
      <left/>
      <right style="thin">
        <color rgb="FFFF0000"/>
      </right>
      <top style="thin">
        <color rgb="FFFF0000"/>
      </top>
      <bottom/>
      <diagonal/>
    </border>
    <border>
      <left style="thin">
        <color rgb="FF92D050"/>
      </left>
      <right/>
      <top style="thin">
        <color rgb="FF92D050"/>
      </top>
      <bottom/>
      <diagonal/>
    </border>
    <border>
      <left/>
      <right/>
      <top style="thin">
        <color rgb="FF92D050"/>
      </top>
      <bottom/>
      <diagonal/>
    </border>
    <border>
      <left style="thin">
        <color indexed="64"/>
      </left>
      <right/>
      <top style="thin">
        <color rgb="FF92D050"/>
      </top>
      <bottom/>
      <diagonal/>
    </border>
    <border>
      <left style="thin">
        <color rgb="FFFF0000"/>
      </left>
      <right/>
      <top/>
      <bottom/>
      <diagonal/>
    </border>
    <border>
      <left/>
      <right style="thin">
        <color rgb="FFFF0000"/>
      </right>
      <top/>
      <bottom/>
      <diagonal/>
    </border>
    <border>
      <left style="thin">
        <color rgb="FF92D050"/>
      </left>
      <right/>
      <top/>
      <bottom/>
      <diagonal/>
    </border>
    <border>
      <left/>
      <right style="thin">
        <color rgb="FF92D050"/>
      </right>
      <top/>
      <bottom/>
      <diagonal/>
    </border>
    <border>
      <left style="thin">
        <color rgb="FFFF0000"/>
      </left>
      <right/>
      <top style="thin">
        <color indexed="64"/>
      </top>
      <bottom/>
      <diagonal/>
    </border>
    <border>
      <left/>
      <right style="thin">
        <color rgb="FF92D050"/>
      </right>
      <top style="thin">
        <color indexed="64"/>
      </top>
      <bottom/>
      <diagonal/>
    </border>
    <border>
      <left style="thin">
        <color rgb="FF92D050"/>
      </left>
      <right/>
      <top style="thin">
        <color indexed="64"/>
      </top>
      <bottom/>
      <diagonal/>
    </border>
    <border>
      <left style="thin">
        <color rgb="FFFF0000"/>
      </left>
      <right/>
      <top/>
      <bottom style="thin">
        <color rgb="FFFF0000"/>
      </bottom>
      <diagonal/>
    </border>
    <border>
      <left/>
      <right/>
      <top/>
      <bottom style="thin">
        <color rgb="FFFF0000"/>
      </bottom>
      <diagonal/>
    </border>
    <border>
      <left/>
      <right/>
      <top/>
      <bottom style="thin">
        <color rgb="FF92D050"/>
      </bottom>
      <diagonal/>
    </border>
    <border>
      <left/>
      <right style="thin">
        <color rgb="FF92D050"/>
      </right>
      <top/>
      <bottom style="thin">
        <color rgb="FF92D050"/>
      </bottom>
      <diagonal/>
    </border>
    <border>
      <left style="thin">
        <color rgb="FF92D050"/>
      </left>
      <right/>
      <top/>
      <bottom style="thin">
        <color rgb="FF92D050"/>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auto="1"/>
      </right>
      <top style="thin">
        <color theme="0" tint="-0.14996795556505021"/>
      </top>
      <bottom style="thin">
        <color auto="1"/>
      </bottom>
      <diagonal/>
    </border>
    <border>
      <left/>
      <right style="thin">
        <color theme="0" tint="-0.14996795556505021"/>
      </right>
      <top style="thin">
        <color theme="0" tint="-0.14996795556505021"/>
      </top>
      <bottom style="thin">
        <color auto="1"/>
      </bottom>
      <diagonal/>
    </border>
    <border>
      <left style="thin">
        <color theme="0" tint="-0.14996795556505021"/>
      </left>
      <right/>
      <top style="thin">
        <color theme="0" tint="-0.14996795556505021"/>
      </top>
      <bottom style="thin">
        <color auto="1"/>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thin">
        <color indexed="64"/>
      </right>
      <top style="thin">
        <color theme="0" tint="-0.14996795556505021"/>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top style="thin">
        <color indexed="64"/>
      </top>
      <bottom/>
      <diagonal/>
    </border>
  </borders>
  <cellStyleXfs count="72">
    <xf numFmtId="0" fontId="0" fillId="0" borderId="0"/>
    <xf numFmtId="0" fontId="59" fillId="7" borderId="0" applyNumberFormat="0" applyBorder="0" applyAlignment="0" applyProtection="0"/>
    <xf numFmtId="0" fontId="59" fillId="8" borderId="0" applyNumberFormat="0" applyBorder="0" applyAlignment="0" applyProtection="0"/>
    <xf numFmtId="0" fontId="59" fillId="9" borderId="0" applyNumberFormat="0" applyBorder="0" applyAlignment="0" applyProtection="0"/>
    <xf numFmtId="0" fontId="59" fillId="10" borderId="0" applyNumberFormat="0" applyBorder="0" applyAlignment="0" applyProtection="0"/>
    <xf numFmtId="0" fontId="59" fillId="6" borderId="0" applyNumberFormat="0" applyBorder="0" applyAlignment="0" applyProtection="0"/>
    <xf numFmtId="0" fontId="59" fillId="5" borderId="0" applyNumberFormat="0" applyBorder="0" applyAlignment="0" applyProtection="0"/>
    <xf numFmtId="0" fontId="59" fillId="2" borderId="0" applyNumberFormat="0" applyBorder="0" applyAlignment="0" applyProtection="0"/>
    <xf numFmtId="0" fontId="59" fillId="3" borderId="0" applyNumberFormat="0" applyBorder="0" applyAlignment="0" applyProtection="0"/>
    <xf numFmtId="0" fontId="59" fillId="12" borderId="0" applyNumberFormat="0" applyBorder="0" applyAlignment="0" applyProtection="0"/>
    <xf numFmtId="0" fontId="59" fillId="10" borderId="0" applyNumberFormat="0" applyBorder="0" applyAlignment="0" applyProtection="0"/>
    <xf numFmtId="0" fontId="59" fillId="2" borderId="0" applyNumberFormat="0" applyBorder="0" applyAlignment="0" applyProtection="0"/>
    <xf numFmtId="0" fontId="59" fillId="13" borderId="0" applyNumberFormat="0" applyBorder="0" applyAlignment="0" applyProtection="0"/>
    <xf numFmtId="0" fontId="60" fillId="15" borderId="0" applyNumberFormat="0" applyBorder="0" applyAlignment="0" applyProtection="0"/>
    <xf numFmtId="0" fontId="60" fillId="3" borderId="0" applyNumberFormat="0" applyBorder="0" applyAlignment="0" applyProtection="0"/>
    <xf numFmtId="0" fontId="60" fillId="12"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60" fillId="18" borderId="0" applyNumberFormat="0" applyBorder="0" applyAlignment="0" applyProtection="0"/>
    <xf numFmtId="0" fontId="61" fillId="20" borderId="2" applyNumberFormat="0" applyAlignment="0" applyProtection="0"/>
    <xf numFmtId="0" fontId="62" fillId="0" borderId="3" applyNumberFormat="0" applyFill="0" applyAlignment="0" applyProtection="0"/>
    <xf numFmtId="0" fontId="63" fillId="21" borderId="4" applyNumberFormat="0" applyAlignment="0" applyProtection="0"/>
    <xf numFmtId="0" fontId="60" fillId="22" borderId="0" applyNumberFormat="0" applyBorder="0" applyAlignment="0" applyProtection="0"/>
    <xf numFmtId="0" fontId="60" fillId="19" borderId="0" applyNumberFormat="0" applyBorder="0" applyAlignment="0" applyProtection="0"/>
    <xf numFmtId="0" fontId="60" fillId="23"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60" fillId="14" borderId="0" applyNumberFormat="0" applyBorder="0" applyAlignment="0" applyProtection="0"/>
    <xf numFmtId="0" fontId="64" fillId="5" borderId="2" applyNumberFormat="0" applyAlignment="0" applyProtection="0"/>
    <xf numFmtId="0" fontId="65" fillId="11" borderId="0" applyNumberFormat="0" applyBorder="0" applyAlignment="0" applyProtection="0"/>
    <xf numFmtId="0" fontId="3" fillId="4" borderId="5" applyNumberFormat="0" applyFont="0" applyAlignment="0" applyProtection="0"/>
    <xf numFmtId="0" fontId="66" fillId="20" borderId="1" applyNumberFormat="0" applyAlignment="0" applyProtection="0"/>
    <xf numFmtId="9" fontId="3" fillId="0" borderId="0" applyFont="0" applyFill="0" applyBorder="0" applyAlignment="0" applyProtection="0"/>
    <xf numFmtId="0" fontId="3" fillId="0" borderId="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6" applyNumberFormat="0" applyFill="0" applyAlignment="0" applyProtection="0"/>
    <xf numFmtId="0" fontId="71" fillId="0" borderId="7" applyNumberFormat="0" applyFill="0" applyAlignment="0" applyProtection="0"/>
    <xf numFmtId="0" fontId="72" fillId="0" borderId="8" applyNumberFormat="0" applyFill="0" applyAlignment="0" applyProtection="0"/>
    <xf numFmtId="0" fontId="72" fillId="0" borderId="0" applyNumberFormat="0" applyFill="0" applyBorder="0" applyAlignment="0" applyProtection="0"/>
    <xf numFmtId="0" fontId="73" fillId="0" borderId="9" applyNumberFormat="0" applyFill="0" applyAlignment="0" applyProtection="0"/>
    <xf numFmtId="0" fontId="74" fillId="8" borderId="0" applyNumberFormat="0" applyBorder="0" applyAlignment="0" applyProtection="0"/>
    <xf numFmtId="0" fontId="75" fillId="9" borderId="0" applyNumberFormat="0" applyBorder="0" applyAlignment="0" applyProtection="0"/>
    <xf numFmtId="43" fontId="95" fillId="0" borderId="0" applyFont="0" applyFill="0" applyBorder="0" applyAlignment="0" applyProtection="0"/>
    <xf numFmtId="0" fontId="109" fillId="0" borderId="0"/>
    <xf numFmtId="0" fontId="110" fillId="0" borderId="0">
      <alignment horizontal="center"/>
    </xf>
    <xf numFmtId="0" fontId="110" fillId="0" borderId="0">
      <alignment horizontal="center" textRotation="90"/>
    </xf>
    <xf numFmtId="0" fontId="111" fillId="0" borderId="0"/>
    <xf numFmtId="0" fontId="111" fillId="0" borderId="0"/>
    <xf numFmtId="0" fontId="61" fillId="20" borderId="109" applyNumberFormat="0" applyAlignment="0" applyProtection="0"/>
    <xf numFmtId="0" fontId="64" fillId="5" borderId="109" applyNumberFormat="0" applyAlignment="0" applyProtection="0"/>
    <xf numFmtId="0" fontId="3" fillId="4" borderId="110" applyNumberFormat="0" applyFont="0" applyAlignment="0" applyProtection="0"/>
    <xf numFmtId="0" fontId="66" fillId="20" borderId="108" applyNumberFormat="0" applyAlignment="0" applyProtection="0"/>
    <xf numFmtId="0" fontId="73" fillId="0" borderId="111" applyNumberFormat="0" applyFill="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126" fillId="0" borderId="0" applyNumberForma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3178">
    <xf numFmtId="0" fontId="0" fillId="0" borderId="0" xfId="0"/>
    <xf numFmtId="0" fontId="4" fillId="0" borderId="0" xfId="0" applyFont="1"/>
    <xf numFmtId="0" fontId="0" fillId="0" borderId="0" xfId="0" applyFill="1" applyBorder="1"/>
    <xf numFmtId="0" fontId="10" fillId="25" borderId="0" xfId="0" applyFont="1" applyFill="1" applyAlignment="1" applyProtection="1">
      <alignment vertical="center"/>
    </xf>
    <xf numFmtId="164" fontId="10" fillId="25" borderId="0" xfId="0" applyNumberFormat="1" applyFont="1" applyFill="1" applyAlignment="1" applyProtection="1">
      <alignment horizontal="right" vertical="center"/>
    </xf>
    <xf numFmtId="0" fontId="10" fillId="25" borderId="0" xfId="0" applyFont="1" applyFill="1" applyProtection="1"/>
    <xf numFmtId="0" fontId="16" fillId="25" borderId="0" xfId="0" applyFont="1" applyFill="1" applyAlignment="1" applyProtection="1">
      <alignment vertical="center"/>
    </xf>
    <xf numFmtId="0" fontId="17" fillId="25" borderId="0" xfId="0" quotePrefix="1" applyFont="1" applyFill="1" applyAlignment="1" applyProtection="1">
      <alignment horizontal="right" vertical="center"/>
    </xf>
    <xf numFmtId="0" fontId="10" fillId="25" borderId="0" xfId="0" applyFont="1" applyFill="1" applyBorder="1" applyAlignment="1" applyProtection="1">
      <alignment horizontal="left" vertical="center"/>
    </xf>
    <xf numFmtId="0" fontId="10" fillId="25" borderId="0" xfId="0" applyFont="1" applyFill="1" applyBorder="1" applyAlignment="1" applyProtection="1">
      <alignment vertical="center"/>
    </xf>
    <xf numFmtId="0" fontId="6" fillId="25" borderId="17" xfId="0" applyFont="1" applyFill="1" applyBorder="1" applyAlignment="1" applyProtection="1">
      <alignment vertical="center"/>
    </xf>
    <xf numFmtId="0" fontId="10" fillId="25" borderId="18" xfId="0" applyFont="1" applyFill="1" applyBorder="1" applyAlignment="1" applyProtection="1">
      <alignment vertical="center"/>
    </xf>
    <xf numFmtId="0" fontId="6" fillId="25" borderId="10" xfId="0" applyFont="1" applyFill="1" applyBorder="1" applyAlignment="1" applyProtection="1">
      <alignment vertical="center"/>
    </xf>
    <xf numFmtId="0" fontId="6" fillId="25" borderId="11" xfId="0" applyFont="1" applyFill="1" applyBorder="1" applyAlignment="1" applyProtection="1">
      <alignment vertical="center"/>
    </xf>
    <xf numFmtId="0" fontId="14" fillId="25" borderId="18" xfId="0" applyFont="1" applyFill="1" applyBorder="1" applyAlignment="1" applyProtection="1">
      <alignment vertical="center"/>
    </xf>
    <xf numFmtId="0" fontId="6" fillId="25" borderId="18" xfId="0" applyFont="1" applyFill="1" applyBorder="1" applyAlignment="1" applyProtection="1">
      <alignment horizontal="right" vertical="center"/>
    </xf>
    <xf numFmtId="0" fontId="6" fillId="25" borderId="18" xfId="0" applyFont="1" applyFill="1" applyBorder="1" applyAlignment="1" applyProtection="1">
      <alignment horizontal="center" vertical="center"/>
    </xf>
    <xf numFmtId="0" fontId="6" fillId="25" borderId="18" xfId="0" applyFont="1" applyFill="1" applyBorder="1" applyAlignment="1" applyProtection="1">
      <alignment vertical="center"/>
    </xf>
    <xf numFmtId="0" fontId="6" fillId="25" borderId="19" xfId="0" applyFont="1" applyFill="1" applyBorder="1" applyAlignment="1" applyProtection="1">
      <alignment vertical="center"/>
    </xf>
    <xf numFmtId="0" fontId="15" fillId="25" borderId="18" xfId="0" applyFont="1" applyFill="1" applyBorder="1" applyAlignment="1" applyProtection="1">
      <alignment vertical="center"/>
    </xf>
    <xf numFmtId="0" fontId="15" fillId="25" borderId="19" xfId="0" applyFont="1" applyFill="1" applyBorder="1" applyAlignment="1" applyProtection="1">
      <alignment horizontal="center" vertical="center"/>
    </xf>
    <xf numFmtId="0" fontId="10" fillId="25" borderId="23" xfId="0" applyFont="1" applyFill="1" applyBorder="1" applyAlignment="1" applyProtection="1">
      <alignment vertical="center"/>
    </xf>
    <xf numFmtId="0" fontId="14" fillId="25" borderId="23" xfId="0" applyFont="1" applyFill="1" applyBorder="1" applyAlignment="1" applyProtection="1">
      <alignment vertical="center"/>
    </xf>
    <xf numFmtId="0" fontId="10" fillId="25" borderId="24" xfId="0" applyFont="1" applyFill="1" applyBorder="1" applyAlignment="1" applyProtection="1">
      <alignment vertical="center"/>
    </xf>
    <xf numFmtId="0" fontId="14" fillId="25" borderId="17" xfId="0" applyFont="1" applyFill="1" applyBorder="1" applyAlignment="1" applyProtection="1">
      <alignment vertical="center"/>
    </xf>
    <xf numFmtId="0" fontId="14" fillId="25" borderId="0" xfId="0" applyFont="1" applyFill="1" applyAlignment="1" applyProtection="1">
      <alignment vertical="center"/>
    </xf>
    <xf numFmtId="0" fontId="14" fillId="25" borderId="0" xfId="0" applyFont="1" applyFill="1" applyBorder="1" applyAlignment="1" applyProtection="1">
      <alignment vertical="center"/>
    </xf>
    <xf numFmtId="0" fontId="0" fillId="25" borderId="0" xfId="0" applyFill="1"/>
    <xf numFmtId="0" fontId="8" fillId="26" borderId="15" xfId="0" applyFont="1" applyFill="1" applyBorder="1"/>
    <xf numFmtId="0" fontId="8" fillId="27" borderId="15" xfId="0" applyFont="1" applyFill="1" applyBorder="1"/>
    <xf numFmtId="0" fontId="0" fillId="27" borderId="10" xfId="0" applyFill="1" applyBorder="1"/>
    <xf numFmtId="0" fontId="0" fillId="27" borderId="11" xfId="0" applyFill="1" applyBorder="1"/>
    <xf numFmtId="0" fontId="8" fillId="27" borderId="11" xfId="0" applyFont="1" applyFill="1" applyBorder="1"/>
    <xf numFmtId="0" fontId="4" fillId="25" borderId="0" xfId="0" applyFont="1" applyFill="1"/>
    <xf numFmtId="0" fontId="4" fillId="25" borderId="15" xfId="0" applyFont="1" applyFill="1" applyBorder="1"/>
    <xf numFmtId="0" fontId="0" fillId="25" borderId="10" xfId="0" applyFill="1" applyBorder="1"/>
    <xf numFmtId="0" fontId="0" fillId="25" borderId="15" xfId="0" applyFill="1" applyBorder="1"/>
    <xf numFmtId="0" fontId="10" fillId="25" borderId="26" xfId="0" applyFont="1" applyFill="1" applyBorder="1"/>
    <xf numFmtId="0" fontId="10" fillId="25" borderId="26" xfId="0" applyFont="1" applyFill="1" applyBorder="1" applyAlignment="1">
      <alignment horizontal="center"/>
    </xf>
    <xf numFmtId="0" fontId="13" fillId="25" borderId="26" xfId="0" applyFont="1" applyFill="1" applyBorder="1" applyAlignment="1">
      <alignment horizontal="center"/>
    </xf>
    <xf numFmtId="0" fontId="0" fillId="25" borderId="27" xfId="0" applyFill="1" applyBorder="1" applyAlignment="1">
      <alignment horizontal="center"/>
    </xf>
    <xf numFmtId="0" fontId="4" fillId="25" borderId="28" xfId="0" applyFont="1" applyFill="1" applyBorder="1"/>
    <xf numFmtId="0" fontId="0" fillId="25" borderId="0" xfId="0" applyFill="1" applyBorder="1"/>
    <xf numFmtId="0" fontId="0" fillId="25" borderId="28" xfId="0" applyFill="1" applyBorder="1"/>
    <xf numFmtId="0" fontId="0" fillId="25" borderId="29" xfId="0" applyFill="1" applyBorder="1" applyAlignment="1">
      <alignment horizontal="center"/>
    </xf>
    <xf numFmtId="0" fontId="0" fillId="25" borderId="26" xfId="0" applyFill="1" applyBorder="1" applyAlignment="1">
      <alignment horizontal="center"/>
    </xf>
    <xf numFmtId="0" fontId="10" fillId="25" borderId="0" xfId="0" applyFont="1" applyFill="1"/>
    <xf numFmtId="0" fontId="10" fillId="25" borderId="30" xfId="0" applyFont="1" applyFill="1" applyBorder="1"/>
    <xf numFmtId="0" fontId="10" fillId="25" borderId="30" xfId="0" applyFont="1" applyFill="1" applyBorder="1" applyAlignment="1">
      <alignment horizontal="center"/>
    </xf>
    <xf numFmtId="0" fontId="0" fillId="25" borderId="30" xfId="0" applyFill="1" applyBorder="1" applyAlignment="1">
      <alignment horizontal="center"/>
    </xf>
    <xf numFmtId="0" fontId="10" fillId="25" borderId="0" xfId="0" applyFont="1" applyFill="1" applyBorder="1" applyAlignment="1">
      <alignment horizontal="center"/>
    </xf>
    <xf numFmtId="0" fontId="10" fillId="25" borderId="27" xfId="0" applyFont="1" applyFill="1" applyBorder="1" applyAlignment="1">
      <alignment horizontal="center"/>
    </xf>
    <xf numFmtId="0" fontId="14" fillId="25" borderId="29" xfId="0" applyFont="1" applyFill="1" applyBorder="1" applyAlignment="1" applyProtection="1">
      <alignment horizontal="center"/>
    </xf>
    <xf numFmtId="0" fontId="0" fillId="25" borderId="29" xfId="0" applyFill="1" applyBorder="1"/>
    <xf numFmtId="0" fontId="8" fillId="26" borderId="20" xfId="0" applyFont="1" applyFill="1" applyBorder="1"/>
    <xf numFmtId="0" fontId="0" fillId="26" borderId="22" xfId="0" applyFill="1" applyBorder="1"/>
    <xf numFmtId="0" fontId="0" fillId="25" borderId="28" xfId="0" applyFill="1" applyBorder="1" applyAlignment="1">
      <alignment horizontal="center"/>
    </xf>
    <xf numFmtId="0" fontId="0" fillId="25" borderId="28" xfId="0" applyFill="1" applyBorder="1" applyAlignment="1">
      <alignment horizontal="right"/>
    </xf>
    <xf numFmtId="167" fontId="14" fillId="25" borderId="29" xfId="0" applyNumberFormat="1" applyFont="1" applyFill="1" applyBorder="1" applyAlignment="1" applyProtection="1">
      <alignment horizontal="center"/>
    </xf>
    <xf numFmtId="0" fontId="4" fillId="25" borderId="17" xfId="0" applyFont="1" applyFill="1" applyBorder="1"/>
    <xf numFmtId="0" fontId="0" fillId="25" borderId="18" xfId="0" applyFill="1" applyBorder="1"/>
    <xf numFmtId="0" fontId="0" fillId="25" borderId="17" xfId="0" applyFill="1" applyBorder="1" applyAlignment="1">
      <alignment horizontal="right"/>
    </xf>
    <xf numFmtId="0" fontId="4" fillId="25" borderId="0" xfId="0" applyFont="1" applyFill="1" applyBorder="1"/>
    <xf numFmtId="0" fontId="8" fillId="26" borderId="10" xfId="0" applyFont="1" applyFill="1" applyBorder="1"/>
    <xf numFmtId="0" fontId="8" fillId="26" borderId="11" xfId="0" applyFont="1" applyFill="1" applyBorder="1"/>
    <xf numFmtId="0" fontId="21" fillId="26" borderId="17" xfId="0" applyFont="1" applyFill="1" applyBorder="1"/>
    <xf numFmtId="0" fontId="8" fillId="26" borderId="18" xfId="0" applyFont="1" applyFill="1" applyBorder="1"/>
    <xf numFmtId="0" fontId="8" fillId="26" borderId="19" xfId="0" applyFont="1" applyFill="1" applyBorder="1"/>
    <xf numFmtId="0" fontId="14" fillId="25" borderId="19" xfId="0" applyFont="1" applyFill="1" applyBorder="1" applyAlignment="1" applyProtection="1">
      <alignment horizontal="center"/>
    </xf>
    <xf numFmtId="0" fontId="14" fillId="25" borderId="28" xfId="0" applyFont="1" applyFill="1" applyBorder="1" applyAlignment="1" applyProtection="1">
      <alignment vertical="center"/>
    </xf>
    <xf numFmtId="0" fontId="6" fillId="25" borderId="0" xfId="0" applyFont="1" applyFill="1" applyBorder="1" applyAlignment="1" applyProtection="1">
      <alignment horizontal="right" vertical="center"/>
    </xf>
    <xf numFmtId="2" fontId="14" fillId="25" borderId="0" xfId="0" applyNumberFormat="1" applyFont="1" applyFill="1" applyBorder="1" applyAlignment="1" applyProtection="1">
      <alignment horizontal="center" vertical="center"/>
    </xf>
    <xf numFmtId="0" fontId="6" fillId="25" borderId="29" xfId="0" applyFont="1" applyFill="1" applyBorder="1" applyAlignment="1" applyProtection="1">
      <alignment horizontal="left" vertical="center"/>
    </xf>
    <xf numFmtId="2" fontId="14" fillId="25" borderId="18" xfId="0" applyNumberFormat="1" applyFont="1" applyFill="1" applyBorder="1" applyAlignment="1" applyProtection="1">
      <alignment horizontal="center" vertical="center"/>
    </xf>
    <xf numFmtId="0" fontId="6" fillId="25" borderId="19" xfId="0" applyFont="1" applyFill="1" applyBorder="1" applyAlignment="1" applyProtection="1">
      <alignment horizontal="left" vertical="center"/>
    </xf>
    <xf numFmtId="0" fontId="0" fillId="26" borderId="10" xfId="0" applyFill="1" applyBorder="1"/>
    <xf numFmtId="0" fontId="8" fillId="26" borderId="14" xfId="0" applyFont="1" applyFill="1" applyBorder="1"/>
    <xf numFmtId="0" fontId="21" fillId="26" borderId="14" xfId="0" applyFont="1" applyFill="1" applyBorder="1" applyAlignment="1">
      <alignment horizontal="right"/>
    </xf>
    <xf numFmtId="0" fontId="21" fillId="26" borderId="14" xfId="0" applyFont="1" applyFill="1" applyBorder="1"/>
    <xf numFmtId="0" fontId="21" fillId="26" borderId="22" xfId="0" applyFont="1" applyFill="1" applyBorder="1" applyAlignment="1">
      <alignment horizontal="center"/>
    </xf>
    <xf numFmtId="0" fontId="20" fillId="25" borderId="26" xfId="0" applyFont="1" applyFill="1" applyBorder="1" applyAlignment="1">
      <alignment horizontal="left"/>
    </xf>
    <xf numFmtId="0" fontId="20" fillId="25" borderId="26" xfId="0" applyFont="1" applyFill="1" applyBorder="1" applyAlignment="1">
      <alignment horizontal="center"/>
    </xf>
    <xf numFmtId="0" fontId="20" fillId="25" borderId="28" xfId="0" applyFont="1" applyFill="1" applyBorder="1" applyAlignment="1">
      <alignment horizontal="center"/>
    </xf>
    <xf numFmtId="0" fontId="22" fillId="25" borderId="29" xfId="0" applyFont="1" applyFill="1" applyBorder="1" applyAlignment="1">
      <alignment horizontal="center"/>
    </xf>
    <xf numFmtId="0" fontId="0" fillId="25" borderId="0" xfId="0" applyFill="1" applyBorder="1" applyAlignment="1">
      <alignment horizontal="center"/>
    </xf>
    <xf numFmtId="0" fontId="23" fillId="25" borderId="26" xfId="0" applyFont="1" applyFill="1" applyBorder="1" applyAlignment="1">
      <alignment horizontal="left"/>
    </xf>
    <xf numFmtId="0" fontId="20" fillId="25" borderId="29" xfId="0" applyFont="1" applyFill="1" applyBorder="1" applyAlignment="1">
      <alignment horizontal="center"/>
    </xf>
    <xf numFmtId="0" fontId="10" fillId="25" borderId="27" xfId="0" applyFont="1" applyFill="1" applyBorder="1" applyAlignment="1">
      <alignment horizontal="left"/>
    </xf>
    <xf numFmtId="0" fontId="0" fillId="25" borderId="27" xfId="0" applyFill="1" applyBorder="1"/>
    <xf numFmtId="167" fontId="10" fillId="25" borderId="27" xfId="0" applyNumberFormat="1" applyFont="1" applyFill="1" applyBorder="1" applyAlignment="1">
      <alignment horizontal="center"/>
    </xf>
    <xf numFmtId="1" fontId="10" fillId="25" borderId="26" xfId="0" applyNumberFormat="1" applyFont="1" applyFill="1" applyBorder="1" applyAlignment="1">
      <alignment horizontal="left"/>
    </xf>
    <xf numFmtId="1" fontId="10" fillId="25" borderId="26" xfId="0" applyNumberFormat="1" applyFont="1" applyFill="1" applyBorder="1" applyAlignment="1">
      <alignment horizontal="center"/>
    </xf>
    <xf numFmtId="167" fontId="10" fillId="25" borderId="26" xfId="0" applyNumberFormat="1" applyFont="1" applyFill="1" applyBorder="1" applyAlignment="1">
      <alignment horizontal="center"/>
    </xf>
    <xf numFmtId="1" fontId="0" fillId="25" borderId="0" xfId="0" applyNumberFormat="1" applyFill="1" applyBorder="1" applyAlignment="1">
      <alignment horizontal="center"/>
    </xf>
    <xf numFmtId="0" fontId="0" fillId="25" borderId="17" xfId="0" applyFill="1" applyBorder="1"/>
    <xf numFmtId="0" fontId="14" fillId="25" borderId="0" xfId="0" applyFont="1" applyFill="1" applyAlignment="1" applyProtection="1">
      <alignment horizontal="right" vertical="center"/>
    </xf>
    <xf numFmtId="0" fontId="14" fillId="25" borderId="0" xfId="0" applyFont="1" applyFill="1" applyProtection="1"/>
    <xf numFmtId="0" fontId="14" fillId="25" borderId="15" xfId="0" applyFont="1" applyFill="1" applyBorder="1" applyProtection="1"/>
    <xf numFmtId="0" fontId="14" fillId="25" borderId="0" xfId="0" applyFont="1" applyFill="1" applyBorder="1" applyAlignment="1" applyProtection="1">
      <alignment horizontal="center" vertical="center"/>
    </xf>
    <xf numFmtId="0" fontId="0" fillId="25" borderId="29" xfId="0" applyFill="1" applyBorder="1" applyAlignment="1" applyProtection="1">
      <alignment horizontal="center"/>
      <protection locked="0"/>
    </xf>
    <xf numFmtId="0" fontId="14" fillId="25" borderId="0" xfId="0" applyFont="1" applyFill="1" applyBorder="1" applyProtection="1"/>
    <xf numFmtId="0" fontId="10" fillId="25" borderId="0" xfId="0" applyFont="1" applyFill="1" applyBorder="1" applyAlignment="1">
      <alignment horizontal="left"/>
    </xf>
    <xf numFmtId="0" fontId="10" fillId="25" borderId="0" xfId="0" applyFont="1" applyFill="1" applyBorder="1" applyAlignment="1">
      <alignment horizontal="left" vertical="center"/>
    </xf>
    <xf numFmtId="0" fontId="14" fillId="25" borderId="18" xfId="0" applyFont="1" applyFill="1" applyBorder="1" applyProtection="1"/>
    <xf numFmtId="0" fontId="14" fillId="25" borderId="0" xfId="0" applyFont="1" applyFill="1" applyBorder="1" applyAlignment="1" applyProtection="1">
      <alignment horizontal="center"/>
    </xf>
    <xf numFmtId="0" fontId="14" fillId="25" borderId="10" xfId="0" applyFont="1" applyFill="1" applyBorder="1" applyProtection="1"/>
    <xf numFmtId="0" fontId="8" fillId="27" borderId="27" xfId="0" applyFont="1" applyFill="1" applyBorder="1"/>
    <xf numFmtId="0" fontId="0" fillId="25" borderId="0" xfId="0" applyFill="1" applyAlignment="1">
      <alignment horizontal="right"/>
    </xf>
    <xf numFmtId="0" fontId="0" fillId="25" borderId="28" xfId="0" applyFill="1" applyBorder="1" applyAlignment="1">
      <alignment horizontal="left"/>
    </xf>
    <xf numFmtId="0" fontId="0" fillId="25" borderId="17" xfId="0" applyFill="1" applyBorder="1" applyAlignment="1">
      <alignment horizontal="left"/>
    </xf>
    <xf numFmtId="0" fontId="0" fillId="25" borderId="17" xfId="0" applyFill="1" applyBorder="1" applyAlignment="1">
      <alignment horizontal="center"/>
    </xf>
    <xf numFmtId="0" fontId="0" fillId="25" borderId="19" xfId="0" applyFill="1" applyBorder="1" applyAlignment="1">
      <alignment horizontal="center"/>
    </xf>
    <xf numFmtId="0" fontId="0" fillId="25" borderId="15" xfId="0" applyFill="1" applyBorder="1" applyAlignment="1">
      <alignment horizontal="center"/>
    </xf>
    <xf numFmtId="0" fontId="0" fillId="25" borderId="11" xfId="0" applyFill="1" applyBorder="1" applyAlignment="1">
      <alignment horizontal="center"/>
    </xf>
    <xf numFmtId="0" fontId="10" fillId="25" borderId="10" xfId="0" applyFont="1" applyFill="1" applyBorder="1" applyAlignment="1" applyProtection="1">
      <alignment horizontal="center" vertical="center"/>
    </xf>
    <xf numFmtId="0" fontId="0" fillId="25" borderId="11" xfId="0" applyFill="1" applyBorder="1"/>
    <xf numFmtId="0" fontId="0" fillId="25" borderId="19" xfId="0" applyFill="1" applyBorder="1"/>
    <xf numFmtId="0" fontId="14" fillId="25" borderId="35" xfId="0" applyFont="1" applyFill="1" applyBorder="1" applyAlignment="1" applyProtection="1">
      <alignment horizontal="center"/>
    </xf>
    <xf numFmtId="167" fontId="14" fillId="25" borderId="35" xfId="0" applyNumberFormat="1" applyFont="1" applyFill="1" applyBorder="1" applyAlignment="1" applyProtection="1">
      <alignment horizontal="center"/>
    </xf>
    <xf numFmtId="0" fontId="0" fillId="25" borderId="12" xfId="0" applyFill="1" applyBorder="1"/>
    <xf numFmtId="0" fontId="0" fillId="25" borderId="26" xfId="0" applyFill="1" applyBorder="1"/>
    <xf numFmtId="0" fontId="26" fillId="25" borderId="0" xfId="0" applyFont="1" applyFill="1" applyProtection="1"/>
    <xf numFmtId="0" fontId="24" fillId="25" borderId="0" xfId="0" applyFont="1" applyFill="1" applyProtection="1"/>
    <xf numFmtId="0" fontId="11" fillId="25" borderId="29" xfId="0" applyFont="1" applyFill="1" applyBorder="1" applyAlignment="1" applyProtection="1">
      <alignment horizontal="center"/>
    </xf>
    <xf numFmtId="0" fontId="14" fillId="25" borderId="14" xfId="0" applyFont="1" applyFill="1" applyBorder="1" applyProtection="1"/>
    <xf numFmtId="0" fontId="10" fillId="25" borderId="35" xfId="0" applyFont="1" applyFill="1" applyBorder="1" applyAlignment="1">
      <alignment horizontal="center"/>
    </xf>
    <xf numFmtId="0" fontId="0" fillId="25" borderId="14" xfId="0" applyFill="1" applyBorder="1"/>
    <xf numFmtId="0" fontId="0" fillId="25" borderId="20" xfId="0" applyFill="1" applyBorder="1"/>
    <xf numFmtId="0" fontId="10" fillId="25" borderId="28" xfId="0" applyFont="1" applyFill="1" applyBorder="1" applyAlignment="1">
      <alignment vertical="center"/>
    </xf>
    <xf numFmtId="167" fontId="11" fillId="25" borderId="29" xfId="0" applyNumberFormat="1" applyFont="1" applyFill="1" applyBorder="1" applyAlignment="1" applyProtection="1">
      <alignment horizontal="center"/>
    </xf>
    <xf numFmtId="0" fontId="6" fillId="25" borderId="44" xfId="0" applyFont="1" applyFill="1" applyBorder="1" applyAlignment="1" applyProtection="1">
      <alignment horizontal="center"/>
    </xf>
    <xf numFmtId="0" fontId="19" fillId="25" borderId="20" xfId="0" applyFont="1" applyFill="1" applyBorder="1" applyProtection="1"/>
    <xf numFmtId="0" fontId="11" fillId="25" borderId="14" xfId="0" applyFont="1" applyFill="1" applyBorder="1" applyProtection="1"/>
    <xf numFmtId="0" fontId="11" fillId="25" borderId="11" xfId="0" applyFont="1" applyFill="1" applyBorder="1" applyAlignment="1" applyProtection="1">
      <alignment horizontal="center"/>
    </xf>
    <xf numFmtId="0" fontId="0" fillId="25" borderId="18" xfId="0" applyFill="1" applyBorder="1" applyAlignment="1">
      <alignment horizontal="center"/>
    </xf>
    <xf numFmtId="0" fontId="0" fillId="25" borderId="12" xfId="0" applyFill="1" applyBorder="1" applyAlignment="1">
      <alignment horizontal="center"/>
    </xf>
    <xf numFmtId="0" fontId="0" fillId="25" borderId="0" xfId="0" applyFill="1" applyBorder="1" applyAlignment="1">
      <alignment horizontal="left"/>
    </xf>
    <xf numFmtId="0" fontId="8" fillId="27" borderId="10" xfId="0" applyFont="1" applyFill="1" applyBorder="1" applyAlignment="1">
      <alignment horizontal="left"/>
    </xf>
    <xf numFmtId="0" fontId="28" fillId="27" borderId="27" xfId="0" applyFont="1" applyFill="1" applyBorder="1" applyAlignment="1">
      <alignment horizontal="center"/>
    </xf>
    <xf numFmtId="0" fontId="8" fillId="27" borderId="27" xfId="0" applyFont="1" applyFill="1" applyBorder="1" applyAlignment="1">
      <alignment horizontal="center"/>
    </xf>
    <xf numFmtId="0" fontId="8" fillId="27" borderId="30" xfId="0" applyFont="1" applyFill="1" applyBorder="1" applyAlignment="1">
      <alignment horizontal="center"/>
    </xf>
    <xf numFmtId="0" fontId="29" fillId="27" borderId="30" xfId="0" applyFont="1" applyFill="1" applyBorder="1" applyAlignment="1">
      <alignment horizontal="center"/>
    </xf>
    <xf numFmtId="0" fontId="0" fillId="25" borderId="30" xfId="0" applyFill="1" applyBorder="1"/>
    <xf numFmtId="0" fontId="10" fillId="25" borderId="0" xfId="0" applyFont="1" applyFill="1" applyBorder="1" applyProtection="1"/>
    <xf numFmtId="9" fontId="10" fillId="25" borderId="10" xfId="32" applyFont="1" applyFill="1" applyBorder="1" applyAlignment="1" applyProtection="1">
      <alignment horizontal="center" vertical="center"/>
    </xf>
    <xf numFmtId="9" fontId="10" fillId="25" borderId="33" xfId="32" applyFont="1" applyFill="1" applyBorder="1" applyAlignment="1" applyProtection="1">
      <alignment horizontal="right" vertical="center"/>
    </xf>
    <xf numFmtId="9" fontId="10" fillId="28" borderId="13" xfId="32" applyFont="1" applyFill="1" applyBorder="1" applyAlignment="1" applyProtection="1">
      <alignment horizontal="right" vertical="center"/>
    </xf>
    <xf numFmtId="0" fontId="10" fillId="25" borderId="16" xfId="0" applyFont="1" applyFill="1" applyBorder="1" applyAlignment="1" applyProtection="1">
      <alignment horizontal="right" vertical="center"/>
    </xf>
    <xf numFmtId="0" fontId="10" fillId="24" borderId="12" xfId="0" applyFont="1" applyFill="1" applyBorder="1" applyAlignment="1">
      <alignment horizontal="center"/>
    </xf>
    <xf numFmtId="0" fontId="0" fillId="24" borderId="12" xfId="0" applyFill="1" applyBorder="1" applyAlignment="1">
      <alignment horizontal="center"/>
    </xf>
    <xf numFmtId="0" fontId="10" fillId="25" borderId="17" xfId="0" applyFont="1" applyFill="1" applyBorder="1" applyAlignment="1">
      <alignment vertical="center"/>
    </xf>
    <xf numFmtId="0" fontId="10" fillId="25" borderId="18" xfId="0" applyFont="1" applyFill="1" applyBorder="1" applyProtection="1"/>
    <xf numFmtId="167" fontId="11" fillId="25" borderId="49" xfId="0" applyNumberFormat="1" applyFont="1" applyFill="1" applyBorder="1" applyProtection="1"/>
    <xf numFmtId="0" fontId="10" fillId="25" borderId="10" xfId="0" applyFont="1" applyFill="1" applyBorder="1" applyAlignment="1" applyProtection="1">
      <alignment horizontal="left"/>
    </xf>
    <xf numFmtId="0" fontId="10" fillId="25" borderId="50" xfId="0" applyFont="1" applyFill="1" applyBorder="1" applyAlignment="1" applyProtection="1">
      <alignment horizontal="left"/>
    </xf>
    <xf numFmtId="0" fontId="28" fillId="25" borderId="0" xfId="0" applyFont="1" applyFill="1" applyProtection="1"/>
    <xf numFmtId="0" fontId="0" fillId="25" borderId="0" xfId="0" applyFill="1" applyAlignment="1">
      <alignment horizontal="center"/>
    </xf>
    <xf numFmtId="0" fontId="6" fillId="25" borderId="0" xfId="0" applyFont="1" applyFill="1" applyBorder="1" applyAlignment="1" applyProtection="1">
      <alignment horizontal="center" vertical="center"/>
    </xf>
    <xf numFmtId="0" fontId="24" fillId="25" borderId="0" xfId="0" applyFont="1" applyFill="1" applyAlignment="1" applyProtection="1">
      <alignment horizontal="right" vertical="center"/>
    </xf>
    <xf numFmtId="0" fontId="14" fillId="25" borderId="28" xfId="0" applyFont="1" applyFill="1" applyBorder="1"/>
    <xf numFmtId="0" fontId="8" fillId="26" borderId="0" xfId="0" applyFont="1" applyFill="1" applyBorder="1"/>
    <xf numFmtId="0" fontId="8" fillId="26" borderId="28" xfId="0" applyFont="1" applyFill="1" applyBorder="1" applyAlignment="1">
      <alignment horizontal="left"/>
    </xf>
    <xf numFmtId="0" fontId="21" fillId="26" borderId="10" xfId="0" applyFont="1" applyFill="1" applyBorder="1"/>
    <xf numFmtId="0" fontId="0" fillId="25" borderId="65" xfId="0" applyFill="1" applyBorder="1"/>
    <xf numFmtId="0" fontId="36" fillId="29" borderId="15" xfId="0" applyFont="1" applyFill="1" applyBorder="1" applyAlignment="1">
      <alignment horizontal="left"/>
    </xf>
    <xf numFmtId="0" fontId="38" fillId="26" borderId="10" xfId="0" applyFont="1" applyFill="1" applyBorder="1"/>
    <xf numFmtId="0" fontId="8" fillId="26" borderId="10" xfId="0" applyFont="1" applyFill="1" applyBorder="1" applyAlignment="1">
      <alignment horizontal="center"/>
    </xf>
    <xf numFmtId="0" fontId="0" fillId="25" borderId="19" xfId="0" applyFill="1" applyBorder="1" applyAlignment="1">
      <alignment horizontal="left"/>
    </xf>
    <xf numFmtId="0" fontId="0" fillId="25" borderId="29" xfId="0" applyFill="1" applyBorder="1" applyAlignment="1">
      <alignment horizontal="left"/>
    </xf>
    <xf numFmtId="0" fontId="14" fillId="25" borderId="28" xfId="0" applyFont="1" applyFill="1" applyBorder="1" applyAlignment="1">
      <alignment horizontal="left"/>
    </xf>
    <xf numFmtId="0" fontId="14" fillId="25" borderId="0" xfId="0" applyFont="1" applyFill="1" applyBorder="1" applyAlignment="1">
      <alignment horizontal="left"/>
    </xf>
    <xf numFmtId="0" fontId="14" fillId="25" borderId="29" xfId="0" applyFont="1" applyFill="1" applyBorder="1" applyAlignment="1">
      <alignment horizontal="left"/>
    </xf>
    <xf numFmtId="0" fontId="0" fillId="25" borderId="65" xfId="0" applyFill="1" applyBorder="1" applyAlignment="1">
      <alignment horizontal="left"/>
    </xf>
    <xf numFmtId="0" fontId="0" fillId="25" borderId="64" xfId="0" applyFill="1" applyBorder="1" applyAlignment="1">
      <alignment horizontal="left"/>
    </xf>
    <xf numFmtId="0" fontId="8" fillId="26" borderId="26" xfId="0" applyFont="1" applyFill="1" applyBorder="1" applyAlignment="1">
      <alignment horizontal="right"/>
    </xf>
    <xf numFmtId="0" fontId="8" fillId="26" borderId="30" xfId="0" applyFont="1" applyFill="1" applyBorder="1" applyAlignment="1">
      <alignment horizontal="right"/>
    </xf>
    <xf numFmtId="0" fontId="8" fillId="26" borderId="15" xfId="0" applyFont="1" applyFill="1" applyBorder="1" applyAlignment="1">
      <alignment horizontal="left"/>
    </xf>
    <xf numFmtId="0" fontId="8" fillId="26" borderId="10" xfId="0" applyFont="1" applyFill="1" applyBorder="1" applyAlignment="1">
      <alignment horizontal="left"/>
    </xf>
    <xf numFmtId="0" fontId="8" fillId="26" borderId="11" xfId="0" applyFont="1" applyFill="1" applyBorder="1" applyAlignment="1">
      <alignment horizontal="right"/>
    </xf>
    <xf numFmtId="168" fontId="10" fillId="25" borderId="0" xfId="0" applyNumberFormat="1" applyFont="1" applyFill="1" applyBorder="1" applyAlignment="1" applyProtection="1">
      <alignment horizontal="center" vertical="center"/>
    </xf>
    <xf numFmtId="0" fontId="11" fillId="25" borderId="44" xfId="0" applyFont="1" applyFill="1" applyBorder="1" applyAlignment="1" applyProtection="1">
      <alignment horizontal="center" vertical="center"/>
    </xf>
    <xf numFmtId="0" fontId="25" fillId="25" borderId="0" xfId="0" applyFont="1" applyFill="1" applyBorder="1" applyAlignment="1" applyProtection="1">
      <alignment vertical="center"/>
    </xf>
    <xf numFmtId="0" fontId="6" fillId="25" borderId="31" xfId="0" applyFont="1" applyFill="1" applyBorder="1" applyAlignment="1" applyProtection="1">
      <alignment horizontal="center" vertical="center"/>
    </xf>
    <xf numFmtId="164" fontId="6" fillId="25" borderId="31" xfId="0" applyNumberFormat="1" applyFont="1" applyFill="1" applyBorder="1" applyAlignment="1" applyProtection="1">
      <alignment horizontal="center" vertical="center"/>
    </xf>
    <xf numFmtId="0" fontId="6" fillId="25" borderId="31" xfId="0" applyFont="1" applyFill="1" applyBorder="1" applyAlignment="1" applyProtection="1">
      <alignment vertical="center"/>
    </xf>
    <xf numFmtId="0" fontId="6" fillId="25" borderId="40" xfId="0" applyFont="1" applyFill="1" applyBorder="1" applyAlignment="1" applyProtection="1">
      <alignment horizontal="center" vertical="center"/>
    </xf>
    <xf numFmtId="164" fontId="31" fillId="25" borderId="32" xfId="0" applyNumberFormat="1" applyFont="1" applyFill="1" applyBorder="1" applyAlignment="1" applyProtection="1">
      <alignment horizontal="left" vertical="center"/>
    </xf>
    <xf numFmtId="164" fontId="6" fillId="25" borderId="32" xfId="0" applyNumberFormat="1" applyFont="1" applyFill="1" applyBorder="1" applyAlignment="1" applyProtection="1">
      <alignment horizontal="center" vertical="center"/>
    </xf>
    <xf numFmtId="166" fontId="6" fillId="25" borderId="32" xfId="0" applyNumberFormat="1" applyFont="1" applyFill="1" applyBorder="1" applyAlignment="1" applyProtection="1">
      <alignment horizontal="center" vertical="center"/>
    </xf>
    <xf numFmtId="9" fontId="6" fillId="25" borderId="37" xfId="32" applyNumberFormat="1" applyFont="1" applyFill="1" applyBorder="1" applyAlignment="1" applyProtection="1">
      <alignment horizontal="center" vertical="center"/>
    </xf>
    <xf numFmtId="168" fontId="6" fillId="25" borderId="32" xfId="0" applyNumberFormat="1" applyFont="1" applyFill="1" applyBorder="1" applyAlignment="1" applyProtection="1">
      <alignment horizontal="center" vertical="center"/>
    </xf>
    <xf numFmtId="166" fontId="6" fillId="25" borderId="31" xfId="0" applyNumberFormat="1" applyFont="1" applyFill="1" applyBorder="1" applyAlignment="1" applyProtection="1">
      <alignment horizontal="center" vertical="center"/>
    </xf>
    <xf numFmtId="0" fontId="6" fillId="25" borderId="60" xfId="0" applyFont="1" applyFill="1" applyBorder="1" applyAlignment="1" applyProtection="1">
      <alignment horizontal="center" vertical="center"/>
    </xf>
    <xf numFmtId="164" fontId="6" fillId="25" borderId="47" xfId="0" applyNumberFormat="1" applyFont="1" applyFill="1" applyBorder="1" applyAlignment="1" applyProtection="1">
      <alignment horizontal="center" vertical="center"/>
    </xf>
    <xf numFmtId="0" fontId="6" fillId="25" borderId="13" xfId="0" applyFont="1" applyFill="1" applyBorder="1" applyAlignment="1" applyProtection="1">
      <alignment horizontal="center" vertical="center"/>
    </xf>
    <xf numFmtId="9" fontId="6" fillId="25" borderId="13" xfId="32" applyNumberFormat="1" applyFont="1" applyFill="1" applyBorder="1" applyAlignment="1" applyProtection="1">
      <alignment horizontal="center" vertical="center"/>
    </xf>
    <xf numFmtId="0" fontId="6" fillId="25" borderId="38" xfId="0" applyFont="1" applyFill="1" applyBorder="1" applyAlignment="1" applyProtection="1">
      <alignment vertical="center"/>
    </xf>
    <xf numFmtId="0" fontId="6" fillId="25" borderId="39" xfId="0" applyFont="1" applyFill="1" applyBorder="1" applyAlignment="1" applyProtection="1">
      <alignment horizontal="center" vertical="center"/>
    </xf>
    <xf numFmtId="165" fontId="6" fillId="29" borderId="13" xfId="0" applyNumberFormat="1" applyFont="1" applyFill="1" applyBorder="1" applyAlignment="1" applyProtection="1">
      <alignment horizontal="center" vertical="center"/>
      <protection locked="0"/>
    </xf>
    <xf numFmtId="0" fontId="6" fillId="25" borderId="13" xfId="0" applyFont="1" applyFill="1" applyBorder="1" applyAlignment="1" applyProtection="1">
      <alignment vertical="center"/>
    </xf>
    <xf numFmtId="0" fontId="6" fillId="25" borderId="40" xfId="0" applyFont="1" applyFill="1" applyBorder="1" applyAlignment="1" applyProtection="1">
      <alignment vertical="center"/>
    </xf>
    <xf numFmtId="0" fontId="6" fillId="25" borderId="57" xfId="0" applyFont="1" applyFill="1" applyBorder="1" applyAlignment="1" applyProtection="1">
      <alignment horizontal="center" vertical="center"/>
    </xf>
    <xf numFmtId="0" fontId="6" fillId="25" borderId="42" xfId="0" applyFont="1" applyFill="1" applyBorder="1" applyAlignment="1" applyProtection="1">
      <alignment horizontal="center" vertical="center"/>
    </xf>
    <xf numFmtId="0" fontId="7" fillId="25" borderId="13" xfId="0" applyFont="1" applyFill="1" applyBorder="1" applyAlignment="1" applyProtection="1">
      <alignment horizontal="center" vertical="center"/>
    </xf>
    <xf numFmtId="0" fontId="34" fillId="25" borderId="58" xfId="0" applyFont="1" applyFill="1" applyBorder="1" applyAlignment="1" applyProtection="1">
      <alignment horizontal="center" vertical="center"/>
    </xf>
    <xf numFmtId="0" fontId="6" fillId="25" borderId="58" xfId="0" applyFont="1" applyFill="1" applyBorder="1" applyAlignment="1" applyProtection="1">
      <alignment horizontal="center" vertical="center"/>
    </xf>
    <xf numFmtId="0" fontId="7" fillId="25" borderId="16" xfId="0" applyFont="1" applyFill="1" applyBorder="1" applyAlignment="1" applyProtection="1">
      <alignment horizontal="center" vertical="center"/>
    </xf>
    <xf numFmtId="0" fontId="6" fillId="25" borderId="13" xfId="0" applyFont="1" applyFill="1" applyBorder="1" applyAlignment="1" applyProtection="1">
      <alignment horizontal="left" vertical="center"/>
    </xf>
    <xf numFmtId="165" fontId="6" fillId="25" borderId="13" xfId="0" applyNumberFormat="1" applyFont="1" applyFill="1" applyBorder="1" applyAlignment="1" applyProtection="1">
      <alignment horizontal="center" vertical="center"/>
      <protection locked="0"/>
    </xf>
    <xf numFmtId="0" fontId="11" fillId="25" borderId="17" xfId="0" applyFont="1" applyFill="1" applyBorder="1" applyProtection="1"/>
    <xf numFmtId="0" fontId="4" fillId="25" borderId="14" xfId="0" applyFont="1" applyFill="1" applyBorder="1" applyAlignment="1" applyProtection="1">
      <alignment horizontal="center"/>
    </xf>
    <xf numFmtId="0" fontId="4" fillId="25" borderId="66" xfId="0" applyFont="1" applyFill="1" applyBorder="1" applyAlignment="1" applyProtection="1">
      <alignment horizontal="center"/>
    </xf>
    <xf numFmtId="0" fontId="10" fillId="25" borderId="42" xfId="0" applyFont="1" applyFill="1" applyBorder="1" applyAlignment="1">
      <alignment horizontal="center"/>
    </xf>
    <xf numFmtId="0" fontId="14" fillId="25" borderId="42" xfId="0" applyFont="1" applyFill="1" applyBorder="1" applyAlignment="1" applyProtection="1">
      <alignment horizontal="center"/>
    </xf>
    <xf numFmtId="167" fontId="14" fillId="25" borderId="43" xfId="0" applyNumberFormat="1" applyFont="1" applyFill="1" applyBorder="1" applyAlignment="1" applyProtection="1">
      <alignment horizontal="center"/>
    </xf>
    <xf numFmtId="0" fontId="14" fillId="25" borderId="43" xfId="0" applyFont="1" applyFill="1" applyBorder="1" applyAlignment="1" applyProtection="1">
      <alignment horizontal="center"/>
    </xf>
    <xf numFmtId="1" fontId="14" fillId="25" borderId="35" xfId="0" applyNumberFormat="1" applyFont="1" applyFill="1" applyBorder="1" applyAlignment="1" applyProtection="1">
      <alignment horizontal="center"/>
    </xf>
    <xf numFmtId="171" fontId="10" fillId="25" borderId="35" xfId="32" applyNumberFormat="1" applyFont="1" applyFill="1" applyBorder="1" applyAlignment="1">
      <alignment horizontal="center"/>
    </xf>
    <xf numFmtId="0" fontId="6" fillId="25" borderId="68" xfId="0" applyFont="1" applyFill="1" applyBorder="1" applyAlignment="1" applyProtection="1">
      <alignment horizontal="center"/>
    </xf>
    <xf numFmtId="0" fontId="13" fillId="25" borderId="42" xfId="0" applyFont="1" applyFill="1" applyBorder="1" applyAlignment="1" applyProtection="1">
      <alignment horizontal="center"/>
    </xf>
    <xf numFmtId="0" fontId="6" fillId="25" borderId="11" xfId="0" applyFont="1" applyFill="1" applyBorder="1" applyAlignment="1" applyProtection="1">
      <alignment horizontal="center"/>
    </xf>
    <xf numFmtId="0" fontId="6" fillId="25" borderId="19" xfId="0" applyFont="1" applyFill="1" applyBorder="1" applyAlignment="1" applyProtection="1">
      <alignment horizontal="center"/>
    </xf>
    <xf numFmtId="0" fontId="14" fillId="25" borderId="58" xfId="0" applyFont="1" applyFill="1" applyBorder="1" applyAlignment="1" applyProtection="1">
      <alignment horizontal="center"/>
    </xf>
    <xf numFmtId="0" fontId="40" fillId="25" borderId="32" xfId="0" applyFont="1" applyFill="1" applyBorder="1" applyAlignment="1" applyProtection="1">
      <alignment horizontal="center" vertical="center" wrapText="1"/>
    </xf>
    <xf numFmtId="0" fontId="14" fillId="25" borderId="48" xfId="0" applyFont="1" applyFill="1" applyBorder="1" applyAlignment="1" applyProtection="1">
      <alignment horizontal="center"/>
    </xf>
    <xf numFmtId="167" fontId="14" fillId="25" borderId="11" xfId="0" applyNumberFormat="1" applyFont="1" applyFill="1" applyBorder="1" applyAlignment="1" applyProtection="1">
      <alignment horizontal="center"/>
    </xf>
    <xf numFmtId="167" fontId="14" fillId="25" borderId="37" xfId="0" applyNumberFormat="1" applyFont="1" applyFill="1" applyBorder="1" applyAlignment="1" applyProtection="1">
      <alignment horizontal="center"/>
    </xf>
    <xf numFmtId="1" fontId="0" fillId="25" borderId="26" xfId="0" applyNumberFormat="1" applyFill="1" applyBorder="1" applyAlignment="1">
      <alignment horizontal="center"/>
    </xf>
    <xf numFmtId="2" fontId="0" fillId="25" borderId="26" xfId="0" applyNumberFormat="1" applyFill="1" applyBorder="1" applyAlignment="1">
      <alignment horizontal="center"/>
    </xf>
    <xf numFmtId="2" fontId="0" fillId="25" borderId="30" xfId="0" applyNumberFormat="1" applyFill="1" applyBorder="1" applyAlignment="1">
      <alignment horizontal="center"/>
    </xf>
    <xf numFmtId="0" fontId="8" fillId="26" borderId="43" xfId="0" applyFont="1" applyFill="1" applyBorder="1" applyAlignment="1">
      <alignment horizontal="left"/>
    </xf>
    <xf numFmtId="0" fontId="8" fillId="26" borderId="29" xfId="0" applyFont="1" applyFill="1" applyBorder="1" applyAlignment="1">
      <alignment horizontal="center"/>
    </xf>
    <xf numFmtId="0" fontId="42" fillId="25" borderId="0" xfId="0" applyFont="1" applyFill="1"/>
    <xf numFmtId="0" fontId="8" fillId="26" borderId="11" xfId="0" applyFont="1" applyFill="1" applyBorder="1" applyAlignment="1">
      <alignment horizontal="left"/>
    </xf>
    <xf numFmtId="0" fontId="24" fillId="25" borderId="35" xfId="0" applyFont="1" applyFill="1" applyBorder="1" applyAlignment="1" applyProtection="1">
      <alignment horizontal="center"/>
    </xf>
    <xf numFmtId="0" fontId="4" fillId="25" borderId="26" xfId="0" applyFont="1" applyFill="1" applyBorder="1" applyAlignment="1">
      <alignment horizontal="center"/>
    </xf>
    <xf numFmtId="0" fontId="4" fillId="24" borderId="12" xfId="0" applyFont="1" applyFill="1" applyBorder="1" applyAlignment="1">
      <alignment horizontal="center"/>
    </xf>
    <xf numFmtId="2" fontId="8" fillId="26" borderId="11" xfId="0" applyNumberFormat="1" applyFont="1" applyFill="1" applyBorder="1" applyAlignment="1">
      <alignment horizontal="left"/>
    </xf>
    <xf numFmtId="0" fontId="6" fillId="25" borderId="26" xfId="0" applyFont="1" applyFill="1" applyBorder="1" applyAlignment="1">
      <alignment horizontal="left"/>
    </xf>
    <xf numFmtId="0" fontId="6" fillId="25" borderId="26" xfId="0" applyFont="1" applyFill="1" applyBorder="1" applyAlignment="1">
      <alignment horizontal="center"/>
    </xf>
    <xf numFmtId="0" fontId="21" fillId="26" borderId="10" xfId="0" applyFont="1" applyFill="1" applyBorder="1" applyAlignment="1">
      <alignment horizontal="right"/>
    </xf>
    <xf numFmtId="0" fontId="21" fillId="26" borderId="10" xfId="0" applyFont="1" applyFill="1" applyBorder="1" applyAlignment="1">
      <alignment horizontal="left"/>
    </xf>
    <xf numFmtId="0" fontId="21" fillId="26" borderId="19" xfId="0" applyFont="1" applyFill="1" applyBorder="1" applyAlignment="1">
      <alignment horizontal="center"/>
    </xf>
    <xf numFmtId="0" fontId="0" fillId="25" borderId="0" xfId="0" applyFill="1" applyBorder="1" applyAlignment="1">
      <alignment horizontal="right"/>
    </xf>
    <xf numFmtId="0" fontId="0" fillId="26" borderId="15" xfId="0" applyFill="1" applyBorder="1"/>
    <xf numFmtId="0" fontId="8" fillId="26" borderId="28" xfId="0" applyFont="1" applyFill="1" applyBorder="1" applyAlignment="1">
      <alignment horizontal="right"/>
    </xf>
    <xf numFmtId="0" fontId="8" fillId="26" borderId="17" xfId="0" applyFont="1" applyFill="1" applyBorder="1" applyAlignment="1">
      <alignment horizontal="right"/>
    </xf>
    <xf numFmtId="0" fontId="44" fillId="25" borderId="13" xfId="0" applyFont="1" applyFill="1" applyBorder="1" applyAlignment="1" applyProtection="1">
      <alignment vertical="center"/>
    </xf>
    <xf numFmtId="0" fontId="25" fillId="25" borderId="13" xfId="0" applyFont="1" applyFill="1" applyBorder="1" applyAlignment="1" applyProtection="1">
      <alignment vertical="center"/>
    </xf>
    <xf numFmtId="0" fontId="6" fillId="29" borderId="13" xfId="0" applyNumberFormat="1" applyFont="1" applyFill="1" applyBorder="1" applyAlignment="1" applyProtection="1">
      <alignment horizontal="center" vertical="center"/>
      <protection locked="0"/>
    </xf>
    <xf numFmtId="0" fontId="8" fillId="26" borderId="12" xfId="0" applyFont="1" applyFill="1" applyBorder="1" applyAlignment="1">
      <alignment horizontal="center"/>
    </xf>
    <xf numFmtId="0" fontId="45" fillId="25" borderId="0" xfId="0" applyFont="1" applyFill="1"/>
    <xf numFmtId="0" fontId="4" fillId="25" borderId="28" xfId="0" applyFont="1" applyFill="1" applyBorder="1" applyAlignment="1">
      <alignment horizontal="left"/>
    </xf>
    <xf numFmtId="0" fontId="4" fillId="25" borderId="17" xfId="0" applyFont="1" applyFill="1" applyBorder="1" applyAlignment="1">
      <alignment horizontal="left"/>
    </xf>
    <xf numFmtId="0" fontId="4" fillId="25" borderId="18" xfId="0" applyFont="1" applyFill="1" applyBorder="1" applyAlignment="1">
      <alignment horizontal="left"/>
    </xf>
    <xf numFmtId="0" fontId="0" fillId="25" borderId="10" xfId="0" applyFill="1" applyBorder="1" applyAlignment="1">
      <alignment horizontal="center"/>
    </xf>
    <xf numFmtId="0" fontId="36" fillId="29" borderId="28" xfId="0" applyFont="1" applyFill="1" applyBorder="1" applyAlignment="1">
      <alignment horizontal="left"/>
    </xf>
    <xf numFmtId="0" fontId="21" fillId="26" borderId="0" xfId="0" applyFont="1" applyFill="1" applyBorder="1"/>
    <xf numFmtId="2" fontId="8" fillId="26" borderId="29" xfId="0" applyNumberFormat="1" applyFont="1" applyFill="1" applyBorder="1" applyAlignment="1">
      <alignment horizontal="left"/>
    </xf>
    <xf numFmtId="0" fontId="4" fillId="25" borderId="0" xfId="0" applyFont="1" applyFill="1" applyBorder="1" applyAlignment="1">
      <alignment horizontal="left"/>
    </xf>
    <xf numFmtId="0" fontId="4" fillId="25" borderId="15" xfId="0" applyFont="1" applyFill="1" applyBorder="1" applyAlignment="1">
      <alignment horizontal="left"/>
    </xf>
    <xf numFmtId="0" fontId="4" fillId="25" borderId="10" xfId="0" applyFont="1" applyFill="1" applyBorder="1"/>
    <xf numFmtId="0" fontId="4" fillId="25" borderId="18" xfId="0" applyFont="1" applyFill="1" applyBorder="1"/>
    <xf numFmtId="0" fontId="0" fillId="25" borderId="43" xfId="0" applyFill="1" applyBorder="1" applyAlignment="1">
      <alignment horizontal="left"/>
    </xf>
    <xf numFmtId="0" fontId="0" fillId="25" borderId="41" xfId="0" applyFill="1" applyBorder="1" applyAlignment="1">
      <alignment horizontal="left"/>
    </xf>
    <xf numFmtId="0" fontId="0" fillId="25" borderId="67" xfId="0" applyFill="1" applyBorder="1" applyAlignment="1">
      <alignment horizontal="left"/>
    </xf>
    <xf numFmtId="2" fontId="19" fillId="25" borderId="26" xfId="0" applyNumberFormat="1" applyFont="1" applyFill="1" applyBorder="1" applyAlignment="1">
      <alignment horizontal="center"/>
    </xf>
    <xf numFmtId="0" fontId="19" fillId="25" borderId="26" xfId="0" applyFont="1" applyFill="1" applyBorder="1" applyAlignment="1">
      <alignment horizontal="center"/>
    </xf>
    <xf numFmtId="0" fontId="6" fillId="25" borderId="58" xfId="0" applyFont="1" applyFill="1" applyBorder="1" applyAlignment="1" applyProtection="1">
      <alignment vertical="center"/>
    </xf>
    <xf numFmtId="0" fontId="6" fillId="25" borderId="63" xfId="0" applyFont="1" applyFill="1" applyBorder="1" applyAlignment="1" applyProtection="1">
      <alignment vertical="center"/>
    </xf>
    <xf numFmtId="2" fontId="14" fillId="25" borderId="35" xfId="0" applyNumberFormat="1" applyFont="1" applyFill="1" applyBorder="1" applyAlignment="1" applyProtection="1">
      <alignment horizontal="center"/>
    </xf>
    <xf numFmtId="0" fontId="10" fillId="25" borderId="28" xfId="0" applyFont="1" applyFill="1" applyBorder="1" applyAlignment="1"/>
    <xf numFmtId="0" fontId="21" fillId="26" borderId="10" xfId="0" applyFont="1" applyFill="1" applyBorder="1" applyAlignment="1">
      <alignment horizontal="center"/>
    </xf>
    <xf numFmtId="0" fontId="21" fillId="26" borderId="18" xfId="0" applyFont="1" applyFill="1" applyBorder="1" applyAlignment="1">
      <alignment horizontal="center"/>
    </xf>
    <xf numFmtId="0" fontId="4" fillId="25" borderId="19" xfId="0" applyFont="1" applyFill="1" applyBorder="1"/>
    <xf numFmtId="0" fontId="4" fillId="25" borderId="18" xfId="0" applyFont="1" applyFill="1" applyBorder="1" applyAlignment="1">
      <alignment horizontal="right"/>
    </xf>
    <xf numFmtId="0" fontId="21" fillId="26" borderId="29" xfId="0" applyFont="1" applyFill="1" applyBorder="1" applyAlignment="1">
      <alignment horizontal="left"/>
    </xf>
    <xf numFmtId="0" fontId="3" fillId="25" borderId="28" xfId="33" applyNumberFormat="1" applyFont="1" applyFill="1" applyBorder="1"/>
    <xf numFmtId="0" fontId="3" fillId="25" borderId="0" xfId="33" applyNumberFormat="1" applyFont="1" applyFill="1" applyBorder="1"/>
    <xf numFmtId="0" fontId="3" fillId="25" borderId="17" xfId="33" applyNumberFormat="1" applyFont="1" applyFill="1" applyBorder="1"/>
    <xf numFmtId="0" fontId="3" fillId="25" borderId="18" xfId="33" applyNumberFormat="1" applyFont="1" applyFill="1" applyBorder="1"/>
    <xf numFmtId="172" fontId="3" fillId="25" borderId="0" xfId="33" applyNumberFormat="1" applyFont="1" applyFill="1" applyBorder="1"/>
    <xf numFmtId="172" fontId="3" fillId="25" borderId="18" xfId="33" applyNumberFormat="1" applyFont="1" applyFill="1" applyBorder="1"/>
    <xf numFmtId="0" fontId="0" fillId="26" borderId="17" xfId="0" applyFill="1" applyBorder="1"/>
    <xf numFmtId="0" fontId="0" fillId="25" borderId="11" xfId="0" applyFill="1" applyBorder="1" applyAlignment="1">
      <alignment horizontal="left"/>
    </xf>
    <xf numFmtId="0" fontId="0" fillId="26" borderId="27" xfId="0" applyFill="1" applyBorder="1"/>
    <xf numFmtId="0" fontId="0" fillId="26" borderId="26" xfId="0" applyFill="1" applyBorder="1"/>
    <xf numFmtId="0" fontId="10" fillId="25" borderId="0" xfId="0" applyFont="1" applyFill="1" applyBorder="1" applyAlignment="1" applyProtection="1">
      <alignment horizontal="right"/>
    </xf>
    <xf numFmtId="0" fontId="10" fillId="25" borderId="18" xfId="0" applyFont="1" applyFill="1" applyBorder="1" applyAlignment="1" applyProtection="1">
      <alignment horizontal="right"/>
    </xf>
    <xf numFmtId="0" fontId="28" fillId="26" borderId="10" xfId="0" applyFont="1" applyFill="1" applyBorder="1" applyProtection="1"/>
    <xf numFmtId="0" fontId="0" fillId="26" borderId="18" xfId="0" applyFill="1" applyBorder="1"/>
    <xf numFmtId="0" fontId="0" fillId="26" borderId="19" xfId="0" applyFill="1" applyBorder="1"/>
    <xf numFmtId="0" fontId="0" fillId="26" borderId="20" xfId="0" applyFill="1" applyBorder="1"/>
    <xf numFmtId="0" fontId="21" fillId="26" borderId="0" xfId="0" applyFont="1" applyFill="1" applyBorder="1" applyAlignment="1">
      <alignment horizontal="right"/>
    </xf>
    <xf numFmtId="0" fontId="21" fillId="26" borderId="18" xfId="0" applyFont="1" applyFill="1" applyBorder="1" applyAlignment="1">
      <alignment horizontal="right"/>
    </xf>
    <xf numFmtId="0" fontId="21" fillId="26" borderId="18" xfId="0" applyFont="1" applyFill="1" applyBorder="1" applyAlignment="1">
      <alignment horizontal="left"/>
    </xf>
    <xf numFmtId="0" fontId="21" fillId="26" borderId="0" xfId="0" applyFont="1" applyFill="1" applyBorder="1" applyAlignment="1">
      <alignment horizontal="left"/>
    </xf>
    <xf numFmtId="0" fontId="21" fillId="26" borderId="0" xfId="0" applyFont="1" applyFill="1" applyBorder="1" applyAlignment="1">
      <alignment horizontal="center"/>
    </xf>
    <xf numFmtId="0" fontId="11" fillId="25" borderId="0" xfId="0" applyFont="1" applyFill="1" applyProtection="1"/>
    <xf numFmtId="0" fontId="11" fillId="25" borderId="0" xfId="0" applyFont="1" applyFill="1" applyAlignment="1" applyProtection="1">
      <alignment horizontal="center"/>
    </xf>
    <xf numFmtId="0" fontId="19" fillId="25" borderId="0" xfId="0" applyFont="1" applyFill="1"/>
    <xf numFmtId="0" fontId="19" fillId="0" borderId="0" xfId="0" applyFont="1"/>
    <xf numFmtId="0" fontId="47" fillId="25" borderId="0" xfId="0" applyFont="1" applyFill="1" applyBorder="1" applyAlignment="1" applyProtection="1">
      <alignment vertical="center"/>
    </xf>
    <xf numFmtId="2" fontId="36" fillId="25" borderId="26" xfId="0" applyNumberFormat="1" applyFont="1" applyFill="1" applyBorder="1" applyAlignment="1">
      <alignment horizontal="center"/>
    </xf>
    <xf numFmtId="9" fontId="6" fillId="25" borderId="10" xfId="32" applyFont="1" applyFill="1" applyBorder="1" applyAlignment="1" applyProtection="1">
      <alignment horizontal="center" vertical="center"/>
    </xf>
    <xf numFmtId="9" fontId="6" fillId="25" borderId="11" xfId="32" applyFont="1" applyFill="1" applyBorder="1" applyAlignment="1" applyProtection="1">
      <alignment horizontal="center" vertical="center"/>
    </xf>
    <xf numFmtId="0" fontId="0" fillId="29" borderId="18" xfId="0" applyFill="1" applyBorder="1"/>
    <xf numFmtId="0" fontId="8" fillId="26" borderId="27" xfId="0" applyFont="1" applyFill="1" applyBorder="1" applyAlignment="1">
      <alignment horizontal="center"/>
    </xf>
    <xf numFmtId="0" fontId="8" fillId="26" borderId="0" xfId="0" applyFont="1" applyFill="1"/>
    <xf numFmtId="0" fontId="8" fillId="26" borderId="27" xfId="0" applyFont="1" applyFill="1" applyBorder="1"/>
    <xf numFmtId="0" fontId="8" fillId="26" borderId="17" xfId="0" applyFont="1" applyFill="1" applyBorder="1"/>
    <xf numFmtId="0" fontId="8" fillId="26" borderId="30" xfId="0" applyFont="1" applyFill="1" applyBorder="1"/>
    <xf numFmtId="0" fontId="0" fillId="29" borderId="20" xfId="0" applyFill="1" applyBorder="1"/>
    <xf numFmtId="0" fontId="0" fillId="29" borderId="22" xfId="0" applyFill="1" applyBorder="1"/>
    <xf numFmtId="0" fontId="0" fillId="29" borderId="14" xfId="0" applyFill="1" applyBorder="1" applyAlignment="1">
      <alignment horizontal="left"/>
    </xf>
    <xf numFmtId="0" fontId="0" fillId="29" borderId="12" xfId="0" applyFill="1" applyBorder="1" applyAlignment="1">
      <alignment horizontal="center"/>
    </xf>
    <xf numFmtId="0" fontId="8" fillId="26" borderId="30" xfId="0" applyFont="1" applyFill="1" applyBorder="1" applyAlignment="1">
      <alignment horizontal="center"/>
    </xf>
    <xf numFmtId="0" fontId="0" fillId="25" borderId="22" xfId="0" applyFill="1" applyBorder="1"/>
    <xf numFmtId="0" fontId="21" fillId="26" borderId="30" xfId="0" applyFont="1" applyFill="1" applyBorder="1" applyAlignment="1">
      <alignment horizontal="center"/>
    </xf>
    <xf numFmtId="0" fontId="28" fillId="27" borderId="15" xfId="0" applyFont="1" applyFill="1" applyBorder="1" applyAlignment="1">
      <alignment horizontal="center"/>
    </xf>
    <xf numFmtId="0" fontId="29" fillId="27" borderId="17" xfId="0" applyFont="1" applyFill="1" applyBorder="1" applyAlignment="1">
      <alignment horizontal="center"/>
    </xf>
    <xf numFmtId="0" fontId="8" fillId="27" borderId="11" xfId="0" applyFont="1" applyFill="1" applyBorder="1" applyAlignment="1">
      <alignment horizontal="center"/>
    </xf>
    <xf numFmtId="0" fontId="8" fillId="27" borderId="19" xfId="0" applyFont="1" applyFill="1" applyBorder="1" applyAlignment="1">
      <alignment horizontal="center"/>
    </xf>
    <xf numFmtId="0" fontId="29" fillId="26" borderId="30" xfId="0" applyFont="1" applyFill="1" applyBorder="1" applyAlignment="1">
      <alignment horizontal="center"/>
    </xf>
    <xf numFmtId="0" fontId="0" fillId="24" borderId="30" xfId="0" applyFill="1" applyBorder="1" applyAlignment="1">
      <alignment horizontal="center"/>
    </xf>
    <xf numFmtId="0" fontId="21" fillId="26" borderId="17" xfId="0" applyFont="1" applyFill="1" applyBorder="1" applyAlignment="1">
      <alignment horizontal="left"/>
    </xf>
    <xf numFmtId="0" fontId="0" fillId="29" borderId="27" xfId="0" applyFill="1" applyBorder="1" applyAlignment="1">
      <alignment horizontal="left"/>
    </xf>
    <xf numFmtId="0" fontId="0" fillId="29" borderId="26" xfId="0" applyFill="1" applyBorder="1" applyAlignment="1">
      <alignment horizontal="left"/>
    </xf>
    <xf numFmtId="0" fontId="0" fillId="29" borderId="30" xfId="0" applyFill="1" applyBorder="1" applyAlignment="1">
      <alignment horizontal="left"/>
    </xf>
    <xf numFmtId="2" fontId="0" fillId="29" borderId="12" xfId="0" applyNumberFormat="1" applyFill="1" applyBorder="1" applyAlignment="1">
      <alignment horizontal="center"/>
    </xf>
    <xf numFmtId="0" fontId="8" fillId="26" borderId="11" xfId="0" applyFont="1" applyFill="1" applyBorder="1" applyAlignment="1">
      <alignment horizontal="center"/>
    </xf>
    <xf numFmtId="0" fontId="8" fillId="26" borderId="19" xfId="0" applyFont="1" applyFill="1" applyBorder="1" applyAlignment="1">
      <alignment horizontal="center"/>
    </xf>
    <xf numFmtId="9" fontId="0" fillId="25" borderId="0" xfId="32" applyFont="1" applyFill="1" applyBorder="1" applyAlignment="1">
      <alignment horizontal="center"/>
    </xf>
    <xf numFmtId="9" fontId="0" fillId="25" borderId="18" xfId="32" applyFont="1" applyFill="1" applyBorder="1" applyAlignment="1">
      <alignment horizontal="center"/>
    </xf>
    <xf numFmtId="2" fontId="0" fillId="25" borderId="12" xfId="0" applyNumberFormat="1" applyFill="1" applyBorder="1" applyAlignment="1">
      <alignment horizontal="center"/>
    </xf>
    <xf numFmtId="167" fontId="0" fillId="25" borderId="12" xfId="0" applyNumberFormat="1" applyFill="1" applyBorder="1" applyAlignment="1">
      <alignment horizontal="center"/>
    </xf>
    <xf numFmtId="0" fontId="0" fillId="25" borderId="28" xfId="0" applyFill="1" applyBorder="1" applyAlignment="1" applyProtection="1">
      <alignment horizontal="center"/>
      <protection locked="0"/>
    </xf>
    <xf numFmtId="0" fontId="0" fillId="25" borderId="17" xfId="0" applyFill="1" applyBorder="1" applyAlignment="1" applyProtection="1">
      <alignment horizontal="center"/>
      <protection locked="0"/>
    </xf>
    <xf numFmtId="0" fontId="6" fillId="25" borderId="40" xfId="0" applyFont="1" applyFill="1" applyBorder="1" applyAlignment="1" applyProtection="1">
      <alignment horizontal="left" vertical="center"/>
    </xf>
    <xf numFmtId="0" fontId="51" fillId="25" borderId="40" xfId="0" applyFont="1" applyFill="1" applyBorder="1" applyAlignment="1" applyProtection="1">
      <alignment horizontal="center" vertical="center"/>
    </xf>
    <xf numFmtId="0" fontId="20" fillId="25" borderId="0" xfId="0" applyFont="1" applyFill="1" applyAlignment="1" applyProtection="1">
      <alignment vertical="center"/>
    </xf>
    <xf numFmtId="0" fontId="8" fillId="27" borderId="20" xfId="0" applyFont="1" applyFill="1" applyBorder="1"/>
    <xf numFmtId="0" fontId="8" fillId="27" borderId="14" xfId="0" applyFont="1" applyFill="1" applyBorder="1"/>
    <xf numFmtId="0" fontId="8" fillId="27" borderId="12" xfId="0" applyFont="1" applyFill="1" applyBorder="1"/>
    <xf numFmtId="0" fontId="52" fillId="25" borderId="0" xfId="0" applyFont="1" applyFill="1" applyAlignment="1">
      <alignment horizontal="right"/>
    </xf>
    <xf numFmtId="0" fontId="19" fillId="25" borderId="0" xfId="0" applyFont="1" applyFill="1" applyAlignment="1">
      <alignment horizontal="center"/>
    </xf>
    <xf numFmtId="164" fontId="40" fillId="25" borderId="52" xfId="0" applyNumberFormat="1" applyFont="1" applyFill="1" applyBorder="1" applyAlignment="1" applyProtection="1">
      <alignment horizontal="center" vertical="center" wrapText="1"/>
    </xf>
    <xf numFmtId="0" fontId="52" fillId="25" borderId="0" xfId="0" applyFont="1" applyFill="1" applyBorder="1" applyAlignment="1">
      <alignment horizontal="right"/>
    </xf>
    <xf numFmtId="0" fontId="19" fillId="25" borderId="0" xfId="0" applyFont="1" applyFill="1" applyBorder="1" applyAlignment="1">
      <alignment horizontal="center"/>
    </xf>
    <xf numFmtId="0" fontId="10" fillId="25" borderId="27" xfId="0" applyFont="1" applyFill="1" applyBorder="1"/>
    <xf numFmtId="0" fontId="10" fillId="25" borderId="17" xfId="0" applyFont="1" applyFill="1" applyBorder="1"/>
    <xf numFmtId="0" fontId="10" fillId="25" borderId="19" xfId="0" applyFont="1" applyFill="1" applyBorder="1"/>
    <xf numFmtId="0" fontId="10" fillId="25" borderId="15" xfId="0" applyFont="1" applyFill="1" applyBorder="1" applyAlignment="1">
      <alignment horizontal="center"/>
    </xf>
    <xf numFmtId="0" fontId="10" fillId="25" borderId="11" xfId="0" applyFont="1" applyFill="1" applyBorder="1" applyAlignment="1">
      <alignment horizontal="center"/>
    </xf>
    <xf numFmtId="0" fontId="10" fillId="25" borderId="28" xfId="0" applyFont="1" applyFill="1" applyBorder="1" applyAlignment="1">
      <alignment horizontal="center"/>
    </xf>
    <xf numFmtId="0" fontId="10" fillId="25" borderId="29" xfId="0" applyFont="1" applyFill="1" applyBorder="1" applyAlignment="1">
      <alignment horizontal="center"/>
    </xf>
    <xf numFmtId="0" fontId="10" fillId="25" borderId="17" xfId="0" applyFont="1" applyFill="1" applyBorder="1" applyAlignment="1">
      <alignment horizontal="center"/>
    </xf>
    <xf numFmtId="0" fontId="10" fillId="25" borderId="19" xfId="0" applyFont="1" applyFill="1" applyBorder="1" applyAlignment="1">
      <alignment horizontal="center"/>
    </xf>
    <xf numFmtId="0" fontId="21" fillId="25" borderId="28" xfId="0" applyFont="1" applyFill="1" applyBorder="1" applyAlignment="1">
      <alignment horizontal="left"/>
    </xf>
    <xf numFmtId="0" fontId="8" fillId="26" borderId="27" xfId="0" applyFont="1" applyFill="1" applyBorder="1" applyAlignment="1">
      <alignment horizontal="right"/>
    </xf>
    <xf numFmtId="0" fontId="28" fillId="26" borderId="27" xfId="0" applyFont="1" applyFill="1" applyBorder="1"/>
    <xf numFmtId="0" fontId="28" fillId="26" borderId="15" xfId="0" applyFont="1" applyFill="1" applyBorder="1" applyAlignment="1">
      <alignment horizontal="left"/>
    </xf>
    <xf numFmtId="0" fontId="28" fillId="26" borderId="11" xfId="0" applyFont="1" applyFill="1" applyBorder="1" applyAlignment="1">
      <alignment horizontal="center"/>
    </xf>
    <xf numFmtId="2" fontId="0" fillId="25" borderId="27" xfId="0" applyNumberFormat="1" applyFill="1" applyBorder="1" applyAlignment="1">
      <alignment horizontal="center"/>
    </xf>
    <xf numFmtId="167" fontId="0" fillId="25" borderId="30" xfId="0" applyNumberFormat="1" applyFill="1" applyBorder="1" applyAlignment="1">
      <alignment horizontal="center"/>
    </xf>
    <xf numFmtId="167" fontId="0" fillId="25" borderId="18" xfId="0" applyNumberFormat="1" applyFill="1" applyBorder="1" applyAlignment="1">
      <alignment horizontal="center"/>
    </xf>
    <xf numFmtId="0" fontId="0" fillId="24" borderId="12" xfId="0" applyFill="1" applyBorder="1"/>
    <xf numFmtId="2" fontId="0" fillId="24" borderId="12" xfId="0" applyNumberFormat="1" applyFill="1" applyBorder="1" applyAlignment="1">
      <alignment horizontal="center"/>
    </xf>
    <xf numFmtId="167" fontId="26" fillId="25" borderId="0" xfId="0" applyNumberFormat="1" applyFont="1" applyFill="1" applyProtection="1"/>
    <xf numFmtId="0" fontId="16" fillId="25" borderId="20" xfId="0" applyFont="1" applyFill="1" applyBorder="1" applyAlignment="1" applyProtection="1">
      <alignment horizontal="left" vertical="center"/>
    </xf>
    <xf numFmtId="9" fontId="10" fillId="25" borderId="14" xfId="32" applyFont="1" applyFill="1" applyBorder="1" applyAlignment="1" applyProtection="1">
      <alignment horizontal="center" vertical="center"/>
    </xf>
    <xf numFmtId="0" fontId="6" fillId="25" borderId="14" xfId="0" applyFont="1" applyFill="1" applyBorder="1" applyAlignment="1" applyProtection="1">
      <alignment horizontal="left" vertical="center"/>
    </xf>
    <xf numFmtId="9" fontId="6" fillId="25" borderId="10" xfId="32" applyFont="1" applyFill="1" applyBorder="1" applyAlignment="1" applyProtection="1">
      <alignment horizontal="left" vertical="center"/>
    </xf>
    <xf numFmtId="0" fontId="21" fillId="26" borderId="28" xfId="0" applyFont="1" applyFill="1" applyBorder="1"/>
    <xf numFmtId="0" fontId="53" fillId="26" borderId="15" xfId="0" applyFont="1" applyFill="1" applyBorder="1"/>
    <xf numFmtId="164" fontId="54" fillId="25" borderId="32" xfId="0" applyNumberFormat="1" applyFont="1" applyFill="1" applyBorder="1" applyAlignment="1" applyProtection="1">
      <alignment horizontal="center" vertical="center" wrapText="1"/>
    </xf>
    <xf numFmtId="0" fontId="0" fillId="0" borderId="0" xfId="0" applyFill="1"/>
    <xf numFmtId="14" fontId="0" fillId="0" borderId="0" xfId="0" applyNumberFormat="1" applyFill="1"/>
    <xf numFmtId="0" fontId="0" fillId="0" borderId="0" xfId="0" applyFill="1" applyAlignment="1">
      <alignment horizontal="center"/>
    </xf>
    <xf numFmtId="0" fontId="10" fillId="25" borderId="11" xfId="0" applyFont="1" applyFill="1" applyBorder="1" applyAlignment="1" applyProtection="1">
      <alignment horizontal="center"/>
    </xf>
    <xf numFmtId="0" fontId="6" fillId="25" borderId="16" xfId="0" applyFont="1" applyFill="1" applyBorder="1" applyAlignment="1" applyProtection="1">
      <alignment horizontal="center" vertical="center"/>
    </xf>
    <xf numFmtId="0" fontId="22" fillId="25" borderId="0" xfId="33" applyNumberFormat="1" applyFont="1" applyFill="1" applyBorder="1" applyAlignment="1">
      <alignment horizontal="left"/>
    </xf>
    <xf numFmtId="0" fontId="4" fillId="25" borderId="0" xfId="33" applyNumberFormat="1" applyFont="1" applyFill="1" applyBorder="1" applyAlignment="1" applyProtection="1">
      <alignment horizontal="left"/>
      <protection locked="0"/>
    </xf>
    <xf numFmtId="0" fontId="8" fillId="26" borderId="12" xfId="0" applyFont="1" applyFill="1" applyBorder="1"/>
    <xf numFmtId="0" fontId="8" fillId="26" borderId="12" xfId="0" applyFont="1" applyFill="1" applyBorder="1" applyAlignment="1">
      <alignment horizontal="right"/>
    </xf>
    <xf numFmtId="0" fontId="17" fillId="25" borderId="47" xfId="0" applyFont="1" applyFill="1" applyBorder="1" applyAlignment="1" applyProtection="1">
      <alignment horizontal="left" vertical="center"/>
    </xf>
    <xf numFmtId="0" fontId="17" fillId="25" borderId="48" xfId="0" applyFont="1" applyFill="1" applyBorder="1" applyAlignment="1" applyProtection="1">
      <alignment horizontal="left" vertical="center"/>
    </xf>
    <xf numFmtId="0" fontId="17" fillId="25" borderId="40" xfId="0" applyFont="1" applyFill="1" applyBorder="1" applyAlignment="1" applyProtection="1">
      <alignment horizontal="left" vertical="center"/>
    </xf>
    <xf numFmtId="0" fontId="17" fillId="25" borderId="31" xfId="0" applyFont="1" applyFill="1" applyBorder="1" applyAlignment="1" applyProtection="1">
      <alignment horizontal="left" vertical="center"/>
    </xf>
    <xf numFmtId="0" fontId="17" fillId="25" borderId="46" xfId="0" applyFont="1" applyFill="1" applyBorder="1" applyAlignment="1" applyProtection="1">
      <alignment horizontal="left" vertical="center"/>
    </xf>
    <xf numFmtId="0" fontId="17" fillId="25" borderId="51" xfId="0" applyFont="1" applyFill="1" applyBorder="1" applyAlignment="1" applyProtection="1">
      <alignment horizontal="left" vertical="center"/>
    </xf>
    <xf numFmtId="0" fontId="17" fillId="25" borderId="63" xfId="0" applyFont="1" applyFill="1" applyBorder="1" applyAlignment="1" applyProtection="1">
      <alignment horizontal="left" vertical="center"/>
    </xf>
    <xf numFmtId="0" fontId="17" fillId="25" borderId="60" xfId="0" applyFont="1" applyFill="1" applyBorder="1" applyAlignment="1" applyProtection="1">
      <alignment horizontal="left" vertical="center"/>
    </xf>
    <xf numFmtId="0" fontId="17" fillId="25" borderId="69" xfId="0" applyFont="1" applyFill="1" applyBorder="1" applyAlignment="1" applyProtection="1">
      <alignment horizontal="left" vertical="center"/>
    </xf>
    <xf numFmtId="0" fontId="0" fillId="27" borderId="14" xfId="0" applyFill="1" applyBorder="1"/>
    <xf numFmtId="0" fontId="0" fillId="27" borderId="22" xfId="0" applyFill="1" applyBorder="1"/>
    <xf numFmtId="0" fontId="11" fillId="0" borderId="0" xfId="0" applyFont="1" applyAlignment="1">
      <alignment wrapText="1"/>
    </xf>
    <xf numFmtId="0" fontId="57" fillId="25" borderId="13" xfId="0" applyFont="1" applyFill="1" applyBorder="1" applyAlignment="1">
      <alignment horizontal="center" wrapText="1"/>
    </xf>
    <xf numFmtId="0" fontId="58" fillId="31" borderId="13" xfId="0" applyFont="1" applyFill="1" applyBorder="1" applyAlignment="1">
      <alignment wrapText="1"/>
    </xf>
    <xf numFmtId="0" fontId="58" fillId="32" borderId="13" xfId="0" applyFont="1" applyFill="1" applyBorder="1" applyAlignment="1">
      <alignment wrapText="1"/>
    </xf>
    <xf numFmtId="0" fontId="58" fillId="0" borderId="0" xfId="0" applyFont="1" applyAlignment="1">
      <alignment wrapText="1"/>
    </xf>
    <xf numFmtId="0" fontId="35" fillId="25" borderId="13" xfId="0" applyFont="1" applyFill="1" applyBorder="1" applyAlignment="1">
      <alignment horizontal="center" wrapText="1"/>
    </xf>
    <xf numFmtId="0" fontId="10" fillId="31" borderId="13" xfId="0" applyFont="1" applyFill="1" applyBorder="1" applyAlignment="1">
      <alignment wrapText="1"/>
    </xf>
    <xf numFmtId="0" fontId="10" fillId="32" borderId="13" xfId="0" applyFont="1" applyFill="1" applyBorder="1" applyAlignment="1">
      <alignment wrapText="1"/>
    </xf>
    <xf numFmtId="0" fontId="10" fillId="0" borderId="0" xfId="0" applyFont="1" applyAlignment="1">
      <alignment wrapText="1"/>
    </xf>
    <xf numFmtId="0" fontId="6" fillId="25" borderId="21" xfId="0" applyFont="1" applyFill="1" applyBorder="1" applyAlignment="1" applyProtection="1">
      <alignment horizontal="center" vertical="center"/>
    </xf>
    <xf numFmtId="168" fontId="6" fillId="25" borderId="72" xfId="0" applyNumberFormat="1" applyFont="1" applyFill="1" applyBorder="1" applyProtection="1"/>
    <xf numFmtId="168" fontId="6" fillId="25" borderId="22" xfId="0" applyNumberFormat="1" applyFont="1" applyFill="1" applyBorder="1" applyAlignment="1" applyProtection="1">
      <alignment horizontal="center"/>
    </xf>
    <xf numFmtId="0" fontId="51" fillId="25" borderId="47" xfId="0" applyFont="1" applyFill="1" applyBorder="1" applyAlignment="1" applyProtection="1">
      <alignment horizontal="center" vertical="center"/>
    </xf>
    <xf numFmtId="164" fontId="6" fillId="25" borderId="52" xfId="0" applyNumberFormat="1" applyFont="1" applyFill="1" applyBorder="1" applyAlignment="1" applyProtection="1">
      <alignment horizontal="center" vertical="center"/>
    </xf>
    <xf numFmtId="0" fontId="7" fillId="25" borderId="57" xfId="0" applyFont="1" applyFill="1" applyBorder="1" applyAlignment="1" applyProtection="1">
      <alignment horizontal="center" vertical="center"/>
    </xf>
    <xf numFmtId="166" fontId="6" fillId="25" borderId="53" xfId="0" applyNumberFormat="1" applyFont="1" applyFill="1" applyBorder="1" applyAlignment="1" applyProtection="1">
      <alignment horizontal="center" vertical="center"/>
    </xf>
    <xf numFmtId="0" fontId="14" fillId="25" borderId="14" xfId="0" applyFont="1" applyFill="1" applyBorder="1" applyAlignment="1" applyProtection="1">
      <alignment vertical="center"/>
    </xf>
    <xf numFmtId="0" fontId="15" fillId="25" borderId="22" xfId="0" applyFont="1" applyFill="1" applyBorder="1" applyAlignment="1" applyProtection="1">
      <alignment horizontal="center" vertical="center"/>
    </xf>
    <xf numFmtId="0" fontId="14" fillId="25" borderId="68" xfId="0" applyFont="1" applyFill="1" applyBorder="1" applyAlignment="1" applyProtection="1">
      <alignment horizontal="center" vertical="center"/>
    </xf>
    <xf numFmtId="168" fontId="6" fillId="25" borderId="56" xfId="0" applyNumberFormat="1" applyFont="1" applyFill="1" applyBorder="1" applyProtection="1"/>
    <xf numFmtId="0" fontId="26" fillId="25" borderId="14" xfId="0" applyFont="1" applyFill="1" applyBorder="1" applyProtection="1"/>
    <xf numFmtId="164" fontId="6" fillId="25" borderId="32" xfId="0" applyNumberFormat="1" applyFont="1" applyFill="1" applyBorder="1" applyAlignment="1" applyProtection="1">
      <alignment horizontal="center" vertical="center" wrapText="1"/>
    </xf>
    <xf numFmtId="3" fontId="6" fillId="25" borderId="13" xfId="0" applyNumberFormat="1" applyFont="1" applyFill="1" applyBorder="1" applyAlignment="1" applyProtection="1">
      <alignment horizontal="center" vertical="center"/>
      <protection locked="0"/>
    </xf>
    <xf numFmtId="3" fontId="6" fillId="25" borderId="13" xfId="0" applyNumberFormat="1" applyFont="1" applyFill="1" applyBorder="1" applyAlignment="1" applyProtection="1">
      <alignment horizontal="center" vertical="center"/>
    </xf>
    <xf numFmtId="3" fontId="6" fillId="24" borderId="57" xfId="0" applyNumberFormat="1" applyFont="1" applyFill="1" applyBorder="1" applyAlignment="1" applyProtection="1">
      <alignment horizontal="center" vertical="center"/>
      <protection locked="0"/>
    </xf>
    <xf numFmtId="3" fontId="6" fillId="25" borderId="57" xfId="0" applyNumberFormat="1" applyFont="1" applyFill="1" applyBorder="1" applyAlignment="1" applyProtection="1">
      <alignment horizontal="center" vertical="center"/>
      <protection locked="0"/>
    </xf>
    <xf numFmtId="2" fontId="52" fillId="25" borderId="26" xfId="0" applyNumberFormat="1" applyFont="1" applyFill="1" applyBorder="1" applyAlignment="1">
      <alignment horizontal="center"/>
    </xf>
    <xf numFmtId="1" fontId="0" fillId="25" borderId="12" xfId="0" applyNumberFormat="1" applyFill="1" applyBorder="1" applyAlignment="1">
      <alignment horizontal="center"/>
    </xf>
    <xf numFmtId="1" fontId="0" fillId="29" borderId="12" xfId="0" applyNumberFormat="1" applyFill="1" applyBorder="1" applyAlignment="1" applyProtection="1">
      <alignment horizontal="center"/>
      <protection locked="0"/>
    </xf>
    <xf numFmtId="0" fontId="0" fillId="29" borderId="12" xfId="0" applyFill="1" applyBorder="1" applyAlignment="1" applyProtection="1">
      <alignment horizontal="center"/>
      <protection locked="0"/>
    </xf>
    <xf numFmtId="1" fontId="0" fillId="26" borderId="30" xfId="0" applyNumberFormat="1" applyFill="1" applyBorder="1" applyAlignment="1">
      <alignment horizontal="center"/>
    </xf>
    <xf numFmtId="0" fontId="0" fillId="25" borderId="22" xfId="0" applyFill="1" applyBorder="1" applyAlignment="1">
      <alignment horizontal="center"/>
    </xf>
    <xf numFmtId="0" fontId="0" fillId="25" borderId="26" xfId="0" applyFill="1" applyBorder="1" applyAlignment="1">
      <alignment horizontal="left"/>
    </xf>
    <xf numFmtId="0" fontId="10" fillId="31" borderId="13" xfId="0" quotePrefix="1" applyFont="1" applyFill="1" applyBorder="1" applyAlignment="1">
      <alignment wrapText="1"/>
    </xf>
    <xf numFmtId="0" fontId="0" fillId="25" borderId="11" xfId="0" applyNumberFormat="1" applyFill="1" applyBorder="1" applyAlignment="1">
      <alignment horizontal="center"/>
    </xf>
    <xf numFmtId="0" fontId="0" fillId="25" borderId="28" xfId="0" applyNumberFormat="1" applyFill="1" applyBorder="1" applyAlignment="1">
      <alignment horizontal="center"/>
    </xf>
    <xf numFmtId="0" fontId="0" fillId="25" borderId="29" xfId="0" applyNumberFormat="1" applyFill="1" applyBorder="1" applyAlignment="1">
      <alignment horizontal="center"/>
    </xf>
    <xf numFmtId="0" fontId="0" fillId="25" borderId="19" xfId="0" applyNumberFormat="1" applyFill="1" applyBorder="1" applyAlignment="1">
      <alignment horizontal="center"/>
    </xf>
    <xf numFmtId="1" fontId="0" fillId="29" borderId="12" xfId="0" applyNumberFormat="1" applyFill="1" applyBorder="1" applyAlignment="1">
      <alignment horizontal="center"/>
    </xf>
    <xf numFmtId="1" fontId="8" fillId="26" borderId="12" xfId="0" applyNumberFormat="1" applyFont="1" applyFill="1" applyBorder="1" applyAlignment="1">
      <alignment horizontal="center"/>
    </xf>
    <xf numFmtId="1" fontId="0" fillId="29" borderId="20" xfId="0" applyNumberFormat="1" applyFill="1" applyBorder="1" applyAlignment="1">
      <alignment horizontal="center"/>
    </xf>
    <xf numFmtId="164" fontId="40" fillId="25" borderId="32" xfId="0" applyNumberFormat="1" applyFont="1" applyFill="1" applyBorder="1" applyAlignment="1" applyProtection="1">
      <alignment horizontal="center" vertical="center" wrapText="1"/>
    </xf>
    <xf numFmtId="2" fontId="0" fillId="29" borderId="20" xfId="0" applyNumberFormat="1" applyFill="1" applyBorder="1" applyAlignment="1">
      <alignment horizontal="center"/>
    </xf>
    <xf numFmtId="0" fontId="0" fillId="25" borderId="27" xfId="0" applyNumberFormat="1" applyFill="1" applyBorder="1" applyAlignment="1">
      <alignment horizontal="center"/>
    </xf>
    <xf numFmtId="0" fontId="0" fillId="25" borderId="26" xfId="0" applyNumberFormat="1" applyFill="1" applyBorder="1" applyAlignment="1">
      <alignment horizontal="center"/>
    </xf>
    <xf numFmtId="0" fontId="0" fillId="25" borderId="30" xfId="0" applyNumberFormat="1" applyFill="1" applyBorder="1" applyAlignment="1">
      <alignment horizontal="center"/>
    </xf>
    <xf numFmtId="0" fontId="0" fillId="25" borderId="67" xfId="0" applyFill="1" applyBorder="1"/>
    <xf numFmtId="0" fontId="0" fillId="25" borderId="43" xfId="0" applyFill="1" applyBorder="1" applyAlignment="1">
      <alignment horizontal="center"/>
    </xf>
    <xf numFmtId="0" fontId="0" fillId="25" borderId="67" xfId="0" applyFill="1" applyBorder="1" applyAlignment="1">
      <alignment horizontal="center"/>
    </xf>
    <xf numFmtId="0" fontId="52" fillId="25" borderId="17" xfId="0" applyFont="1" applyFill="1" applyBorder="1"/>
    <xf numFmtId="1" fontId="0" fillId="25" borderId="18" xfId="0" applyNumberFormat="1" applyFill="1" applyBorder="1" applyAlignment="1">
      <alignment horizontal="center"/>
    </xf>
    <xf numFmtId="0" fontId="4" fillId="25" borderId="19" xfId="0" applyFont="1" applyFill="1" applyBorder="1" applyAlignment="1">
      <alignment horizontal="center"/>
    </xf>
    <xf numFmtId="0" fontId="52" fillId="25" borderId="30" xfId="0" applyFont="1" applyFill="1" applyBorder="1"/>
    <xf numFmtId="0" fontId="45" fillId="25" borderId="28" xfId="0" applyFont="1" applyFill="1" applyBorder="1"/>
    <xf numFmtId="9" fontId="0" fillId="25" borderId="29" xfId="32" applyFont="1" applyFill="1" applyBorder="1" applyAlignment="1">
      <alignment horizontal="center"/>
    </xf>
    <xf numFmtId="0" fontId="20" fillId="25" borderId="25" xfId="0" applyFont="1" applyFill="1" applyBorder="1" applyAlignment="1" applyProtection="1">
      <alignment vertical="center"/>
    </xf>
    <xf numFmtId="0" fontId="48" fillId="25" borderId="16" xfId="0" applyFont="1" applyFill="1" applyBorder="1" applyAlignment="1" applyProtection="1">
      <alignment horizontal="center" vertical="center"/>
    </xf>
    <xf numFmtId="173" fontId="48" fillId="25" borderId="16" xfId="0" applyNumberFormat="1" applyFont="1" applyFill="1" applyBorder="1" applyAlignment="1" applyProtection="1">
      <alignment horizontal="center" vertical="center"/>
    </xf>
    <xf numFmtId="168" fontId="48" fillId="25" borderId="51" xfId="0" applyNumberFormat="1" applyFont="1" applyFill="1" applyBorder="1" applyAlignment="1" applyProtection="1">
      <alignment vertical="center"/>
    </xf>
    <xf numFmtId="168" fontId="48" fillId="25" borderId="52" xfId="0" applyNumberFormat="1" applyFont="1" applyFill="1" applyBorder="1" applyAlignment="1" applyProtection="1">
      <alignment horizontal="center" vertical="center"/>
    </xf>
    <xf numFmtId="0" fontId="43" fillId="25" borderId="0" xfId="0" applyFont="1" applyFill="1" applyProtection="1"/>
    <xf numFmtId="0" fontId="28" fillId="26" borderId="11" xfId="0" applyFont="1" applyFill="1" applyBorder="1" applyAlignment="1" applyProtection="1">
      <alignment horizontal="left"/>
    </xf>
    <xf numFmtId="0" fontId="0" fillId="26" borderId="14" xfId="0" applyFill="1" applyBorder="1"/>
    <xf numFmtId="0" fontId="8" fillId="33" borderId="10" xfId="0" applyFont="1" applyFill="1" applyBorder="1"/>
    <xf numFmtId="0" fontId="31" fillId="33" borderId="11" xfId="0" applyFont="1" applyFill="1" applyBorder="1" applyAlignment="1">
      <alignment horizontal="center"/>
    </xf>
    <xf numFmtId="0" fontId="8" fillId="33" borderId="27" xfId="0" applyFont="1" applyFill="1" applyBorder="1" applyAlignment="1">
      <alignment horizontal="center"/>
    </xf>
    <xf numFmtId="0" fontId="8" fillId="33" borderId="28" xfId="0" applyFont="1" applyFill="1" applyBorder="1"/>
    <xf numFmtId="0" fontId="8" fillId="33" borderId="26" xfId="0" applyFont="1" applyFill="1" applyBorder="1"/>
    <xf numFmtId="0" fontId="37" fillId="33" borderId="26" xfId="0" applyFont="1" applyFill="1" applyBorder="1" applyAlignment="1">
      <alignment horizontal="center"/>
    </xf>
    <xf numFmtId="0" fontId="8" fillId="33" borderId="26" xfId="0" applyFont="1" applyFill="1" applyBorder="1" applyAlignment="1">
      <alignment horizontal="center"/>
    </xf>
    <xf numFmtId="0" fontId="21" fillId="27" borderId="12" xfId="0" applyFont="1" applyFill="1" applyBorder="1" applyAlignment="1">
      <alignment horizontal="center"/>
    </xf>
    <xf numFmtId="0" fontId="0" fillId="25" borderId="27" xfId="0" applyFill="1" applyBorder="1" applyAlignment="1" applyProtection="1">
      <alignment horizontal="center"/>
    </xf>
    <xf numFmtId="0" fontId="0" fillId="25" borderId="26" xfId="0" applyFill="1" applyBorder="1" applyAlignment="1" applyProtection="1">
      <alignment horizontal="center"/>
    </xf>
    <xf numFmtId="0" fontId="0" fillId="25" borderId="30" xfId="0" applyFill="1" applyBorder="1" applyAlignment="1" applyProtection="1">
      <alignment horizontal="center"/>
    </xf>
    <xf numFmtId="0" fontId="35" fillId="25" borderId="58" xfId="0" applyFont="1" applyFill="1" applyBorder="1" applyAlignment="1">
      <alignment horizontal="center" wrapText="1"/>
    </xf>
    <xf numFmtId="0" fontId="10" fillId="31" borderId="58" xfId="0" applyFont="1" applyFill="1" applyBorder="1" applyAlignment="1">
      <alignment wrapText="1"/>
    </xf>
    <xf numFmtId="0" fontId="10" fillId="32" borderId="58" xfId="0" applyFont="1" applyFill="1" applyBorder="1" applyAlignment="1">
      <alignment wrapText="1"/>
    </xf>
    <xf numFmtId="0" fontId="0" fillId="26" borderId="12" xfId="0" applyFill="1" applyBorder="1" applyAlignment="1">
      <alignment horizontal="center"/>
    </xf>
    <xf numFmtId="0" fontId="8" fillId="26" borderId="29" xfId="0" applyFont="1" applyFill="1" applyBorder="1"/>
    <xf numFmtId="1" fontId="0" fillId="25" borderId="22" xfId="0" applyNumberFormat="1" applyFill="1" applyBorder="1" applyAlignment="1">
      <alignment horizontal="center"/>
    </xf>
    <xf numFmtId="1" fontId="0" fillId="25" borderId="30" xfId="0" applyNumberFormat="1" applyFill="1" applyBorder="1" applyAlignment="1">
      <alignment horizontal="center"/>
    </xf>
    <xf numFmtId="0" fontId="8" fillId="26" borderId="22" xfId="0" applyFont="1" applyFill="1" applyBorder="1" applyAlignment="1">
      <alignment horizontal="center"/>
    </xf>
    <xf numFmtId="2" fontId="26" fillId="25" borderId="0" xfId="0" applyNumberFormat="1" applyFont="1" applyFill="1" applyProtection="1"/>
    <xf numFmtId="0" fontId="8" fillId="30" borderId="14" xfId="0" applyFont="1" applyFill="1" applyBorder="1" applyAlignment="1" applyProtection="1">
      <alignment horizontal="center"/>
      <protection locked="0"/>
    </xf>
    <xf numFmtId="0" fontId="0" fillId="30" borderId="29" xfId="0" applyFill="1" applyBorder="1" applyAlignment="1" applyProtection="1">
      <alignment horizontal="center"/>
      <protection locked="0"/>
    </xf>
    <xf numFmtId="0" fontId="0" fillId="30" borderId="19" xfId="0" applyFill="1" applyBorder="1" applyAlignment="1" applyProtection="1">
      <alignment horizontal="center"/>
      <protection locked="0"/>
    </xf>
    <xf numFmtId="0" fontId="4" fillId="30" borderId="10" xfId="0" applyFont="1" applyFill="1" applyBorder="1" applyAlignment="1" applyProtection="1">
      <alignment horizontal="center"/>
      <protection locked="0"/>
    </xf>
    <xf numFmtId="0" fontId="4" fillId="30" borderId="11" xfId="0" applyFont="1" applyFill="1" applyBorder="1" applyAlignment="1" applyProtection="1">
      <alignment horizontal="center"/>
      <protection locked="0"/>
    </xf>
    <xf numFmtId="0" fontId="4" fillId="24" borderId="10" xfId="0" applyFont="1" applyFill="1" applyBorder="1" applyAlignment="1" applyProtection="1">
      <alignment horizontal="left"/>
    </xf>
    <xf numFmtId="0" fontId="10" fillId="30" borderId="11" xfId="0" applyFont="1" applyFill="1" applyBorder="1" applyProtection="1">
      <protection locked="0"/>
    </xf>
    <xf numFmtId="0" fontId="10" fillId="30" borderId="29" xfId="0" applyFont="1" applyFill="1" applyBorder="1" applyProtection="1">
      <protection locked="0"/>
    </xf>
    <xf numFmtId="0" fontId="10" fillId="30" borderId="19" xfId="0" applyFont="1" applyFill="1" applyBorder="1" applyProtection="1">
      <protection locked="0"/>
    </xf>
    <xf numFmtId="0" fontId="8" fillId="26" borderId="20" xfId="0" applyFont="1" applyFill="1" applyBorder="1" applyProtection="1"/>
    <xf numFmtId="0" fontId="0" fillId="26" borderId="22" xfId="0" applyFill="1" applyBorder="1" applyProtection="1"/>
    <xf numFmtId="0" fontId="0" fillId="25" borderId="28" xfId="0" applyFill="1" applyBorder="1" applyAlignment="1" applyProtection="1">
      <alignment horizontal="left"/>
    </xf>
    <xf numFmtId="0" fontId="0" fillId="25" borderId="29" xfId="0" applyFill="1" applyBorder="1" applyAlignment="1" applyProtection="1">
      <alignment horizontal="center"/>
    </xf>
    <xf numFmtId="0" fontId="0" fillId="25" borderId="17" xfId="0" applyFill="1" applyBorder="1" applyAlignment="1" applyProtection="1">
      <alignment horizontal="left"/>
    </xf>
    <xf numFmtId="0" fontId="0" fillId="25" borderId="19" xfId="0" applyFill="1" applyBorder="1" applyAlignment="1" applyProtection="1">
      <alignment horizontal="center"/>
    </xf>
    <xf numFmtId="0" fontId="0" fillId="25" borderId="14" xfId="0" applyFill="1" applyBorder="1" applyProtection="1"/>
    <xf numFmtId="0" fontId="0" fillId="25" borderId="0" xfId="0" applyFill="1" applyProtection="1"/>
    <xf numFmtId="0" fontId="28" fillId="26" borderId="20" xfId="0" applyFont="1" applyFill="1" applyBorder="1" applyAlignment="1" applyProtection="1">
      <alignment horizontal="left"/>
    </xf>
    <xf numFmtId="167" fontId="0" fillId="25" borderId="29" xfId="0" applyNumberFormat="1" applyFill="1" applyBorder="1" applyAlignment="1" applyProtection="1">
      <alignment horizontal="center"/>
    </xf>
    <xf numFmtId="167" fontId="0" fillId="25" borderId="19" xfId="0" applyNumberFormat="1" applyFill="1" applyBorder="1" applyAlignment="1" applyProtection="1">
      <alignment horizontal="center"/>
    </xf>
    <xf numFmtId="0" fontId="0" fillId="25" borderId="20" xfId="0" applyFill="1" applyBorder="1" applyProtection="1"/>
    <xf numFmtId="167" fontId="0" fillId="25" borderId="22" xfId="0" applyNumberFormat="1" applyFill="1" applyBorder="1" applyAlignment="1" applyProtection="1">
      <alignment horizontal="center"/>
    </xf>
    <xf numFmtId="0" fontId="10" fillId="25" borderId="0" xfId="0" applyFont="1" applyFill="1" applyBorder="1"/>
    <xf numFmtId="1" fontId="10" fillId="25" borderId="0" xfId="0" applyNumberFormat="1" applyFont="1" applyFill="1" applyBorder="1" applyAlignment="1">
      <alignment horizontal="left"/>
    </xf>
    <xf numFmtId="1" fontId="10" fillId="25" borderId="0" xfId="0" applyNumberFormat="1" applyFont="1" applyFill="1" applyBorder="1" applyAlignment="1">
      <alignment horizontal="center"/>
    </xf>
    <xf numFmtId="167" fontId="10" fillId="25" borderId="0" xfId="0" applyNumberFormat="1" applyFont="1" applyFill="1" applyBorder="1" applyAlignment="1">
      <alignment horizontal="center"/>
    </xf>
    <xf numFmtId="0" fontId="4" fillId="25" borderId="28" xfId="0" applyFont="1" applyFill="1" applyBorder="1" applyAlignment="1" applyProtection="1">
      <alignment horizontal="left"/>
    </xf>
    <xf numFmtId="0" fontId="4" fillId="25" borderId="17" xfId="0" applyFont="1" applyFill="1" applyBorder="1" applyAlignment="1" applyProtection="1">
      <alignment horizontal="left"/>
    </xf>
    <xf numFmtId="1" fontId="10" fillId="25" borderId="15" xfId="0" applyNumberFormat="1" applyFont="1" applyFill="1" applyBorder="1" applyAlignment="1">
      <alignment horizontal="left"/>
    </xf>
    <xf numFmtId="1" fontId="24" fillId="34" borderId="20" xfId="0" applyNumberFormat="1" applyFont="1" applyFill="1" applyBorder="1" applyAlignment="1">
      <alignment horizontal="left"/>
    </xf>
    <xf numFmtId="1" fontId="24" fillId="34" borderId="14" xfId="0" applyNumberFormat="1" applyFont="1" applyFill="1" applyBorder="1" applyAlignment="1">
      <alignment horizontal="center"/>
    </xf>
    <xf numFmtId="1" fontId="10" fillId="25" borderId="27" xfId="0" applyNumberFormat="1" applyFont="1" applyFill="1" applyBorder="1" applyAlignment="1">
      <alignment horizontal="center"/>
    </xf>
    <xf numFmtId="0" fontId="0" fillId="34" borderId="20" xfId="0" applyFill="1" applyBorder="1"/>
    <xf numFmtId="0" fontId="0" fillId="29" borderId="19" xfId="0" applyFill="1" applyBorder="1" applyAlignment="1">
      <alignment horizontal="left"/>
    </xf>
    <xf numFmtId="0" fontId="0" fillId="27" borderId="17" xfId="0" applyFill="1" applyBorder="1"/>
    <xf numFmtId="0" fontId="6" fillId="24" borderId="20" xfId="0" applyFont="1" applyFill="1" applyBorder="1"/>
    <xf numFmtId="1" fontId="10" fillId="25" borderId="30" xfId="0" applyNumberFormat="1" applyFont="1" applyFill="1" applyBorder="1" applyAlignment="1">
      <alignment horizontal="center"/>
    </xf>
    <xf numFmtId="1" fontId="10" fillId="25" borderId="30" xfId="0" applyNumberFormat="1" applyFont="1" applyFill="1" applyBorder="1" applyAlignment="1">
      <alignment horizontal="left"/>
    </xf>
    <xf numFmtId="0" fontId="0" fillId="30" borderId="30" xfId="0" applyFill="1" applyBorder="1" applyProtection="1">
      <protection locked="0"/>
    </xf>
    <xf numFmtId="0" fontId="0" fillId="34" borderId="12" xfId="0" applyFill="1" applyBorder="1"/>
    <xf numFmtId="167" fontId="10" fillId="25" borderId="30" xfId="0" applyNumberFormat="1" applyFont="1" applyFill="1" applyBorder="1" applyAlignment="1">
      <alignment horizontal="center"/>
    </xf>
    <xf numFmtId="0" fontId="10" fillId="25" borderId="26" xfId="0" applyFont="1" applyFill="1" applyBorder="1" applyAlignment="1">
      <alignment horizontal="left"/>
    </xf>
    <xf numFmtId="1" fontId="0" fillId="25" borderId="17" xfId="0" applyNumberFormat="1" applyFill="1" applyBorder="1" applyAlignment="1">
      <alignment horizontal="center"/>
    </xf>
    <xf numFmtId="1" fontId="0" fillId="25" borderId="15" xfId="0" applyNumberFormat="1" applyFill="1" applyBorder="1"/>
    <xf numFmtId="1" fontId="0" fillId="25" borderId="28" xfId="0" applyNumberFormat="1" applyFill="1" applyBorder="1"/>
    <xf numFmtId="1" fontId="0" fillId="25" borderId="17" xfId="0" applyNumberFormat="1" applyFill="1" applyBorder="1"/>
    <xf numFmtId="0" fontId="10" fillId="25" borderId="30" xfId="0" applyFont="1" applyFill="1" applyBorder="1" applyAlignment="1">
      <alignment horizontal="left"/>
    </xf>
    <xf numFmtId="167" fontId="21" fillId="26" borderId="22" xfId="0" applyNumberFormat="1" applyFont="1" applyFill="1" applyBorder="1" applyAlignment="1">
      <alignment horizontal="center"/>
    </xf>
    <xf numFmtId="0" fontId="10" fillId="25" borderId="18" xfId="0" applyFont="1" applyFill="1" applyBorder="1" applyAlignment="1">
      <alignment horizontal="center"/>
    </xf>
    <xf numFmtId="0" fontId="0" fillId="25" borderId="12" xfId="0" applyFill="1" applyBorder="1" applyAlignment="1">
      <alignment horizontal="left"/>
    </xf>
    <xf numFmtId="0" fontId="0" fillId="29" borderId="14" xfId="0" applyFill="1" applyBorder="1"/>
    <xf numFmtId="0" fontId="0" fillId="25" borderId="30" xfId="0" applyFill="1" applyBorder="1" applyAlignment="1" applyProtection="1">
      <alignment horizontal="center"/>
      <protection locked="0"/>
    </xf>
    <xf numFmtId="0" fontId="21" fillId="27" borderId="76" xfId="0" applyFont="1" applyFill="1" applyBorder="1" applyAlignment="1">
      <alignment horizontal="center"/>
    </xf>
    <xf numFmtId="0" fontId="0" fillId="25" borderId="62" xfId="0" applyFill="1" applyBorder="1" applyAlignment="1" applyProtection="1">
      <alignment horizontal="center"/>
      <protection locked="0"/>
    </xf>
    <xf numFmtId="169" fontId="0" fillId="25" borderId="27" xfId="0" applyNumberFormat="1" applyFill="1" applyBorder="1" applyAlignment="1">
      <alignment horizontal="center"/>
    </xf>
    <xf numFmtId="169" fontId="0" fillId="25" borderId="15" xfId="0" applyNumberFormat="1" applyFill="1" applyBorder="1" applyAlignment="1">
      <alignment horizontal="center"/>
    </xf>
    <xf numFmtId="169" fontId="0" fillId="25" borderId="26" xfId="0" applyNumberFormat="1" applyFill="1" applyBorder="1" applyAlignment="1">
      <alignment horizontal="center"/>
    </xf>
    <xf numFmtId="169" fontId="0" fillId="25" borderId="28" xfId="0" applyNumberFormat="1" applyFill="1" applyBorder="1" applyAlignment="1">
      <alignment horizontal="center"/>
    </xf>
    <xf numFmtId="0" fontId="0" fillId="25" borderId="77" xfId="0" applyFill="1" applyBorder="1" applyAlignment="1" applyProtection="1">
      <alignment horizontal="center"/>
      <protection locked="0"/>
    </xf>
    <xf numFmtId="169" fontId="0" fillId="25" borderId="30" xfId="0" applyNumberFormat="1" applyFill="1" applyBorder="1" applyAlignment="1">
      <alignment horizontal="center"/>
    </xf>
    <xf numFmtId="169" fontId="0" fillId="25" borderId="17" xfId="0" applyNumberFormat="1" applyFill="1" applyBorder="1" applyAlignment="1">
      <alignment horizontal="center"/>
    </xf>
    <xf numFmtId="0" fontId="76" fillId="25" borderId="0" xfId="0" applyFont="1" applyFill="1" applyAlignment="1">
      <alignment horizontal="right"/>
    </xf>
    <xf numFmtId="0" fontId="21" fillId="27" borderId="15" xfId="0" applyFont="1" applyFill="1" applyBorder="1" applyAlignment="1">
      <alignment horizontal="center"/>
    </xf>
    <xf numFmtId="169" fontId="4" fillId="29" borderId="12" xfId="0" applyNumberFormat="1" applyFont="1" applyFill="1" applyBorder="1" applyAlignment="1">
      <alignment horizontal="center"/>
    </xf>
    <xf numFmtId="169" fontId="0" fillId="29" borderId="12" xfId="0" applyNumberFormat="1" applyFill="1" applyBorder="1" applyAlignment="1">
      <alignment horizontal="center"/>
    </xf>
    <xf numFmtId="0" fontId="19" fillId="29" borderId="12" xfId="0" applyFont="1" applyFill="1" applyBorder="1"/>
    <xf numFmtId="0" fontId="21" fillId="27" borderId="15" xfId="0" applyFont="1" applyFill="1" applyBorder="1" applyAlignment="1">
      <alignment horizontal="left"/>
    </xf>
    <xf numFmtId="0" fontId="21" fillId="27" borderId="11" xfId="0" applyFont="1" applyFill="1" applyBorder="1" applyAlignment="1">
      <alignment horizontal="center"/>
    </xf>
    <xf numFmtId="167" fontId="0" fillId="25" borderId="15" xfId="0" applyNumberFormat="1" applyFill="1" applyBorder="1" applyAlignment="1">
      <alignment horizontal="left"/>
    </xf>
    <xf numFmtId="167" fontId="0" fillId="25" borderId="28" xfId="0" applyNumberFormat="1" applyFill="1" applyBorder="1" applyAlignment="1">
      <alignment horizontal="left"/>
    </xf>
    <xf numFmtId="167" fontId="0" fillId="25" borderId="17" xfId="0" applyNumberFormat="1" applyFill="1" applyBorder="1" applyAlignment="1">
      <alignment horizontal="left"/>
    </xf>
    <xf numFmtId="167" fontId="0" fillId="29" borderId="20" xfId="0" applyNumberFormat="1" applyFill="1" applyBorder="1" applyAlignment="1">
      <alignment horizontal="left"/>
    </xf>
    <xf numFmtId="167" fontId="0" fillId="29" borderId="12" xfId="0" applyNumberFormat="1" applyFill="1" applyBorder="1" applyAlignment="1">
      <alignment horizontal="center"/>
    </xf>
    <xf numFmtId="167" fontId="0" fillId="25" borderId="27" xfId="0" applyNumberFormat="1" applyFill="1" applyBorder="1" applyAlignment="1">
      <alignment horizontal="center"/>
    </xf>
    <xf numFmtId="167" fontId="0" fillId="25" borderId="22" xfId="0" applyNumberFormat="1" applyFill="1" applyBorder="1" applyAlignment="1">
      <alignment horizontal="center"/>
    </xf>
    <xf numFmtId="0" fontId="3" fillId="25" borderId="26" xfId="0" applyFont="1" applyFill="1" applyBorder="1"/>
    <xf numFmtId="0" fontId="3" fillId="25" borderId="30" xfId="0" applyFont="1" applyFill="1" applyBorder="1"/>
    <xf numFmtId="0" fontId="3" fillId="0" borderId="0" xfId="0" applyFont="1" applyFill="1"/>
    <xf numFmtId="9" fontId="10" fillId="25" borderId="0" xfId="0" applyNumberFormat="1" applyFont="1" applyFill="1" applyAlignment="1" applyProtection="1">
      <alignment horizontal="left"/>
    </xf>
    <xf numFmtId="166" fontId="6" fillId="25" borderId="33" xfId="0" applyNumberFormat="1" applyFont="1" applyFill="1" applyBorder="1" applyAlignment="1" applyProtection="1">
      <alignment horizontal="center" vertical="center"/>
    </xf>
    <xf numFmtId="0" fontId="3" fillId="25" borderId="15" xfId="0" applyFont="1" applyFill="1" applyBorder="1"/>
    <xf numFmtId="0" fontId="3" fillId="25" borderId="28" xfId="0" applyFont="1" applyFill="1" applyBorder="1"/>
    <xf numFmtId="0" fontId="10" fillId="25" borderId="0" xfId="0" applyFont="1" applyFill="1" applyBorder="1" applyAlignment="1" applyProtection="1">
      <alignment horizontal="center"/>
    </xf>
    <xf numFmtId="0" fontId="0" fillId="25" borderId="0" xfId="0" applyFill="1" applyAlignment="1">
      <alignment horizontal="left"/>
    </xf>
    <xf numFmtId="0" fontId="78" fillId="36" borderId="0" xfId="0" applyFont="1" applyFill="1"/>
    <xf numFmtId="0" fontId="78" fillId="36" borderId="0" xfId="0" applyFont="1" applyFill="1" applyAlignment="1">
      <alignment horizontal="center"/>
    </xf>
    <xf numFmtId="0" fontId="78" fillId="36" borderId="15" xfId="0" applyFont="1" applyFill="1" applyBorder="1" applyAlignment="1">
      <alignment horizontal="center"/>
    </xf>
    <xf numFmtId="0" fontId="78" fillId="36" borderId="27" xfId="0" applyFont="1" applyFill="1" applyBorder="1"/>
    <xf numFmtId="0" fontId="78" fillId="36" borderId="15" xfId="0" applyFont="1" applyFill="1" applyBorder="1"/>
    <xf numFmtId="0" fontId="78" fillId="36" borderId="11" xfId="0" applyFont="1" applyFill="1" applyBorder="1"/>
    <xf numFmtId="0" fontId="78" fillId="36" borderId="27" xfId="0" applyFont="1" applyFill="1" applyBorder="1" applyAlignment="1">
      <alignment horizontal="center"/>
    </xf>
    <xf numFmtId="0" fontId="78" fillId="36" borderId="26" xfId="0" applyFont="1" applyFill="1" applyBorder="1" applyAlignment="1">
      <alignment horizontal="center"/>
    </xf>
    <xf numFmtId="0" fontId="78" fillId="36" borderId="29" xfId="0" applyFont="1" applyFill="1" applyBorder="1" applyAlignment="1">
      <alignment horizontal="center"/>
    </xf>
    <xf numFmtId="0" fontId="78" fillId="36" borderId="26" xfId="0" applyFont="1" applyFill="1" applyBorder="1"/>
    <xf numFmtId="0" fontId="78" fillId="36" borderId="11" xfId="0" applyFont="1" applyFill="1" applyBorder="1" applyAlignment="1">
      <alignment horizontal="center"/>
    </xf>
    <xf numFmtId="0" fontId="78" fillId="36" borderId="17" xfId="0" applyFont="1" applyFill="1" applyBorder="1" applyAlignment="1">
      <alignment horizontal="center"/>
    </xf>
    <xf numFmtId="0" fontId="78" fillId="36" borderId="19" xfId="0" applyFont="1" applyFill="1" applyBorder="1" applyAlignment="1">
      <alignment horizontal="center"/>
    </xf>
    <xf numFmtId="0" fontId="78" fillId="36" borderId="30" xfId="0" applyFont="1" applyFill="1" applyBorder="1" applyAlignment="1">
      <alignment horizontal="center"/>
    </xf>
    <xf numFmtId="167" fontId="78" fillId="36" borderId="27" xfId="0" applyNumberFormat="1" applyFont="1" applyFill="1" applyBorder="1" applyAlignment="1">
      <alignment horizontal="center"/>
    </xf>
    <xf numFmtId="2" fontId="78" fillId="36" borderId="11" xfId="0" applyNumberFormat="1" applyFont="1" applyFill="1" applyBorder="1" applyAlignment="1">
      <alignment horizontal="center"/>
    </xf>
    <xf numFmtId="0" fontId="78" fillId="36" borderId="29" xfId="0" applyFont="1" applyFill="1" applyBorder="1"/>
    <xf numFmtId="0" fontId="78" fillId="36" borderId="28" xfId="0" applyFont="1" applyFill="1" applyBorder="1"/>
    <xf numFmtId="2" fontId="78" fillId="36" borderId="29" xfId="0" applyNumberFormat="1" applyFont="1" applyFill="1" applyBorder="1"/>
    <xf numFmtId="167" fontId="78" fillId="36" borderId="28" xfId="0" applyNumberFormat="1" applyFont="1" applyFill="1" applyBorder="1" applyAlignment="1">
      <alignment horizontal="center"/>
    </xf>
    <xf numFmtId="167" fontId="78" fillId="36" borderId="29" xfId="0" applyNumberFormat="1" applyFont="1" applyFill="1" applyBorder="1" applyAlignment="1">
      <alignment horizontal="center"/>
    </xf>
    <xf numFmtId="167" fontId="78" fillId="36" borderId="26" xfId="0" applyNumberFormat="1" applyFont="1" applyFill="1" applyBorder="1" applyAlignment="1">
      <alignment horizontal="center"/>
    </xf>
    <xf numFmtId="2" fontId="78" fillId="36" borderId="26" xfId="0" applyNumberFormat="1" applyFont="1" applyFill="1" applyBorder="1" applyAlignment="1">
      <alignment horizontal="center"/>
    </xf>
    <xf numFmtId="0" fontId="78" fillId="36" borderId="17" xfId="0" applyFont="1" applyFill="1" applyBorder="1"/>
    <xf numFmtId="0" fontId="78" fillId="36" borderId="19" xfId="0" applyFont="1" applyFill="1" applyBorder="1"/>
    <xf numFmtId="0" fontId="78" fillId="36" borderId="30" xfId="0" applyFont="1" applyFill="1" applyBorder="1"/>
    <xf numFmtId="2" fontId="78" fillId="36" borderId="19" xfId="0" applyNumberFormat="1" applyFont="1" applyFill="1" applyBorder="1"/>
    <xf numFmtId="167" fontId="78" fillId="36" borderId="17" xfId="0" applyNumberFormat="1" applyFont="1" applyFill="1" applyBorder="1" applyAlignment="1">
      <alignment horizontal="center"/>
    </xf>
    <xf numFmtId="167" fontId="78" fillId="36" borderId="19" xfId="0" applyNumberFormat="1" applyFont="1" applyFill="1" applyBorder="1" applyAlignment="1">
      <alignment horizontal="center"/>
    </xf>
    <xf numFmtId="167" fontId="78" fillId="36" borderId="30" xfId="0" applyNumberFormat="1" applyFont="1" applyFill="1" applyBorder="1" applyAlignment="1">
      <alignment horizontal="center"/>
    </xf>
    <xf numFmtId="0" fontId="0" fillId="36" borderId="0" xfId="0" applyFill="1"/>
    <xf numFmtId="2" fontId="2" fillId="25" borderId="26" xfId="0" applyNumberFormat="1" applyFont="1" applyFill="1" applyBorder="1" applyAlignment="1">
      <alignment horizontal="center"/>
    </xf>
    <xf numFmtId="0" fontId="8" fillId="33" borderId="27" xfId="0" applyFont="1" applyFill="1" applyBorder="1" applyAlignment="1">
      <alignment horizontal="left"/>
    </xf>
    <xf numFmtId="0" fontId="8" fillId="33" borderId="26" xfId="0" applyFont="1" applyFill="1" applyBorder="1" applyAlignment="1">
      <alignment horizontal="left"/>
    </xf>
    <xf numFmtId="0" fontId="31" fillId="33" borderId="0" xfId="0" applyFont="1" applyFill="1" applyBorder="1" applyAlignment="1">
      <alignment horizontal="center"/>
    </xf>
    <xf numFmtId="0" fontId="2" fillId="25" borderId="20" xfId="0" applyFont="1" applyFill="1" applyBorder="1" applyProtection="1"/>
    <xf numFmtId="0" fontId="4" fillId="36" borderId="0" xfId="0" applyFont="1" applyFill="1"/>
    <xf numFmtId="0" fontId="19" fillId="36" borderId="0" xfId="0" applyFont="1" applyFill="1"/>
    <xf numFmtId="0" fontId="0" fillId="38" borderId="29" xfId="0" applyFill="1" applyBorder="1" applyAlignment="1" applyProtection="1">
      <alignment horizontal="center"/>
      <protection locked="0"/>
    </xf>
    <xf numFmtId="0" fontId="0" fillId="38" borderId="19" xfId="0" applyFill="1" applyBorder="1" applyAlignment="1" applyProtection="1">
      <alignment horizontal="center"/>
      <protection locked="0"/>
    </xf>
    <xf numFmtId="0" fontId="10" fillId="25" borderId="19" xfId="0" applyFont="1" applyFill="1" applyBorder="1" applyProtection="1"/>
    <xf numFmtId="0" fontId="16" fillId="25" borderId="0" xfId="0" applyFont="1" applyFill="1" applyAlignment="1"/>
    <xf numFmtId="0" fontId="0" fillId="25" borderId="0" xfId="0" applyFill="1" applyAlignment="1"/>
    <xf numFmtId="0" fontId="11" fillId="25" borderId="28" xfId="0" applyFont="1" applyFill="1" applyBorder="1" applyAlignment="1"/>
    <xf numFmtId="0" fontId="0" fillId="25" borderId="0" xfId="0" applyFill="1" applyBorder="1" applyAlignment="1"/>
    <xf numFmtId="0" fontId="0" fillId="25" borderId="28" xfId="0" applyFill="1" applyBorder="1" applyAlignment="1"/>
    <xf numFmtId="0" fontId="10" fillId="25" borderId="0" xfId="0" applyFont="1" applyFill="1" applyAlignment="1"/>
    <xf numFmtId="0" fontId="0" fillId="25" borderId="18" xfId="0" applyFill="1" applyBorder="1" applyAlignment="1"/>
    <xf numFmtId="0" fontId="10" fillId="25" borderId="15" xfId="0" applyFont="1" applyFill="1" applyBorder="1" applyAlignment="1">
      <alignment horizontal="left"/>
    </xf>
    <xf numFmtId="0" fontId="14" fillId="25" borderId="0" xfId="0" applyFont="1" applyFill="1" applyAlignment="1" applyProtection="1"/>
    <xf numFmtId="0" fontId="10" fillId="25" borderId="10" xfId="0" applyFont="1" applyFill="1" applyBorder="1" applyAlignment="1">
      <alignment horizontal="center"/>
    </xf>
    <xf numFmtId="49" fontId="10" fillId="25" borderId="0" xfId="0" applyNumberFormat="1" applyFont="1" applyFill="1" applyBorder="1" applyAlignment="1">
      <alignment horizontal="center"/>
    </xf>
    <xf numFmtId="0" fontId="43" fillId="25" borderId="0" xfId="0" applyFont="1" applyFill="1" applyBorder="1" applyAlignment="1">
      <alignment horizontal="center"/>
    </xf>
    <xf numFmtId="0" fontId="14" fillId="25" borderId="49" xfId="0" applyFont="1" applyFill="1" applyBorder="1" applyAlignment="1" applyProtection="1"/>
    <xf numFmtId="164" fontId="10" fillId="25" borderId="35" xfId="0" applyNumberFormat="1" applyFont="1" applyFill="1" applyBorder="1" applyAlignment="1">
      <alignment horizontal="center"/>
    </xf>
    <xf numFmtId="0" fontId="14" fillId="25" borderId="43" xfId="0" applyFont="1" applyFill="1" applyBorder="1" applyAlignment="1" applyProtection="1"/>
    <xf numFmtId="0" fontId="11" fillId="25" borderId="29" xfId="0" applyFont="1" applyFill="1" applyBorder="1" applyAlignment="1" applyProtection="1"/>
    <xf numFmtId="167" fontId="10" fillId="25" borderId="35" xfId="0" applyNumberFormat="1" applyFont="1" applyFill="1" applyBorder="1" applyAlignment="1">
      <alignment horizontal="center"/>
    </xf>
    <xf numFmtId="167" fontId="11" fillId="25" borderId="29" xfId="0" applyNumberFormat="1" applyFont="1" applyFill="1" applyBorder="1" applyAlignment="1">
      <alignment horizontal="center"/>
    </xf>
    <xf numFmtId="166" fontId="14" fillId="25" borderId="35" xfId="0" applyNumberFormat="1" applyFont="1" applyFill="1" applyBorder="1" applyAlignment="1" applyProtection="1">
      <alignment horizontal="center"/>
    </xf>
    <xf numFmtId="166" fontId="14" fillId="25" borderId="43" xfId="0" applyNumberFormat="1" applyFont="1" applyFill="1" applyBorder="1" applyAlignment="1" applyProtection="1">
      <alignment horizontal="center"/>
    </xf>
    <xf numFmtId="166" fontId="11" fillId="25" borderId="29" xfId="0" applyNumberFormat="1" applyFont="1" applyFill="1" applyBorder="1" applyAlignment="1" applyProtection="1">
      <alignment horizontal="center"/>
    </xf>
    <xf numFmtId="0" fontId="6" fillId="25" borderId="35" xfId="0" applyFont="1" applyFill="1" applyBorder="1" applyAlignment="1">
      <alignment horizontal="center"/>
    </xf>
    <xf numFmtId="0" fontId="14" fillId="25" borderId="29" xfId="0" applyFont="1" applyFill="1" applyBorder="1" applyAlignment="1" applyProtection="1"/>
    <xf numFmtId="0" fontId="11" fillId="25" borderId="22" xfId="0" applyFont="1" applyFill="1" applyBorder="1" applyAlignment="1" applyProtection="1">
      <alignment horizontal="center"/>
    </xf>
    <xf numFmtId="0" fontId="10" fillId="25" borderId="14" xfId="0" applyFont="1" applyFill="1" applyBorder="1" applyAlignment="1"/>
    <xf numFmtId="0" fontId="10" fillId="25" borderId="0" xfId="0" applyFont="1" applyFill="1" applyAlignment="1">
      <alignment horizontal="left"/>
    </xf>
    <xf numFmtId="1" fontId="8" fillId="26" borderId="12" xfId="0" applyNumberFormat="1" applyFont="1" applyFill="1" applyBorder="1" applyAlignment="1">
      <alignment horizontal="left"/>
    </xf>
    <xf numFmtId="0" fontId="10" fillId="29" borderId="15" xfId="0" applyFont="1" applyFill="1" applyBorder="1" applyAlignment="1" applyProtection="1">
      <alignment horizontal="left"/>
    </xf>
    <xf numFmtId="0" fontId="10" fillId="29" borderId="28" xfId="0" applyFont="1" applyFill="1" applyBorder="1" applyAlignment="1" applyProtection="1">
      <alignment horizontal="left"/>
    </xf>
    <xf numFmtId="0" fontId="10" fillId="29" borderId="17" xfId="0" applyFont="1" applyFill="1" applyBorder="1" applyAlignment="1" applyProtection="1">
      <alignment horizontal="left"/>
    </xf>
    <xf numFmtId="0" fontId="28" fillId="26" borderId="27" xfId="0" applyFont="1" applyFill="1" applyBorder="1" applyProtection="1"/>
    <xf numFmtId="0" fontId="0" fillId="39" borderId="0" xfId="0" applyFill="1" applyBorder="1" applyAlignment="1" applyProtection="1">
      <alignment horizontal="center"/>
      <protection locked="0"/>
    </xf>
    <xf numFmtId="0" fontId="0" fillId="39" borderId="18" xfId="0" applyFill="1" applyBorder="1" applyAlignment="1" applyProtection="1">
      <alignment horizontal="center"/>
      <protection locked="0"/>
    </xf>
    <xf numFmtId="0" fontId="0" fillId="39" borderId="29" xfId="0" applyFill="1" applyBorder="1" applyAlignment="1" applyProtection="1">
      <alignment horizontal="center"/>
      <protection locked="0"/>
    </xf>
    <xf numFmtId="0" fontId="0" fillId="39" borderId="19" xfId="0" applyFill="1" applyBorder="1" applyAlignment="1" applyProtection="1">
      <alignment horizontal="center"/>
      <protection locked="0"/>
    </xf>
    <xf numFmtId="0" fontId="0" fillId="39" borderId="30" xfId="0" applyFill="1" applyBorder="1" applyAlignment="1" applyProtection="1">
      <alignment horizontal="center"/>
      <protection locked="0"/>
    </xf>
    <xf numFmtId="0" fontId="0" fillId="39" borderId="12" xfId="0" applyFill="1" applyBorder="1" applyAlignment="1" applyProtection="1">
      <alignment horizontal="center"/>
      <protection locked="0"/>
    </xf>
    <xf numFmtId="0" fontId="10" fillId="25" borderId="29" xfId="0" applyFont="1" applyFill="1" applyBorder="1" applyAlignment="1" applyProtection="1">
      <alignment horizontal="left" vertical="center"/>
    </xf>
    <xf numFmtId="0" fontId="10" fillId="25" borderId="28" xfId="0" applyFont="1" applyFill="1" applyBorder="1" applyAlignment="1">
      <alignment horizontal="left" vertical="center"/>
    </xf>
    <xf numFmtId="0" fontId="10" fillId="25" borderId="29" xfId="0" applyFont="1" applyFill="1" applyBorder="1" applyAlignment="1">
      <alignment horizontal="left" vertical="center"/>
    </xf>
    <xf numFmtId="0" fontId="81" fillId="36" borderId="0" xfId="0" applyFont="1" applyFill="1"/>
    <xf numFmtId="0" fontId="81" fillId="36" borderId="0" xfId="0" applyFont="1" applyFill="1" applyBorder="1"/>
    <xf numFmtId="0" fontId="81" fillId="36" borderId="18" xfId="0" applyFont="1" applyFill="1" applyBorder="1"/>
    <xf numFmtId="4" fontId="10" fillId="37" borderId="74" xfId="0" applyNumberFormat="1" applyFont="1" applyFill="1" applyBorder="1" applyAlignment="1" applyProtection="1">
      <alignment horizontal="center"/>
      <protection locked="0"/>
    </xf>
    <xf numFmtId="4" fontId="81" fillId="36" borderId="22" xfId="0" applyNumberFormat="1" applyFont="1" applyFill="1" applyBorder="1" applyAlignment="1">
      <alignment horizontal="center"/>
    </xf>
    <xf numFmtId="173" fontId="10" fillId="36" borderId="74" xfId="0" applyNumberFormat="1" applyFont="1" applyFill="1" applyBorder="1" applyAlignment="1" applyProtection="1">
      <alignment horizontal="center"/>
      <protection locked="0"/>
    </xf>
    <xf numFmtId="0" fontId="81" fillId="36" borderId="29" xfId="0" applyFont="1" applyFill="1" applyBorder="1"/>
    <xf numFmtId="0" fontId="81" fillId="36" borderId="75" xfId="0" applyFont="1" applyFill="1" applyBorder="1"/>
    <xf numFmtId="0" fontId="81" fillId="36" borderId="11" xfId="0" applyFont="1" applyFill="1" applyBorder="1"/>
    <xf numFmtId="0" fontId="81" fillId="36" borderId="19" xfId="0" applyFont="1" applyFill="1" applyBorder="1"/>
    <xf numFmtId="0" fontId="81" fillId="36" borderId="61" xfId="0" applyFont="1" applyFill="1" applyBorder="1"/>
    <xf numFmtId="173" fontId="82" fillId="36" borderId="74" xfId="0" applyNumberFormat="1" applyFont="1" applyFill="1" applyBorder="1" applyAlignment="1">
      <alignment horizontal="center"/>
    </xf>
    <xf numFmtId="173" fontId="82" fillId="36" borderId="22" xfId="0" applyNumberFormat="1" applyFont="1" applyFill="1" applyBorder="1" applyAlignment="1">
      <alignment horizontal="center"/>
    </xf>
    <xf numFmtId="0" fontId="81" fillId="36" borderId="28" xfId="0" applyFont="1" applyFill="1" applyBorder="1"/>
    <xf numFmtId="0" fontId="10" fillId="25" borderId="70" xfId="0" applyFont="1" applyFill="1" applyBorder="1" applyProtection="1"/>
    <xf numFmtId="0" fontId="82" fillId="36" borderId="17" xfId="0" applyFont="1" applyFill="1" applyBorder="1"/>
    <xf numFmtId="0" fontId="82" fillId="36" borderId="17" xfId="0" applyFont="1" applyFill="1" applyBorder="1" applyAlignment="1">
      <alignment horizontal="right"/>
    </xf>
    <xf numFmtId="0" fontId="10" fillId="25" borderId="21" xfId="0" applyFont="1" applyFill="1" applyBorder="1" applyAlignment="1" applyProtection="1">
      <alignment horizontal="center" vertical="center"/>
    </xf>
    <xf numFmtId="0" fontId="10" fillId="25" borderId="21" xfId="0" applyFont="1" applyFill="1" applyBorder="1" applyAlignment="1">
      <alignment horizontal="center" vertical="center"/>
    </xf>
    <xf numFmtId="0" fontId="82" fillId="36" borderId="14" xfId="0" applyFont="1" applyFill="1" applyBorder="1"/>
    <xf numFmtId="0" fontId="82" fillId="36" borderId="22" xfId="0" applyFont="1" applyFill="1" applyBorder="1"/>
    <xf numFmtId="0" fontId="84" fillId="36" borderId="17" xfId="0" applyFont="1" applyFill="1" applyBorder="1"/>
    <xf numFmtId="0" fontId="32" fillId="25" borderId="17" xfId="0" applyFont="1" applyFill="1" applyBorder="1" applyProtection="1"/>
    <xf numFmtId="0" fontId="10" fillId="25" borderId="55" xfId="0" applyFont="1" applyFill="1" applyBorder="1" applyProtection="1"/>
    <xf numFmtId="0" fontId="81" fillId="36" borderId="47" xfId="0" applyFont="1" applyFill="1" applyBorder="1"/>
    <xf numFmtId="0" fontId="10" fillId="25" borderId="0" xfId="0" applyFont="1" applyFill="1" applyBorder="1" applyAlignment="1">
      <alignment horizontal="left" vertical="center"/>
    </xf>
    <xf numFmtId="0" fontId="84" fillId="36" borderId="18" xfId="0" applyFont="1" applyFill="1" applyBorder="1"/>
    <xf numFmtId="0" fontId="10" fillId="25" borderId="0" xfId="0" applyFont="1" applyFill="1" applyAlignment="1" applyProtection="1">
      <alignment horizontal="center"/>
    </xf>
    <xf numFmtId="0" fontId="78" fillId="36" borderId="11" xfId="0" applyFont="1" applyFill="1" applyBorder="1" applyAlignment="1">
      <alignment horizontal="center"/>
    </xf>
    <xf numFmtId="0" fontId="10" fillId="25" borderId="14" xfId="0" applyFont="1" applyFill="1" applyBorder="1" applyProtection="1"/>
    <xf numFmtId="0" fontId="2" fillId="25" borderId="14" xfId="0" applyFont="1" applyFill="1" applyBorder="1" applyProtection="1"/>
    <xf numFmtId="0" fontId="32" fillId="25" borderId="18" xfId="0" applyFont="1" applyFill="1" applyBorder="1" applyProtection="1"/>
    <xf numFmtId="0" fontId="10" fillId="25" borderId="61" xfId="0" applyFont="1" applyFill="1" applyBorder="1" applyProtection="1"/>
    <xf numFmtId="0" fontId="10" fillId="25" borderId="47" xfId="0" applyFont="1" applyFill="1" applyBorder="1" applyProtection="1"/>
    <xf numFmtId="0" fontId="19" fillId="25" borderId="14" xfId="0" applyFont="1" applyFill="1" applyBorder="1" applyProtection="1"/>
    <xf numFmtId="0" fontId="10" fillId="25" borderId="0" xfId="0" applyFont="1" applyFill="1" applyBorder="1" applyAlignment="1"/>
    <xf numFmtId="0" fontId="10" fillId="25" borderId="0" xfId="0" applyFont="1" applyFill="1" applyBorder="1" applyAlignment="1" applyProtection="1"/>
    <xf numFmtId="0" fontId="14" fillId="25" borderId="0" xfId="0" applyFont="1" applyFill="1" applyBorder="1" applyAlignment="1" applyProtection="1"/>
    <xf numFmtId="0" fontId="19" fillId="25" borderId="10" xfId="0" applyFont="1" applyFill="1" applyBorder="1" applyProtection="1"/>
    <xf numFmtId="0" fontId="11" fillId="25" borderId="18" xfId="0" applyFont="1" applyFill="1" applyBorder="1" applyProtection="1"/>
    <xf numFmtId="0" fontId="11" fillId="40" borderId="60" xfId="0" applyFont="1" applyFill="1" applyBorder="1" applyAlignment="1">
      <alignment horizontal="center"/>
    </xf>
    <xf numFmtId="0" fontId="14" fillId="35" borderId="0" xfId="0" applyFont="1" applyFill="1" applyProtection="1"/>
    <xf numFmtId="0" fontId="0" fillId="25" borderId="10" xfId="0" applyFill="1" applyBorder="1" applyAlignment="1"/>
    <xf numFmtId="0" fontId="10" fillId="25" borderId="55" xfId="0" applyFont="1" applyFill="1" applyBorder="1" applyAlignment="1" applyProtection="1"/>
    <xf numFmtId="0" fontId="10" fillId="25" borderId="61" xfId="0" applyFont="1" applyFill="1" applyBorder="1" applyAlignment="1">
      <alignment horizontal="center"/>
    </xf>
    <xf numFmtId="167" fontId="78" fillId="36" borderId="15" xfId="0" applyNumberFormat="1" applyFont="1" applyFill="1" applyBorder="1" applyAlignment="1">
      <alignment horizontal="center"/>
    </xf>
    <xf numFmtId="0" fontId="78" fillId="36" borderId="10" xfId="0" applyFont="1" applyFill="1" applyBorder="1" applyAlignment="1">
      <alignment horizontal="center"/>
    </xf>
    <xf numFmtId="0" fontId="78" fillId="36" borderId="28" xfId="0" applyFont="1" applyFill="1" applyBorder="1" applyAlignment="1">
      <alignment horizontal="center"/>
    </xf>
    <xf numFmtId="0" fontId="78" fillId="36" borderId="29" xfId="0" applyFont="1" applyFill="1" applyBorder="1" applyAlignment="1">
      <alignment horizontal="center"/>
    </xf>
    <xf numFmtId="0" fontId="0" fillId="25" borderId="29" xfId="0" applyFill="1" applyBorder="1" applyAlignment="1">
      <alignment horizontal="center"/>
    </xf>
    <xf numFmtId="0" fontId="0" fillId="25" borderId="19" xfId="0" applyFill="1" applyBorder="1" applyAlignment="1">
      <alignment horizontal="center"/>
    </xf>
    <xf numFmtId="173" fontId="86" fillId="36" borderId="73" xfId="0" applyNumberFormat="1" applyFont="1" applyFill="1" applyBorder="1" applyAlignment="1">
      <alignment horizontal="right"/>
    </xf>
    <xf numFmtId="0" fontId="86" fillId="36" borderId="0" xfId="0" applyFont="1" applyFill="1" applyBorder="1" applyAlignment="1">
      <alignment horizontal="right"/>
    </xf>
    <xf numFmtId="173" fontId="86" fillId="36" borderId="11" xfId="0" applyNumberFormat="1" applyFont="1" applyFill="1" applyBorder="1" applyAlignment="1">
      <alignment horizontal="right"/>
    </xf>
    <xf numFmtId="0" fontId="88" fillId="36" borderId="0" xfId="0" applyFont="1" applyFill="1" applyBorder="1"/>
    <xf numFmtId="0" fontId="85" fillId="36" borderId="73" xfId="0" applyFont="1" applyFill="1" applyBorder="1" applyAlignment="1">
      <alignment horizontal="center"/>
    </xf>
    <xf numFmtId="0" fontId="85" fillId="36" borderId="11" xfId="0" applyFont="1" applyFill="1" applyBorder="1" applyAlignment="1">
      <alignment horizontal="center"/>
    </xf>
    <xf numFmtId="0" fontId="85" fillId="36" borderId="75" xfId="0" applyFont="1" applyFill="1" applyBorder="1" applyAlignment="1">
      <alignment horizontal="center"/>
    </xf>
    <xf numFmtId="0" fontId="85" fillId="36" borderId="0" xfId="0" applyFont="1" applyFill="1"/>
    <xf numFmtId="0" fontId="85" fillId="36" borderId="29" xfId="0" applyFont="1" applyFill="1" applyBorder="1" applyAlignment="1">
      <alignment horizontal="center"/>
    </xf>
    <xf numFmtId="0" fontId="10" fillId="25" borderId="0" xfId="0" applyFont="1" applyFill="1" applyBorder="1" applyAlignment="1">
      <alignment horizontal="left" vertical="center"/>
    </xf>
    <xf numFmtId="0" fontId="10" fillId="25" borderId="17" xfId="0" applyFont="1" applyFill="1" applyBorder="1" applyAlignment="1" applyProtection="1">
      <alignment horizontal="center"/>
    </xf>
    <xf numFmtId="0" fontId="0" fillId="25" borderId="17" xfId="0" applyFill="1" applyBorder="1" applyAlignment="1">
      <alignment horizontal="center"/>
    </xf>
    <xf numFmtId="0" fontId="90" fillId="41" borderId="10" xfId="0" applyFont="1" applyFill="1" applyBorder="1"/>
    <xf numFmtId="0" fontId="90" fillId="41" borderId="0" xfId="0" applyFont="1" applyFill="1" applyBorder="1"/>
    <xf numFmtId="0" fontId="90" fillId="41" borderId="17" xfId="0" applyFont="1" applyFill="1" applyBorder="1"/>
    <xf numFmtId="0" fontId="90" fillId="41" borderId="18" xfId="0" applyFont="1" applyFill="1" applyBorder="1"/>
    <xf numFmtId="0" fontId="92" fillId="41" borderId="15" xfId="0" applyFont="1" applyFill="1" applyBorder="1"/>
    <xf numFmtId="0" fontId="46" fillId="25" borderId="0" xfId="0" applyFont="1" applyFill="1" applyAlignment="1" applyProtection="1">
      <alignment horizontal="right"/>
    </xf>
    <xf numFmtId="0" fontId="26" fillId="25" borderId="0" xfId="0" applyFont="1" applyFill="1" applyAlignment="1" applyProtection="1"/>
    <xf numFmtId="166" fontId="6" fillId="25" borderId="38" xfId="0" applyNumberFormat="1" applyFont="1" applyFill="1" applyBorder="1" applyAlignment="1" applyProtection="1">
      <alignment horizontal="center" vertical="center"/>
    </xf>
    <xf numFmtId="166" fontId="6" fillId="25" borderId="39" xfId="0" applyNumberFormat="1" applyFont="1" applyFill="1" applyBorder="1" applyAlignment="1" applyProtection="1">
      <alignment horizontal="center" vertical="center"/>
    </xf>
    <xf numFmtId="0" fontId="14" fillId="35" borderId="22" xfId="0" applyFont="1" applyFill="1" applyBorder="1" applyProtection="1"/>
    <xf numFmtId="0" fontId="10" fillId="25" borderId="20" xfId="0" applyFont="1" applyFill="1" applyBorder="1" applyAlignment="1" applyProtection="1">
      <alignment horizontal="center"/>
    </xf>
    <xf numFmtId="167" fontId="78" fillId="36" borderId="10" xfId="0" applyNumberFormat="1" applyFont="1" applyFill="1" applyBorder="1" applyAlignment="1">
      <alignment horizontal="center"/>
    </xf>
    <xf numFmtId="0" fontId="78" fillId="36" borderId="0" xfId="0" applyFont="1" applyFill="1" applyBorder="1"/>
    <xf numFmtId="2" fontId="78" fillId="36" borderId="17" xfId="0" applyNumberFormat="1" applyFont="1" applyFill="1" applyBorder="1" applyAlignment="1">
      <alignment horizontal="center"/>
    </xf>
    <xf numFmtId="2" fontId="78" fillId="36" borderId="18" xfId="0" applyNumberFormat="1" applyFont="1" applyFill="1" applyBorder="1" applyAlignment="1">
      <alignment horizontal="center"/>
    </xf>
    <xf numFmtId="2" fontId="78" fillId="36" borderId="30" xfId="0" applyNumberFormat="1" applyFont="1" applyFill="1" applyBorder="1" applyAlignment="1">
      <alignment horizontal="center"/>
    </xf>
    <xf numFmtId="0" fontId="26" fillId="25" borderId="28" xfId="0" applyFont="1" applyFill="1" applyBorder="1" applyProtection="1"/>
    <xf numFmtId="0" fontId="14" fillId="25" borderId="29" xfId="0" applyFont="1" applyFill="1" applyBorder="1" applyProtection="1"/>
    <xf numFmtId="0" fontId="78" fillId="36" borderId="15" xfId="0" applyFont="1" applyFill="1" applyBorder="1" applyAlignment="1">
      <alignment horizontal="left"/>
    </xf>
    <xf numFmtId="0" fontId="78" fillId="36" borderId="18" xfId="0" applyFont="1" applyFill="1" applyBorder="1" applyAlignment="1">
      <alignment horizontal="center"/>
    </xf>
    <xf numFmtId="0" fontId="26" fillId="25" borderId="26" xfId="0" applyFont="1" applyFill="1" applyBorder="1" applyProtection="1"/>
    <xf numFmtId="0" fontId="78" fillId="36" borderId="0" xfId="0" applyFont="1" applyFill="1" applyBorder="1" applyAlignment="1">
      <alignment horizontal="center"/>
    </xf>
    <xf numFmtId="0" fontId="14" fillId="25" borderId="26" xfId="0" applyFont="1" applyFill="1" applyBorder="1" applyProtection="1"/>
    <xf numFmtId="0" fontId="78" fillId="36" borderId="10" xfId="0" applyFont="1" applyFill="1" applyBorder="1"/>
    <xf numFmtId="0" fontId="78" fillId="36" borderId="18" xfId="0" applyFont="1" applyFill="1" applyBorder="1"/>
    <xf numFmtId="0" fontId="14" fillId="25" borderId="28" xfId="0" applyFont="1" applyFill="1" applyBorder="1" applyProtection="1"/>
    <xf numFmtId="0" fontId="91" fillId="41" borderId="27" xfId="0" applyFont="1" applyFill="1" applyBorder="1" applyAlignment="1">
      <alignment horizontal="center"/>
    </xf>
    <xf numFmtId="0" fontId="91" fillId="41" borderId="26" xfId="0" applyFont="1" applyFill="1" applyBorder="1" applyAlignment="1">
      <alignment horizontal="center"/>
    </xf>
    <xf numFmtId="0" fontId="91" fillId="41" borderId="30" xfId="0" applyFont="1" applyFill="1" applyBorder="1" applyAlignment="1">
      <alignment horizontal="center"/>
    </xf>
    <xf numFmtId="0" fontId="14" fillId="35" borderId="22" xfId="0" applyFont="1" applyFill="1" applyBorder="1" applyAlignment="1" applyProtection="1">
      <alignment horizontal="center"/>
    </xf>
    <xf numFmtId="0" fontId="3" fillId="25" borderId="0" xfId="0" applyFont="1" applyFill="1"/>
    <xf numFmtId="0" fontId="3" fillId="25" borderId="0" xfId="0" applyFont="1" applyFill="1" applyAlignment="1">
      <alignment horizontal="center"/>
    </xf>
    <xf numFmtId="0" fontId="90" fillId="41" borderId="28" xfId="0" applyFont="1" applyFill="1" applyBorder="1" applyAlignment="1">
      <alignment horizontal="center"/>
    </xf>
    <xf numFmtId="0" fontId="90" fillId="41" borderId="29" xfId="0" applyFont="1" applyFill="1" applyBorder="1" applyAlignment="1">
      <alignment horizontal="center"/>
    </xf>
    <xf numFmtId="0" fontId="90" fillId="41" borderId="26" xfId="0" applyFont="1" applyFill="1" applyBorder="1" applyAlignment="1">
      <alignment horizontal="center"/>
    </xf>
    <xf numFmtId="0" fontId="0" fillId="39" borderId="26" xfId="0" applyFill="1" applyBorder="1" applyAlignment="1" applyProtection="1">
      <alignment horizontal="center"/>
      <protection locked="0"/>
    </xf>
    <xf numFmtId="0" fontId="3" fillId="25" borderId="0" xfId="0" quotePrefix="1" applyFont="1" applyFill="1"/>
    <xf numFmtId="167" fontId="0" fillId="25" borderId="28" xfId="0" applyNumberFormat="1" applyFill="1" applyBorder="1" applyAlignment="1">
      <alignment horizontal="center"/>
    </xf>
    <xf numFmtId="167" fontId="0" fillId="25" borderId="26" xfId="0" applyNumberFormat="1" applyFill="1" applyBorder="1" applyAlignment="1">
      <alignment horizontal="center"/>
    </xf>
    <xf numFmtId="167" fontId="0" fillId="25" borderId="17" xfId="0" applyNumberFormat="1" applyFill="1" applyBorder="1" applyAlignment="1">
      <alignment horizontal="center"/>
    </xf>
    <xf numFmtId="2" fontId="90" fillId="41" borderId="28" xfId="0" applyNumberFormat="1" applyFont="1" applyFill="1" applyBorder="1" applyAlignment="1">
      <alignment horizontal="center"/>
    </xf>
    <xf numFmtId="167" fontId="0" fillId="25" borderId="29" xfId="0" applyNumberFormat="1" applyFill="1" applyBorder="1" applyAlignment="1">
      <alignment horizontal="center"/>
    </xf>
    <xf numFmtId="167" fontId="0" fillId="35" borderId="12" xfId="0" applyNumberFormat="1" applyFill="1" applyBorder="1" applyAlignment="1">
      <alignment horizontal="center"/>
    </xf>
    <xf numFmtId="0" fontId="3" fillId="25" borderId="0" xfId="0" applyFont="1" applyFill="1" applyAlignment="1">
      <alignment horizontal="left"/>
    </xf>
    <xf numFmtId="0" fontId="10" fillId="25" borderId="20" xfId="0" applyFont="1" applyFill="1" applyBorder="1" applyProtection="1"/>
    <xf numFmtId="167" fontId="14" fillId="35" borderId="22" xfId="0" applyNumberFormat="1" applyFont="1" applyFill="1" applyBorder="1" applyAlignment="1" applyProtection="1">
      <alignment horizontal="center"/>
    </xf>
    <xf numFmtId="1" fontId="10" fillId="35" borderId="26" xfId="0" applyNumberFormat="1" applyFont="1" applyFill="1" applyBorder="1" applyAlignment="1">
      <alignment horizontal="center"/>
    </xf>
    <xf numFmtId="1" fontId="24" fillId="41" borderId="20" xfId="0" applyNumberFormat="1" applyFont="1" applyFill="1" applyBorder="1" applyAlignment="1">
      <alignment horizontal="left"/>
    </xf>
    <xf numFmtId="1" fontId="24" fillId="41" borderId="14" xfId="0" applyNumberFormat="1" applyFont="1" applyFill="1" applyBorder="1" applyAlignment="1">
      <alignment horizontal="center"/>
    </xf>
    <xf numFmtId="1" fontId="83" fillId="41" borderId="0" xfId="0" applyNumberFormat="1" applyFont="1" applyFill="1" applyBorder="1" applyAlignment="1">
      <alignment horizontal="left"/>
    </xf>
    <xf numFmtId="1" fontId="83" fillId="41" borderId="0" xfId="0" applyNumberFormat="1" applyFont="1" applyFill="1" applyBorder="1" applyAlignment="1">
      <alignment horizontal="center"/>
    </xf>
    <xf numFmtId="1" fontId="10" fillId="41" borderId="10" xfId="0" applyNumberFormat="1" applyFont="1" applyFill="1" applyBorder="1" applyAlignment="1">
      <alignment horizontal="left"/>
    </xf>
    <xf numFmtId="1" fontId="10" fillId="41" borderId="10" xfId="0" applyNumberFormat="1" applyFont="1" applyFill="1" applyBorder="1" applyAlignment="1">
      <alignment horizontal="center"/>
    </xf>
    <xf numFmtId="167" fontId="10" fillId="41" borderId="11" xfId="0" applyNumberFormat="1" applyFont="1" applyFill="1" applyBorder="1" applyAlignment="1">
      <alignment horizontal="center"/>
    </xf>
    <xf numFmtId="1" fontId="24" fillId="41" borderId="17" xfId="0" applyNumberFormat="1" applyFont="1" applyFill="1" applyBorder="1" applyAlignment="1">
      <alignment horizontal="left"/>
    </xf>
    <xf numFmtId="1" fontId="24" fillId="41" borderId="18" xfId="0" applyNumberFormat="1" applyFont="1" applyFill="1" applyBorder="1" applyAlignment="1">
      <alignment horizontal="center"/>
    </xf>
    <xf numFmtId="1" fontId="28" fillId="41" borderId="15" xfId="0" applyNumberFormat="1" applyFont="1" applyFill="1" applyBorder="1" applyAlignment="1">
      <alignment horizontal="left"/>
    </xf>
    <xf numFmtId="0" fontId="94" fillId="41" borderId="28" xfId="0" applyFont="1" applyFill="1" applyBorder="1"/>
    <xf numFmtId="167" fontId="81" fillId="35" borderId="29" xfId="0" applyNumberFormat="1" applyFont="1" applyFill="1" applyBorder="1" applyAlignment="1">
      <alignment horizontal="center"/>
    </xf>
    <xf numFmtId="1" fontId="24" fillId="41" borderId="19" xfId="0" applyNumberFormat="1" applyFont="1" applyFill="1" applyBorder="1" applyAlignment="1">
      <alignment horizontal="center"/>
    </xf>
    <xf numFmtId="0" fontId="10" fillId="25" borderId="46" xfId="0" applyFont="1" applyFill="1" applyBorder="1" applyAlignment="1" applyProtection="1">
      <alignment vertical="center"/>
    </xf>
    <xf numFmtId="0" fontId="10" fillId="25" borderId="69" xfId="0" applyFont="1" applyFill="1" applyBorder="1" applyAlignment="1" applyProtection="1">
      <alignment vertical="center"/>
    </xf>
    <xf numFmtId="0" fontId="32" fillId="25" borderId="18" xfId="0" applyFont="1" applyFill="1" applyBorder="1" applyAlignment="1" applyProtection="1">
      <alignment horizontal="left" vertical="center"/>
    </xf>
    <xf numFmtId="0" fontId="16" fillId="25" borderId="14" xfId="0" applyFont="1" applyFill="1" applyBorder="1" applyAlignment="1" applyProtection="1">
      <alignment horizontal="left" vertical="center"/>
    </xf>
    <xf numFmtId="0" fontId="20" fillId="25" borderId="48" xfId="0" applyFont="1" applyFill="1" applyBorder="1" applyAlignment="1" applyProtection="1">
      <alignment vertical="center"/>
    </xf>
    <xf numFmtId="0" fontId="10" fillId="25" borderId="10" xfId="0" applyFont="1" applyFill="1" applyBorder="1" applyAlignment="1" applyProtection="1">
      <alignment horizontal="right" vertical="center"/>
    </xf>
    <xf numFmtId="0" fontId="11" fillId="25" borderId="18" xfId="0" applyFont="1" applyFill="1" applyBorder="1" applyAlignment="1" applyProtection="1">
      <alignment vertical="center"/>
    </xf>
    <xf numFmtId="0" fontId="11" fillId="25" borderId="19" xfId="0" applyFont="1" applyFill="1" applyBorder="1" applyAlignment="1" applyProtection="1">
      <alignment horizontal="center" vertical="center"/>
    </xf>
    <xf numFmtId="0" fontId="10" fillId="25" borderId="17" xfId="0" applyFont="1" applyFill="1" applyBorder="1" applyAlignment="1" applyProtection="1">
      <alignment vertical="center"/>
    </xf>
    <xf numFmtId="0" fontId="6" fillId="36" borderId="10" xfId="33" applyNumberFormat="1" applyFont="1" applyFill="1" applyBorder="1" applyAlignment="1" applyProtection="1">
      <alignment horizontal="right" vertical="center"/>
    </xf>
    <xf numFmtId="0" fontId="10" fillId="36" borderId="70" xfId="33" applyNumberFormat="1" applyFont="1" applyFill="1" applyBorder="1" applyAlignment="1" applyProtection="1">
      <alignment horizontal="left"/>
    </xf>
    <xf numFmtId="0" fontId="10" fillId="36" borderId="17" xfId="33" applyNumberFormat="1" applyFont="1" applyFill="1" applyBorder="1" applyAlignment="1" applyProtection="1">
      <alignment horizontal="left"/>
    </xf>
    <xf numFmtId="0" fontId="17" fillId="25" borderId="0" xfId="0" applyFont="1" applyFill="1" applyAlignment="1" applyProtection="1">
      <alignment horizontal="right"/>
    </xf>
    <xf numFmtId="0" fontId="26" fillId="25" borderId="15" xfId="0" applyFont="1" applyFill="1" applyBorder="1" applyProtection="1"/>
    <xf numFmtId="0" fontId="10" fillId="25" borderId="14" xfId="0" applyFont="1" applyFill="1" applyBorder="1" applyAlignment="1" applyProtection="1">
      <alignment horizontal="center"/>
    </xf>
    <xf numFmtId="0" fontId="81" fillId="25" borderId="27" xfId="0" applyFont="1" applyFill="1" applyBorder="1" applyAlignment="1" applyProtection="1">
      <alignment horizontal="center"/>
    </xf>
    <xf numFmtId="0" fontId="81" fillId="25" borderId="26" xfId="0" applyFont="1" applyFill="1" applyBorder="1" applyAlignment="1" applyProtection="1">
      <alignment horizontal="center"/>
    </xf>
    <xf numFmtId="0" fontId="81" fillId="25" borderId="30" xfId="0" applyFont="1" applyFill="1" applyBorder="1" applyAlignment="1" applyProtection="1">
      <alignment horizontal="center"/>
    </xf>
    <xf numFmtId="0" fontId="10" fillId="25" borderId="34" xfId="0" applyFont="1" applyFill="1" applyBorder="1" applyAlignment="1" applyProtection="1">
      <alignment horizontal="left" vertical="center"/>
    </xf>
    <xf numFmtId="0" fontId="81" fillId="37" borderId="74" xfId="0" applyFont="1" applyFill="1" applyBorder="1" applyAlignment="1" applyProtection="1">
      <alignment horizontal="center"/>
      <protection locked="0"/>
    </xf>
    <xf numFmtId="0" fontId="81" fillId="36" borderId="0" xfId="0" applyFont="1" applyFill="1" applyBorder="1" applyProtection="1">
      <protection locked="0"/>
    </xf>
    <xf numFmtId="0" fontId="81" fillId="37" borderId="22" xfId="0" applyFont="1" applyFill="1" applyBorder="1" applyAlignment="1" applyProtection="1">
      <alignment horizontal="center"/>
      <protection locked="0"/>
    </xf>
    <xf numFmtId="173" fontId="81" fillId="36" borderId="22" xfId="0" applyNumberFormat="1" applyFont="1" applyFill="1" applyBorder="1" applyAlignment="1" applyProtection="1">
      <alignment horizontal="center"/>
      <protection locked="0"/>
    </xf>
    <xf numFmtId="0" fontId="81" fillId="36" borderId="10" xfId="0" applyFont="1" applyFill="1" applyBorder="1" applyProtection="1">
      <protection locked="0"/>
    </xf>
    <xf numFmtId="0" fontId="83" fillId="36" borderId="0" xfId="0" applyFont="1" applyFill="1" applyBorder="1" applyAlignment="1" applyProtection="1">
      <alignment horizontal="center"/>
      <protection locked="0"/>
    </xf>
    <xf numFmtId="0" fontId="83" fillId="36" borderId="10" xfId="0" applyFont="1" applyFill="1" applyBorder="1" applyAlignment="1" applyProtection="1">
      <alignment horizontal="center"/>
      <protection locked="0"/>
    </xf>
    <xf numFmtId="0" fontId="10" fillId="25" borderId="70" xfId="0" applyFont="1" applyFill="1" applyBorder="1" applyAlignment="1" applyProtection="1">
      <alignment vertical="center"/>
    </xf>
    <xf numFmtId="0" fontId="10" fillId="25" borderId="46" xfId="0" applyFont="1" applyFill="1" applyBorder="1" applyAlignment="1" applyProtection="1">
      <alignment vertical="center"/>
    </xf>
    <xf numFmtId="0" fontId="14" fillId="25" borderId="45" xfId="0" applyFont="1" applyFill="1" applyBorder="1" applyAlignment="1" applyProtection="1">
      <alignment vertical="center"/>
    </xf>
    <xf numFmtId="0" fontId="32" fillId="25" borderId="20" xfId="0" applyFont="1" applyFill="1" applyBorder="1" applyAlignment="1" applyProtection="1">
      <alignment horizontal="left" vertical="center"/>
    </xf>
    <xf numFmtId="0" fontId="32" fillId="25" borderId="14" xfId="0" applyFont="1" applyFill="1" applyBorder="1" applyAlignment="1" applyProtection="1">
      <alignment horizontal="left" vertical="center"/>
    </xf>
    <xf numFmtId="0" fontId="14" fillId="25" borderId="46" xfId="0" applyFont="1" applyFill="1" applyBorder="1" applyAlignment="1" applyProtection="1">
      <alignment vertical="center"/>
    </xf>
    <xf numFmtId="0" fontId="16" fillId="25" borderId="15" xfId="0" applyFont="1" applyFill="1" applyBorder="1" applyAlignment="1" applyProtection="1">
      <alignment vertical="center"/>
    </xf>
    <xf numFmtId="0" fontId="16" fillId="25" borderId="10" xfId="0" applyFont="1" applyFill="1" applyBorder="1" applyAlignment="1" applyProtection="1">
      <alignment vertical="center"/>
    </xf>
    <xf numFmtId="22" fontId="17" fillId="25" borderId="0" xfId="0" applyNumberFormat="1" applyFont="1" applyFill="1" applyAlignment="1" applyProtection="1">
      <alignment horizontal="left"/>
    </xf>
    <xf numFmtId="0" fontId="10" fillId="25" borderId="0" xfId="0" applyFont="1" applyFill="1" applyAlignment="1" applyProtection="1">
      <alignment horizontal="center"/>
    </xf>
    <xf numFmtId="0" fontId="94" fillId="25" borderId="0" xfId="0" applyFont="1" applyFill="1" applyProtection="1"/>
    <xf numFmtId="0" fontId="83" fillId="25" borderId="0" xfId="0" applyFont="1" applyFill="1" applyProtection="1"/>
    <xf numFmtId="0" fontId="0" fillId="39" borderId="12" xfId="0" applyFill="1" applyBorder="1" applyAlignment="1">
      <alignment horizontal="center"/>
    </xf>
    <xf numFmtId="0" fontId="90" fillId="41" borderId="12" xfId="0" applyFont="1" applyFill="1" applyBorder="1"/>
    <xf numFmtId="0" fontId="90" fillId="41" borderId="12" xfId="0" applyFont="1" applyFill="1" applyBorder="1" applyAlignment="1">
      <alignment horizontal="center"/>
    </xf>
    <xf numFmtId="0" fontId="3" fillId="25" borderId="26" xfId="0" applyFont="1" applyFill="1" applyBorder="1" applyAlignment="1">
      <alignment horizontal="center"/>
    </xf>
    <xf numFmtId="0" fontId="3" fillId="25" borderId="30" xfId="0" applyFont="1" applyFill="1" applyBorder="1" applyAlignment="1">
      <alignment horizontal="center"/>
    </xf>
    <xf numFmtId="0" fontId="3" fillId="25" borderId="0" xfId="0" applyFont="1" applyFill="1" applyBorder="1"/>
    <xf numFmtId="0" fontId="0" fillId="25" borderId="79" xfId="0" applyFill="1" applyBorder="1" applyAlignment="1">
      <alignment horizontal="center"/>
    </xf>
    <xf numFmtId="0" fontId="0" fillId="26" borderId="29" xfId="0" applyFill="1" applyBorder="1" applyAlignment="1">
      <alignment horizontal="center"/>
    </xf>
    <xf numFmtId="0" fontId="0" fillId="36" borderId="26" xfId="0" applyFill="1" applyBorder="1" applyAlignment="1">
      <alignment horizontal="center"/>
    </xf>
    <xf numFmtId="0" fontId="0" fillId="36" borderId="30" xfId="0" applyFill="1" applyBorder="1" applyAlignment="1">
      <alignment horizontal="center"/>
    </xf>
    <xf numFmtId="0" fontId="6" fillId="36" borderId="27" xfId="0" applyFont="1" applyFill="1" applyBorder="1" applyAlignment="1">
      <alignment horizontal="center"/>
    </xf>
    <xf numFmtId="0" fontId="6" fillId="36" borderId="26" xfId="0" applyFont="1" applyFill="1" applyBorder="1" applyAlignment="1">
      <alignment horizontal="center"/>
    </xf>
    <xf numFmtId="0" fontId="0" fillId="39" borderId="0" xfId="0" applyFill="1" applyAlignment="1">
      <alignment horizontal="center"/>
    </xf>
    <xf numFmtId="0" fontId="0" fillId="25" borderId="79" xfId="0" applyFill="1" applyBorder="1" applyAlignment="1">
      <alignment horizontal="left"/>
    </xf>
    <xf numFmtId="9" fontId="0" fillId="25" borderId="79" xfId="32" applyFont="1" applyFill="1" applyBorder="1" applyAlignment="1">
      <alignment horizontal="center"/>
    </xf>
    <xf numFmtId="0" fontId="0" fillId="25" borderId="79" xfId="0" applyFill="1" applyBorder="1"/>
    <xf numFmtId="167" fontId="0" fillId="25" borderId="0" xfId="0" applyNumberFormat="1" applyFill="1" applyBorder="1" applyAlignment="1">
      <alignment horizontal="center"/>
    </xf>
    <xf numFmtId="1" fontId="98" fillId="25" borderId="0" xfId="0" applyNumberFormat="1" applyFont="1" applyFill="1" applyBorder="1" applyAlignment="1">
      <alignment horizontal="center"/>
    </xf>
    <xf numFmtId="0" fontId="42" fillId="29" borderId="30" xfId="0" applyFont="1" applyFill="1" applyBorder="1" applyAlignment="1">
      <alignment horizontal="center"/>
    </xf>
    <xf numFmtId="0" fontId="8" fillId="26" borderId="20" xfId="0" applyFont="1" applyFill="1" applyBorder="1" applyAlignment="1">
      <alignment horizontal="center"/>
    </xf>
    <xf numFmtId="0" fontId="91" fillId="41" borderId="15" xfId="0" applyFont="1" applyFill="1" applyBorder="1" applyAlignment="1">
      <alignment horizontal="center"/>
    </xf>
    <xf numFmtId="0" fontId="91" fillId="41" borderId="79" xfId="0" applyFont="1" applyFill="1" applyBorder="1" applyAlignment="1">
      <alignment horizontal="center"/>
    </xf>
    <xf numFmtId="0" fontId="91" fillId="41" borderId="11" xfId="0" applyFont="1" applyFill="1" applyBorder="1" applyAlignment="1">
      <alignment horizontal="center"/>
    </xf>
    <xf numFmtId="0" fontId="91" fillId="41" borderId="79" xfId="0" applyFont="1" applyFill="1" applyBorder="1"/>
    <xf numFmtId="0" fontId="91" fillId="41" borderId="12" xfId="0" applyFont="1" applyFill="1" applyBorder="1"/>
    <xf numFmtId="0" fontId="0" fillId="39" borderId="27" xfId="0" applyFill="1" applyBorder="1"/>
    <xf numFmtId="0" fontId="0" fillId="39" borderId="26" xfId="0" applyFill="1" applyBorder="1"/>
    <xf numFmtId="0" fontId="0" fillId="39" borderId="30" xfId="0" applyFill="1" applyBorder="1"/>
    <xf numFmtId="0" fontId="6" fillId="43" borderId="13" xfId="0" applyFont="1" applyFill="1" applyBorder="1" applyAlignment="1" applyProtection="1">
      <alignment horizontal="center" vertical="center"/>
      <protection locked="0"/>
    </xf>
    <xf numFmtId="0" fontId="6" fillId="43" borderId="58" xfId="0" applyFont="1" applyFill="1" applyBorder="1" applyAlignment="1" applyProtection="1">
      <alignment horizontal="center" vertical="center"/>
      <protection locked="0"/>
    </xf>
    <xf numFmtId="0" fontId="11" fillId="43" borderId="60" xfId="0" applyFont="1" applyFill="1" applyBorder="1" applyAlignment="1" applyProtection="1">
      <alignment horizontal="center"/>
      <protection locked="0"/>
    </xf>
    <xf numFmtId="0" fontId="3" fillId="25" borderId="0" xfId="0" applyFont="1" applyFill="1" applyBorder="1" applyAlignment="1">
      <alignment horizontal="right"/>
    </xf>
    <xf numFmtId="167" fontId="0" fillId="36" borderId="28" xfId="0" applyNumberFormat="1" applyFill="1" applyBorder="1" applyAlignment="1">
      <alignment horizontal="center"/>
    </xf>
    <xf numFmtId="2" fontId="0" fillId="36" borderId="28" xfId="0" applyNumberFormat="1" applyFill="1" applyBorder="1" applyAlignment="1">
      <alignment horizontal="center"/>
    </xf>
    <xf numFmtId="2" fontId="0" fillId="36" borderId="0" xfId="0" applyNumberFormat="1" applyFill="1" applyBorder="1" applyAlignment="1">
      <alignment horizontal="center"/>
    </xf>
    <xf numFmtId="167" fontId="0" fillId="36" borderId="0" xfId="0" applyNumberFormat="1" applyFill="1" applyBorder="1" applyAlignment="1">
      <alignment horizontal="center"/>
    </xf>
    <xf numFmtId="0" fontId="0" fillId="36" borderId="15" xfId="0" applyFill="1" applyBorder="1" applyAlignment="1">
      <alignment horizontal="center"/>
    </xf>
    <xf numFmtId="0" fontId="0" fillId="36" borderId="79" xfId="0" applyFill="1" applyBorder="1" applyAlignment="1">
      <alignment horizontal="center"/>
    </xf>
    <xf numFmtId="167" fontId="0" fillId="36" borderId="29" xfId="0" applyNumberFormat="1" applyFill="1" applyBorder="1" applyAlignment="1">
      <alignment horizontal="center"/>
    </xf>
    <xf numFmtId="2" fontId="0" fillId="36" borderId="29" xfId="0" applyNumberFormat="1" applyFill="1" applyBorder="1" applyAlignment="1">
      <alignment horizontal="center"/>
    </xf>
    <xf numFmtId="0" fontId="4" fillId="30" borderId="22" xfId="0" applyFont="1" applyFill="1" applyBorder="1" applyAlignment="1" applyProtection="1">
      <alignment horizontal="center"/>
      <protection locked="0"/>
    </xf>
    <xf numFmtId="0" fontId="10" fillId="25" borderId="19" xfId="0" applyFont="1" applyFill="1" applyBorder="1" applyAlignment="1">
      <alignment horizontal="left"/>
    </xf>
    <xf numFmtId="0" fontId="6" fillId="25" borderId="27" xfId="0" applyFont="1" applyFill="1" applyBorder="1" applyAlignment="1">
      <alignment horizontal="center"/>
    </xf>
    <xf numFmtId="0" fontId="14" fillId="25" borderId="34" xfId="0" applyFont="1" applyFill="1" applyBorder="1" applyAlignment="1" applyProtection="1">
      <alignment vertical="center"/>
    </xf>
    <xf numFmtId="164" fontId="6" fillId="25" borderId="53" xfId="0" applyNumberFormat="1" applyFont="1" applyFill="1" applyBorder="1" applyAlignment="1" applyProtection="1">
      <alignment horizontal="center" vertical="center"/>
    </xf>
    <xf numFmtId="164" fontId="40" fillId="25" borderId="54" xfId="0" applyNumberFormat="1" applyFont="1" applyFill="1" applyBorder="1" applyAlignment="1" applyProtection="1">
      <alignment horizontal="center" vertical="center" wrapText="1"/>
    </xf>
    <xf numFmtId="0" fontId="10" fillId="25" borderId="28" xfId="0" applyFont="1" applyFill="1" applyBorder="1" applyAlignment="1" applyProtection="1">
      <alignment vertical="center"/>
    </xf>
    <xf numFmtId="167" fontId="14" fillId="25" borderId="0" xfId="0" applyNumberFormat="1" applyFont="1" applyFill="1" applyProtection="1"/>
    <xf numFmtId="2" fontId="14" fillId="25" borderId="0" xfId="0" applyNumberFormat="1" applyFont="1" applyFill="1" applyProtection="1"/>
    <xf numFmtId="4" fontId="6" fillId="25" borderId="13" xfId="0" applyNumberFormat="1" applyFont="1" applyFill="1" applyBorder="1" applyAlignment="1" applyProtection="1">
      <alignment horizontal="center" vertical="center"/>
    </xf>
    <xf numFmtId="3" fontId="6" fillId="36" borderId="13" xfId="0" applyNumberFormat="1" applyFont="1" applyFill="1" applyBorder="1" applyAlignment="1" applyProtection="1">
      <alignment horizontal="center" vertical="center"/>
      <protection locked="0"/>
    </xf>
    <xf numFmtId="0" fontId="10" fillId="25" borderId="18" xfId="0" applyFont="1" applyFill="1" applyBorder="1" applyAlignment="1" applyProtection="1">
      <alignment horizontal="right" vertical="center"/>
    </xf>
    <xf numFmtId="0" fontId="41" fillId="36" borderId="32" xfId="0" applyFont="1" applyFill="1" applyBorder="1" applyAlignment="1" applyProtection="1">
      <alignment horizontal="center" vertical="center" wrapText="1"/>
    </xf>
    <xf numFmtId="0" fontId="3" fillId="25" borderId="29" xfId="0" applyFont="1" applyFill="1" applyBorder="1" applyAlignment="1">
      <alignment horizontal="right"/>
    </xf>
    <xf numFmtId="0" fontId="41" fillId="25" borderId="37" xfId="0" applyFont="1" applyFill="1" applyBorder="1" applyAlignment="1" applyProtection="1">
      <alignment horizontal="center" vertical="center" wrapText="1"/>
    </xf>
    <xf numFmtId="164" fontId="93" fillId="25" borderId="13" xfId="0" applyNumberFormat="1" applyFont="1" applyFill="1" applyBorder="1" applyAlignment="1" applyProtection="1">
      <alignment horizontal="center" vertical="center"/>
      <protection locked="0"/>
    </xf>
    <xf numFmtId="164" fontId="93" fillId="25" borderId="57" xfId="0" applyNumberFormat="1" applyFont="1" applyFill="1" applyBorder="1" applyAlignment="1" applyProtection="1">
      <alignment horizontal="center" vertical="center"/>
    </xf>
    <xf numFmtId="164" fontId="99" fillId="25" borderId="13" xfId="0" applyNumberFormat="1" applyFont="1" applyFill="1" applyBorder="1" applyAlignment="1" applyProtection="1">
      <alignment horizontal="center" vertical="center" wrapText="1"/>
      <protection locked="0"/>
    </xf>
    <xf numFmtId="9" fontId="93" fillId="25" borderId="13" xfId="32" applyNumberFormat="1" applyFont="1" applyFill="1" applyBorder="1" applyAlignment="1" applyProtection="1">
      <alignment horizontal="center" vertical="center"/>
    </xf>
    <xf numFmtId="0" fontId="10" fillId="36" borderId="61" xfId="0" applyFont="1" applyFill="1" applyBorder="1" applyAlignment="1" applyProtection="1">
      <alignment horizontal="right"/>
    </xf>
    <xf numFmtId="0" fontId="6" fillId="29" borderId="13" xfId="0" applyNumberFormat="1" applyFont="1" applyFill="1" applyBorder="1" applyAlignment="1" applyProtection="1">
      <alignment horizontal="center" vertical="center"/>
    </xf>
    <xf numFmtId="0" fontId="6" fillId="29" borderId="16" xfId="0" applyNumberFormat="1" applyFont="1" applyFill="1" applyBorder="1" applyAlignment="1" applyProtection="1">
      <alignment horizontal="center" vertical="center"/>
    </xf>
    <xf numFmtId="0" fontId="6" fillId="25" borderId="16" xfId="0" applyNumberFormat="1" applyFont="1" applyFill="1" applyBorder="1" applyAlignment="1" applyProtection="1">
      <alignment horizontal="center" vertical="center"/>
    </xf>
    <xf numFmtId="0" fontId="16" fillId="25" borderId="0" xfId="0" applyFont="1" applyFill="1" applyAlignment="1" applyProtection="1"/>
    <xf numFmtId="0" fontId="11" fillId="25" borderId="28" xfId="0" applyFont="1" applyFill="1" applyBorder="1" applyAlignment="1" applyProtection="1"/>
    <xf numFmtId="0" fontId="0" fillId="25" borderId="0" xfId="0" applyFill="1" applyAlignment="1" applyProtection="1"/>
    <xf numFmtId="0" fontId="0" fillId="25" borderId="0" xfId="0" applyFill="1" applyBorder="1" applyAlignment="1" applyProtection="1"/>
    <xf numFmtId="0" fontId="10" fillId="25" borderId="0" xfId="0" applyFont="1" applyFill="1" applyAlignment="1" applyProtection="1"/>
    <xf numFmtId="0" fontId="90" fillId="25" borderId="0" xfId="0" applyFont="1" applyFill="1" applyAlignment="1" applyProtection="1"/>
    <xf numFmtId="0" fontId="0" fillId="25" borderId="0" xfId="0" applyFill="1" applyAlignment="1" applyProtection="1">
      <alignment vertical="center"/>
    </xf>
    <xf numFmtId="0" fontId="0" fillId="36" borderId="0" xfId="0" applyFill="1" applyAlignment="1" applyProtection="1"/>
    <xf numFmtId="0" fontId="0" fillId="25" borderId="10" xfId="0" applyFill="1" applyBorder="1" applyAlignment="1" applyProtection="1"/>
    <xf numFmtId="9" fontId="10" fillId="25" borderId="38" xfId="32" applyFont="1" applyFill="1" applyBorder="1" applyAlignment="1" applyProtection="1">
      <alignment horizontal="center" vertical="center"/>
    </xf>
    <xf numFmtId="0" fontId="10" fillId="29" borderId="40" xfId="32" applyNumberFormat="1" applyFont="1" applyFill="1" applyBorder="1" applyAlignment="1" applyProtection="1">
      <alignment horizontal="center" vertical="center"/>
    </xf>
    <xf numFmtId="0" fontId="10" fillId="25" borderId="40" xfId="0" applyFont="1" applyFill="1" applyBorder="1" applyAlignment="1" applyProtection="1">
      <alignment horizontal="center"/>
    </xf>
    <xf numFmtId="0" fontId="17" fillId="25" borderId="51" xfId="0" applyFont="1" applyFill="1" applyBorder="1" applyAlignment="1" applyProtection="1">
      <alignment horizontal="center" vertical="center"/>
    </xf>
    <xf numFmtId="0" fontId="10" fillId="25" borderId="21" xfId="0" applyFont="1" applyFill="1" applyBorder="1" applyProtection="1"/>
    <xf numFmtId="0" fontId="10" fillId="25" borderId="22" xfId="0" applyFont="1" applyFill="1" applyBorder="1" applyProtection="1"/>
    <xf numFmtId="0" fontId="19" fillId="25" borderId="0" xfId="0" applyFont="1" applyFill="1" applyProtection="1"/>
    <xf numFmtId="0" fontId="10" fillId="25" borderId="44" xfId="0" applyFont="1" applyFill="1" applyBorder="1" applyProtection="1"/>
    <xf numFmtId="0" fontId="0" fillId="25" borderId="21" xfId="0" applyFill="1" applyBorder="1" applyProtection="1"/>
    <xf numFmtId="0" fontId="6" fillId="24" borderId="21" xfId="0" applyNumberFormat="1" applyFont="1" applyFill="1" applyBorder="1" applyAlignment="1" applyProtection="1">
      <alignment horizontal="center" vertical="center"/>
    </xf>
    <xf numFmtId="0" fontId="6" fillId="25" borderId="21" xfId="0" applyNumberFormat="1" applyFont="1" applyFill="1" applyBorder="1" applyAlignment="1" applyProtection="1">
      <alignment horizontal="center" vertical="center"/>
    </xf>
    <xf numFmtId="0" fontId="6" fillId="24" borderId="16" xfId="0" applyNumberFormat="1" applyFont="1" applyFill="1" applyBorder="1" applyAlignment="1" applyProtection="1">
      <alignment horizontal="center" vertical="center"/>
    </xf>
    <xf numFmtId="0" fontId="0" fillId="25" borderId="66" xfId="0" applyFill="1" applyBorder="1" applyProtection="1"/>
    <xf numFmtId="0" fontId="10" fillId="25" borderId="17" xfId="0" applyFont="1" applyFill="1" applyBorder="1" applyProtection="1"/>
    <xf numFmtId="0" fontId="0" fillId="25" borderId="18" xfId="0" applyFill="1" applyBorder="1" applyProtection="1"/>
    <xf numFmtId="0" fontId="0" fillId="25" borderId="68" xfId="0" applyFill="1" applyBorder="1" applyProtection="1"/>
    <xf numFmtId="0" fontId="4" fillId="25" borderId="0" xfId="0" applyFont="1" applyFill="1" applyProtection="1"/>
    <xf numFmtId="3" fontId="93" fillId="36" borderId="13" xfId="0" applyNumberFormat="1" applyFont="1" applyFill="1" applyBorder="1" applyAlignment="1" applyProtection="1">
      <alignment horizontal="center" vertical="center"/>
      <protection locked="0"/>
    </xf>
    <xf numFmtId="0" fontId="11" fillId="43" borderId="70" xfId="0" applyFont="1" applyFill="1" applyBorder="1" applyAlignment="1" applyProtection="1">
      <alignment horizontal="center" vertical="center"/>
      <protection locked="0"/>
    </xf>
    <xf numFmtId="0" fontId="11" fillId="43" borderId="55" xfId="0" applyFont="1" applyFill="1" applyBorder="1" applyAlignment="1" applyProtection="1">
      <alignment horizontal="center" vertical="center"/>
      <protection locked="0"/>
    </xf>
    <xf numFmtId="0" fontId="32" fillId="39" borderId="58" xfId="0" applyFont="1" applyFill="1" applyBorder="1" applyAlignment="1">
      <alignment horizontal="center" wrapText="1"/>
    </xf>
    <xf numFmtId="0" fontId="10" fillId="0" borderId="0" xfId="0" applyFont="1" applyAlignment="1">
      <alignment horizontal="left" wrapText="1"/>
    </xf>
    <xf numFmtId="0" fontId="35" fillId="25" borderId="13" xfId="0" applyFont="1" applyFill="1" applyBorder="1" applyAlignment="1">
      <alignment horizontal="left" wrapText="1"/>
    </xf>
    <xf numFmtId="0" fontId="35" fillId="25" borderId="58" xfId="0" applyFont="1" applyFill="1" applyBorder="1" applyAlignment="1">
      <alignment horizontal="left" wrapText="1"/>
    </xf>
    <xf numFmtId="0" fontId="35" fillId="36" borderId="58" xfId="0" applyFont="1" applyFill="1" applyBorder="1" applyAlignment="1">
      <alignment horizontal="center" wrapText="1"/>
    </xf>
    <xf numFmtId="0" fontId="10" fillId="37" borderId="13" xfId="0" applyFont="1" applyFill="1" applyBorder="1" applyAlignment="1">
      <alignment wrapText="1"/>
    </xf>
    <xf numFmtId="0" fontId="58" fillId="37" borderId="13" xfId="0" applyFont="1" applyFill="1" applyBorder="1" applyAlignment="1">
      <alignment wrapText="1"/>
    </xf>
    <xf numFmtId="0" fontId="10" fillId="37" borderId="58" xfId="0" applyFont="1" applyFill="1" applyBorder="1" applyAlignment="1">
      <alignment wrapText="1"/>
    </xf>
    <xf numFmtId="167" fontId="10" fillId="31" borderId="13" xfId="0" applyNumberFormat="1" applyFont="1" applyFill="1" applyBorder="1" applyAlignment="1">
      <alignment wrapText="1"/>
    </xf>
    <xf numFmtId="167" fontId="10" fillId="37" borderId="13" xfId="0" applyNumberFormat="1" applyFont="1" applyFill="1" applyBorder="1" applyAlignment="1">
      <alignment wrapText="1"/>
    </xf>
    <xf numFmtId="174" fontId="10" fillId="0" borderId="0" xfId="44" applyNumberFormat="1" applyFont="1" applyAlignment="1">
      <alignment wrapText="1"/>
    </xf>
    <xf numFmtId="0" fontId="10" fillId="31" borderId="58" xfId="0" quotePrefix="1" applyFont="1" applyFill="1" applyBorder="1" applyAlignment="1">
      <alignment wrapText="1"/>
    </xf>
    <xf numFmtId="0" fontId="35" fillId="25" borderId="57" xfId="0" applyFont="1" applyFill="1" applyBorder="1" applyAlignment="1">
      <alignment horizontal="center" wrapText="1"/>
    </xf>
    <xf numFmtId="0" fontId="35" fillId="25" borderId="57" xfId="0" applyFont="1" applyFill="1" applyBorder="1" applyAlignment="1">
      <alignment horizontal="left" wrapText="1"/>
    </xf>
    <xf numFmtId="0" fontId="10" fillId="31" borderId="57" xfId="0" applyFont="1" applyFill="1" applyBorder="1" applyAlignment="1">
      <alignment wrapText="1"/>
    </xf>
    <xf numFmtId="0" fontId="10" fillId="37" borderId="57" xfId="0" applyFont="1" applyFill="1" applyBorder="1" applyAlignment="1">
      <alignment wrapText="1"/>
    </xf>
    <xf numFmtId="0" fontId="10" fillId="32" borderId="57" xfId="0" applyFont="1" applyFill="1" applyBorder="1" applyAlignment="1">
      <alignment wrapText="1"/>
    </xf>
    <xf numFmtId="0" fontId="10" fillId="0" borderId="0" xfId="0" applyFont="1" applyBorder="1" applyAlignment="1">
      <alignment wrapText="1"/>
    </xf>
    <xf numFmtId="0" fontId="91" fillId="26" borderId="79" xfId="0" applyFont="1" applyFill="1" applyBorder="1"/>
    <xf numFmtId="0" fontId="0" fillId="26" borderId="79" xfId="0" applyFill="1" applyBorder="1"/>
    <xf numFmtId="0" fontId="8" fillId="26" borderId="79" xfId="0" applyFont="1" applyFill="1" applyBorder="1" applyAlignment="1">
      <alignment horizontal="center"/>
    </xf>
    <xf numFmtId="0" fontId="6" fillId="25" borderId="14" xfId="0" applyFont="1" applyFill="1" applyBorder="1" applyAlignment="1" applyProtection="1">
      <alignment vertical="center"/>
    </xf>
    <xf numFmtId="0" fontId="35" fillId="25" borderId="16" xfId="0" applyFont="1" applyFill="1" applyBorder="1" applyAlignment="1">
      <alignment horizontal="center" wrapText="1"/>
    </xf>
    <xf numFmtId="0" fontId="35" fillId="25" borderId="16" xfId="0" applyFont="1" applyFill="1" applyBorder="1" applyAlignment="1">
      <alignment horizontal="left" wrapText="1"/>
    </xf>
    <xf numFmtId="0" fontId="10" fillId="31" borderId="16" xfId="0" applyFont="1" applyFill="1" applyBorder="1" applyAlignment="1">
      <alignment wrapText="1"/>
    </xf>
    <xf numFmtId="0" fontId="10" fillId="37" borderId="16" xfId="0" applyFont="1" applyFill="1" applyBorder="1" applyAlignment="1">
      <alignment wrapText="1"/>
    </xf>
    <xf numFmtId="0" fontId="10" fillId="32" borderId="16" xfId="0" applyFont="1" applyFill="1" applyBorder="1" applyAlignment="1">
      <alignment wrapText="1"/>
    </xf>
    <xf numFmtId="0" fontId="35" fillId="25" borderId="40" xfId="0" applyFont="1" applyFill="1" applyBorder="1" applyAlignment="1">
      <alignment horizontal="center" wrapText="1"/>
    </xf>
    <xf numFmtId="0" fontId="3" fillId="25" borderId="26" xfId="0" applyFont="1" applyFill="1" applyBorder="1" applyAlignment="1">
      <alignment horizontal="left"/>
    </xf>
    <xf numFmtId="0" fontId="2" fillId="25" borderId="15" xfId="0" applyFont="1" applyFill="1" applyBorder="1" applyProtection="1"/>
    <xf numFmtId="0" fontId="26" fillId="25" borderId="12" xfId="0" applyFont="1" applyFill="1" applyBorder="1" applyProtection="1"/>
    <xf numFmtId="0" fontId="32" fillId="36" borderId="58" xfId="0" applyFont="1" applyFill="1" applyBorder="1" applyAlignment="1">
      <alignment horizontal="center" wrapText="1"/>
    </xf>
    <xf numFmtId="0" fontId="35" fillId="36" borderId="13" xfId="0" applyFont="1" applyFill="1" applyBorder="1" applyAlignment="1">
      <alignment horizontal="center" wrapText="1"/>
    </xf>
    <xf numFmtId="0" fontId="57" fillId="36" borderId="13" xfId="0" applyFont="1" applyFill="1" applyBorder="1" applyAlignment="1">
      <alignment horizontal="center" wrapText="1"/>
    </xf>
    <xf numFmtId="0" fontId="35" fillId="36" borderId="57" xfId="0" applyFont="1" applyFill="1" applyBorder="1" applyAlignment="1">
      <alignment horizontal="center" wrapText="1"/>
    </xf>
    <xf numFmtId="0" fontId="35" fillId="36" borderId="16" xfId="0" applyFont="1" applyFill="1" applyBorder="1" applyAlignment="1">
      <alignment horizontal="center" wrapText="1"/>
    </xf>
    <xf numFmtId="0" fontId="11" fillId="42" borderId="0" xfId="0" applyFont="1" applyFill="1" applyAlignment="1" applyProtection="1">
      <alignment horizontal="left" wrapText="1"/>
      <protection locked="0"/>
    </xf>
    <xf numFmtId="14" fontId="0" fillId="0" borderId="0" xfId="0" applyNumberFormat="1" applyFill="1" applyBorder="1"/>
    <xf numFmtId="0" fontId="0" fillId="0" borderId="0" xfId="0" applyFill="1" applyBorder="1" applyAlignment="1">
      <alignment horizontal="center"/>
    </xf>
    <xf numFmtId="14" fontId="0" fillId="0" borderId="0" xfId="0" applyNumberFormat="1" applyBorder="1"/>
    <xf numFmtId="0" fontId="0" fillId="0" borderId="0" xfId="0" applyBorder="1" applyAlignment="1">
      <alignment horizontal="center"/>
    </xf>
    <xf numFmtId="0" fontId="0" fillId="0" borderId="0" xfId="0" applyFont="1" applyFill="1" applyBorder="1"/>
    <xf numFmtId="0" fontId="3" fillId="0" borderId="0" xfId="0" applyFont="1" applyFill="1" applyBorder="1"/>
    <xf numFmtId="14" fontId="3" fillId="0" borderId="0" xfId="0" applyNumberFormat="1" applyFont="1" applyFill="1" applyBorder="1"/>
    <xf numFmtId="0" fontId="77" fillId="0" borderId="0" xfId="0" applyFont="1" applyFill="1"/>
    <xf numFmtId="0" fontId="19" fillId="0" borderId="0" xfId="0" applyFont="1" applyFill="1" applyAlignment="1">
      <alignment wrapText="1"/>
    </xf>
    <xf numFmtId="0" fontId="19" fillId="0" borderId="0" xfId="0" applyFont="1" applyFill="1" applyBorder="1" applyAlignment="1">
      <alignment horizontal="center" wrapText="1"/>
    </xf>
    <xf numFmtId="0" fontId="0" fillId="0" borderId="0" xfId="0" applyFont="1" applyFill="1" applyBorder="1" applyAlignment="1">
      <alignment horizontal="center"/>
    </xf>
    <xf numFmtId="0" fontId="3" fillId="0" borderId="0" xfId="0" applyFont="1" applyFill="1" applyAlignment="1">
      <alignment horizontal="center"/>
    </xf>
    <xf numFmtId="0" fontId="2" fillId="0" borderId="0" xfId="0" applyFont="1" applyFill="1" applyAlignment="1">
      <alignment wrapText="1"/>
    </xf>
    <xf numFmtId="0" fontId="3" fillId="0" borderId="0" xfId="0" applyFont="1" applyAlignment="1">
      <alignment horizontal="left"/>
    </xf>
    <xf numFmtId="0" fontId="0" fillId="0" borderId="0" xfId="0" applyAlignment="1">
      <alignment horizontal="left"/>
    </xf>
    <xf numFmtId="3" fontId="0" fillId="0" borderId="0" xfId="0" applyNumberFormat="1" applyAlignment="1">
      <alignment horizontal="left"/>
    </xf>
    <xf numFmtId="0" fontId="0" fillId="0" borderId="18" xfId="0" applyBorder="1" applyAlignment="1">
      <alignment horizontal="left"/>
    </xf>
    <xf numFmtId="0" fontId="0" fillId="0" borderId="18" xfId="0" applyBorder="1"/>
    <xf numFmtId="4" fontId="0" fillId="0" borderId="0" xfId="0" applyNumberFormat="1" applyAlignment="1">
      <alignment horizontal="left"/>
    </xf>
    <xf numFmtId="2" fontId="0" fillId="0" borderId="0" xfId="0" applyNumberFormat="1" applyAlignment="1">
      <alignment horizontal="left"/>
    </xf>
    <xf numFmtId="0" fontId="26" fillId="25" borderId="12" xfId="0" applyFont="1" applyFill="1" applyBorder="1" applyAlignment="1" applyProtection="1">
      <alignment horizontal="center"/>
    </xf>
    <xf numFmtId="0" fontId="0" fillId="25" borderId="29" xfId="0" applyFill="1" applyBorder="1" applyAlignment="1">
      <alignment horizontal="center"/>
    </xf>
    <xf numFmtId="0" fontId="10" fillId="25" borderId="29" xfId="0" applyFont="1" applyFill="1" applyBorder="1" applyAlignment="1" applyProtection="1">
      <alignment horizontal="center"/>
    </xf>
    <xf numFmtId="0" fontId="10" fillId="25" borderId="26" xfId="0" applyFont="1" applyFill="1" applyBorder="1" applyAlignment="1" applyProtection="1">
      <alignment horizontal="center"/>
    </xf>
    <xf numFmtId="0" fontId="10" fillId="25" borderId="0" xfId="0" applyFont="1" applyFill="1" applyBorder="1" applyAlignment="1" applyProtection="1">
      <alignment horizontal="center"/>
    </xf>
    <xf numFmtId="0" fontId="10" fillId="26" borderId="11" xfId="0" quotePrefix="1" applyFont="1" applyFill="1" applyBorder="1" applyAlignment="1" applyProtection="1">
      <alignment horizontal="center"/>
    </xf>
    <xf numFmtId="0" fontId="10" fillId="26" borderId="79" xfId="0" quotePrefix="1" applyFont="1" applyFill="1" applyBorder="1" applyAlignment="1" applyProtection="1">
      <alignment horizontal="center"/>
    </xf>
    <xf numFmtId="0" fontId="10" fillId="26" borderId="27" xfId="0" quotePrefix="1" applyFont="1" applyFill="1" applyBorder="1" applyAlignment="1" applyProtection="1">
      <alignment horizontal="center"/>
    </xf>
    <xf numFmtId="0" fontId="10" fillId="25" borderId="30" xfId="0" applyFont="1" applyFill="1" applyBorder="1" applyAlignment="1" applyProtection="1">
      <alignment horizontal="center"/>
    </xf>
    <xf numFmtId="0" fontId="0" fillId="25" borderId="20" xfId="0" applyFill="1" applyBorder="1" applyAlignment="1">
      <alignment horizontal="center"/>
    </xf>
    <xf numFmtId="0" fontId="0" fillId="25" borderId="14" xfId="0" applyFill="1" applyBorder="1" applyAlignment="1">
      <alignment horizontal="center"/>
    </xf>
    <xf numFmtId="0" fontId="10" fillId="36" borderId="60" xfId="0" applyFont="1" applyFill="1" applyBorder="1" applyAlignment="1" applyProtection="1">
      <alignment horizontal="right"/>
    </xf>
    <xf numFmtId="0" fontId="6" fillId="35" borderId="61" xfId="0" applyFont="1" applyFill="1" applyBorder="1" applyAlignment="1" applyProtection="1">
      <alignment horizontal="center"/>
      <protection locked="0"/>
    </xf>
    <xf numFmtId="0" fontId="10" fillId="25" borderId="0" xfId="0" applyFont="1" applyFill="1" applyProtection="1">
      <protection locked="0"/>
    </xf>
    <xf numFmtId="0" fontId="0" fillId="39" borderId="30" xfId="0" applyFill="1" applyBorder="1" applyAlignment="1">
      <alignment horizontal="center"/>
    </xf>
    <xf numFmtId="0" fontId="98" fillId="25" borderId="26" xfId="0" applyFont="1" applyFill="1" applyBorder="1" applyAlignment="1">
      <alignment horizontal="left"/>
    </xf>
    <xf numFmtId="0" fontId="98" fillId="25" borderId="26" xfId="0" applyFont="1" applyFill="1" applyBorder="1" applyAlignment="1">
      <alignment horizontal="center"/>
    </xf>
    <xf numFmtId="0" fontId="0" fillId="25" borderId="27" xfId="0" applyFill="1" applyBorder="1" applyAlignment="1">
      <alignment horizontal="left"/>
    </xf>
    <xf numFmtId="0" fontId="8" fillId="33" borderId="26" xfId="0" quotePrefix="1" applyFont="1" applyFill="1" applyBorder="1" applyAlignment="1">
      <alignment horizontal="left"/>
    </xf>
    <xf numFmtId="0" fontId="0" fillId="0" borderId="0" xfId="0" quotePrefix="1" applyFill="1" applyBorder="1" applyAlignment="1">
      <alignment horizontal="center"/>
    </xf>
    <xf numFmtId="0" fontId="16" fillId="25" borderId="15" xfId="0" applyFont="1" applyFill="1" applyBorder="1" applyAlignment="1" applyProtection="1">
      <alignment vertical="center"/>
    </xf>
    <xf numFmtId="0" fontId="32" fillId="25" borderId="20" xfId="0" applyFont="1" applyFill="1" applyBorder="1" applyAlignment="1" applyProtection="1">
      <alignment horizontal="left" vertical="center"/>
    </xf>
    <xf numFmtId="22" fontId="17" fillId="25" borderId="0" xfId="0" applyNumberFormat="1" applyFont="1" applyFill="1" applyAlignment="1" applyProtection="1">
      <alignment horizontal="left"/>
    </xf>
    <xf numFmtId="0" fontId="90" fillId="41" borderId="11" xfId="0" applyFont="1" applyFill="1" applyBorder="1" applyAlignment="1">
      <alignment horizontal="center"/>
    </xf>
    <xf numFmtId="0" fontId="6" fillId="36" borderId="61" xfId="0" applyFont="1" applyFill="1" applyBorder="1" applyAlignment="1" applyProtection="1">
      <alignment horizontal="center"/>
      <protection locked="0"/>
    </xf>
    <xf numFmtId="170" fontId="10" fillId="25" borderId="18" xfId="0" applyNumberFormat="1" applyFont="1" applyFill="1" applyBorder="1" applyProtection="1"/>
    <xf numFmtId="0" fontId="16" fillId="25" borderId="79" xfId="0" applyFont="1" applyFill="1" applyBorder="1" applyAlignment="1" applyProtection="1">
      <alignment vertical="center"/>
    </xf>
    <xf numFmtId="0" fontId="10" fillId="25" borderId="79" xfId="0" applyFont="1" applyFill="1" applyBorder="1" applyAlignment="1" applyProtection="1">
      <alignment horizontal="left" vertical="center"/>
    </xf>
    <xf numFmtId="0" fontId="10" fillId="25" borderId="79" xfId="0" applyFont="1" applyFill="1" applyBorder="1" applyAlignment="1" applyProtection="1">
      <alignment horizontal="right" vertical="center"/>
    </xf>
    <xf numFmtId="0" fontId="10" fillId="25" borderId="79" xfId="0" applyFont="1" applyFill="1" applyBorder="1" applyAlignment="1" applyProtection="1">
      <alignment horizontal="center" vertical="center"/>
    </xf>
    <xf numFmtId="0" fontId="6" fillId="25" borderId="79" xfId="0" applyFont="1" applyFill="1" applyBorder="1" applyAlignment="1" applyProtection="1">
      <alignment vertical="center"/>
    </xf>
    <xf numFmtId="0" fontId="6" fillId="36" borderId="79" xfId="33" applyNumberFormat="1" applyFont="1" applyFill="1" applyBorder="1" applyAlignment="1" applyProtection="1">
      <alignment horizontal="right" vertical="center"/>
    </xf>
    <xf numFmtId="170" fontId="10" fillId="25" borderId="79" xfId="0" applyNumberFormat="1" applyFont="1" applyFill="1" applyBorder="1" applyProtection="1"/>
    <xf numFmtId="170" fontId="10" fillId="25" borderId="11" xfId="0" applyNumberFormat="1" applyFont="1" applyFill="1" applyBorder="1" applyProtection="1"/>
    <xf numFmtId="170" fontId="10" fillId="25" borderId="19" xfId="0" applyNumberFormat="1" applyFont="1" applyFill="1" applyBorder="1" applyProtection="1"/>
    <xf numFmtId="170" fontId="10" fillId="25" borderId="79" xfId="0" applyNumberFormat="1" applyFont="1" applyFill="1" applyBorder="1" applyAlignment="1" applyProtection="1">
      <alignment vertical="center"/>
    </xf>
    <xf numFmtId="170" fontId="10" fillId="25" borderId="18" xfId="0" applyNumberFormat="1" applyFont="1" applyFill="1" applyBorder="1" applyAlignment="1" applyProtection="1">
      <alignment vertical="center"/>
    </xf>
    <xf numFmtId="164" fontId="6" fillId="25" borderId="54" xfId="0" applyNumberFormat="1" applyFont="1" applyFill="1" applyBorder="1" applyAlignment="1" applyProtection="1">
      <alignment horizontal="center" vertical="center"/>
    </xf>
    <xf numFmtId="0" fontId="0" fillId="25" borderId="12" xfId="0" applyFill="1" applyBorder="1" applyAlignment="1">
      <alignment horizontal="right"/>
    </xf>
    <xf numFmtId="0" fontId="3" fillId="25" borderId="0" xfId="0" applyFont="1" applyFill="1" applyAlignment="1">
      <alignment horizontal="right"/>
    </xf>
    <xf numFmtId="0" fontId="90" fillId="41" borderId="19" xfId="0" applyFont="1" applyFill="1" applyBorder="1" applyAlignment="1">
      <alignment horizontal="center"/>
    </xf>
    <xf numFmtId="0" fontId="90" fillId="41" borderId="27" xfId="0" applyFont="1" applyFill="1" applyBorder="1" applyAlignment="1">
      <alignment horizontal="center"/>
    </xf>
    <xf numFmtId="0" fontId="90" fillId="41" borderId="30" xfId="0" applyFont="1" applyFill="1" applyBorder="1" applyAlignment="1">
      <alignment horizontal="center"/>
    </xf>
    <xf numFmtId="167" fontId="11" fillId="25" borderId="67" xfId="0" applyNumberFormat="1" applyFont="1" applyFill="1" applyBorder="1" applyAlignment="1" applyProtection="1">
      <alignment vertical="center"/>
    </xf>
    <xf numFmtId="167" fontId="102" fillId="25" borderId="18" xfId="0" applyNumberFormat="1" applyFont="1" applyFill="1" applyBorder="1" applyAlignment="1" applyProtection="1">
      <alignment vertical="center"/>
    </xf>
    <xf numFmtId="0" fontId="102" fillId="25" borderId="18" xfId="0" applyFont="1" applyFill="1" applyBorder="1" applyAlignment="1" applyProtection="1">
      <alignment vertical="center"/>
    </xf>
    <xf numFmtId="0" fontId="3" fillId="0" borderId="0" xfId="0" quotePrefix="1" applyFont="1" applyFill="1" applyBorder="1" applyAlignment="1">
      <alignment horizontal="center"/>
    </xf>
    <xf numFmtId="0" fontId="6" fillId="25" borderId="61" xfId="0" applyFont="1" applyFill="1" applyBorder="1" applyAlignment="1" applyProtection="1">
      <alignment vertical="center"/>
    </xf>
    <xf numFmtId="0" fontId="10" fillId="25" borderId="13" xfId="0" applyFont="1" applyFill="1" applyBorder="1" applyAlignment="1" applyProtection="1">
      <alignment horizontal="center"/>
    </xf>
    <xf numFmtId="0" fontId="10" fillId="25" borderId="31" xfId="0" applyFont="1" applyFill="1" applyBorder="1" applyProtection="1"/>
    <xf numFmtId="0" fontId="10" fillId="36" borderId="13" xfId="0" applyFont="1" applyFill="1" applyBorder="1" applyAlignment="1" applyProtection="1">
      <alignment horizontal="center" vertical="center"/>
      <protection locked="0"/>
    </xf>
    <xf numFmtId="0" fontId="6" fillId="25" borderId="22" xfId="0" applyFont="1" applyFill="1" applyBorder="1" applyAlignment="1" applyProtection="1">
      <alignment vertical="center"/>
    </xf>
    <xf numFmtId="0" fontId="10" fillId="25" borderId="79" xfId="0" applyFont="1" applyFill="1" applyBorder="1" applyProtection="1"/>
    <xf numFmtId="0" fontId="17" fillId="25" borderId="67" xfId="0" applyFont="1" applyFill="1" applyBorder="1" applyAlignment="1" applyProtection="1">
      <alignment horizontal="left" vertical="center"/>
    </xf>
    <xf numFmtId="0" fontId="17" fillId="25" borderId="18" xfId="0" applyFont="1" applyFill="1" applyBorder="1" applyAlignment="1" applyProtection="1">
      <alignment horizontal="left" vertical="center"/>
    </xf>
    <xf numFmtId="0" fontId="17" fillId="25" borderId="68" xfId="0" applyFont="1" applyFill="1" applyBorder="1" applyAlignment="1" applyProtection="1">
      <alignment horizontal="left" vertical="center"/>
    </xf>
    <xf numFmtId="0" fontId="10" fillId="25" borderId="44" xfId="0" applyFont="1" applyFill="1" applyBorder="1" applyAlignment="1" applyProtection="1">
      <alignment horizontal="right" vertical="center"/>
    </xf>
    <xf numFmtId="0" fontId="17" fillId="25" borderId="67" xfId="0" applyFont="1" applyFill="1" applyBorder="1" applyAlignment="1" applyProtection="1">
      <alignment horizontal="center" vertical="center"/>
    </xf>
    <xf numFmtId="0" fontId="81" fillId="25" borderId="66" xfId="0" applyFont="1" applyFill="1" applyBorder="1" applyAlignment="1" applyProtection="1">
      <alignment vertical="center"/>
    </xf>
    <xf numFmtId="0" fontId="10" fillId="36" borderId="47" xfId="0" applyFont="1" applyFill="1" applyBorder="1" applyAlignment="1" applyProtection="1">
      <alignment horizontal="right"/>
    </xf>
    <xf numFmtId="22" fontId="17" fillId="25" borderId="0" xfId="0" applyNumberFormat="1" applyFont="1" applyFill="1" applyAlignment="1" applyProtection="1">
      <alignment horizontal="left"/>
    </xf>
    <xf numFmtId="0" fontId="3" fillId="25" borderId="0" xfId="0" applyFont="1" applyFill="1" applyAlignment="1">
      <alignment vertical="top"/>
    </xf>
    <xf numFmtId="0" fontId="42" fillId="25" borderId="0" xfId="0" applyFont="1" applyFill="1" applyAlignment="1">
      <alignment horizontal="right" vertical="top"/>
    </xf>
    <xf numFmtId="0" fontId="5" fillId="25" borderId="0" xfId="0" applyFont="1" applyFill="1" applyAlignment="1">
      <alignment vertical="top"/>
    </xf>
    <xf numFmtId="0" fontId="3" fillId="25" borderId="0" xfId="33" applyNumberFormat="1" applyFont="1" applyFill="1"/>
    <xf numFmtId="0" fontId="10" fillId="25" borderId="0" xfId="0" applyFont="1" applyFill="1" applyAlignment="1">
      <alignment vertical="top"/>
    </xf>
    <xf numFmtId="0" fontId="10" fillId="25" borderId="0" xfId="0" applyFont="1" applyFill="1" applyAlignment="1">
      <alignment horizontal="left" vertical="top" wrapText="1"/>
    </xf>
    <xf numFmtId="0" fontId="10" fillId="25" borderId="0" xfId="0" applyFont="1" applyFill="1" applyBorder="1" applyAlignment="1">
      <alignment horizontal="left" vertical="top"/>
    </xf>
    <xf numFmtId="0" fontId="3" fillId="25" borderId="0" xfId="0" applyFont="1" applyFill="1" applyBorder="1" applyAlignment="1">
      <alignment horizontal="left" vertical="top"/>
    </xf>
    <xf numFmtId="0" fontId="10" fillId="25" borderId="29" xfId="0" applyFont="1" applyFill="1" applyBorder="1" applyAlignment="1">
      <alignment vertical="top"/>
    </xf>
    <xf numFmtId="0" fontId="10" fillId="25" borderId="26" xfId="0" applyFont="1" applyFill="1" applyBorder="1" applyAlignment="1">
      <alignment vertical="top"/>
    </xf>
    <xf numFmtId="0" fontId="10" fillId="25" borderId="19" xfId="0" applyFont="1" applyFill="1" applyBorder="1" applyAlignment="1">
      <alignment vertical="top"/>
    </xf>
    <xf numFmtId="0" fontId="10" fillId="25" borderId="30" xfId="0" applyFont="1" applyFill="1" applyBorder="1" applyAlignment="1">
      <alignment vertical="top"/>
    </xf>
    <xf numFmtId="0" fontId="10" fillId="44" borderId="79" xfId="0" applyFont="1" applyFill="1" applyBorder="1" applyAlignment="1">
      <alignment vertical="top"/>
    </xf>
    <xf numFmtId="0" fontId="10" fillId="25" borderId="20" xfId="0" applyFont="1" applyFill="1" applyBorder="1" applyAlignment="1" applyProtection="1">
      <alignment vertical="center"/>
    </xf>
    <xf numFmtId="0" fontId="10" fillId="25" borderId="14" xfId="0" applyFont="1" applyFill="1" applyBorder="1" applyAlignment="1">
      <alignment vertical="center"/>
    </xf>
    <xf numFmtId="0" fontId="11" fillId="25" borderId="21" xfId="0" applyFont="1" applyFill="1" applyBorder="1" applyAlignment="1">
      <alignment horizontal="center" vertical="center"/>
    </xf>
    <xf numFmtId="0" fontId="11" fillId="25" borderId="82" xfId="0" applyFont="1" applyFill="1" applyBorder="1" applyAlignment="1">
      <alignment horizontal="center" vertical="center"/>
    </xf>
    <xf numFmtId="0" fontId="10" fillId="25" borderId="83" xfId="0" applyFont="1" applyFill="1" applyBorder="1" applyAlignment="1">
      <alignment horizontal="left" vertical="top" wrapText="1"/>
    </xf>
    <xf numFmtId="0" fontId="25" fillId="25" borderId="70" xfId="0" applyFont="1" applyFill="1" applyBorder="1" applyAlignment="1">
      <alignment vertical="center"/>
    </xf>
    <xf numFmtId="0" fontId="10" fillId="25" borderId="33" xfId="0" applyFont="1" applyFill="1" applyBorder="1" applyAlignment="1">
      <alignment horizontal="center" vertical="top"/>
    </xf>
    <xf numFmtId="0" fontId="10" fillId="25" borderId="84" xfId="0" applyFont="1" applyFill="1" applyBorder="1" applyAlignment="1">
      <alignment horizontal="center" vertical="top"/>
    </xf>
    <xf numFmtId="0" fontId="10" fillId="25" borderId="73" xfId="0" applyFont="1" applyFill="1" applyBorder="1" applyAlignment="1">
      <alignment vertical="top"/>
    </xf>
    <xf numFmtId="0" fontId="10" fillId="25" borderId="42" xfId="0" applyFont="1" applyFill="1" applyBorder="1" applyAlignment="1">
      <alignment vertical="top"/>
    </xf>
    <xf numFmtId="0" fontId="10" fillId="25" borderId="85" xfId="0" applyFont="1" applyFill="1" applyBorder="1" applyAlignment="1">
      <alignment vertical="top"/>
    </xf>
    <xf numFmtId="0" fontId="10" fillId="25" borderId="88" xfId="0" applyFont="1" applyFill="1" applyBorder="1" applyAlignment="1">
      <alignment horizontal="left" vertical="top" wrapText="1"/>
    </xf>
    <xf numFmtId="0" fontId="10" fillId="25" borderId="28" xfId="0" applyFont="1" applyFill="1" applyBorder="1" applyAlignment="1">
      <alignment vertical="top"/>
    </xf>
    <xf numFmtId="0" fontId="10" fillId="25" borderId="0" xfId="0" applyFont="1" applyFill="1" applyBorder="1" applyAlignment="1">
      <alignment vertical="top"/>
    </xf>
    <xf numFmtId="0" fontId="10" fillId="25" borderId="75" xfId="0" applyFont="1" applyFill="1" applyBorder="1" applyAlignment="1">
      <alignment vertical="top"/>
    </xf>
    <xf numFmtId="0" fontId="10" fillId="25" borderId="35" xfId="0" applyFont="1" applyFill="1" applyBorder="1" applyAlignment="1">
      <alignment vertical="top"/>
    </xf>
    <xf numFmtId="0" fontId="10" fillId="25" borderId="89" xfId="0" applyFont="1" applyFill="1" applyBorder="1" applyAlignment="1">
      <alignment vertical="top"/>
    </xf>
    <xf numFmtId="0" fontId="10" fillId="25" borderId="58" xfId="0" applyFont="1" applyFill="1" applyBorder="1" applyAlignment="1" applyProtection="1">
      <alignment horizontal="center" vertical="center"/>
      <protection locked="0"/>
    </xf>
    <xf numFmtId="0" fontId="10" fillId="25" borderId="90" xfId="0" applyFont="1" applyFill="1" applyBorder="1" applyAlignment="1" applyProtection="1">
      <alignment horizontal="center" vertical="center"/>
      <protection locked="0"/>
    </xf>
    <xf numFmtId="0" fontId="10" fillId="25" borderId="13" xfId="0" applyFont="1" applyFill="1" applyBorder="1" applyAlignment="1" applyProtection="1">
      <alignment horizontal="center" vertical="center"/>
      <protection locked="0"/>
    </xf>
    <xf numFmtId="0" fontId="10" fillId="25" borderId="91" xfId="0" applyFont="1" applyFill="1" applyBorder="1" applyAlignment="1" applyProtection="1">
      <alignment horizontal="center" vertical="center"/>
      <protection locked="0"/>
    </xf>
    <xf numFmtId="0" fontId="10" fillId="25" borderId="30" xfId="0" applyFont="1" applyFill="1" applyBorder="1" applyAlignment="1">
      <alignment horizontal="left" vertical="top" wrapText="1"/>
    </xf>
    <xf numFmtId="0" fontId="10" fillId="25" borderId="20" xfId="0" applyFont="1" applyFill="1" applyBorder="1" applyAlignment="1">
      <alignment vertical="top"/>
    </xf>
    <xf numFmtId="0" fontId="10" fillId="25" borderId="14" xfId="0" applyFont="1" applyFill="1" applyBorder="1" applyAlignment="1">
      <alignment vertical="top"/>
    </xf>
    <xf numFmtId="0" fontId="10" fillId="25" borderId="22" xfId="0" applyFont="1" applyFill="1" applyBorder="1" applyAlignment="1">
      <alignment vertical="top"/>
    </xf>
    <xf numFmtId="0" fontId="10" fillId="0" borderId="74" xfId="0" applyFont="1" applyBorder="1" applyAlignment="1">
      <alignment vertical="top"/>
    </xf>
    <xf numFmtId="0" fontId="10" fillId="0" borderId="21" xfId="0" applyFont="1" applyBorder="1" applyAlignment="1">
      <alignment vertical="top"/>
    </xf>
    <xf numFmtId="0" fontId="10" fillId="25" borderId="0" xfId="0" applyFont="1" applyFill="1" applyAlignment="1">
      <alignment horizontal="left" vertical="top"/>
    </xf>
    <xf numFmtId="0" fontId="11" fillId="25" borderId="0" xfId="0" applyFont="1" applyFill="1" applyAlignment="1">
      <alignment vertical="top"/>
    </xf>
    <xf numFmtId="0" fontId="6" fillId="25" borderId="74" xfId="0" applyFont="1" applyFill="1" applyBorder="1" applyAlignment="1">
      <alignment horizontal="center" vertical="center" wrapText="1"/>
    </xf>
    <xf numFmtId="0" fontId="10" fillId="25" borderId="83" xfId="0" applyFont="1" applyFill="1" applyBorder="1" applyAlignment="1">
      <alignment vertical="top"/>
    </xf>
    <xf numFmtId="0" fontId="10" fillId="25" borderId="79" xfId="0" applyFont="1" applyFill="1" applyBorder="1" applyAlignment="1">
      <alignment vertical="top"/>
    </xf>
    <xf numFmtId="0" fontId="10" fillId="25" borderId="23" xfId="0" quotePrefix="1" applyFont="1" applyFill="1" applyBorder="1" applyAlignment="1">
      <alignment horizontal="center" vertical="center"/>
    </xf>
    <xf numFmtId="0" fontId="10" fillId="25" borderId="23" xfId="0" quotePrefix="1" applyFont="1" applyFill="1" applyBorder="1" applyAlignment="1">
      <alignment horizontal="center" vertical="top"/>
    </xf>
    <xf numFmtId="0" fontId="10" fillId="25" borderId="17" xfId="0" applyFont="1" applyFill="1" applyBorder="1" applyAlignment="1">
      <alignment vertical="top"/>
    </xf>
    <xf numFmtId="0" fontId="10" fillId="25" borderId="18" xfId="0" applyFont="1" applyFill="1" applyBorder="1" applyAlignment="1">
      <alignment vertical="top"/>
    </xf>
    <xf numFmtId="0" fontId="6" fillId="25" borderId="28" xfId="0" applyFont="1" applyFill="1" applyBorder="1" applyAlignment="1">
      <alignment horizontal="left" vertical="center"/>
    </xf>
    <xf numFmtId="0" fontId="10" fillId="25" borderId="0" xfId="0" applyFont="1" applyFill="1" applyBorder="1" applyAlignment="1">
      <alignment vertical="center"/>
    </xf>
    <xf numFmtId="0" fontId="10" fillId="25" borderId="92" xfId="0" applyFont="1" applyFill="1" applyBorder="1" applyAlignment="1">
      <alignment vertical="top"/>
    </xf>
    <xf numFmtId="0" fontId="10" fillId="25" borderId="16" xfId="0" applyFont="1" applyFill="1" applyBorder="1" applyAlignment="1" applyProtection="1">
      <alignment horizontal="center" vertical="center"/>
      <protection locked="0"/>
    </xf>
    <xf numFmtId="0" fontId="10" fillId="25" borderId="93" xfId="0" applyFont="1" applyFill="1" applyBorder="1" applyAlignment="1" applyProtection="1">
      <alignment horizontal="center" vertical="center"/>
      <protection locked="0"/>
    </xf>
    <xf numFmtId="0" fontId="10" fillId="25" borderId="94" xfId="0" applyFont="1" applyFill="1" applyBorder="1" applyAlignment="1">
      <alignment vertical="top"/>
    </xf>
    <xf numFmtId="0" fontId="3" fillId="25" borderId="22" xfId="0" applyFont="1" applyFill="1" applyBorder="1" applyAlignment="1">
      <alignment horizontal="center" vertical="top"/>
    </xf>
    <xf numFmtId="0" fontId="11" fillId="45" borderId="21" xfId="0" applyFont="1" applyFill="1" applyBorder="1" applyAlignment="1">
      <alignment horizontal="center" vertical="center"/>
    </xf>
    <xf numFmtId="0" fontId="11" fillId="45" borderId="82" xfId="0" applyFont="1" applyFill="1" applyBorder="1" applyAlignment="1">
      <alignment horizontal="center" vertical="center"/>
    </xf>
    <xf numFmtId="0" fontId="10" fillId="25" borderId="12" xfId="0" applyFont="1" applyFill="1" applyBorder="1" applyAlignment="1">
      <alignment vertical="top"/>
    </xf>
    <xf numFmtId="0" fontId="3" fillId="25" borderId="12" xfId="0" applyFont="1" applyFill="1" applyBorder="1" applyAlignment="1">
      <alignment horizontal="center" vertical="top"/>
    </xf>
    <xf numFmtId="0" fontId="2" fillId="25" borderId="0" xfId="0" applyFont="1" applyFill="1"/>
    <xf numFmtId="0" fontId="6" fillId="25" borderId="0" xfId="0" applyFont="1" applyFill="1" applyAlignment="1">
      <alignment vertical="top"/>
    </xf>
    <xf numFmtId="0" fontId="6" fillId="29" borderId="58" xfId="0" applyNumberFormat="1" applyFont="1" applyFill="1" applyBorder="1" applyAlignment="1" applyProtection="1">
      <alignment horizontal="center" vertical="center"/>
      <protection locked="0"/>
    </xf>
    <xf numFmtId="0" fontId="10" fillId="25" borderId="71" xfId="0" applyFont="1" applyFill="1" applyBorder="1" applyProtection="1"/>
    <xf numFmtId="0" fontId="10" fillId="25" borderId="32" xfId="0" applyFont="1" applyFill="1" applyBorder="1" applyProtection="1"/>
    <xf numFmtId="0" fontId="10" fillId="25" borderId="13" xfId="0" applyFont="1" applyFill="1" applyBorder="1" applyProtection="1"/>
    <xf numFmtId="0" fontId="6" fillId="25" borderId="44" xfId="0" applyFont="1" applyFill="1" applyBorder="1" applyAlignment="1" applyProtection="1">
      <alignment horizontal="center" vertical="center"/>
    </xf>
    <xf numFmtId="166" fontId="6" fillId="24" borderId="44" xfId="0" applyNumberFormat="1" applyFont="1" applyFill="1" applyBorder="1" applyAlignment="1" applyProtection="1">
      <alignment horizontal="center" vertical="center"/>
    </xf>
    <xf numFmtId="166" fontId="6" fillId="25" borderId="44" xfId="0" applyNumberFormat="1" applyFont="1" applyFill="1" applyBorder="1" applyAlignment="1" applyProtection="1">
      <alignment horizontal="center" vertical="center"/>
    </xf>
    <xf numFmtId="166" fontId="6" fillId="25" borderId="67" xfId="0" applyNumberFormat="1" applyFont="1" applyFill="1" applyBorder="1" applyAlignment="1" applyProtection="1">
      <alignment horizontal="center" vertical="center"/>
    </xf>
    <xf numFmtId="0" fontId="40" fillId="25" borderId="19" xfId="0" applyFont="1" applyFill="1" applyBorder="1" applyAlignment="1" applyProtection="1">
      <alignment horizontal="center" vertical="center" wrapText="1"/>
    </xf>
    <xf numFmtId="0" fontId="85" fillId="25" borderId="16" xfId="0" applyFont="1" applyFill="1" applyBorder="1" applyAlignment="1" applyProtection="1">
      <alignment horizontal="center" vertical="center"/>
    </xf>
    <xf numFmtId="0" fontId="10" fillId="25" borderId="28" xfId="0" applyFont="1" applyFill="1" applyBorder="1" applyProtection="1"/>
    <xf numFmtId="1" fontId="0" fillId="25" borderId="26" xfId="0" applyNumberFormat="1" applyFill="1" applyBorder="1" applyAlignment="1">
      <alignment horizontal="left"/>
    </xf>
    <xf numFmtId="0" fontId="10" fillId="25" borderId="17" xfId="0" applyFont="1" applyFill="1" applyBorder="1" applyAlignment="1" applyProtection="1">
      <alignment vertical="center"/>
    </xf>
    <xf numFmtId="0" fontId="0" fillId="25" borderId="28" xfId="0" applyFill="1" applyBorder="1" applyAlignment="1">
      <alignment horizontal="center"/>
    </xf>
    <xf numFmtId="0" fontId="0" fillId="25" borderId="29" xfId="0" applyFill="1" applyBorder="1" applyAlignment="1">
      <alignment horizontal="center"/>
    </xf>
    <xf numFmtId="0" fontId="0" fillId="25" borderId="17" xfId="0" applyFill="1" applyBorder="1" applyAlignment="1">
      <alignment horizontal="center"/>
    </xf>
    <xf numFmtId="0" fontId="0" fillId="25" borderId="19" xfId="0" applyFill="1" applyBorder="1" applyAlignment="1">
      <alignment horizontal="center"/>
    </xf>
    <xf numFmtId="0" fontId="6" fillId="25" borderId="0" xfId="0" applyFont="1" applyFill="1" applyBorder="1" applyAlignment="1" applyProtection="1">
      <alignment vertical="center"/>
    </xf>
    <xf numFmtId="0" fontId="26" fillId="25" borderId="0" xfId="0" applyFont="1" applyFill="1" applyBorder="1" applyProtection="1"/>
    <xf numFmtId="0" fontId="7" fillId="25" borderId="0" xfId="0" applyFont="1" applyFill="1" applyBorder="1" applyAlignment="1" applyProtection="1">
      <alignment horizontal="center" vertical="center"/>
    </xf>
    <xf numFmtId="0" fontId="93" fillId="36" borderId="0" xfId="0" applyFont="1" applyFill="1" applyBorder="1" applyAlignment="1" applyProtection="1">
      <alignment horizontal="center" vertical="center"/>
      <protection locked="0"/>
    </xf>
    <xf numFmtId="166" fontId="6" fillId="25" borderId="0" xfId="0" applyNumberFormat="1" applyFont="1" applyFill="1" applyBorder="1" applyAlignment="1" applyProtection="1">
      <alignment horizontal="center" vertical="center"/>
    </xf>
    <xf numFmtId="164" fontId="6" fillId="25" borderId="29" xfId="0" applyNumberFormat="1" applyFont="1" applyFill="1" applyBorder="1" applyAlignment="1" applyProtection="1">
      <alignment horizontal="center" vertical="center"/>
    </xf>
    <xf numFmtId="0" fontId="10" fillId="25" borderId="78" xfId="0" applyFont="1" applyFill="1" applyBorder="1" applyAlignment="1" applyProtection="1">
      <alignment vertical="center"/>
    </xf>
    <xf numFmtId="0" fontId="10" fillId="25" borderId="86" xfId="0" applyFont="1" applyFill="1" applyBorder="1" applyAlignment="1" applyProtection="1">
      <alignment vertical="center"/>
    </xf>
    <xf numFmtId="0" fontId="83" fillId="36" borderId="13" xfId="0" applyFont="1" applyFill="1" applyBorder="1" applyAlignment="1" applyProtection="1">
      <alignment horizontal="center" vertical="center"/>
      <protection locked="0"/>
    </xf>
    <xf numFmtId="171" fontId="26" fillId="25" borderId="12" xfId="0" applyNumberFormat="1" applyFont="1" applyFill="1" applyBorder="1" applyAlignment="1" applyProtection="1">
      <alignment horizontal="center"/>
    </xf>
    <xf numFmtId="0" fontId="10" fillId="25" borderId="12" xfId="0" applyFont="1" applyFill="1" applyBorder="1" applyAlignment="1" applyProtection="1">
      <alignment horizontal="center"/>
    </xf>
    <xf numFmtId="171" fontId="10" fillId="25" borderId="12" xfId="32" applyNumberFormat="1" applyFont="1" applyFill="1" applyBorder="1" applyAlignment="1" applyProtection="1">
      <alignment horizontal="center"/>
    </xf>
    <xf numFmtId="171" fontId="10" fillId="25" borderId="0" xfId="32" applyNumberFormat="1" applyFont="1" applyFill="1" applyBorder="1" applyAlignment="1" applyProtection="1">
      <alignment horizontal="center"/>
    </xf>
    <xf numFmtId="171" fontId="10" fillId="25" borderId="30" xfId="32" applyNumberFormat="1" applyFont="1" applyFill="1" applyBorder="1" applyAlignment="1" applyProtection="1">
      <alignment horizontal="center"/>
    </xf>
    <xf numFmtId="0" fontId="10" fillId="25" borderId="22" xfId="0" applyFont="1" applyFill="1" applyBorder="1" applyAlignment="1" applyProtection="1">
      <alignment horizontal="center"/>
    </xf>
    <xf numFmtId="171" fontId="10" fillId="25" borderId="28" xfId="32" applyNumberFormat="1" applyFont="1" applyFill="1" applyBorder="1" applyAlignment="1" applyProtection="1">
      <alignment horizontal="center"/>
    </xf>
    <xf numFmtId="171" fontId="10" fillId="25" borderId="17" xfId="32" applyNumberFormat="1" applyFont="1" applyFill="1" applyBorder="1" applyAlignment="1" applyProtection="1">
      <alignment horizontal="center"/>
    </xf>
    <xf numFmtId="0" fontId="10" fillId="25" borderId="27" xfId="0" applyFont="1" applyFill="1" applyBorder="1" applyAlignment="1" applyProtection="1">
      <alignment horizontal="center"/>
    </xf>
    <xf numFmtId="171" fontId="10" fillId="25" borderId="26" xfId="0" applyNumberFormat="1" applyFont="1" applyFill="1" applyBorder="1" applyAlignment="1" applyProtection="1">
      <alignment horizontal="center"/>
    </xf>
    <xf numFmtId="0" fontId="10" fillId="25" borderId="14" xfId="0" applyFont="1" applyFill="1" applyBorder="1" applyAlignment="1">
      <alignment horizontal="center"/>
    </xf>
    <xf numFmtId="167" fontId="14" fillId="25" borderId="14" xfId="0" applyNumberFormat="1" applyFont="1" applyFill="1" applyBorder="1" applyAlignment="1" applyProtection="1">
      <alignment horizontal="center"/>
    </xf>
    <xf numFmtId="2" fontId="11" fillId="25" borderId="22" xfId="0" applyNumberFormat="1" applyFont="1" applyFill="1" applyBorder="1" applyAlignment="1" applyProtection="1">
      <alignment horizontal="center"/>
    </xf>
    <xf numFmtId="2" fontId="10" fillId="25" borderId="14" xfId="0" applyNumberFormat="1" applyFont="1" applyFill="1" applyBorder="1" applyAlignment="1" applyProtection="1">
      <alignment horizontal="center"/>
    </xf>
    <xf numFmtId="0" fontId="10" fillId="25" borderId="15" xfId="0" applyFont="1" applyFill="1" applyBorder="1" applyProtection="1"/>
    <xf numFmtId="0" fontId="10" fillId="25" borderId="79" xfId="0" applyFont="1" applyFill="1" applyBorder="1" applyAlignment="1" applyProtection="1">
      <alignment horizontal="center"/>
    </xf>
    <xf numFmtId="0" fontId="10" fillId="25" borderId="11" xfId="0" applyFont="1" applyFill="1" applyBorder="1" applyProtection="1"/>
    <xf numFmtId="0" fontId="10" fillId="25" borderId="29" xfId="0" applyFont="1" applyFill="1" applyBorder="1" applyProtection="1"/>
    <xf numFmtId="167" fontId="10" fillId="25" borderId="19" xfId="0" applyNumberFormat="1" applyFont="1" applyFill="1" applyBorder="1" applyAlignment="1" applyProtection="1">
      <alignment horizontal="center"/>
    </xf>
    <xf numFmtId="2" fontId="10" fillId="25" borderId="20" xfId="0" applyNumberFormat="1" applyFont="1" applyFill="1" applyBorder="1" applyAlignment="1" applyProtection="1">
      <alignment horizontal="center"/>
    </xf>
    <xf numFmtId="2" fontId="10" fillId="25" borderId="22" xfId="0" applyNumberFormat="1" applyFont="1" applyFill="1" applyBorder="1" applyAlignment="1" applyProtection="1">
      <alignment horizontal="center"/>
    </xf>
    <xf numFmtId="0" fontId="10" fillId="25" borderId="15" xfId="0" applyFont="1" applyFill="1" applyBorder="1" applyAlignment="1" applyProtection="1">
      <alignment horizontal="center"/>
    </xf>
    <xf numFmtId="0" fontId="14" fillId="25" borderId="12" xfId="0" applyFont="1" applyFill="1" applyBorder="1" applyAlignment="1" applyProtection="1">
      <alignment horizontal="center"/>
    </xf>
    <xf numFmtId="0" fontId="10" fillId="25" borderId="18" xfId="0" applyFont="1" applyFill="1" applyBorder="1" applyAlignment="1" applyProtection="1">
      <alignment horizontal="center"/>
    </xf>
    <xf numFmtId="171" fontId="10" fillId="25" borderId="29" xfId="32" applyNumberFormat="1" applyFont="1" applyFill="1" applyBorder="1" applyAlignment="1" applyProtection="1">
      <alignment horizontal="center"/>
    </xf>
    <xf numFmtId="171" fontId="10" fillId="25" borderId="18" xfId="32" applyNumberFormat="1" applyFont="1" applyFill="1" applyBorder="1" applyAlignment="1" applyProtection="1">
      <alignment horizontal="center"/>
    </xf>
    <xf numFmtId="171" fontId="10" fillId="25" borderId="19" xfId="32" applyNumberFormat="1" applyFont="1" applyFill="1" applyBorder="1" applyAlignment="1" applyProtection="1">
      <alignment horizontal="center"/>
    </xf>
    <xf numFmtId="171" fontId="10" fillId="25" borderId="14" xfId="0" applyNumberFormat="1" applyFont="1" applyFill="1" applyBorder="1" applyAlignment="1" applyProtection="1">
      <alignment horizontal="center"/>
    </xf>
    <xf numFmtId="0" fontId="40" fillId="25" borderId="0" xfId="0" applyFont="1" applyFill="1" applyBorder="1" applyAlignment="1" applyProtection="1">
      <alignment horizontal="center" vertical="center" wrapText="1"/>
    </xf>
    <xf numFmtId="164" fontId="83" fillId="36" borderId="0" xfId="0" applyNumberFormat="1" applyFont="1" applyFill="1" applyBorder="1" applyAlignment="1" applyProtection="1">
      <alignment horizontal="center" vertical="center"/>
      <protection locked="0"/>
    </xf>
    <xf numFmtId="164" fontId="83" fillId="36" borderId="13" xfId="0" applyNumberFormat="1" applyFont="1" applyFill="1" applyBorder="1" applyAlignment="1" applyProtection="1">
      <alignment horizontal="center" vertical="center"/>
      <protection locked="0"/>
    </xf>
    <xf numFmtId="166" fontId="6" fillId="25" borderId="40" xfId="0" applyNumberFormat="1" applyFont="1" applyFill="1" applyBorder="1" applyAlignment="1" applyProtection="1">
      <alignment horizontal="center" vertical="center"/>
    </xf>
    <xf numFmtId="0" fontId="6" fillId="25" borderId="63" xfId="0" applyFont="1" applyFill="1" applyBorder="1" applyAlignment="1" applyProtection="1">
      <alignment horizontal="center" vertical="center"/>
    </xf>
    <xf numFmtId="0" fontId="10" fillId="25" borderId="58" xfId="0" applyFont="1" applyFill="1" applyBorder="1" applyAlignment="1" applyProtection="1">
      <alignment horizontal="center"/>
    </xf>
    <xf numFmtId="0" fontId="81" fillId="36" borderId="37" xfId="0" applyFont="1" applyFill="1" applyBorder="1" applyAlignment="1" applyProtection="1">
      <alignment horizontal="center" wrapText="1"/>
    </xf>
    <xf numFmtId="0" fontId="17" fillId="25" borderId="22" xfId="0" applyFont="1" applyFill="1" applyBorder="1" applyAlignment="1" applyProtection="1">
      <alignment horizontal="center" wrapText="1"/>
    </xf>
    <xf numFmtId="2" fontId="10" fillId="25" borderId="12" xfId="0" applyNumberFormat="1" applyFont="1" applyFill="1" applyBorder="1" applyAlignment="1" applyProtection="1">
      <alignment horizontal="center"/>
    </xf>
    <xf numFmtId="167" fontId="10" fillId="25" borderId="14" xfId="0" applyNumberFormat="1" applyFont="1" applyFill="1" applyBorder="1" applyAlignment="1" applyProtection="1">
      <alignment horizontal="center"/>
    </xf>
    <xf numFmtId="0" fontId="10" fillId="25" borderId="27" xfId="0" applyFont="1" applyFill="1" applyBorder="1" applyProtection="1"/>
    <xf numFmtId="0" fontId="10" fillId="25" borderId="26" xfId="0" applyFont="1" applyFill="1" applyBorder="1" applyProtection="1"/>
    <xf numFmtId="0" fontId="10" fillId="25" borderId="30" xfId="0" applyFont="1" applyFill="1" applyBorder="1" applyProtection="1"/>
    <xf numFmtId="171" fontId="10" fillId="25" borderId="79" xfId="32" applyNumberFormat="1" applyFont="1" applyFill="1" applyBorder="1" applyAlignment="1" applyProtection="1">
      <alignment horizontal="center"/>
    </xf>
    <xf numFmtId="0" fontId="10" fillId="37" borderId="20" xfId="0" applyFont="1" applyFill="1" applyBorder="1" applyProtection="1"/>
    <xf numFmtId="0" fontId="10" fillId="37" borderId="17" xfId="0" applyFont="1" applyFill="1" applyBorder="1" applyProtection="1"/>
    <xf numFmtId="167" fontId="10" fillId="37" borderId="19" xfId="0" applyNumberFormat="1" applyFont="1" applyFill="1" applyBorder="1" applyAlignment="1" applyProtection="1">
      <alignment horizontal="center"/>
    </xf>
    <xf numFmtId="167" fontId="10" fillId="37" borderId="22" xfId="0" applyNumberFormat="1" applyFont="1" applyFill="1" applyBorder="1" applyAlignment="1" applyProtection="1">
      <alignment horizontal="center"/>
    </xf>
    <xf numFmtId="0" fontId="10" fillId="37" borderId="12" xfId="0" applyFont="1" applyFill="1" applyBorder="1" applyProtection="1"/>
    <xf numFmtId="167" fontId="10" fillId="37" borderId="12" xfId="0" applyNumberFormat="1" applyFont="1" applyFill="1" applyBorder="1" applyAlignment="1" applyProtection="1">
      <alignment horizontal="center"/>
    </xf>
    <xf numFmtId="170" fontId="10" fillId="37" borderId="20" xfId="0" applyNumberFormat="1" applyFont="1" applyFill="1" applyBorder="1" applyProtection="1"/>
    <xf numFmtId="0" fontId="10" fillId="37" borderId="14" xfId="0" applyFont="1" applyFill="1" applyBorder="1" applyProtection="1"/>
    <xf numFmtId="0" fontId="10" fillId="37" borderId="22" xfId="0" applyFont="1" applyFill="1" applyBorder="1" applyProtection="1"/>
    <xf numFmtId="0" fontId="83" fillId="36" borderId="58" xfId="0" applyFont="1" applyFill="1" applyBorder="1" applyAlignment="1" applyProtection="1">
      <alignment horizontal="center" vertical="center"/>
      <protection locked="0"/>
    </xf>
    <xf numFmtId="167" fontId="10" fillId="25" borderId="17" xfId="0" applyNumberFormat="1" applyFont="1" applyFill="1" applyBorder="1" applyAlignment="1" applyProtection="1">
      <alignment horizontal="center"/>
    </xf>
    <xf numFmtId="167" fontId="10" fillId="25" borderId="18" xfId="0" applyNumberFormat="1" applyFont="1" applyFill="1" applyBorder="1" applyAlignment="1" applyProtection="1">
      <alignment horizontal="center"/>
    </xf>
    <xf numFmtId="0" fontId="3" fillId="25" borderId="18" xfId="0" applyFont="1" applyFill="1" applyBorder="1" applyAlignment="1">
      <alignment horizontal="center"/>
    </xf>
    <xf numFmtId="0" fontId="3" fillId="25" borderId="30" xfId="0" applyFont="1" applyFill="1" applyBorder="1" applyAlignment="1">
      <alignment horizontal="left"/>
    </xf>
    <xf numFmtId="0" fontId="81" fillId="37" borderId="20" xfId="0" applyFont="1" applyFill="1" applyBorder="1" applyProtection="1"/>
    <xf numFmtId="0" fontId="81" fillId="37" borderId="14" xfId="0" applyFont="1" applyFill="1" applyBorder="1" applyProtection="1"/>
    <xf numFmtId="0" fontId="81" fillId="25" borderId="14" xfId="0" applyFont="1" applyFill="1" applyBorder="1" applyProtection="1"/>
    <xf numFmtId="0" fontId="81" fillId="25" borderId="22" xfId="0" applyFont="1" applyFill="1" applyBorder="1" applyProtection="1"/>
    <xf numFmtId="167" fontId="81" fillId="25" borderId="14" xfId="0" applyNumberFormat="1" applyFont="1" applyFill="1" applyBorder="1" applyAlignment="1" applyProtection="1">
      <alignment horizontal="center"/>
    </xf>
    <xf numFmtId="167" fontId="81" fillId="25" borderId="22" xfId="0" applyNumberFormat="1" applyFont="1" applyFill="1" applyBorder="1" applyAlignment="1" applyProtection="1">
      <alignment horizontal="center"/>
    </xf>
    <xf numFmtId="167" fontId="81" fillId="25" borderId="20" xfId="0" applyNumberFormat="1" applyFont="1" applyFill="1" applyBorder="1" applyAlignment="1" applyProtection="1">
      <alignment horizontal="center"/>
    </xf>
    <xf numFmtId="167" fontId="81" fillId="37" borderId="22" xfId="0" applyNumberFormat="1" applyFont="1" applyFill="1" applyBorder="1" applyAlignment="1" applyProtection="1">
      <alignment horizontal="center"/>
    </xf>
    <xf numFmtId="0" fontId="81" fillId="37" borderId="79" xfId="0" applyFont="1" applyFill="1" applyBorder="1" applyProtection="1"/>
    <xf numFmtId="0" fontId="81" fillId="25" borderId="79" xfId="0" applyFont="1" applyFill="1" applyBorder="1" applyProtection="1"/>
    <xf numFmtId="0" fontId="3" fillId="25" borderId="27" xfId="0" applyFont="1" applyFill="1" applyBorder="1"/>
    <xf numFmtId="175" fontId="10" fillId="25" borderId="30" xfId="44" applyNumberFormat="1" applyFont="1" applyFill="1" applyBorder="1" applyAlignment="1">
      <alignment horizontal="center"/>
    </xf>
    <xf numFmtId="0" fontId="0" fillId="36" borderId="14" xfId="0" applyFill="1" applyBorder="1"/>
    <xf numFmtId="0" fontId="0" fillId="36" borderId="20" xfId="0" applyFill="1" applyBorder="1"/>
    <xf numFmtId="0" fontId="0" fillId="36" borderId="22" xfId="0" applyFill="1" applyBorder="1"/>
    <xf numFmtId="0" fontId="3" fillId="37" borderId="20" xfId="0" applyFont="1" applyFill="1" applyBorder="1"/>
    <xf numFmtId="167" fontId="10" fillId="37" borderId="22" xfId="0" applyNumberFormat="1" applyFont="1" applyFill="1" applyBorder="1" applyAlignment="1">
      <alignment horizontal="center"/>
    </xf>
    <xf numFmtId="0" fontId="10" fillId="25" borderId="71" xfId="0" applyFont="1" applyFill="1" applyBorder="1" applyAlignment="1" applyProtection="1">
      <alignment vertical="center"/>
    </xf>
    <xf numFmtId="0" fontId="10" fillId="25" borderId="46" xfId="0" applyFont="1" applyFill="1" applyBorder="1" applyAlignment="1" applyProtection="1">
      <alignment vertical="center"/>
    </xf>
    <xf numFmtId="0" fontId="91" fillId="41" borderId="17" xfId="0" applyFont="1" applyFill="1" applyBorder="1" applyAlignment="1">
      <alignment horizontal="center"/>
    </xf>
    <xf numFmtId="0" fontId="91" fillId="41" borderId="18" xfId="0" applyFont="1" applyFill="1" applyBorder="1" applyAlignment="1">
      <alignment horizontal="center"/>
    </xf>
    <xf numFmtId="0" fontId="91" fillId="41" borderId="28" xfId="0" applyFont="1" applyFill="1" applyBorder="1" applyAlignment="1">
      <alignment horizontal="center"/>
    </xf>
    <xf numFmtId="0" fontId="91" fillId="41" borderId="0" xfId="0" applyFont="1" applyFill="1" applyBorder="1" applyAlignment="1">
      <alignment horizontal="center"/>
    </xf>
    <xf numFmtId="0" fontId="91" fillId="41" borderId="29" xfId="0" applyFont="1" applyFill="1" applyBorder="1" applyAlignment="1">
      <alignment horizontal="center"/>
    </xf>
    <xf numFmtId="0" fontId="0" fillId="25" borderId="28" xfId="0" applyFill="1" applyBorder="1" applyAlignment="1">
      <alignment horizontal="center"/>
    </xf>
    <xf numFmtId="0" fontId="0" fillId="25" borderId="29" xfId="0" applyFill="1" applyBorder="1" applyAlignment="1">
      <alignment horizontal="center"/>
    </xf>
    <xf numFmtId="0" fontId="91" fillId="41" borderId="15" xfId="0" applyFont="1" applyFill="1" applyBorder="1" applyAlignment="1">
      <alignment horizontal="center"/>
    </xf>
    <xf numFmtId="0" fontId="91" fillId="41" borderId="11" xfId="0" applyFont="1" applyFill="1" applyBorder="1" applyAlignment="1">
      <alignment horizontal="center"/>
    </xf>
    <xf numFmtId="0" fontId="91" fillId="41" borderId="79" xfId="0" applyFont="1" applyFill="1" applyBorder="1" applyAlignment="1">
      <alignment horizontal="center"/>
    </xf>
    <xf numFmtId="0" fontId="10" fillId="25" borderId="0" xfId="0" applyFont="1" applyFill="1" applyBorder="1" applyAlignment="1" applyProtection="1">
      <alignment horizontal="center"/>
    </xf>
    <xf numFmtId="0" fontId="0" fillId="41" borderId="30" xfId="0" applyFill="1" applyBorder="1"/>
    <xf numFmtId="0" fontId="91" fillId="41" borderId="15" xfId="0" applyFont="1" applyFill="1" applyBorder="1" applyAlignment="1">
      <alignment horizontal="left"/>
    </xf>
    <xf numFmtId="0" fontId="91" fillId="41" borderId="28" xfId="0" applyFont="1" applyFill="1" applyBorder="1" applyAlignment="1">
      <alignment horizontal="left"/>
    </xf>
    <xf numFmtId="0" fontId="0" fillId="41" borderId="17" xfId="0" applyFill="1" applyBorder="1"/>
    <xf numFmtId="0" fontId="0" fillId="41" borderId="19" xfId="0" applyFill="1" applyBorder="1"/>
    <xf numFmtId="0" fontId="0" fillId="41" borderId="18" xfId="0" applyFill="1" applyBorder="1"/>
    <xf numFmtId="0" fontId="91" fillId="41" borderId="27" xfId="0" applyFont="1" applyFill="1" applyBorder="1"/>
    <xf numFmtId="0" fontId="0" fillId="39" borderId="14" xfId="0" applyFill="1" applyBorder="1"/>
    <xf numFmtId="167" fontId="10" fillId="25" borderId="0" xfId="0" applyNumberFormat="1" applyFont="1" applyFill="1" applyBorder="1" applyAlignment="1" applyProtection="1">
      <alignment horizontal="center"/>
    </xf>
    <xf numFmtId="167" fontId="10" fillId="25" borderId="79" xfId="0" applyNumberFormat="1" applyFont="1" applyFill="1" applyBorder="1" applyAlignment="1" applyProtection="1">
      <alignment horizontal="center"/>
    </xf>
    <xf numFmtId="0" fontId="6" fillId="25" borderId="57" xfId="0" applyFont="1" applyFill="1" applyBorder="1" applyAlignment="1" applyProtection="1">
      <alignment horizontal="right" vertical="center"/>
    </xf>
    <xf numFmtId="167" fontId="10" fillId="25" borderId="28" xfId="0" applyNumberFormat="1" applyFont="1" applyFill="1" applyBorder="1" applyAlignment="1" applyProtection="1">
      <alignment horizontal="center"/>
    </xf>
    <xf numFmtId="167" fontId="10" fillId="25" borderId="27" xfId="0" applyNumberFormat="1" applyFont="1" applyFill="1" applyBorder="1" applyAlignment="1" applyProtection="1">
      <alignment horizontal="left"/>
    </xf>
    <xf numFmtId="0" fontId="10" fillId="25" borderId="26" xfId="0" applyFont="1" applyFill="1" applyBorder="1" applyAlignment="1" applyProtection="1">
      <alignment horizontal="left"/>
    </xf>
    <xf numFmtId="0" fontId="91" fillId="41" borderId="17" xfId="0" applyFont="1" applyFill="1" applyBorder="1" applyAlignment="1">
      <alignment horizontal="center"/>
    </xf>
    <xf numFmtId="0" fontId="91" fillId="41" borderId="28" xfId="0" applyFont="1" applyFill="1" applyBorder="1" applyAlignment="1">
      <alignment horizontal="center"/>
    </xf>
    <xf numFmtId="0" fontId="91" fillId="41" borderId="29" xfId="0" applyFont="1" applyFill="1" applyBorder="1" applyAlignment="1">
      <alignment horizontal="center"/>
    </xf>
    <xf numFmtId="0" fontId="0" fillId="25" borderId="28" xfId="0" applyFill="1" applyBorder="1" applyAlignment="1">
      <alignment horizontal="center"/>
    </xf>
    <xf numFmtId="0" fontId="0" fillId="25" borderId="17" xfId="0" applyFill="1" applyBorder="1" applyAlignment="1">
      <alignment horizontal="center"/>
    </xf>
    <xf numFmtId="0" fontId="0" fillId="25" borderId="19" xfId="0" applyFill="1" applyBorder="1" applyAlignment="1">
      <alignment horizontal="center"/>
    </xf>
    <xf numFmtId="0" fontId="3" fillId="0" borderId="0" xfId="0" applyFont="1" applyFill="1" applyBorder="1" applyAlignment="1">
      <alignment horizontal="center"/>
    </xf>
    <xf numFmtId="0" fontId="16" fillId="25" borderId="15" xfId="0" applyFont="1" applyFill="1" applyBorder="1" applyAlignment="1" applyProtection="1">
      <alignment horizontal="left" vertical="center"/>
    </xf>
    <xf numFmtId="0" fontId="10" fillId="25" borderId="79" xfId="0" applyFont="1" applyFill="1" applyBorder="1" applyAlignment="1" applyProtection="1">
      <alignment vertical="center"/>
    </xf>
    <xf numFmtId="0" fontId="10" fillId="25" borderId="28" xfId="0" applyFont="1" applyFill="1" applyBorder="1" applyAlignment="1" applyProtection="1">
      <alignment horizontal="left" vertical="center"/>
    </xf>
    <xf numFmtId="0" fontId="10" fillId="25" borderId="14" xfId="0" applyFont="1" applyFill="1" applyBorder="1" applyAlignment="1" applyProtection="1">
      <alignment horizontal="left" vertical="center"/>
    </xf>
    <xf numFmtId="0" fontId="10" fillId="25" borderId="14" xfId="0" applyFont="1" applyFill="1" applyBorder="1" applyAlignment="1" applyProtection="1">
      <alignment vertical="center"/>
    </xf>
    <xf numFmtId="0" fontId="10" fillId="25" borderId="70" xfId="0" applyFont="1" applyFill="1" applyBorder="1" applyAlignment="1" applyProtection="1">
      <alignment horizontal="left" vertical="center"/>
    </xf>
    <xf numFmtId="0" fontId="10" fillId="25" borderId="61" xfId="0" applyFont="1" applyFill="1" applyBorder="1" applyAlignment="1" applyProtection="1">
      <alignment horizontal="left" vertical="center"/>
    </xf>
    <xf numFmtId="0" fontId="10" fillId="25" borderId="71" xfId="0" applyFont="1" applyFill="1" applyBorder="1" applyAlignment="1" applyProtection="1">
      <alignment horizontal="left" vertical="center"/>
    </xf>
    <xf numFmtId="0" fontId="10" fillId="25" borderId="31" xfId="0" applyFont="1" applyFill="1" applyBorder="1" applyAlignment="1" applyProtection="1">
      <alignment horizontal="left" vertical="center"/>
    </xf>
    <xf numFmtId="0" fontId="10" fillId="25" borderId="46" xfId="0" applyFont="1" applyFill="1" applyBorder="1" applyAlignment="1" applyProtection="1">
      <alignment horizontal="left" vertical="center"/>
    </xf>
    <xf numFmtId="0" fontId="16" fillId="25" borderId="28" xfId="0" applyFont="1" applyFill="1" applyBorder="1" applyAlignment="1" applyProtection="1">
      <alignment horizontal="left" vertical="center"/>
    </xf>
    <xf numFmtId="0" fontId="0" fillId="25" borderId="15" xfId="0" applyFill="1" applyBorder="1" applyProtection="1"/>
    <xf numFmtId="0" fontId="0" fillId="25" borderId="79" xfId="0" applyFill="1" applyBorder="1" applyProtection="1"/>
    <xf numFmtId="0" fontId="0" fillId="25" borderId="11" xfId="0" applyFill="1" applyBorder="1" applyProtection="1"/>
    <xf numFmtId="0" fontId="0" fillId="25" borderId="28" xfId="0" applyFill="1" applyBorder="1" applyProtection="1"/>
    <xf numFmtId="0" fontId="0" fillId="25" borderId="0" xfId="0" applyFill="1" applyBorder="1" applyProtection="1"/>
    <xf numFmtId="0" fontId="0" fillId="25" borderId="29" xfId="0" applyFill="1" applyBorder="1" applyProtection="1"/>
    <xf numFmtId="0" fontId="79" fillId="25" borderId="28" xfId="0" applyFont="1" applyFill="1" applyBorder="1" applyAlignment="1" applyProtection="1">
      <alignment horizontal="center"/>
    </xf>
    <xf numFmtId="0" fontId="79" fillId="25" borderId="29" xfId="0" applyFont="1" applyFill="1" applyBorder="1" applyAlignment="1" applyProtection="1">
      <alignment horizontal="center"/>
    </xf>
    <xf numFmtId="0" fontId="0" fillId="25" borderId="17" xfId="0" applyFill="1" applyBorder="1" applyProtection="1"/>
    <xf numFmtId="0" fontId="0" fillId="25" borderId="19" xfId="0" applyFill="1" applyBorder="1" applyProtection="1"/>
    <xf numFmtId="0" fontId="80" fillId="25" borderId="17" xfId="0" applyFont="1" applyFill="1" applyBorder="1" applyAlignment="1" applyProtection="1">
      <alignment horizontal="center"/>
    </xf>
    <xf numFmtId="0" fontId="80" fillId="25" borderId="18" xfId="0" applyFont="1" applyFill="1" applyBorder="1" applyAlignment="1" applyProtection="1">
      <alignment horizontal="center"/>
    </xf>
    <xf numFmtId="0" fontId="80" fillId="25" borderId="19" xfId="0" applyFont="1" applyFill="1" applyBorder="1" applyAlignment="1" applyProtection="1">
      <alignment horizontal="center"/>
    </xf>
    <xf numFmtId="0" fontId="6" fillId="36" borderId="61" xfId="0" applyFont="1" applyFill="1" applyBorder="1" applyAlignment="1" applyProtection="1">
      <alignment horizontal="center"/>
    </xf>
    <xf numFmtId="0" fontId="3" fillId="25" borderId="0" xfId="0" applyFont="1" applyFill="1" applyProtection="1"/>
    <xf numFmtId="0" fontId="0" fillId="36" borderId="0" xfId="0" applyFill="1" applyProtection="1"/>
    <xf numFmtId="0" fontId="10" fillId="36" borderId="61" xfId="0" applyFont="1" applyFill="1" applyBorder="1" applyAlignment="1" applyProtection="1">
      <alignment horizontal="center" wrapText="1"/>
    </xf>
    <xf numFmtId="0" fontId="10" fillId="36" borderId="39" xfId="0" applyFont="1" applyFill="1" applyBorder="1" applyAlignment="1" applyProtection="1">
      <alignment horizontal="center" wrapText="1"/>
    </xf>
    <xf numFmtId="167" fontId="6" fillId="29" borderId="16" xfId="0" applyNumberFormat="1" applyFont="1" applyFill="1" applyBorder="1" applyAlignment="1" applyProtection="1">
      <alignment horizontal="center" vertical="center"/>
      <protection locked="0"/>
    </xf>
    <xf numFmtId="167" fontId="51" fillId="25" borderId="47" xfId="0" applyNumberFormat="1" applyFont="1" applyFill="1" applyBorder="1" applyAlignment="1" applyProtection="1">
      <alignment horizontal="center" vertical="center"/>
    </xf>
    <xf numFmtId="167" fontId="6" fillId="25" borderId="52" xfId="0" applyNumberFormat="1" applyFont="1" applyFill="1" applyBorder="1" applyAlignment="1" applyProtection="1">
      <alignment horizontal="center" vertical="center"/>
    </xf>
    <xf numFmtId="167" fontId="51" fillId="25" borderId="51" xfId="0" applyNumberFormat="1" applyFont="1" applyFill="1" applyBorder="1" applyAlignment="1" applyProtection="1">
      <alignment horizontal="center" vertical="center"/>
    </xf>
    <xf numFmtId="167" fontId="103" fillId="25" borderId="52" xfId="0" applyNumberFormat="1" applyFont="1" applyFill="1" applyBorder="1" applyAlignment="1" applyProtection="1">
      <alignment horizontal="center" vertical="center" wrapText="1"/>
    </xf>
    <xf numFmtId="0" fontId="91" fillId="41" borderId="20" xfId="0" applyFont="1" applyFill="1" applyBorder="1"/>
    <xf numFmtId="0" fontId="91" fillId="41" borderId="14" xfId="0" applyFont="1" applyFill="1" applyBorder="1"/>
    <xf numFmtId="0" fontId="91" fillId="41" borderId="22" xfId="0" applyFont="1" applyFill="1" applyBorder="1"/>
    <xf numFmtId="9" fontId="0" fillId="25" borderId="29" xfId="0" applyNumberFormat="1" applyFill="1" applyBorder="1" applyAlignment="1">
      <alignment horizontal="center"/>
    </xf>
    <xf numFmtId="0" fontId="3" fillId="25" borderId="19" xfId="0" applyFont="1" applyFill="1" applyBorder="1" applyAlignment="1">
      <alignment horizontal="center"/>
    </xf>
    <xf numFmtId="9" fontId="0" fillId="25" borderId="26" xfId="0" applyNumberFormat="1" applyFill="1" applyBorder="1" applyAlignment="1">
      <alignment horizontal="center"/>
    </xf>
    <xf numFmtId="9" fontId="0" fillId="25" borderId="30" xfId="0" applyNumberFormat="1" applyFill="1" applyBorder="1" applyAlignment="1">
      <alignment horizontal="center"/>
    </xf>
    <xf numFmtId="0" fontId="0" fillId="35" borderId="20" xfId="0" applyFill="1" applyBorder="1" applyAlignment="1">
      <alignment horizontal="left"/>
    </xf>
    <xf numFmtId="9" fontId="0" fillId="35" borderId="30" xfId="0" applyNumberFormat="1" applyFill="1" applyBorder="1" applyAlignment="1">
      <alignment horizontal="center"/>
    </xf>
    <xf numFmtId="0" fontId="17" fillId="25" borderId="12" xfId="0" applyFont="1" applyFill="1" applyBorder="1" applyAlignment="1" applyProtection="1">
      <alignment horizontal="center" wrapText="1"/>
    </xf>
    <xf numFmtId="0" fontId="94" fillId="41" borderId="15" xfId="0" applyFont="1" applyFill="1" applyBorder="1" applyAlignment="1">
      <alignment horizontal="center"/>
    </xf>
    <xf numFmtId="0" fontId="107" fillId="41" borderId="11" xfId="0" applyFont="1" applyFill="1" applyBorder="1" applyAlignment="1">
      <alignment horizontal="center"/>
    </xf>
    <xf numFmtId="0" fontId="91" fillId="41" borderId="17" xfId="0" applyFont="1" applyFill="1" applyBorder="1"/>
    <xf numFmtId="0" fontId="91" fillId="41" borderId="19" xfId="0" applyFont="1" applyFill="1" applyBorder="1"/>
    <xf numFmtId="167" fontId="10" fillId="25" borderId="29" xfId="0" applyNumberFormat="1" applyFont="1" applyFill="1" applyBorder="1" applyAlignment="1" applyProtection="1">
      <alignment horizontal="center"/>
    </xf>
    <xf numFmtId="0" fontId="108" fillId="25" borderId="0" xfId="0" applyFont="1" applyFill="1" applyProtection="1"/>
    <xf numFmtId="167" fontId="11" fillId="25" borderId="18" xfId="0" applyNumberFormat="1" applyFont="1" applyFill="1" applyBorder="1" applyAlignment="1" applyProtection="1">
      <alignment vertical="center"/>
    </xf>
    <xf numFmtId="0" fontId="17" fillId="25" borderId="27" xfId="0" applyFont="1" applyFill="1" applyBorder="1" applyAlignment="1" applyProtection="1">
      <alignment horizontal="center" wrapText="1"/>
    </xf>
    <xf numFmtId="167" fontId="10" fillId="25" borderId="30" xfId="0" applyNumberFormat="1" applyFont="1" applyFill="1" applyBorder="1" applyAlignment="1" applyProtection="1">
      <alignment horizontal="center"/>
    </xf>
    <xf numFmtId="0" fontId="10" fillId="37" borderId="30" xfId="0" applyFont="1" applyFill="1" applyBorder="1" applyProtection="1"/>
    <xf numFmtId="0" fontId="11" fillId="25" borderId="28" xfId="0" applyFont="1" applyFill="1" applyBorder="1" applyProtection="1"/>
    <xf numFmtId="0" fontId="11" fillId="25" borderId="0" xfId="0" applyFont="1" applyFill="1" applyBorder="1" applyProtection="1"/>
    <xf numFmtId="0" fontId="43" fillId="25" borderId="0" xfId="0" applyFont="1" applyFill="1" applyBorder="1" applyProtection="1"/>
    <xf numFmtId="0" fontId="28" fillId="25" borderId="0" xfId="0" applyFont="1" applyFill="1" applyBorder="1" applyProtection="1"/>
    <xf numFmtId="0" fontId="24" fillId="25" borderId="0" xfId="0" applyFont="1" applyFill="1" applyBorder="1" applyProtection="1"/>
    <xf numFmtId="0" fontId="28" fillId="25" borderId="18" xfId="0" applyFont="1" applyFill="1" applyBorder="1" applyProtection="1"/>
    <xf numFmtId="0" fontId="26" fillId="25" borderId="18" xfId="0" applyFont="1" applyFill="1" applyBorder="1" applyProtection="1"/>
    <xf numFmtId="0" fontId="97" fillId="25" borderId="18" xfId="0" applyFont="1" applyFill="1" applyBorder="1" applyAlignment="1" applyProtection="1">
      <alignment vertical="center"/>
    </xf>
    <xf numFmtId="167" fontId="11" fillId="25" borderId="19" xfId="0" applyNumberFormat="1" applyFont="1" applyFill="1" applyBorder="1" applyAlignment="1" applyProtection="1">
      <alignment horizontal="center" vertical="center"/>
    </xf>
    <xf numFmtId="0" fontId="11" fillId="25" borderId="43" xfId="0" applyFont="1" applyFill="1" applyBorder="1" applyAlignment="1" applyProtection="1">
      <alignment horizontal="center"/>
    </xf>
    <xf numFmtId="167" fontId="10" fillId="25" borderId="35" xfId="0" applyNumberFormat="1" applyFont="1" applyFill="1" applyBorder="1" applyAlignment="1" applyProtection="1">
      <alignment horizontal="center"/>
    </xf>
    <xf numFmtId="0" fontId="81" fillId="25" borderId="18" xfId="0" applyFont="1" applyFill="1" applyBorder="1" applyAlignment="1" applyProtection="1">
      <alignment vertical="center"/>
    </xf>
    <xf numFmtId="0" fontId="81" fillId="25" borderId="18" xfId="0" applyFont="1" applyFill="1" applyBorder="1" applyAlignment="1" applyProtection="1">
      <alignment horizontal="center" vertical="center"/>
    </xf>
    <xf numFmtId="173" fontId="10" fillId="25" borderId="44" xfId="44" applyNumberFormat="1" applyFont="1" applyFill="1" applyBorder="1" applyAlignment="1" applyProtection="1">
      <alignment horizontal="center" vertical="center"/>
    </xf>
    <xf numFmtId="168" fontId="10" fillId="25" borderId="32" xfId="0" applyNumberFormat="1" applyFont="1" applyFill="1" applyBorder="1" applyAlignment="1" applyProtection="1">
      <alignment horizontal="center" vertical="center" wrapText="1"/>
    </xf>
    <xf numFmtId="0" fontId="10" fillId="25" borderId="18" xfId="0" applyFont="1" applyFill="1" applyBorder="1" applyAlignment="1" applyProtection="1">
      <alignment horizontal="left" vertical="center"/>
    </xf>
    <xf numFmtId="0" fontId="16" fillId="25" borderId="15" xfId="0" applyFont="1" applyFill="1" applyBorder="1" applyAlignment="1" applyProtection="1">
      <alignment vertical="center"/>
    </xf>
    <xf numFmtId="0" fontId="10" fillId="25" borderId="17" xfId="0" applyFont="1" applyFill="1" applyBorder="1" applyAlignment="1" applyProtection="1">
      <alignment vertical="center"/>
    </xf>
    <xf numFmtId="0" fontId="10" fillId="25" borderId="68" xfId="0" applyFont="1" applyFill="1" applyBorder="1" applyAlignment="1" applyProtection="1">
      <alignment vertical="center"/>
    </xf>
    <xf numFmtId="0" fontId="10" fillId="25" borderId="67" xfId="0" applyFont="1" applyFill="1" applyBorder="1" applyAlignment="1" applyProtection="1">
      <alignment horizontal="center"/>
    </xf>
    <xf numFmtId="0" fontId="10" fillId="25" borderId="19" xfId="0" applyFont="1" applyFill="1" applyBorder="1" applyAlignment="1" applyProtection="1">
      <alignment horizontal="center"/>
    </xf>
    <xf numFmtId="22" fontId="17" fillId="25" borderId="0" xfId="0" applyNumberFormat="1" applyFont="1" applyFill="1" applyAlignment="1" applyProtection="1">
      <alignment horizontal="left"/>
    </xf>
    <xf numFmtId="0" fontId="10" fillId="25" borderId="19" xfId="0" applyFont="1" applyFill="1" applyBorder="1" applyAlignment="1" applyProtection="1">
      <alignment horizontal="center"/>
    </xf>
    <xf numFmtId="0" fontId="3" fillId="36" borderId="0" xfId="0" applyFont="1" applyFill="1"/>
    <xf numFmtId="0" fontId="10" fillId="25" borderId="13" xfId="0" applyFont="1" applyFill="1" applyBorder="1" applyProtection="1">
      <protection locked="0"/>
    </xf>
    <xf numFmtId="0" fontId="6" fillId="25" borderId="28" xfId="0" applyFont="1" applyFill="1" applyBorder="1" applyAlignment="1"/>
    <xf numFmtId="0" fontId="6" fillId="25" borderId="28" xfId="0" applyFont="1" applyFill="1" applyBorder="1" applyAlignment="1" applyProtection="1"/>
    <xf numFmtId="0" fontId="85" fillId="25" borderId="17" xfId="0" applyFont="1" applyFill="1" applyBorder="1" applyAlignment="1" applyProtection="1">
      <alignment vertical="center"/>
    </xf>
    <xf numFmtId="173" fontId="14" fillId="25" borderId="0" xfId="0" applyNumberFormat="1" applyFont="1" applyFill="1" applyProtection="1"/>
    <xf numFmtId="0" fontId="6" fillId="25" borderId="33" xfId="0" applyFont="1" applyFill="1" applyBorder="1" applyAlignment="1" applyProtection="1">
      <alignment horizontal="center" wrapText="1"/>
    </xf>
    <xf numFmtId="0" fontId="6" fillId="43" borderId="33" xfId="0" applyFont="1" applyFill="1" applyBorder="1" applyAlignment="1" applyProtection="1">
      <alignment horizontal="center" vertical="center" wrapText="1"/>
      <protection locked="0"/>
    </xf>
    <xf numFmtId="164" fontId="81" fillId="35" borderId="13" xfId="0" applyNumberFormat="1" applyFont="1" applyFill="1" applyBorder="1" applyAlignment="1" applyProtection="1">
      <alignment horizontal="center" vertical="center"/>
      <protection locked="0"/>
    </xf>
    <xf numFmtId="167" fontId="83" fillId="25" borderId="0" xfId="0" applyNumberFormat="1" applyFont="1" applyFill="1" applyProtection="1"/>
    <xf numFmtId="0" fontId="91" fillId="25" borderId="0" xfId="0" applyFont="1" applyFill="1" applyProtection="1"/>
    <xf numFmtId="0" fontId="90" fillId="25" borderId="0" xfId="0" applyFont="1" applyFill="1" applyProtection="1"/>
    <xf numFmtId="0" fontId="90" fillId="36" borderId="0" xfId="0" applyFont="1" applyFill="1" applyProtection="1"/>
    <xf numFmtId="0" fontId="83" fillId="25" borderId="0" xfId="0" applyFont="1" applyFill="1" applyBorder="1" applyProtection="1"/>
    <xf numFmtId="167" fontId="83" fillId="25" borderId="0" xfId="0" applyNumberFormat="1" applyFont="1" applyFill="1" applyBorder="1" applyProtection="1"/>
    <xf numFmtId="9" fontId="83" fillId="28" borderId="13" xfId="32" applyFont="1" applyFill="1" applyBorder="1" applyAlignment="1" applyProtection="1">
      <alignment horizontal="center" vertical="center"/>
      <protection locked="0"/>
    </xf>
    <xf numFmtId="0" fontId="0" fillId="36" borderId="0" xfId="0" applyFill="1" applyBorder="1" applyAlignment="1">
      <alignment horizontal="center"/>
    </xf>
    <xf numFmtId="0" fontId="0" fillId="36" borderId="18" xfId="0" applyFill="1" applyBorder="1"/>
    <xf numFmtId="0" fontId="3" fillId="36" borderId="27" xfId="0" applyFont="1" applyFill="1" applyBorder="1"/>
    <xf numFmtId="0" fontId="3" fillId="36" borderId="26" xfId="0" applyFont="1" applyFill="1" applyBorder="1"/>
    <xf numFmtId="0" fontId="0" fillId="36" borderId="27" xfId="0" applyFill="1" applyBorder="1" applyAlignment="1">
      <alignment horizontal="center"/>
    </xf>
    <xf numFmtId="167" fontId="0" fillId="36" borderId="26" xfId="0" applyNumberFormat="1" applyFill="1" applyBorder="1" applyAlignment="1">
      <alignment horizontal="center"/>
    </xf>
    <xf numFmtId="0" fontId="3" fillId="37" borderId="30" xfId="0" applyFont="1" applyFill="1" applyBorder="1"/>
    <xf numFmtId="0" fontId="0" fillId="37" borderId="30" xfId="0" applyFill="1" applyBorder="1"/>
    <xf numFmtId="9" fontId="6" fillId="25" borderId="14" xfId="32" applyFont="1" applyFill="1" applyBorder="1" applyAlignment="1" applyProtection="1">
      <alignment horizontal="left" vertical="center"/>
    </xf>
    <xf numFmtId="9" fontId="83" fillId="28" borderId="40" xfId="32" applyFont="1" applyFill="1" applyBorder="1" applyAlignment="1" applyProtection="1">
      <alignment horizontal="center" vertical="center"/>
      <protection locked="0"/>
    </xf>
    <xf numFmtId="9" fontId="83" fillId="46" borderId="13" xfId="32" applyFont="1" applyFill="1" applyBorder="1" applyAlignment="1" applyProtection="1">
      <alignment horizontal="center" vertical="center"/>
      <protection locked="0"/>
    </xf>
    <xf numFmtId="0" fontId="0" fillId="29" borderId="27" xfId="0" applyFill="1" applyBorder="1" applyAlignment="1">
      <alignment horizontal="right"/>
    </xf>
    <xf numFmtId="0" fontId="0" fillId="29" borderId="26" xfId="0" applyFill="1" applyBorder="1" applyAlignment="1">
      <alignment horizontal="right"/>
    </xf>
    <xf numFmtId="0" fontId="0" fillId="29" borderId="30" xfId="0" applyFill="1" applyBorder="1" applyAlignment="1">
      <alignment horizontal="right"/>
    </xf>
    <xf numFmtId="0" fontId="30" fillId="27" borderId="29" xfId="0" applyFont="1" applyFill="1" applyBorder="1" applyAlignment="1">
      <alignment horizontal="left"/>
    </xf>
    <xf numFmtId="0" fontId="10" fillId="24" borderId="22" xfId="0" applyFont="1" applyFill="1" applyBorder="1" applyAlignment="1">
      <alignment horizontal="center"/>
    </xf>
    <xf numFmtId="0" fontId="8" fillId="27" borderId="0" xfId="0" applyFont="1" applyFill="1" applyBorder="1" applyAlignment="1">
      <alignment horizontal="left"/>
    </xf>
    <xf numFmtId="0" fontId="24" fillId="26" borderId="19" xfId="0" applyFont="1" applyFill="1" applyBorder="1" applyAlignment="1">
      <alignment horizontal="left"/>
    </xf>
    <xf numFmtId="0" fontId="6" fillId="24" borderId="20" xfId="0" applyFont="1" applyFill="1" applyBorder="1" applyAlignment="1">
      <alignment horizontal="left"/>
    </xf>
    <xf numFmtId="0" fontId="10" fillId="25" borderId="17" xfId="0" applyFont="1" applyFill="1" applyBorder="1" applyAlignment="1" applyProtection="1">
      <alignment vertical="center"/>
    </xf>
    <xf numFmtId="0" fontId="98" fillId="0" borderId="0" xfId="0" applyFont="1"/>
    <xf numFmtId="0" fontId="98" fillId="0" borderId="0" xfId="0" applyFont="1" applyBorder="1"/>
    <xf numFmtId="9" fontId="0" fillId="0" borderId="0" xfId="0" applyNumberFormat="1" applyAlignment="1">
      <alignment horizontal="left"/>
    </xf>
    <xf numFmtId="0" fontId="0" fillId="0" borderId="0" xfId="0" applyBorder="1" applyAlignment="1">
      <alignment horizontal="left"/>
    </xf>
    <xf numFmtId="0" fontId="3" fillId="25" borderId="0" xfId="0" applyFont="1" applyFill="1" applyAlignment="1">
      <alignment horizontal="left" vertical="top"/>
    </xf>
    <xf numFmtId="0" fontId="3" fillId="0" borderId="0" xfId="0" applyFont="1"/>
    <xf numFmtId="0" fontId="3" fillId="0" borderId="18" xfId="0" applyFont="1" applyBorder="1"/>
    <xf numFmtId="0" fontId="3" fillId="0" borderId="18" xfId="0" applyFont="1" applyFill="1" applyBorder="1"/>
    <xf numFmtId="0" fontId="3" fillId="0" borderId="0" xfId="0" applyFont="1" applyBorder="1"/>
    <xf numFmtId="0" fontId="3" fillId="0" borderId="18" xfId="0" applyFont="1" applyBorder="1" applyAlignment="1">
      <alignment horizontal="left"/>
    </xf>
    <xf numFmtId="0" fontId="85" fillId="25" borderId="48" xfId="0" applyFont="1" applyFill="1" applyBorder="1" applyAlignment="1" applyProtection="1">
      <alignment horizontal="center" vertical="center"/>
    </xf>
    <xf numFmtId="0" fontId="10" fillId="25" borderId="95" xfId="0" applyFont="1" applyFill="1" applyBorder="1" applyProtection="1"/>
    <xf numFmtId="173" fontId="89" fillId="36" borderId="21" xfId="0" applyNumberFormat="1" applyFont="1" applyFill="1" applyBorder="1" applyAlignment="1">
      <alignment horizontal="center" vertical="center" wrapText="1"/>
    </xf>
    <xf numFmtId="0" fontId="10" fillId="25" borderId="21" xfId="0" applyFont="1" applyFill="1" applyBorder="1" applyAlignment="1" applyProtection="1">
      <alignment horizontal="right" vertical="center"/>
    </xf>
    <xf numFmtId="167" fontId="10" fillId="25" borderId="22" xfId="0" applyNumberFormat="1" applyFont="1" applyFill="1" applyBorder="1" applyAlignment="1" applyProtection="1">
      <alignment horizontal="center"/>
    </xf>
    <xf numFmtId="0" fontId="81" fillId="36" borderId="44" xfId="0" applyFont="1" applyFill="1" applyBorder="1" applyAlignment="1">
      <alignment horizontal="center" wrapText="1"/>
    </xf>
    <xf numFmtId="3" fontId="6" fillId="36" borderId="57" xfId="0" applyNumberFormat="1" applyFont="1" applyFill="1" applyBorder="1" applyAlignment="1" applyProtection="1">
      <alignment horizontal="center" vertical="center"/>
      <protection locked="0"/>
    </xf>
    <xf numFmtId="0" fontId="0" fillId="25" borderId="29" xfId="0" applyFill="1" applyBorder="1" applyAlignment="1">
      <alignment horizontal="center"/>
    </xf>
    <xf numFmtId="0" fontId="76" fillId="25" borderId="13" xfId="0" applyFont="1" applyFill="1" applyBorder="1" applyAlignment="1">
      <alignment horizontal="left" wrapText="1"/>
    </xf>
    <xf numFmtId="0" fontId="6" fillId="25" borderId="0" xfId="0" applyFont="1" applyFill="1" applyAlignment="1" applyProtection="1">
      <alignment vertical="center"/>
    </xf>
    <xf numFmtId="0" fontId="6" fillId="25" borderId="0" xfId="0" quotePrefix="1" applyFont="1" applyFill="1" applyAlignment="1" applyProtection="1">
      <alignment horizontal="right" vertical="center"/>
    </xf>
    <xf numFmtId="0" fontId="0" fillId="47" borderId="17" xfId="0" applyFill="1" applyBorder="1"/>
    <xf numFmtId="0" fontId="0" fillId="47" borderId="15" xfId="0" applyFill="1" applyBorder="1"/>
    <xf numFmtId="0" fontId="91" fillId="47" borderId="95" xfId="0" applyFont="1" applyFill="1" applyBorder="1" applyAlignment="1">
      <alignment horizontal="center"/>
    </xf>
    <xf numFmtId="0" fontId="91" fillId="47" borderId="19" xfId="0" applyFont="1" applyFill="1" applyBorder="1" applyAlignment="1">
      <alignment horizontal="center"/>
    </xf>
    <xf numFmtId="0" fontId="10" fillId="25" borderId="19" xfId="0" applyFont="1" applyFill="1" applyBorder="1" applyAlignment="1" applyProtection="1">
      <alignment horizontal="center"/>
    </xf>
    <xf numFmtId="0" fontId="0" fillId="25" borderId="95" xfId="0" applyFill="1" applyBorder="1"/>
    <xf numFmtId="0" fontId="91" fillId="47" borderId="79" xfId="0" applyFont="1" applyFill="1" applyBorder="1" applyAlignment="1">
      <alignment horizontal="center"/>
    </xf>
    <xf numFmtId="0" fontId="91" fillId="47" borderId="18" xfId="0" applyFont="1" applyFill="1" applyBorder="1" applyAlignment="1">
      <alignment horizontal="center"/>
    </xf>
    <xf numFmtId="0" fontId="91" fillId="47" borderId="15" xfId="0" applyFont="1" applyFill="1" applyBorder="1" applyAlignment="1">
      <alignment horizontal="center"/>
    </xf>
    <xf numFmtId="0" fontId="91" fillId="47" borderId="17" xfId="0" applyFont="1" applyFill="1" applyBorder="1" applyAlignment="1">
      <alignment horizontal="center"/>
    </xf>
    <xf numFmtId="169" fontId="0" fillId="25" borderId="0" xfId="0" applyNumberFormat="1" applyFill="1" applyBorder="1"/>
    <xf numFmtId="169" fontId="0" fillId="25" borderId="18" xfId="0" applyNumberFormat="1" applyFill="1" applyBorder="1"/>
    <xf numFmtId="0" fontId="14" fillId="25" borderId="0" xfId="0" applyFont="1" applyFill="1" applyAlignment="1" applyProtection="1">
      <alignment horizontal="center"/>
    </xf>
    <xf numFmtId="169" fontId="0" fillId="25" borderId="0" xfId="0" applyNumberFormat="1" applyFill="1" applyAlignment="1">
      <alignment horizontal="right"/>
    </xf>
    <xf numFmtId="0" fontId="10" fillId="25" borderId="0" xfId="0" applyFont="1" applyFill="1" applyAlignment="1" applyProtection="1">
      <alignment horizontal="center"/>
    </xf>
    <xf numFmtId="0" fontId="78" fillId="36" borderId="79" xfId="0" applyFont="1" applyFill="1" applyBorder="1" applyAlignment="1">
      <alignment horizontal="center"/>
    </xf>
    <xf numFmtId="169" fontId="0" fillId="25" borderId="0" xfId="0" applyNumberFormat="1" applyFill="1"/>
    <xf numFmtId="176" fontId="14" fillId="25" borderId="26" xfId="44" applyNumberFormat="1" applyFont="1" applyFill="1" applyBorder="1" applyAlignment="1" applyProtection="1">
      <alignment horizontal="center"/>
    </xf>
    <xf numFmtId="176" fontId="14" fillId="25" borderId="29" xfId="44" applyNumberFormat="1" applyFont="1" applyFill="1" applyBorder="1" applyAlignment="1" applyProtection="1">
      <alignment horizontal="center"/>
    </xf>
    <xf numFmtId="176" fontId="78" fillId="36" borderId="26" xfId="44" applyNumberFormat="1" applyFont="1" applyFill="1" applyBorder="1" applyAlignment="1">
      <alignment horizontal="center"/>
    </xf>
    <xf numFmtId="176" fontId="78" fillId="36" borderId="29" xfId="44" applyNumberFormat="1" applyFont="1" applyFill="1" applyBorder="1" applyAlignment="1">
      <alignment horizontal="center"/>
    </xf>
    <xf numFmtId="176" fontId="14" fillId="25" borderId="30" xfId="44" applyNumberFormat="1" applyFont="1" applyFill="1" applyBorder="1" applyAlignment="1" applyProtection="1">
      <alignment horizontal="center"/>
    </xf>
    <xf numFmtId="167" fontId="10" fillId="25" borderId="0" xfId="0" applyNumberFormat="1" applyFont="1" applyFill="1" applyAlignment="1" applyProtection="1">
      <alignment horizontal="right"/>
    </xf>
    <xf numFmtId="0" fontId="81" fillId="36" borderId="79" xfId="0" applyFont="1" applyFill="1" applyBorder="1" applyAlignment="1">
      <alignment wrapText="1"/>
    </xf>
    <xf numFmtId="0" fontId="10" fillId="25" borderId="0" xfId="0" applyFont="1" applyFill="1" applyAlignment="1" applyProtection="1">
      <alignment horizontal="right"/>
    </xf>
    <xf numFmtId="0" fontId="78" fillId="36" borderId="0" xfId="0" applyFont="1" applyFill="1" applyAlignment="1">
      <alignment horizontal="right"/>
    </xf>
    <xf numFmtId="176" fontId="14" fillId="35" borderId="12" xfId="0" applyNumberFormat="1" applyFont="1" applyFill="1" applyBorder="1" applyAlignment="1" applyProtection="1">
      <alignment horizontal="center"/>
    </xf>
    <xf numFmtId="167" fontId="10" fillId="25" borderId="43" xfId="0" applyNumberFormat="1" applyFont="1" applyFill="1" applyBorder="1" applyAlignment="1" applyProtection="1"/>
    <xf numFmtId="0" fontId="6" fillId="25" borderId="53" xfId="0" applyFont="1" applyFill="1" applyBorder="1" applyAlignment="1" applyProtection="1">
      <alignment vertical="center"/>
    </xf>
    <xf numFmtId="0" fontId="10" fillId="25" borderId="46" xfId="0" applyFont="1" applyFill="1" applyBorder="1" applyAlignment="1" applyProtection="1">
      <alignment horizontal="right" vertical="center"/>
    </xf>
    <xf numFmtId="0" fontId="14" fillId="25" borderId="27" xfId="0" applyFont="1" applyFill="1" applyBorder="1" applyAlignment="1" applyProtection="1">
      <alignment horizontal="center"/>
    </xf>
    <xf numFmtId="0" fontId="14" fillId="25" borderId="26" xfId="0" applyFont="1" applyFill="1" applyBorder="1" applyAlignment="1" applyProtection="1">
      <alignment horizontal="center"/>
    </xf>
    <xf numFmtId="2" fontId="14" fillId="35" borderId="12" xfId="0" applyNumberFormat="1" applyFont="1" applyFill="1" applyBorder="1" applyAlignment="1" applyProtection="1">
      <alignment horizontal="center"/>
    </xf>
    <xf numFmtId="1" fontId="0" fillId="25" borderId="0" xfId="0" applyNumberFormat="1" applyFill="1" applyBorder="1" applyAlignment="1">
      <alignment horizontal="right"/>
    </xf>
    <xf numFmtId="171" fontId="0" fillId="25" borderId="22" xfId="0" applyNumberFormat="1" applyFill="1" applyBorder="1" applyAlignment="1">
      <alignment horizontal="center"/>
    </xf>
    <xf numFmtId="171" fontId="0" fillId="25" borderId="12" xfId="0" applyNumberFormat="1" applyFill="1" applyBorder="1" applyAlignment="1">
      <alignment horizontal="center"/>
    </xf>
    <xf numFmtId="171" fontId="10" fillId="25" borderId="15" xfId="32" applyNumberFormat="1" applyFont="1" applyFill="1" applyBorder="1" applyAlignment="1" applyProtection="1">
      <alignment horizontal="center"/>
    </xf>
    <xf numFmtId="171" fontId="10" fillId="25" borderId="95" xfId="32" applyNumberFormat="1" applyFont="1" applyFill="1" applyBorder="1" applyAlignment="1" applyProtection="1">
      <alignment horizontal="center"/>
    </xf>
    <xf numFmtId="2" fontId="10" fillId="25" borderId="17" xfId="0" applyNumberFormat="1" applyFont="1" applyFill="1" applyBorder="1" applyAlignment="1" applyProtection="1">
      <alignment horizontal="center"/>
    </xf>
    <xf numFmtId="2" fontId="10" fillId="25" borderId="18" xfId="0" applyNumberFormat="1" applyFont="1" applyFill="1" applyBorder="1" applyAlignment="1" applyProtection="1">
      <alignment horizontal="center"/>
    </xf>
    <xf numFmtId="2" fontId="10" fillId="25" borderId="19" xfId="0" applyNumberFormat="1" applyFont="1" applyFill="1" applyBorder="1" applyAlignment="1" applyProtection="1">
      <alignment horizontal="center"/>
    </xf>
    <xf numFmtId="0" fontId="81" fillId="36" borderId="33" xfId="0" applyFont="1" applyFill="1" applyBorder="1" applyAlignment="1">
      <alignment horizontal="center" wrapText="1"/>
    </xf>
    <xf numFmtId="0" fontId="112" fillId="36" borderId="15" xfId="0" applyFont="1" applyFill="1" applyBorder="1" applyAlignment="1">
      <alignment wrapText="1"/>
    </xf>
    <xf numFmtId="167" fontId="81" fillId="25" borderId="68" xfId="0" applyNumberFormat="1" applyFont="1" applyFill="1" applyBorder="1" applyAlignment="1" applyProtection="1">
      <alignment horizontal="center"/>
    </xf>
    <xf numFmtId="167" fontId="81" fillId="25" borderId="44" xfId="0" applyNumberFormat="1" applyFont="1" applyFill="1" applyBorder="1" applyAlignment="1" applyProtection="1">
      <alignment horizontal="center"/>
    </xf>
    <xf numFmtId="173" fontId="85" fillId="36" borderId="33" xfId="0" applyNumberFormat="1" applyFont="1" applyFill="1" applyBorder="1" applyAlignment="1">
      <alignment horizontal="center" wrapText="1"/>
    </xf>
    <xf numFmtId="0" fontId="85" fillId="36" borderId="33" xfId="0" applyFont="1" applyFill="1" applyBorder="1" applyAlignment="1">
      <alignment horizontal="center" wrapText="1"/>
    </xf>
    <xf numFmtId="173" fontId="87" fillId="36" borderId="61" xfId="0" applyNumberFormat="1" applyFont="1" applyFill="1" applyBorder="1" applyAlignment="1">
      <alignment horizontal="center" wrapText="1"/>
    </xf>
    <xf numFmtId="173" fontId="87" fillId="36" borderId="39" xfId="0" applyNumberFormat="1" applyFont="1" applyFill="1" applyBorder="1" applyAlignment="1">
      <alignment horizontal="center" wrapText="1"/>
    </xf>
    <xf numFmtId="0" fontId="10" fillId="32" borderId="13" xfId="0" quotePrefix="1" applyFont="1" applyFill="1" applyBorder="1" applyAlignment="1">
      <alignment wrapText="1"/>
    </xf>
    <xf numFmtId="0" fontId="10" fillId="37" borderId="13" xfId="0" quotePrefix="1" applyFont="1" applyFill="1" applyBorder="1" applyAlignment="1">
      <alignment wrapText="1"/>
    </xf>
    <xf numFmtId="0" fontId="6" fillId="25" borderId="22" xfId="0" applyFont="1" applyFill="1" applyBorder="1" applyAlignment="1" applyProtection="1">
      <alignment horizontal="center" wrapText="1"/>
    </xf>
    <xf numFmtId="0" fontId="10" fillId="36" borderId="61" xfId="0" applyFont="1" applyFill="1" applyBorder="1" applyAlignment="1" applyProtection="1">
      <alignment horizontal="right" wrapText="1"/>
    </xf>
    <xf numFmtId="0" fontId="10" fillId="25" borderId="0" xfId="0" applyFont="1" applyFill="1" applyBorder="1" applyAlignment="1" applyProtection="1">
      <alignment horizontal="center"/>
    </xf>
    <xf numFmtId="0" fontId="10" fillId="25" borderId="96" xfId="0" applyFont="1" applyFill="1" applyBorder="1" applyAlignment="1" applyProtection="1">
      <alignment horizontal="center"/>
    </xf>
    <xf numFmtId="167" fontId="10" fillId="25" borderId="97" xfId="0" applyNumberFormat="1" applyFont="1" applyFill="1" applyBorder="1" applyAlignment="1" applyProtection="1">
      <alignment horizontal="center" vertical="center"/>
    </xf>
    <xf numFmtId="0" fontId="10" fillId="25" borderId="31" xfId="0" applyFont="1" applyFill="1" applyBorder="1" applyAlignment="1" applyProtection="1">
      <alignment horizontal="left" vertical="center"/>
    </xf>
    <xf numFmtId="0" fontId="10" fillId="25" borderId="46" xfId="0" applyFont="1" applyFill="1" applyBorder="1" applyAlignment="1" applyProtection="1">
      <alignment horizontal="left" vertical="center"/>
    </xf>
    <xf numFmtId="0" fontId="108" fillId="25" borderId="0" xfId="0" applyFont="1" applyFill="1" applyProtection="1"/>
    <xf numFmtId="0" fontId="14" fillId="25" borderId="30" xfId="0" applyFont="1" applyFill="1" applyBorder="1" applyAlignment="1" applyProtection="1">
      <alignment horizontal="center"/>
    </xf>
    <xf numFmtId="167" fontId="14" fillId="25" borderId="26" xfId="0" applyNumberFormat="1" applyFont="1" applyFill="1" applyBorder="1" applyAlignment="1" applyProtection="1">
      <alignment horizontal="center"/>
    </xf>
    <xf numFmtId="0" fontId="78" fillId="36" borderId="0" xfId="0" quotePrefix="1" applyFont="1" applyFill="1" applyAlignment="1">
      <alignment horizontal="right"/>
    </xf>
    <xf numFmtId="171" fontId="78" fillId="36" borderId="26" xfId="32" applyNumberFormat="1" applyFont="1" applyFill="1" applyBorder="1" applyAlignment="1">
      <alignment horizontal="center"/>
    </xf>
    <xf numFmtId="9" fontId="78" fillId="36" borderId="27" xfId="0" applyNumberFormat="1" applyFont="1" applyFill="1" applyBorder="1" applyAlignment="1">
      <alignment horizontal="center"/>
    </xf>
    <xf numFmtId="171" fontId="14" fillId="35" borderId="12" xfId="32" applyNumberFormat="1" applyFont="1" applyFill="1" applyBorder="1" applyAlignment="1" applyProtection="1">
      <alignment horizontal="center"/>
    </xf>
    <xf numFmtId="0" fontId="10" fillId="25" borderId="53" xfId="0" applyFont="1" applyFill="1" applyBorder="1" applyProtection="1"/>
    <xf numFmtId="0" fontId="10" fillId="25" borderId="53" xfId="0" applyFont="1" applyFill="1" applyBorder="1" applyAlignment="1" applyProtection="1">
      <alignment horizontal="right" vertical="center"/>
    </xf>
    <xf numFmtId="9" fontId="10" fillId="25" borderId="0" xfId="0" applyNumberFormat="1" applyFont="1" applyFill="1" applyProtection="1"/>
    <xf numFmtId="2" fontId="10" fillId="25" borderId="0" xfId="0" applyNumberFormat="1" applyFont="1" applyFill="1" applyBorder="1" applyAlignment="1" applyProtection="1">
      <alignment horizontal="center"/>
    </xf>
    <xf numFmtId="2" fontId="10" fillId="37" borderId="19" xfId="0" applyNumberFormat="1" applyFont="1" applyFill="1" applyBorder="1" applyAlignment="1" applyProtection="1">
      <alignment horizontal="center"/>
    </xf>
    <xf numFmtId="2" fontId="10" fillId="37" borderId="12" xfId="0" applyNumberFormat="1" applyFont="1" applyFill="1" applyBorder="1" applyAlignment="1" applyProtection="1">
      <alignment horizontal="center"/>
    </xf>
    <xf numFmtId="0" fontId="10" fillId="36" borderId="26" xfId="0" applyFont="1" applyFill="1" applyBorder="1" applyProtection="1"/>
    <xf numFmtId="2" fontId="10" fillId="36" borderId="30" xfId="0" applyNumberFormat="1" applyFont="1" applyFill="1" applyBorder="1" applyAlignment="1" applyProtection="1">
      <alignment horizontal="center"/>
    </xf>
    <xf numFmtId="2" fontId="10" fillId="25" borderId="28" xfId="0" applyNumberFormat="1" applyFont="1" applyFill="1" applyBorder="1" applyAlignment="1" applyProtection="1">
      <alignment horizontal="center"/>
    </xf>
    <xf numFmtId="0" fontId="10" fillId="36" borderId="15" xfId="0" applyFont="1" applyFill="1" applyBorder="1" applyProtection="1"/>
    <xf numFmtId="0" fontId="10" fillId="36" borderId="28" xfId="0" applyFont="1" applyFill="1" applyBorder="1" applyProtection="1"/>
    <xf numFmtId="0" fontId="10" fillId="36" borderId="27" xfId="0" applyFont="1" applyFill="1" applyBorder="1" applyProtection="1"/>
    <xf numFmtId="0" fontId="10" fillId="36" borderId="30" xfId="0" applyFont="1" applyFill="1" applyBorder="1" applyProtection="1"/>
    <xf numFmtId="0" fontId="10" fillId="37" borderId="26" xfId="0" applyFont="1" applyFill="1" applyBorder="1" applyProtection="1"/>
    <xf numFmtId="0" fontId="10" fillId="36" borderId="17" xfId="0" applyFont="1" applyFill="1" applyBorder="1" applyProtection="1"/>
    <xf numFmtId="171" fontId="10" fillId="25" borderId="26" xfId="32" applyNumberFormat="1" applyFont="1" applyFill="1" applyBorder="1" applyAlignment="1" applyProtection="1">
      <alignment horizontal="center"/>
    </xf>
    <xf numFmtId="0" fontId="83" fillId="36" borderId="57" xfId="0" applyFont="1" applyFill="1" applyBorder="1" applyAlignment="1" applyProtection="1">
      <alignment horizontal="center" vertical="center"/>
      <protection locked="0"/>
    </xf>
    <xf numFmtId="167" fontId="10" fillId="25" borderId="40" xfId="0" applyNumberFormat="1" applyFont="1" applyFill="1" applyBorder="1" applyAlignment="1" applyProtection="1">
      <alignment horizontal="center" vertical="center"/>
    </xf>
    <xf numFmtId="167" fontId="10" fillId="25" borderId="46" xfId="0" applyNumberFormat="1" applyFont="1" applyFill="1" applyBorder="1" applyAlignment="1" applyProtection="1">
      <alignment horizontal="center" vertical="center"/>
    </xf>
    <xf numFmtId="2" fontId="10" fillId="36" borderId="27" xfId="0" applyNumberFormat="1" applyFont="1" applyFill="1" applyBorder="1" applyAlignment="1" applyProtection="1">
      <alignment horizontal="center"/>
    </xf>
    <xf numFmtId="2" fontId="10" fillId="25" borderId="15" xfId="0" applyNumberFormat="1" applyFont="1" applyFill="1" applyBorder="1" applyAlignment="1" applyProtection="1">
      <alignment horizontal="center"/>
    </xf>
    <xf numFmtId="2" fontId="10" fillId="25" borderId="79" xfId="0" applyNumberFormat="1" applyFont="1" applyFill="1" applyBorder="1" applyAlignment="1" applyProtection="1">
      <alignment horizontal="center"/>
    </xf>
    <xf numFmtId="0" fontId="0" fillId="35" borderId="12" xfId="0" applyFill="1" applyBorder="1"/>
    <xf numFmtId="0" fontId="3" fillId="25" borderId="12" xfId="0" applyFont="1" applyFill="1" applyBorder="1"/>
    <xf numFmtId="0" fontId="10" fillId="35" borderId="13" xfId="0" applyFont="1" applyFill="1" applyBorder="1" applyAlignment="1">
      <alignment wrapText="1"/>
    </xf>
    <xf numFmtId="2" fontId="10" fillId="37" borderId="13" xfId="0" applyNumberFormat="1" applyFont="1" applyFill="1" applyBorder="1" applyAlignment="1" applyProtection="1">
      <alignment horizontal="center" vertical="center"/>
      <protection locked="0"/>
    </xf>
    <xf numFmtId="2" fontId="10" fillId="25" borderId="13" xfId="0" applyNumberFormat="1" applyFont="1" applyFill="1" applyBorder="1" applyAlignment="1" applyProtection="1">
      <alignment horizontal="center" vertical="center"/>
    </xf>
    <xf numFmtId="0" fontId="82" fillId="25" borderId="11" xfId="0" applyFont="1" applyFill="1" applyBorder="1" applyAlignment="1" applyProtection="1">
      <alignment horizontal="center" vertical="center"/>
    </xf>
    <xf numFmtId="0" fontId="11" fillId="25" borderId="32" xfId="0" applyFont="1" applyFill="1" applyBorder="1" applyAlignment="1" applyProtection="1">
      <alignment horizontal="center" vertical="center"/>
    </xf>
    <xf numFmtId="0" fontId="11" fillId="25" borderId="54" xfId="0" applyFont="1" applyFill="1" applyBorder="1" applyAlignment="1" applyProtection="1">
      <alignment horizontal="center" vertical="center"/>
    </xf>
    <xf numFmtId="0" fontId="82" fillId="25" borderId="32" xfId="0" applyFont="1" applyFill="1" applyBorder="1" applyAlignment="1" applyProtection="1">
      <alignment horizontal="center" vertical="center"/>
    </xf>
    <xf numFmtId="0" fontId="94" fillId="25" borderId="0" xfId="0" applyFont="1" applyFill="1" applyAlignment="1" applyProtection="1">
      <alignment horizontal="center"/>
    </xf>
    <xf numFmtId="0" fontId="10" fillId="25" borderId="38" xfId="0" applyFont="1" applyFill="1" applyBorder="1" applyAlignment="1" applyProtection="1">
      <alignment horizontal="center" vertical="center"/>
    </xf>
    <xf numFmtId="0" fontId="10" fillId="25" borderId="15" xfId="0" applyFont="1" applyFill="1" applyBorder="1" applyAlignment="1" applyProtection="1">
      <alignment horizontal="center"/>
    </xf>
    <xf numFmtId="0" fontId="10" fillId="25" borderId="95" xfId="0" applyFont="1" applyFill="1" applyBorder="1" applyAlignment="1" applyProtection="1">
      <alignment horizontal="center"/>
    </xf>
    <xf numFmtId="0" fontId="10" fillId="25" borderId="0" xfId="0" applyFont="1" applyFill="1" applyBorder="1" applyAlignment="1" applyProtection="1">
      <alignment horizontal="center"/>
    </xf>
    <xf numFmtId="0" fontId="0" fillId="36" borderId="95" xfId="0" applyFill="1" applyBorder="1" applyAlignment="1">
      <alignment horizontal="center"/>
    </xf>
    <xf numFmtId="0" fontId="0" fillId="36" borderId="18" xfId="0" applyFill="1" applyBorder="1" applyAlignment="1">
      <alignment horizontal="center"/>
    </xf>
    <xf numFmtId="0" fontId="0" fillId="36" borderId="27" xfId="0" applyFill="1" applyBorder="1"/>
    <xf numFmtId="0" fontId="0" fillId="36" borderId="30" xfId="0" applyFill="1" applyBorder="1"/>
    <xf numFmtId="0" fontId="0" fillId="36" borderId="0" xfId="0" applyFill="1" applyBorder="1"/>
    <xf numFmtId="0" fontId="0" fillId="36" borderId="26" xfId="0" applyFill="1" applyBorder="1"/>
    <xf numFmtId="0" fontId="0" fillId="36" borderId="28" xfId="0" applyFill="1" applyBorder="1"/>
    <xf numFmtId="0" fontId="0" fillId="36" borderId="28" xfId="0" applyFill="1" applyBorder="1" applyAlignment="1">
      <alignment horizontal="center"/>
    </xf>
    <xf numFmtId="0" fontId="0" fillId="36" borderId="29" xfId="0" applyFill="1" applyBorder="1" applyAlignment="1">
      <alignment horizontal="center"/>
    </xf>
    <xf numFmtId="0" fontId="0" fillId="36" borderId="79" xfId="0" applyFill="1" applyBorder="1"/>
    <xf numFmtId="0" fontId="0" fillId="36" borderId="29" xfId="0" applyFill="1" applyBorder="1"/>
    <xf numFmtId="0" fontId="0" fillId="37" borderId="26" xfId="0" applyFill="1" applyBorder="1"/>
    <xf numFmtId="0" fontId="0" fillId="37" borderId="0" xfId="0" applyFill="1" applyBorder="1"/>
    <xf numFmtId="0" fontId="0" fillId="37" borderId="29" xfId="0" applyFill="1" applyBorder="1"/>
    <xf numFmtId="167" fontId="10" fillId="25" borderId="20" xfId="0" applyNumberFormat="1" applyFont="1" applyFill="1" applyBorder="1" applyAlignment="1" applyProtection="1">
      <alignment horizontal="center"/>
    </xf>
    <xf numFmtId="0" fontId="3" fillId="36" borderId="30" xfId="0" applyFont="1" applyFill="1" applyBorder="1"/>
    <xf numFmtId="167" fontId="10" fillId="25" borderId="95" xfId="0" applyNumberFormat="1" applyFont="1" applyFill="1" applyBorder="1" applyAlignment="1" applyProtection="1">
      <alignment horizontal="center"/>
    </xf>
    <xf numFmtId="0" fontId="10" fillId="36" borderId="12" xfId="0" applyFont="1" applyFill="1" applyBorder="1" applyAlignment="1" applyProtection="1">
      <alignment horizontal="left"/>
    </xf>
    <xf numFmtId="167" fontId="10" fillId="36" borderId="12" xfId="0" applyNumberFormat="1" applyFont="1" applyFill="1" applyBorder="1" applyAlignment="1" applyProtection="1">
      <alignment horizontal="center"/>
    </xf>
    <xf numFmtId="0" fontId="0" fillId="37" borderId="20" xfId="0" applyFill="1" applyBorder="1"/>
    <xf numFmtId="0" fontId="0" fillId="37" borderId="14" xfId="0" applyFill="1" applyBorder="1"/>
    <xf numFmtId="0" fontId="0" fillId="37" borderId="12" xfId="0" applyFill="1" applyBorder="1"/>
    <xf numFmtId="0" fontId="25" fillId="25" borderId="0" xfId="0" applyFont="1" applyFill="1" applyProtection="1"/>
    <xf numFmtId="0" fontId="2" fillId="36" borderId="0" xfId="0" applyFont="1" applyFill="1"/>
    <xf numFmtId="167" fontId="0" fillId="36" borderId="15" xfId="0" applyNumberFormat="1" applyFill="1" applyBorder="1" applyAlignment="1">
      <alignment horizontal="center"/>
    </xf>
    <xf numFmtId="167" fontId="0" fillId="36" borderId="17" xfId="0" applyNumberFormat="1" applyFill="1" applyBorder="1" applyAlignment="1">
      <alignment horizontal="center"/>
    </xf>
    <xf numFmtId="167" fontId="0" fillId="36" borderId="18" xfId="0" applyNumberFormat="1" applyFill="1" applyBorder="1" applyAlignment="1">
      <alignment horizontal="center"/>
    </xf>
    <xf numFmtId="167" fontId="0" fillId="36" borderId="79" xfId="0" applyNumberFormat="1" applyFill="1" applyBorder="1" applyAlignment="1">
      <alignment horizontal="center"/>
    </xf>
    <xf numFmtId="167" fontId="10" fillId="36" borderId="27" xfId="0" applyNumberFormat="1" applyFont="1" applyFill="1" applyBorder="1" applyAlignment="1" applyProtection="1">
      <alignment horizontal="center"/>
    </xf>
    <xf numFmtId="167" fontId="10" fillId="36" borderId="26" xfId="0" applyNumberFormat="1" applyFont="1" applyFill="1" applyBorder="1" applyAlignment="1" applyProtection="1">
      <alignment horizontal="center"/>
    </xf>
    <xf numFmtId="167" fontId="10" fillId="36" borderId="30" xfId="0" applyNumberFormat="1" applyFont="1" applyFill="1" applyBorder="1" applyAlignment="1" applyProtection="1">
      <alignment horizontal="center"/>
    </xf>
    <xf numFmtId="167" fontId="108" fillId="25" borderId="98" xfId="0" applyNumberFormat="1" applyFont="1" applyFill="1" applyBorder="1" applyAlignment="1" applyProtection="1">
      <alignment horizontal="center"/>
    </xf>
    <xf numFmtId="0" fontId="10" fillId="36" borderId="26" xfId="0" applyFont="1" applyFill="1" applyBorder="1" applyAlignment="1" applyProtection="1">
      <alignment horizontal="center"/>
    </xf>
    <xf numFmtId="0" fontId="81" fillId="36" borderId="26" xfId="0" applyFont="1" applyFill="1" applyBorder="1" applyAlignment="1" applyProtection="1">
      <alignment horizontal="center"/>
    </xf>
    <xf numFmtId="0" fontId="81" fillId="36" borderId="30" xfId="0" applyFont="1" applyFill="1" applyBorder="1" applyAlignment="1" applyProtection="1">
      <alignment horizontal="center"/>
    </xf>
    <xf numFmtId="167" fontId="10" fillId="25" borderId="26" xfId="0" applyNumberFormat="1" applyFont="1" applyFill="1" applyBorder="1" applyAlignment="1" applyProtection="1">
      <alignment horizontal="center"/>
    </xf>
    <xf numFmtId="164" fontId="10" fillId="25" borderId="52" xfId="0" applyNumberFormat="1" applyFont="1" applyFill="1" applyBorder="1" applyAlignment="1" applyProtection="1">
      <alignment horizontal="center" vertical="center" wrapText="1"/>
    </xf>
    <xf numFmtId="0" fontId="94" fillId="25" borderId="0" xfId="0" applyFont="1" applyFill="1" applyBorder="1" applyProtection="1"/>
    <xf numFmtId="2" fontId="94" fillId="25" borderId="0" xfId="0" applyNumberFormat="1" applyFont="1" applyFill="1" applyBorder="1" applyProtection="1"/>
    <xf numFmtId="167" fontId="94" fillId="25" borderId="0" xfId="0" applyNumberFormat="1" applyFont="1" applyFill="1" applyBorder="1" applyProtection="1"/>
    <xf numFmtId="0" fontId="83" fillId="25" borderId="0" xfId="0" applyFont="1" applyFill="1" applyBorder="1" applyAlignment="1" applyProtection="1">
      <alignment horizontal="center"/>
    </xf>
    <xf numFmtId="0" fontId="90" fillId="25" borderId="0" xfId="0" applyFont="1" applyFill="1" applyBorder="1" applyProtection="1"/>
    <xf numFmtId="0" fontId="91" fillId="25" borderId="0" xfId="0" applyFont="1" applyFill="1" applyBorder="1" applyProtection="1"/>
    <xf numFmtId="0" fontId="90" fillId="36" borderId="0" xfId="0" applyFont="1" applyFill="1" applyBorder="1" applyProtection="1"/>
    <xf numFmtId="167" fontId="10" fillId="25" borderId="57" xfId="0" applyNumberFormat="1" applyFont="1" applyFill="1" applyBorder="1" applyAlignment="1">
      <alignment horizontal="center" vertical="center"/>
    </xf>
    <xf numFmtId="0" fontId="10" fillId="25" borderId="87" xfId="0" applyFont="1" applyFill="1" applyBorder="1" applyAlignment="1">
      <alignment horizontal="center" vertical="center"/>
    </xf>
    <xf numFmtId="167" fontId="81" fillId="37" borderId="82" xfId="32" applyNumberFormat="1" applyFont="1" applyFill="1" applyBorder="1" applyAlignment="1" applyProtection="1">
      <alignment horizontal="center" vertical="center"/>
      <protection locked="0"/>
    </xf>
    <xf numFmtId="2" fontId="81" fillId="36" borderId="21" xfId="0" applyNumberFormat="1" applyFont="1" applyFill="1" applyBorder="1" applyAlignment="1">
      <alignment horizontal="center" vertical="center"/>
    </xf>
    <xf numFmtId="0" fontId="81" fillId="36" borderId="21" xfId="0" applyFont="1" applyFill="1" applyBorder="1" applyAlignment="1">
      <alignment horizontal="center" vertical="center"/>
    </xf>
    <xf numFmtId="0" fontId="85" fillId="36" borderId="41" xfId="0" applyFont="1" applyFill="1" applyBorder="1" applyAlignment="1">
      <alignment horizontal="center" wrapText="1"/>
    </xf>
    <xf numFmtId="0" fontId="10" fillId="25" borderId="74" xfId="0" applyFont="1" applyFill="1" applyBorder="1" applyAlignment="1" applyProtection="1">
      <alignment horizontal="center" vertical="center"/>
    </xf>
    <xf numFmtId="0" fontId="85" fillId="36" borderId="19" xfId="0" applyFont="1" applyFill="1" applyBorder="1" applyAlignment="1">
      <alignment horizontal="center"/>
    </xf>
    <xf numFmtId="0" fontId="85" fillId="36" borderId="17" xfId="0" applyFont="1" applyFill="1" applyBorder="1" applyAlignment="1">
      <alignment horizontal="center" wrapText="1"/>
    </xf>
    <xf numFmtId="171" fontId="10" fillId="25" borderId="74" xfId="32" applyNumberFormat="1" applyFont="1" applyFill="1" applyBorder="1" applyAlignment="1" applyProtection="1">
      <alignment horizontal="center" vertical="center"/>
    </xf>
    <xf numFmtId="0" fontId="6" fillId="25" borderId="47" xfId="0" applyFont="1" applyFill="1" applyBorder="1" applyAlignment="1" applyProtection="1">
      <alignment horizontal="center" vertical="center" wrapText="1"/>
    </xf>
    <xf numFmtId="0" fontId="10" fillId="25" borderId="45" xfId="0" applyFont="1" applyFill="1" applyBorder="1" applyAlignment="1" applyProtection="1">
      <alignment horizontal="right" vertical="center"/>
    </xf>
    <xf numFmtId="167" fontId="10" fillId="25" borderId="68" xfId="0" applyNumberFormat="1" applyFont="1" applyFill="1" applyBorder="1" applyAlignment="1" applyProtection="1">
      <alignment horizontal="center" vertical="center"/>
    </xf>
    <xf numFmtId="0" fontId="6" fillId="25" borderId="74" xfId="0" applyFont="1" applyFill="1" applyBorder="1" applyAlignment="1" applyProtection="1">
      <alignment horizontal="center" vertical="center" wrapText="1"/>
    </xf>
    <xf numFmtId="0" fontId="6" fillId="25" borderId="20" xfId="0" applyFont="1" applyFill="1" applyBorder="1" applyAlignment="1" applyProtection="1">
      <alignment horizontal="center" vertical="center" wrapText="1"/>
    </xf>
    <xf numFmtId="167" fontId="83" fillId="25" borderId="0" xfId="0" applyNumberFormat="1" applyFont="1" applyFill="1" applyBorder="1" applyAlignment="1" applyProtection="1">
      <alignment horizontal="right"/>
    </xf>
    <xf numFmtId="0" fontId="83" fillId="25" borderId="0" xfId="0" applyFont="1" applyFill="1" applyBorder="1" applyAlignment="1" applyProtection="1">
      <alignment horizontal="right" wrapText="1"/>
    </xf>
    <xf numFmtId="0" fontId="83" fillId="25" borderId="0" xfId="0" applyFont="1" applyFill="1" applyBorder="1" applyAlignment="1" applyProtection="1">
      <alignment horizontal="right"/>
    </xf>
    <xf numFmtId="167" fontId="90" fillId="25" borderId="0" xfId="0" applyNumberFormat="1" applyFont="1" applyFill="1" applyBorder="1" applyAlignment="1" applyProtection="1"/>
    <xf numFmtId="0" fontId="83" fillId="25" borderId="0" xfId="0" quotePrefix="1" applyFont="1" applyFill="1" applyBorder="1" applyProtection="1"/>
    <xf numFmtId="0" fontId="83" fillId="25" borderId="0" xfId="0" applyFont="1" applyFill="1" applyAlignment="1" applyProtection="1">
      <alignment horizontal="right"/>
    </xf>
    <xf numFmtId="0" fontId="10" fillId="31" borderId="13" xfId="0" applyFont="1" applyFill="1" applyBorder="1" applyAlignment="1">
      <alignment horizontal="left" wrapText="1"/>
    </xf>
    <xf numFmtId="0" fontId="6" fillId="25" borderId="96" xfId="0" applyFont="1" applyFill="1" applyBorder="1" applyAlignment="1" applyProtection="1">
      <alignment horizontal="center"/>
    </xf>
    <xf numFmtId="0" fontId="6" fillId="25" borderId="40" xfId="0" applyFont="1" applyFill="1" applyBorder="1" applyAlignment="1" applyProtection="1">
      <alignment horizontal="center" vertical="center" wrapText="1"/>
      <protection locked="0"/>
    </xf>
    <xf numFmtId="0" fontId="10" fillId="29" borderId="40" xfId="0" applyFont="1" applyFill="1" applyBorder="1" applyAlignment="1" applyProtection="1">
      <alignment horizontal="center" vertical="center" wrapText="1"/>
      <protection locked="0"/>
    </xf>
    <xf numFmtId="0" fontId="11" fillId="25" borderId="52" xfId="0" applyFont="1" applyFill="1" applyBorder="1" applyAlignment="1" applyProtection="1">
      <alignment horizontal="center" vertical="center"/>
    </xf>
    <xf numFmtId="0" fontId="25" fillId="25" borderId="0" xfId="0" applyFont="1" applyFill="1" applyBorder="1" applyAlignment="1" applyProtection="1">
      <alignment horizontal="left" vertical="center"/>
    </xf>
    <xf numFmtId="0" fontId="6" fillId="35" borderId="17" xfId="0" applyFont="1" applyFill="1" applyBorder="1" applyAlignment="1" applyProtection="1">
      <alignment horizontal="center" vertical="center"/>
    </xf>
    <xf numFmtId="0" fontId="54" fillId="25" borderId="0" xfId="0" applyFont="1" applyFill="1" applyAlignment="1" applyProtection="1">
      <alignment horizontal="center"/>
    </xf>
    <xf numFmtId="0" fontId="54" fillId="25" borderId="0" xfId="0" applyFont="1" applyFill="1" applyAlignment="1" applyProtection="1">
      <alignment horizontal="center" vertical="center"/>
    </xf>
    <xf numFmtId="0" fontId="117" fillId="25" borderId="0" xfId="0" applyFont="1" applyFill="1" applyProtection="1"/>
    <xf numFmtId="0" fontId="54" fillId="25" borderId="0" xfId="0" applyFont="1" applyFill="1" applyProtection="1"/>
    <xf numFmtId="0" fontId="54" fillId="25" borderId="0" xfId="0" applyFont="1" applyFill="1" applyAlignment="1" applyProtection="1"/>
    <xf numFmtId="0" fontId="54" fillId="25" borderId="0" xfId="0" applyFont="1" applyFill="1"/>
    <xf numFmtId="0" fontId="54" fillId="36" borderId="0" xfId="0" applyFont="1" applyFill="1"/>
    <xf numFmtId="0" fontId="54" fillId="0" borderId="0" xfId="0" applyFont="1"/>
    <xf numFmtId="0" fontId="54" fillId="36" borderId="29" xfId="0" applyFont="1" applyFill="1" applyBorder="1"/>
    <xf numFmtId="0" fontId="54" fillId="36" borderId="29" xfId="0" applyFont="1" applyFill="1" applyBorder="1" applyAlignment="1">
      <alignment horizontal="center"/>
    </xf>
    <xf numFmtId="0" fontId="54" fillId="36" borderId="0" xfId="0" applyFont="1" applyFill="1" applyBorder="1"/>
    <xf numFmtId="0" fontId="54" fillId="25" borderId="0" xfId="0" applyFont="1" applyFill="1" applyAlignment="1">
      <alignment horizontal="center" vertical="center"/>
    </xf>
    <xf numFmtId="0" fontId="54" fillId="25" borderId="0" xfId="0" applyFont="1" applyFill="1" applyAlignment="1">
      <alignment vertical="center"/>
    </xf>
    <xf numFmtId="0" fontId="54" fillId="25" borderId="0" xfId="0" applyFont="1" applyFill="1" applyBorder="1" applyAlignment="1">
      <alignment horizontal="center" vertical="center"/>
    </xf>
    <xf numFmtId="0" fontId="81" fillId="36" borderId="28" xfId="0" applyFont="1" applyFill="1" applyBorder="1" applyAlignment="1">
      <alignment horizontal="left"/>
    </xf>
    <xf numFmtId="0" fontId="54" fillId="25" borderId="0" xfId="0" applyFont="1" applyFill="1" applyBorder="1" applyAlignment="1" applyProtection="1">
      <alignment horizontal="center"/>
    </xf>
    <xf numFmtId="0" fontId="24" fillId="25" borderId="0" xfId="0" applyFont="1" applyFill="1" applyAlignment="1" applyProtection="1">
      <alignment horizontal="left"/>
    </xf>
    <xf numFmtId="0" fontId="81" fillId="36" borderId="0" xfId="0" applyFont="1" applyFill="1" applyAlignment="1">
      <alignment horizontal="left"/>
    </xf>
    <xf numFmtId="0" fontId="10" fillId="25" borderId="0" xfId="0" applyFont="1" applyFill="1" applyAlignment="1" applyProtection="1">
      <alignment horizontal="left"/>
    </xf>
    <xf numFmtId="167" fontId="26" fillId="25" borderId="0" xfId="0" applyNumberFormat="1" applyFont="1" applyFill="1" applyAlignment="1" applyProtection="1">
      <alignment horizontal="left"/>
    </xf>
    <xf numFmtId="0" fontId="83" fillId="36" borderId="28" xfId="0" applyFont="1" applyFill="1" applyBorder="1" applyAlignment="1">
      <alignment horizontal="left"/>
    </xf>
    <xf numFmtId="0" fontId="54" fillId="36" borderId="29" xfId="0" applyFont="1" applyFill="1" applyBorder="1" applyAlignment="1">
      <alignment vertical="center"/>
    </xf>
    <xf numFmtId="0" fontId="54" fillId="36" borderId="29" xfId="0" applyFont="1" applyFill="1" applyBorder="1" applyAlignment="1">
      <alignment horizontal="center" vertical="center"/>
    </xf>
    <xf numFmtId="0" fontId="54" fillId="36" borderId="0" xfId="0" applyFont="1" applyFill="1" applyAlignment="1">
      <alignment horizontal="center"/>
    </xf>
    <xf numFmtId="0" fontId="54" fillId="25" borderId="0" xfId="0" applyFont="1" applyFill="1" applyBorder="1" applyAlignment="1" applyProtection="1">
      <alignment horizontal="center" vertical="center"/>
    </xf>
    <xf numFmtId="2" fontId="54" fillId="25" borderId="0" xfId="0" applyNumberFormat="1" applyFont="1" applyFill="1" applyProtection="1"/>
    <xf numFmtId="0" fontId="54" fillId="36" borderId="0" xfId="0" applyFont="1" applyFill="1" applyProtection="1"/>
    <xf numFmtId="0" fontId="54" fillId="25" borderId="52" xfId="0" applyFont="1" applyFill="1" applyBorder="1" applyAlignment="1" applyProtection="1">
      <alignment horizontal="center" vertical="center" wrapText="1"/>
    </xf>
    <xf numFmtId="168" fontId="10" fillId="25" borderId="0" xfId="0" applyNumberFormat="1" applyFont="1" applyFill="1" applyProtection="1"/>
    <xf numFmtId="0" fontId="25" fillId="25" borderId="0" xfId="0" applyFont="1" applyFill="1" applyBorder="1" applyAlignment="1" applyProtection="1">
      <alignment horizontal="left" vertical="center" wrapText="1"/>
    </xf>
    <xf numFmtId="167" fontId="0" fillId="36" borderId="27" xfId="0" applyNumberFormat="1" applyFill="1" applyBorder="1" applyAlignment="1">
      <alignment horizontal="center"/>
    </xf>
    <xf numFmtId="0" fontId="6" fillId="25" borderId="91" xfId="0" applyFont="1" applyFill="1" applyBorder="1" applyAlignment="1" applyProtection="1">
      <alignment horizontal="center" vertical="center" wrapText="1"/>
    </xf>
    <xf numFmtId="0" fontId="6" fillId="25" borderId="91" xfId="0" applyFont="1" applyFill="1" applyBorder="1" applyAlignment="1" applyProtection="1">
      <alignment horizontal="center" vertical="center"/>
    </xf>
    <xf numFmtId="9" fontId="83" fillId="28" borderId="33" xfId="32" applyFont="1" applyFill="1" applyBorder="1" applyAlignment="1" applyProtection="1">
      <alignment horizontal="center" vertical="center"/>
      <protection locked="0"/>
    </xf>
    <xf numFmtId="0" fontId="10" fillId="25" borderId="46" xfId="0" applyFont="1" applyFill="1" applyBorder="1" applyProtection="1"/>
    <xf numFmtId="0" fontId="0" fillId="36" borderId="17" xfId="0" applyFill="1" applyBorder="1"/>
    <xf numFmtId="0" fontId="0" fillId="36" borderId="19" xfId="0" applyFill="1" applyBorder="1"/>
    <xf numFmtId="0" fontId="0" fillId="25" borderId="16" xfId="0" applyFill="1" applyBorder="1" applyProtection="1"/>
    <xf numFmtId="0" fontId="4" fillId="25" borderId="16" xfId="0" applyFont="1" applyFill="1" applyBorder="1" applyProtection="1"/>
    <xf numFmtId="0" fontId="0" fillId="25" borderId="93" xfId="0" applyFill="1" applyBorder="1" applyProtection="1"/>
    <xf numFmtId="0" fontId="3" fillId="25" borderId="25" xfId="0" applyFont="1" applyFill="1" applyBorder="1" applyProtection="1"/>
    <xf numFmtId="0" fontId="0" fillId="48" borderId="103" xfId="0" applyFill="1" applyBorder="1" applyAlignment="1"/>
    <xf numFmtId="0" fontId="0" fillId="48" borderId="102" xfId="0" applyFill="1" applyBorder="1"/>
    <xf numFmtId="0" fontId="0" fillId="48" borderId="101" xfId="0" applyFill="1" applyBorder="1" applyAlignment="1"/>
    <xf numFmtId="0" fontId="0" fillId="48" borderId="0" xfId="0" applyFill="1" applyBorder="1"/>
    <xf numFmtId="0" fontId="0" fillId="48" borderId="101" xfId="0" applyFill="1" applyBorder="1"/>
    <xf numFmtId="0" fontId="118" fillId="48" borderId="102" xfId="0" applyFont="1" applyFill="1" applyBorder="1" applyAlignment="1">
      <alignment horizontal="center"/>
    </xf>
    <xf numFmtId="0" fontId="118" fillId="48" borderId="0" xfId="0" applyFont="1" applyFill="1" applyBorder="1" applyAlignment="1">
      <alignment horizontal="center"/>
    </xf>
    <xf numFmtId="0" fontId="0" fillId="48" borderId="59" xfId="0" applyFill="1" applyBorder="1"/>
    <xf numFmtId="0" fontId="0" fillId="48" borderId="105" xfId="0" applyFill="1" applyBorder="1"/>
    <xf numFmtId="0" fontId="0" fillId="48" borderId="100" xfId="0" applyFill="1" applyBorder="1" applyAlignment="1"/>
    <xf numFmtId="0" fontId="0" fillId="48" borderId="0" xfId="0" applyFill="1" applyBorder="1" applyAlignment="1"/>
    <xf numFmtId="0" fontId="0" fillId="48" borderId="0" xfId="0" applyFill="1" applyBorder="1" applyAlignment="1">
      <alignment horizontal="center"/>
    </xf>
    <xf numFmtId="0" fontId="0" fillId="48" borderId="101" xfId="0" applyFill="1" applyBorder="1" applyAlignment="1">
      <alignment horizontal="center"/>
    </xf>
    <xf numFmtId="0" fontId="0" fillId="48" borderId="99" xfId="0" applyFill="1" applyBorder="1" applyAlignment="1">
      <alignment horizontal="center"/>
    </xf>
    <xf numFmtId="0" fontId="0" fillId="48" borderId="102" xfId="0" applyFill="1" applyBorder="1" applyAlignment="1">
      <alignment horizontal="center"/>
    </xf>
    <xf numFmtId="2" fontId="0" fillId="48" borderId="102" xfId="0" applyNumberFormat="1" applyFill="1" applyBorder="1" applyAlignment="1">
      <alignment horizontal="center"/>
    </xf>
    <xf numFmtId="2" fontId="0" fillId="48" borderId="0" xfId="0" applyNumberFormat="1" applyFill="1" applyBorder="1" applyAlignment="1">
      <alignment horizontal="center"/>
    </xf>
    <xf numFmtId="167" fontId="0" fillId="48" borderId="102" xfId="0" applyNumberFormat="1" applyFill="1" applyBorder="1" applyAlignment="1">
      <alignment horizontal="center"/>
    </xf>
    <xf numFmtId="167" fontId="0" fillId="48" borderId="0" xfId="0" applyNumberFormat="1" applyFill="1" applyBorder="1" applyAlignment="1">
      <alignment horizontal="center"/>
    </xf>
    <xf numFmtId="167" fontId="0" fillId="48" borderId="104" xfId="0" applyNumberFormat="1" applyFill="1" applyBorder="1" applyAlignment="1">
      <alignment horizontal="center"/>
    </xf>
    <xf numFmtId="167" fontId="0" fillId="48" borderId="59" xfId="0" applyNumberFormat="1" applyFill="1" applyBorder="1" applyAlignment="1">
      <alignment horizontal="center"/>
    </xf>
    <xf numFmtId="0" fontId="79" fillId="36" borderId="0" xfId="0" applyFont="1" applyFill="1"/>
    <xf numFmtId="0" fontId="118" fillId="36" borderId="0" xfId="0" applyFont="1" applyFill="1" applyBorder="1"/>
    <xf numFmtId="0" fontId="0" fillId="48" borderId="102" xfId="0" applyFill="1" applyBorder="1" applyAlignment="1">
      <alignment horizontal="left"/>
    </xf>
    <xf numFmtId="0" fontId="0" fillId="36" borderId="0" xfId="0" applyFill="1" applyAlignment="1">
      <alignment horizontal="left"/>
    </xf>
    <xf numFmtId="1" fontId="0" fillId="48" borderId="102" xfId="0" applyNumberFormat="1" applyFill="1" applyBorder="1" applyAlignment="1">
      <alignment horizontal="center"/>
    </xf>
    <xf numFmtId="1" fontId="0" fillId="48" borderId="0" xfId="0" applyNumberFormat="1" applyFill="1" applyBorder="1" applyAlignment="1">
      <alignment horizontal="center"/>
    </xf>
    <xf numFmtId="0" fontId="0" fillId="25" borderId="29" xfId="0" applyFill="1" applyBorder="1" applyAlignment="1">
      <alignment horizontal="center"/>
    </xf>
    <xf numFmtId="0" fontId="0" fillId="25" borderId="19" xfId="0" applyFill="1" applyBorder="1" applyAlignment="1">
      <alignment horizontal="center"/>
    </xf>
    <xf numFmtId="0" fontId="10" fillId="25" borderId="71" xfId="0" applyFont="1" applyFill="1" applyBorder="1" applyAlignment="1" applyProtection="1">
      <alignment vertical="center"/>
    </xf>
    <xf numFmtId="0" fontId="10" fillId="25" borderId="46" xfId="0" applyFont="1" applyFill="1" applyBorder="1" applyAlignment="1" applyProtection="1">
      <alignment vertical="center"/>
    </xf>
    <xf numFmtId="2" fontId="78" fillId="36" borderId="106" xfId="0" applyNumberFormat="1" applyFont="1" applyFill="1" applyBorder="1" applyAlignment="1">
      <alignment horizontal="center"/>
    </xf>
    <xf numFmtId="0" fontId="3" fillId="25" borderId="107" xfId="0" applyFont="1" applyFill="1" applyBorder="1"/>
    <xf numFmtId="0" fontId="0" fillId="25" borderId="95" xfId="0" applyFill="1" applyBorder="1" applyAlignment="1">
      <alignment horizontal="center"/>
    </xf>
    <xf numFmtId="0" fontId="3" fillId="25" borderId="20" xfId="0" applyFont="1" applyFill="1" applyBorder="1"/>
    <xf numFmtId="0" fontId="3" fillId="25" borderId="22" xfId="0" applyFont="1" applyFill="1" applyBorder="1" applyAlignment="1">
      <alignment horizontal="center"/>
    </xf>
    <xf numFmtId="0" fontId="3" fillId="25" borderId="12" xfId="0" applyFont="1" applyFill="1" applyBorder="1" applyAlignment="1">
      <alignment horizontal="center"/>
    </xf>
    <xf numFmtId="0" fontId="0" fillId="25" borderId="106" xfId="0" applyFill="1" applyBorder="1"/>
    <xf numFmtId="0" fontId="0" fillId="25" borderId="106" xfId="0" applyFill="1" applyBorder="1" applyAlignment="1">
      <alignment horizontal="center"/>
    </xf>
    <xf numFmtId="0" fontId="10" fillId="36" borderId="12" xfId="0" applyFont="1" applyFill="1" applyBorder="1" applyProtection="1"/>
    <xf numFmtId="167" fontId="0" fillId="36" borderId="20" xfId="0" applyNumberFormat="1" applyFill="1" applyBorder="1" applyAlignment="1">
      <alignment horizontal="center"/>
    </xf>
    <xf numFmtId="167" fontId="0" fillId="36" borderId="14" xfId="0" applyNumberFormat="1" applyFill="1" applyBorder="1" applyAlignment="1">
      <alignment horizontal="center"/>
    </xf>
    <xf numFmtId="167" fontId="0" fillId="36" borderId="0" xfId="0" applyNumberFormat="1" applyFill="1" applyProtection="1"/>
    <xf numFmtId="171" fontId="91" fillId="41" borderId="14" xfId="32" applyNumberFormat="1" applyFont="1" applyFill="1" applyBorder="1" applyAlignment="1">
      <alignment horizontal="left"/>
    </xf>
    <xf numFmtId="167" fontId="3" fillId="25" borderId="0" xfId="0" applyNumberFormat="1" applyFont="1" applyFill="1" applyProtection="1"/>
    <xf numFmtId="0" fontId="10" fillId="25" borderId="107" xfId="0" applyFont="1" applyFill="1" applyBorder="1" applyProtection="1"/>
    <xf numFmtId="171" fontId="10" fillId="25" borderId="19" xfId="0" applyNumberFormat="1" applyFont="1" applyFill="1" applyBorder="1" applyAlignment="1" applyProtection="1">
      <alignment horizontal="center"/>
    </xf>
    <xf numFmtId="167" fontId="10" fillId="25" borderId="107" xfId="0" applyNumberFormat="1" applyFont="1" applyFill="1" applyBorder="1" applyAlignment="1" applyProtection="1">
      <alignment horizontal="center"/>
    </xf>
    <xf numFmtId="167" fontId="10" fillId="25" borderId="106" xfId="0" applyNumberFormat="1" applyFont="1" applyFill="1" applyBorder="1" applyAlignment="1" applyProtection="1">
      <alignment horizontal="center"/>
    </xf>
    <xf numFmtId="2" fontId="10" fillId="25" borderId="26" xfId="0" applyNumberFormat="1" applyFont="1" applyFill="1" applyBorder="1" applyAlignment="1" applyProtection="1">
      <alignment horizontal="center"/>
    </xf>
    <xf numFmtId="0" fontId="10" fillId="25" borderId="106" xfId="0" applyFont="1" applyFill="1" applyBorder="1" applyProtection="1"/>
    <xf numFmtId="9" fontId="83" fillId="36" borderId="13" xfId="32" applyFont="1" applyFill="1" applyBorder="1" applyAlignment="1" applyProtection="1">
      <alignment horizontal="center" vertical="center"/>
      <protection locked="0"/>
    </xf>
    <xf numFmtId="171" fontId="10" fillId="36" borderId="32" xfId="32" applyNumberFormat="1" applyFont="1" applyFill="1" applyBorder="1" applyAlignment="1" applyProtection="1">
      <alignment horizontal="center" vertical="center" wrapText="1"/>
    </xf>
    <xf numFmtId="0" fontId="10" fillId="25" borderId="12" xfId="0" applyFont="1" applyFill="1" applyBorder="1" applyProtection="1"/>
    <xf numFmtId="9" fontId="10" fillId="25" borderId="12" xfId="32" applyFont="1" applyFill="1" applyBorder="1" applyAlignment="1" applyProtection="1">
      <alignment horizontal="center"/>
    </xf>
    <xf numFmtId="0" fontId="0" fillId="0" borderId="0" xfId="0" applyFill="1" applyBorder="1" applyAlignment="1">
      <alignment horizontal="center"/>
    </xf>
    <xf numFmtId="0" fontId="3" fillId="0" borderId="0" xfId="0" applyFont="1" applyFill="1" applyBorder="1"/>
    <xf numFmtId="14" fontId="3" fillId="0" borderId="0" xfId="0" applyNumberFormat="1" applyFont="1" applyFill="1" applyBorder="1"/>
    <xf numFmtId="0" fontId="0" fillId="0" borderId="0" xfId="0" quotePrefix="1" applyFill="1" applyBorder="1" applyAlignment="1">
      <alignment horizontal="center"/>
    </xf>
    <xf numFmtId="0" fontId="10" fillId="25" borderId="0" xfId="0" applyFont="1" applyFill="1" applyAlignment="1" applyProtection="1">
      <alignment horizontal="right"/>
    </xf>
    <xf numFmtId="0" fontId="10" fillId="25" borderId="12" xfId="0" applyFont="1" applyFill="1" applyBorder="1" applyProtection="1"/>
    <xf numFmtId="0" fontId="0" fillId="25" borderId="112" xfId="0" applyFill="1" applyBorder="1"/>
    <xf numFmtId="0" fontId="10" fillId="37" borderId="30" xfId="0" applyFont="1" applyFill="1" applyBorder="1" applyAlignment="1" applyProtection="1">
      <alignment horizontal="center"/>
    </xf>
    <xf numFmtId="2" fontId="10" fillId="25" borderId="106" xfId="0" applyNumberFormat="1" applyFont="1" applyFill="1" applyBorder="1" applyAlignment="1" applyProtection="1">
      <alignment horizontal="center"/>
    </xf>
    <xf numFmtId="164" fontId="10" fillId="36" borderId="20" xfId="0" applyNumberFormat="1" applyFont="1" applyFill="1" applyBorder="1" applyAlignment="1" applyProtection="1">
      <alignment horizontal="center" vertical="center"/>
      <protection locked="0"/>
    </xf>
    <xf numFmtId="164" fontId="10" fillId="36" borderId="14" xfId="0" applyNumberFormat="1" applyFont="1" applyFill="1" applyBorder="1" applyAlignment="1" applyProtection="1">
      <alignment horizontal="center" vertical="center"/>
      <protection locked="0"/>
    </xf>
    <xf numFmtId="164" fontId="10" fillId="36" borderId="22" xfId="0" applyNumberFormat="1" applyFont="1" applyFill="1" applyBorder="1" applyAlignment="1" applyProtection="1">
      <alignment horizontal="center" vertical="center"/>
      <protection locked="0"/>
    </xf>
    <xf numFmtId="0" fontId="91" fillId="41" borderId="28" xfId="0" applyFont="1" applyFill="1" applyBorder="1" applyAlignment="1">
      <alignment horizontal="center"/>
    </xf>
    <xf numFmtId="0" fontId="91" fillId="41" borderId="0" xfId="0" applyFont="1" applyFill="1" applyBorder="1" applyAlignment="1">
      <alignment horizontal="center"/>
    </xf>
    <xf numFmtId="0" fontId="10" fillId="25" borderId="0" xfId="0" applyFont="1" applyFill="1" applyAlignment="1" applyProtection="1">
      <alignment horizontal="center"/>
    </xf>
    <xf numFmtId="164" fontId="10" fillId="25" borderId="19" xfId="0" applyNumberFormat="1" applyFont="1" applyFill="1" applyBorder="1" applyAlignment="1" applyProtection="1">
      <alignment horizontal="center" vertical="center" wrapText="1"/>
    </xf>
    <xf numFmtId="167" fontId="10" fillId="25" borderId="0" xfId="0" applyNumberFormat="1" applyFont="1" applyFill="1" applyAlignment="1" applyProtection="1">
      <alignment horizontal="center"/>
    </xf>
    <xf numFmtId="1" fontId="10" fillId="41" borderId="0" xfId="0" applyNumberFormat="1" applyFont="1" applyFill="1" applyBorder="1" applyAlignment="1">
      <alignment horizontal="center"/>
    </xf>
    <xf numFmtId="0" fontId="8" fillId="33" borderId="0" xfId="0" applyFont="1" applyFill="1" applyBorder="1"/>
    <xf numFmtId="0" fontId="0" fillId="33" borderId="107" xfId="0" applyFill="1" applyBorder="1"/>
    <xf numFmtId="0" fontId="8" fillId="33" borderId="114" xfId="0" applyFont="1" applyFill="1" applyBorder="1"/>
    <xf numFmtId="0" fontId="8" fillId="33" borderId="112" xfId="0" applyFont="1" applyFill="1" applyBorder="1" applyAlignment="1">
      <alignment horizontal="center"/>
    </xf>
    <xf numFmtId="167" fontId="10" fillId="41" borderId="29" xfId="0" applyNumberFormat="1" applyFont="1" applyFill="1" applyBorder="1" applyAlignment="1">
      <alignment horizontal="center"/>
    </xf>
    <xf numFmtId="1" fontId="28" fillId="41" borderId="28" xfId="0" applyNumberFormat="1" applyFont="1" applyFill="1" applyBorder="1" applyAlignment="1">
      <alignment horizontal="left"/>
    </xf>
    <xf numFmtId="1" fontId="10" fillId="41" borderId="0" xfId="0" applyNumberFormat="1" applyFont="1" applyFill="1" applyBorder="1" applyAlignment="1">
      <alignment horizontal="left"/>
    </xf>
    <xf numFmtId="0" fontId="4" fillId="25" borderId="30" xfId="0" applyFont="1" applyFill="1" applyBorder="1" applyAlignment="1">
      <alignment horizontal="center"/>
    </xf>
    <xf numFmtId="0" fontId="0" fillId="25" borderId="30" xfId="0" applyFill="1" applyBorder="1" applyAlignment="1">
      <alignment horizontal="left"/>
    </xf>
    <xf numFmtId="2" fontId="10" fillId="25" borderId="0" xfId="0" applyNumberFormat="1" applyFont="1" applyFill="1" applyAlignment="1" applyProtection="1">
      <alignment horizontal="center"/>
    </xf>
    <xf numFmtId="0" fontId="3" fillId="25" borderId="0" xfId="0" applyFont="1" applyFill="1" applyBorder="1" applyAlignment="1">
      <alignment horizontal="center"/>
    </xf>
    <xf numFmtId="0" fontId="119" fillId="25" borderId="0" xfId="0" applyFont="1" applyFill="1" applyProtection="1"/>
    <xf numFmtId="0" fontId="101" fillId="25" borderId="0" xfId="0" applyFont="1" applyFill="1" applyBorder="1" applyAlignment="1">
      <alignment horizontal="center"/>
    </xf>
    <xf numFmtId="0" fontId="101" fillId="25" borderId="28" xfId="0" applyFont="1" applyFill="1" applyBorder="1" applyAlignment="1">
      <alignment horizontal="center"/>
    </xf>
    <xf numFmtId="0" fontId="101" fillId="25" borderId="29" xfId="0" applyFont="1" applyFill="1" applyBorder="1" applyAlignment="1">
      <alignment horizontal="center"/>
    </xf>
    <xf numFmtId="0" fontId="101" fillId="25" borderId="26" xfId="0" applyFont="1" applyFill="1" applyBorder="1" applyAlignment="1">
      <alignment horizontal="center"/>
    </xf>
    <xf numFmtId="0" fontId="3" fillId="25" borderId="112" xfId="0" applyFont="1" applyFill="1" applyBorder="1" applyAlignment="1">
      <alignment horizontal="center"/>
    </xf>
    <xf numFmtId="0" fontId="0" fillId="35" borderId="113" xfId="0" applyFill="1" applyBorder="1" applyAlignment="1">
      <alignment horizontal="center"/>
    </xf>
    <xf numFmtId="0" fontId="0" fillId="35" borderId="29" xfId="0" applyFill="1" applyBorder="1" applyAlignment="1">
      <alignment horizontal="center"/>
    </xf>
    <xf numFmtId="0" fontId="0" fillId="35" borderId="19" xfId="0" applyFill="1" applyBorder="1" applyAlignment="1">
      <alignment horizontal="center"/>
    </xf>
    <xf numFmtId="0" fontId="3" fillId="36" borderId="28" xfId="0" applyFont="1" applyFill="1" applyBorder="1"/>
    <xf numFmtId="0" fontId="10" fillId="25" borderId="113" xfId="0" applyFont="1" applyFill="1" applyBorder="1" applyAlignment="1" applyProtection="1">
      <alignment horizontal="center"/>
    </xf>
    <xf numFmtId="0" fontId="10" fillId="25" borderId="107" xfId="0" applyFont="1" applyFill="1" applyBorder="1" applyAlignment="1" applyProtection="1">
      <alignment horizontal="center"/>
    </xf>
    <xf numFmtId="0" fontId="10" fillId="36" borderId="29" xfId="0" applyFont="1" applyFill="1" applyBorder="1" applyAlignment="1">
      <alignment horizontal="center"/>
    </xf>
    <xf numFmtId="0" fontId="3" fillId="37" borderId="28" xfId="0" applyFont="1" applyFill="1" applyBorder="1"/>
    <xf numFmtId="167" fontId="10" fillId="36" borderId="0" xfId="0" applyNumberFormat="1" applyFont="1" applyFill="1" applyBorder="1" applyAlignment="1">
      <alignment horizontal="center"/>
    </xf>
    <xf numFmtId="0" fontId="3" fillId="36" borderId="112" xfId="0" applyFont="1" applyFill="1" applyBorder="1"/>
    <xf numFmtId="0" fontId="0" fillId="36" borderId="112" xfId="0" applyFill="1" applyBorder="1"/>
    <xf numFmtId="0" fontId="3" fillId="37" borderId="26" xfId="0" applyFont="1" applyFill="1" applyBorder="1"/>
    <xf numFmtId="0" fontId="0" fillId="36" borderId="107" xfId="0" applyFill="1" applyBorder="1"/>
    <xf numFmtId="0" fontId="0" fillId="36" borderId="107" xfId="0" applyFill="1" applyBorder="1" applyAlignment="1">
      <alignment horizontal="center"/>
    </xf>
    <xf numFmtId="0" fontId="102" fillId="36" borderId="58" xfId="0" applyFont="1" applyFill="1" applyBorder="1" applyAlignment="1" applyProtection="1">
      <alignment horizontal="center" vertical="center"/>
      <protection locked="0"/>
    </xf>
    <xf numFmtId="0" fontId="10" fillId="25" borderId="28" xfId="0" applyFont="1" applyFill="1" applyBorder="1" applyAlignment="1" applyProtection="1">
      <alignment horizontal="center"/>
    </xf>
    <xf numFmtId="0" fontId="10" fillId="25" borderId="29" xfId="0" applyFont="1" applyFill="1" applyBorder="1" applyAlignment="1" applyProtection="1">
      <alignment horizontal="center"/>
    </xf>
    <xf numFmtId="0" fontId="10" fillId="25" borderId="0" xfId="0" applyFont="1" applyFill="1" applyBorder="1" applyAlignment="1" applyProtection="1">
      <alignment horizontal="center"/>
    </xf>
    <xf numFmtId="0" fontId="10" fillId="36" borderId="28" xfId="0" applyFont="1" applyFill="1" applyBorder="1" applyAlignment="1">
      <alignment horizontal="center"/>
    </xf>
    <xf numFmtId="0" fontId="10" fillId="36" borderId="0" xfId="0" applyFont="1" applyFill="1" applyBorder="1" applyAlignment="1">
      <alignment horizontal="center"/>
    </xf>
    <xf numFmtId="167" fontId="10" fillId="36" borderId="14" xfId="0" applyNumberFormat="1" applyFont="1" applyFill="1" applyBorder="1" applyAlignment="1">
      <alignment horizontal="center"/>
    </xf>
    <xf numFmtId="0" fontId="0" fillId="36" borderId="12" xfId="0" applyFill="1" applyBorder="1"/>
    <xf numFmtId="173" fontId="102" fillId="36" borderId="13" xfId="0" applyNumberFormat="1" applyFont="1" applyFill="1" applyBorder="1" applyAlignment="1" applyProtection="1">
      <alignment horizontal="center" vertical="center"/>
      <protection locked="0"/>
    </xf>
    <xf numFmtId="164" fontId="83" fillId="36" borderId="44" xfId="0" applyNumberFormat="1" applyFont="1" applyFill="1" applyBorder="1" applyAlignment="1" applyProtection="1">
      <alignment horizontal="center" vertical="center"/>
    </xf>
    <xf numFmtId="0" fontId="6" fillId="35" borderId="44" xfId="0" applyFont="1" applyFill="1" applyBorder="1" applyAlignment="1" applyProtection="1">
      <alignment horizontal="center" vertical="center"/>
      <protection locked="0"/>
    </xf>
    <xf numFmtId="167" fontId="10" fillId="25" borderId="112" xfId="0" applyNumberFormat="1" applyFont="1" applyFill="1" applyBorder="1" applyAlignment="1" applyProtection="1">
      <alignment horizontal="center"/>
    </xf>
    <xf numFmtId="0" fontId="6" fillId="48" borderId="30" xfId="0" applyFont="1" applyFill="1" applyBorder="1" applyAlignment="1" applyProtection="1">
      <alignment horizontal="center" vertical="center"/>
      <protection locked="0"/>
    </xf>
    <xf numFmtId="0" fontId="10" fillId="36" borderId="0" xfId="0" applyFont="1" applyFill="1" applyAlignment="1">
      <alignment horizontal="center"/>
    </xf>
    <xf numFmtId="0" fontId="11" fillId="25" borderId="79" xfId="0" applyFont="1" applyFill="1" applyBorder="1" applyAlignment="1" applyProtection="1">
      <alignment horizontal="left" vertical="center"/>
    </xf>
    <xf numFmtId="0" fontId="10" fillId="25" borderId="61" xfId="0" applyFont="1" applyFill="1" applyBorder="1" applyAlignment="1">
      <alignment vertical="center"/>
    </xf>
    <xf numFmtId="0" fontId="0" fillId="25" borderId="28" xfId="0" applyFill="1" applyBorder="1" applyAlignment="1">
      <alignment horizontal="center"/>
    </xf>
    <xf numFmtId="0" fontId="10" fillId="25" borderId="0" xfId="0" applyFont="1" applyFill="1" applyBorder="1" applyAlignment="1" applyProtection="1">
      <alignment horizontal="center"/>
    </xf>
    <xf numFmtId="0" fontId="0" fillId="25" borderId="107" xfId="0" applyFill="1" applyBorder="1"/>
    <xf numFmtId="0" fontId="0" fillId="25" borderId="113" xfId="0" applyFill="1" applyBorder="1"/>
    <xf numFmtId="0" fontId="0" fillId="25" borderId="112" xfId="0" applyFill="1" applyBorder="1" applyAlignment="1">
      <alignment horizontal="center"/>
    </xf>
    <xf numFmtId="0" fontId="17" fillId="25" borderId="0" xfId="0" applyFont="1" applyFill="1" applyAlignment="1" applyProtection="1">
      <alignment horizontal="left"/>
    </xf>
    <xf numFmtId="0" fontId="10" fillId="25" borderId="113" xfId="0" applyFont="1" applyFill="1" applyBorder="1" applyAlignment="1">
      <alignment vertical="top"/>
    </xf>
    <xf numFmtId="0" fontId="10" fillId="25" borderId="112" xfId="0" applyFont="1" applyFill="1" applyBorder="1" applyAlignment="1">
      <alignment horizontal="left" vertical="top"/>
    </xf>
    <xf numFmtId="0" fontId="10" fillId="44" borderId="107" xfId="0" applyFont="1" applyFill="1" applyBorder="1" applyAlignment="1">
      <alignment vertical="top"/>
    </xf>
    <xf numFmtId="0" fontId="10" fillId="44" borderId="113" xfId="0" applyFont="1" applyFill="1" applyBorder="1" applyAlignment="1">
      <alignment vertical="top"/>
    </xf>
    <xf numFmtId="0" fontId="6" fillId="25" borderId="69" xfId="0" applyFont="1" applyFill="1" applyBorder="1" applyAlignment="1">
      <alignment horizontal="center" vertical="center" wrapText="1"/>
    </xf>
    <xf numFmtId="0" fontId="10" fillId="25" borderId="112" xfId="0" applyFont="1" applyFill="1" applyBorder="1" applyAlignment="1">
      <alignment vertical="top"/>
    </xf>
    <xf numFmtId="0" fontId="102" fillId="25" borderId="0" xfId="0" applyFont="1" applyFill="1" applyAlignment="1">
      <alignment vertical="top"/>
    </xf>
    <xf numFmtId="0" fontId="101" fillId="25" borderId="0" xfId="0" applyFont="1" applyFill="1"/>
    <xf numFmtId="0" fontId="101" fillId="35" borderId="0" xfId="0" applyFont="1" applyFill="1" applyAlignment="1">
      <alignment horizontal="center"/>
    </xf>
    <xf numFmtId="0" fontId="10" fillId="25" borderId="107" xfId="0" applyFont="1" applyFill="1" applyBorder="1" applyAlignment="1">
      <alignment vertical="top"/>
    </xf>
    <xf numFmtId="0" fontId="10" fillId="25" borderId="29" xfId="0" applyFont="1" applyFill="1" applyBorder="1" applyAlignment="1">
      <alignment horizontal="center" vertical="top"/>
    </xf>
    <xf numFmtId="0" fontId="10" fillId="25" borderId="28" xfId="0" applyFont="1" applyFill="1" applyBorder="1" applyAlignment="1">
      <alignment horizontal="center" vertical="top"/>
    </xf>
    <xf numFmtId="0" fontId="10" fillId="25" borderId="0" xfId="0" applyFont="1" applyFill="1" applyBorder="1" applyAlignment="1">
      <alignment horizontal="center" vertical="top"/>
    </xf>
    <xf numFmtId="0" fontId="6" fillId="25" borderId="69" xfId="0" applyFont="1" applyFill="1" applyBorder="1" applyAlignment="1">
      <alignment horizontal="left" vertical="center" wrapText="1"/>
    </xf>
    <xf numFmtId="171" fontId="101" fillId="25" borderId="0" xfId="0" applyNumberFormat="1" applyFont="1" applyFill="1" applyBorder="1" applyAlignment="1">
      <alignment horizontal="center"/>
    </xf>
    <xf numFmtId="171" fontId="101" fillId="25" borderId="26" xfId="0" applyNumberFormat="1" applyFont="1" applyFill="1" applyBorder="1" applyAlignment="1">
      <alignment horizontal="center"/>
    </xf>
    <xf numFmtId="0" fontId="10" fillId="25" borderId="112" xfId="0" applyFont="1" applyFill="1" applyBorder="1" applyProtection="1"/>
    <xf numFmtId="0" fontId="10" fillId="36" borderId="112" xfId="0" applyFont="1" applyFill="1" applyBorder="1" applyProtection="1"/>
    <xf numFmtId="0" fontId="10" fillId="36" borderId="112" xfId="0" applyFont="1" applyFill="1" applyBorder="1" applyAlignment="1" applyProtection="1">
      <alignment horizontal="center"/>
    </xf>
    <xf numFmtId="0" fontId="10" fillId="37" borderId="26" xfId="0" applyFont="1" applyFill="1" applyBorder="1" applyAlignment="1" applyProtection="1">
      <alignment horizontal="center"/>
    </xf>
    <xf numFmtId="2" fontId="10" fillId="36" borderId="26" xfId="0" applyNumberFormat="1" applyFont="1" applyFill="1" applyBorder="1" applyAlignment="1" applyProtection="1">
      <alignment horizontal="center"/>
    </xf>
    <xf numFmtId="0" fontId="0" fillId="37" borderId="29" xfId="0" applyFill="1" applyBorder="1" applyAlignment="1">
      <alignment horizontal="center"/>
    </xf>
    <xf numFmtId="167" fontId="10" fillId="36" borderId="18" xfId="0" applyNumberFormat="1" applyFont="1" applyFill="1" applyBorder="1" applyAlignment="1">
      <alignment horizontal="center"/>
    </xf>
    <xf numFmtId="167" fontId="10" fillId="36" borderId="79" xfId="0" applyNumberFormat="1" applyFont="1" applyFill="1" applyBorder="1" applyAlignment="1">
      <alignment horizontal="center"/>
    </xf>
    <xf numFmtId="0" fontId="0" fillId="25" borderId="28" xfId="0" applyFill="1" applyBorder="1" applyAlignment="1">
      <alignment horizontal="center"/>
    </xf>
    <xf numFmtId="0" fontId="0" fillId="25" borderId="17" xfId="0" applyFill="1" applyBorder="1" applyAlignment="1">
      <alignment horizontal="center"/>
    </xf>
    <xf numFmtId="164" fontId="25" fillId="25" borderId="32" xfId="0" applyNumberFormat="1" applyFont="1" applyFill="1" applyBorder="1" applyAlignment="1" applyProtection="1">
      <alignment horizontal="center" vertical="center" wrapText="1"/>
    </xf>
    <xf numFmtId="9" fontId="83" fillId="46" borderId="16" xfId="32" applyFont="1" applyFill="1" applyBorder="1" applyAlignment="1" applyProtection="1">
      <alignment horizontal="center" vertical="center"/>
      <protection locked="0"/>
    </xf>
    <xf numFmtId="0" fontId="0" fillId="25" borderId="0" xfId="0" applyFill="1" applyAlignment="1">
      <alignment vertical="center"/>
    </xf>
    <xf numFmtId="0" fontId="10" fillId="25" borderId="89" xfId="0" applyFont="1" applyFill="1" applyBorder="1" applyAlignment="1">
      <alignment vertical="center"/>
    </xf>
    <xf numFmtId="0" fontId="10" fillId="25" borderId="35" xfId="0" applyFont="1" applyFill="1" applyBorder="1" applyAlignment="1">
      <alignment vertical="center"/>
    </xf>
    <xf numFmtId="0" fontId="10" fillId="25" borderId="75" xfId="0" applyFont="1" applyFill="1" applyBorder="1" applyAlignment="1">
      <alignment vertical="center"/>
    </xf>
    <xf numFmtId="0" fontId="3" fillId="25" borderId="0" xfId="0" applyFont="1" applyFill="1" applyAlignment="1">
      <alignment vertical="center"/>
    </xf>
    <xf numFmtId="0" fontId="10" fillId="25" borderId="29" xfId="0" applyFont="1" applyFill="1" applyBorder="1" applyAlignment="1">
      <alignment vertical="center"/>
    </xf>
    <xf numFmtId="0" fontId="10" fillId="25" borderId="81" xfId="0" applyFont="1" applyFill="1" applyBorder="1" applyAlignment="1">
      <alignment horizontal="left" vertical="center" wrapText="1"/>
    </xf>
    <xf numFmtId="0" fontId="3" fillId="0" borderId="0" xfId="0" applyFont="1" applyBorder="1" applyAlignment="1">
      <alignment horizontal="left"/>
    </xf>
    <xf numFmtId="9" fontId="83" fillId="46" borderId="13" xfId="32" applyFont="1" applyFill="1" applyBorder="1" applyAlignment="1" applyProtection="1">
      <alignment horizontal="center" vertical="center"/>
      <protection locked="0"/>
    </xf>
    <xf numFmtId="0" fontId="0" fillId="25" borderId="107" xfId="0" applyFill="1" applyBorder="1" applyAlignment="1">
      <alignment horizontal="center"/>
    </xf>
    <xf numFmtId="0" fontId="0" fillId="25" borderId="112" xfId="0" applyFill="1" applyBorder="1" applyAlignment="1">
      <alignment horizontal="left"/>
    </xf>
    <xf numFmtId="0" fontId="35" fillId="25" borderId="13" xfId="0" applyFont="1" applyFill="1" applyBorder="1" applyAlignment="1">
      <alignment wrapText="1"/>
    </xf>
    <xf numFmtId="0" fontId="0" fillId="25" borderId="116" xfId="0" applyFill="1" applyBorder="1" applyAlignment="1">
      <alignment horizontal="center" vertical="center"/>
    </xf>
    <xf numFmtId="0" fontId="0" fillId="25" borderId="33" xfId="0" applyFill="1" applyBorder="1" applyAlignment="1">
      <alignment horizontal="center" vertical="center"/>
    </xf>
    <xf numFmtId="0" fontId="0" fillId="25" borderId="84" xfId="0" applyFill="1" applyBorder="1" applyAlignment="1">
      <alignment horizontal="center" vertical="center"/>
    </xf>
    <xf numFmtId="0" fontId="10" fillId="25" borderId="73" xfId="0" applyFont="1" applyFill="1" applyBorder="1" applyAlignment="1">
      <alignment horizontal="center" vertical="center"/>
    </xf>
    <xf numFmtId="0" fontId="10" fillId="25" borderId="42" xfId="0" applyFont="1" applyFill="1" applyBorder="1" applyAlignment="1">
      <alignment horizontal="center" vertical="center"/>
    </xf>
    <xf numFmtId="0" fontId="10" fillId="25" borderId="85" xfId="0" applyFont="1" applyFill="1" applyBorder="1" applyAlignment="1">
      <alignment horizontal="center" vertical="center"/>
    </xf>
    <xf numFmtId="0" fontId="10" fillId="25" borderId="115" xfId="0" applyFont="1" applyFill="1" applyBorder="1" applyAlignment="1">
      <alignment horizontal="center" vertical="center"/>
    </xf>
    <xf numFmtId="0" fontId="10" fillId="25" borderId="74" xfId="0" applyFont="1" applyFill="1" applyBorder="1" applyAlignment="1">
      <alignment horizontal="center" vertical="center"/>
    </xf>
    <xf numFmtId="0" fontId="10" fillId="25" borderId="82" xfId="0" applyFont="1" applyFill="1" applyBorder="1" applyAlignment="1">
      <alignment horizontal="center" vertical="center"/>
    </xf>
    <xf numFmtId="0" fontId="10" fillId="44" borderId="74" xfId="0" applyFont="1" applyFill="1" applyBorder="1" applyAlignment="1">
      <alignment horizontal="center" vertical="center"/>
    </xf>
    <xf numFmtId="0" fontId="10" fillId="44" borderId="21" xfId="0" applyFont="1" applyFill="1" applyBorder="1" applyAlignment="1">
      <alignment horizontal="center" vertical="center"/>
    </xf>
    <xf numFmtId="0" fontId="10" fillId="44" borderId="82" xfId="0" applyFont="1" applyFill="1" applyBorder="1" applyAlignment="1">
      <alignment horizontal="center" vertical="center"/>
    </xf>
    <xf numFmtId="0" fontId="10" fillId="36" borderId="112" xfId="0" applyFont="1" applyFill="1" applyBorder="1"/>
    <xf numFmtId="0" fontId="10" fillId="37" borderId="112" xfId="0" applyFont="1" applyFill="1" applyBorder="1" applyProtection="1"/>
    <xf numFmtId="0" fontId="10" fillId="36" borderId="26" xfId="0" applyFont="1" applyFill="1" applyBorder="1"/>
    <xf numFmtId="0" fontId="10" fillId="25" borderId="17" xfId="0" applyFont="1" applyFill="1" applyBorder="1" applyAlignment="1" applyProtection="1">
      <alignment vertical="center"/>
    </xf>
    <xf numFmtId="0" fontId="6" fillId="25" borderId="28" xfId="0" quotePrefix="1" applyFont="1" applyFill="1" applyBorder="1" applyAlignment="1">
      <alignment horizontal="left" vertical="center"/>
    </xf>
    <xf numFmtId="0" fontId="6" fillId="25" borderId="0" xfId="0" quotePrefix="1" applyFont="1" applyFill="1" applyBorder="1" applyAlignment="1">
      <alignment horizontal="left" vertical="center"/>
    </xf>
    <xf numFmtId="0" fontId="6" fillId="25" borderId="29" xfId="0" quotePrefix="1" applyFont="1" applyFill="1" applyBorder="1" applyAlignment="1">
      <alignment horizontal="left" vertical="center"/>
    </xf>
    <xf numFmtId="0" fontId="101" fillId="25" borderId="17" xfId="0" applyFont="1" applyFill="1" applyBorder="1" applyAlignment="1">
      <alignment horizontal="center"/>
    </xf>
    <xf numFmtId="0" fontId="101" fillId="25" borderId="19" xfId="0" applyFont="1" applyFill="1" applyBorder="1" applyAlignment="1">
      <alignment horizontal="center"/>
    </xf>
    <xf numFmtId="0" fontId="10" fillId="25" borderId="112" xfId="0" applyFont="1" applyFill="1" applyBorder="1" applyAlignment="1">
      <alignment horizontal="center"/>
    </xf>
    <xf numFmtId="0" fontId="10" fillId="25" borderId="18" xfId="0" applyFont="1" applyFill="1" applyBorder="1" applyAlignment="1">
      <alignment vertical="center"/>
    </xf>
    <xf numFmtId="0" fontId="10" fillId="25" borderId="68" xfId="0" applyFont="1" applyFill="1" applyBorder="1" applyAlignment="1" applyProtection="1">
      <alignment horizontal="right" vertical="center"/>
    </xf>
    <xf numFmtId="0" fontId="11" fillId="25" borderId="44" xfId="0" applyFont="1" applyFill="1" applyBorder="1" applyAlignment="1">
      <alignment horizontal="center" vertical="center"/>
    </xf>
    <xf numFmtId="0" fontId="11" fillId="25" borderId="80" xfId="0" applyFont="1" applyFill="1" applyBorder="1" applyAlignment="1">
      <alignment horizontal="center" vertical="center"/>
    </xf>
    <xf numFmtId="0" fontId="10" fillId="25" borderId="81" xfId="0" applyFont="1" applyFill="1" applyBorder="1" applyAlignment="1">
      <alignment horizontal="left" vertical="top" wrapText="1"/>
    </xf>
    <xf numFmtId="0" fontId="10" fillId="25" borderId="28" xfId="0" applyFont="1" applyFill="1" applyBorder="1" applyAlignment="1" applyProtection="1">
      <alignment horizontal="center"/>
    </xf>
    <xf numFmtId="0" fontId="10" fillId="25" borderId="29" xfId="0" applyFont="1" applyFill="1" applyBorder="1" applyAlignment="1" applyProtection="1">
      <alignment horizontal="center"/>
    </xf>
    <xf numFmtId="0" fontId="10" fillId="25" borderId="0" xfId="0" applyFont="1" applyFill="1" applyBorder="1" applyAlignment="1" applyProtection="1">
      <alignment horizontal="center"/>
    </xf>
    <xf numFmtId="0" fontId="10" fillId="25" borderId="114" xfId="0" applyFont="1" applyFill="1" applyBorder="1" applyAlignment="1" applyProtection="1">
      <alignment horizontal="center"/>
    </xf>
    <xf numFmtId="0" fontId="10" fillId="25" borderId="113" xfId="0" applyFont="1" applyFill="1" applyBorder="1" applyProtection="1"/>
    <xf numFmtId="0" fontId="0" fillId="25" borderId="29" xfId="0" applyFill="1" applyBorder="1" applyAlignment="1">
      <alignment horizontal="center"/>
    </xf>
    <xf numFmtId="0" fontId="0" fillId="25" borderId="19" xfId="0" applyFill="1" applyBorder="1" applyAlignment="1">
      <alignment horizontal="center"/>
    </xf>
    <xf numFmtId="0" fontId="91" fillId="41" borderId="28" xfId="0" applyFont="1" applyFill="1" applyBorder="1" applyAlignment="1">
      <alignment horizontal="center"/>
    </xf>
    <xf numFmtId="0" fontId="91" fillId="41" borderId="29" xfId="0" applyFont="1" applyFill="1" applyBorder="1" applyAlignment="1">
      <alignment horizontal="center"/>
    </xf>
    <xf numFmtId="0" fontId="90" fillId="41" borderId="112" xfId="0" applyFont="1" applyFill="1" applyBorder="1"/>
    <xf numFmtId="0" fontId="0" fillId="25" borderId="113" xfId="0" applyFill="1" applyBorder="1" applyAlignment="1">
      <alignment horizontal="center"/>
    </xf>
    <xf numFmtId="0" fontId="91" fillId="41" borderId="112" xfId="0" applyFont="1" applyFill="1" applyBorder="1" applyAlignment="1">
      <alignment horizontal="center"/>
    </xf>
    <xf numFmtId="0" fontId="78" fillId="25" borderId="28" xfId="0" applyFont="1" applyFill="1" applyBorder="1" applyAlignment="1">
      <alignment horizontal="center"/>
    </xf>
    <xf numFmtId="0" fontId="78" fillId="25" borderId="29" xfId="0" applyFont="1" applyFill="1" applyBorder="1" applyAlignment="1">
      <alignment horizontal="center"/>
    </xf>
    <xf numFmtId="0" fontId="78" fillId="25" borderId="17" xfId="0" applyFont="1" applyFill="1" applyBorder="1" applyAlignment="1">
      <alignment horizontal="center"/>
    </xf>
    <xf numFmtId="0" fontId="78" fillId="25" borderId="19" xfId="0" applyFont="1" applyFill="1" applyBorder="1" applyAlignment="1">
      <alignment horizontal="center"/>
    </xf>
    <xf numFmtId="0" fontId="94" fillId="41" borderId="107" xfId="0" applyFont="1" applyFill="1" applyBorder="1" applyAlignment="1">
      <alignment horizontal="center"/>
    </xf>
    <xf numFmtId="0" fontId="107" fillId="41" borderId="113" xfId="0" applyFont="1" applyFill="1" applyBorder="1" applyAlignment="1">
      <alignment horizontal="center"/>
    </xf>
    <xf numFmtId="0" fontId="0" fillId="25" borderId="0" xfId="0" applyFill="1" applyAlignment="1" applyProtection="1">
      <alignment horizontal="center"/>
    </xf>
    <xf numFmtId="0" fontId="0" fillId="25" borderId="28" xfId="0" applyFill="1" applyBorder="1" applyAlignment="1">
      <alignment horizontal="center"/>
    </xf>
    <xf numFmtId="0" fontId="0" fillId="25" borderId="29" xfId="0" applyFill="1" applyBorder="1" applyAlignment="1">
      <alignment horizontal="center"/>
    </xf>
    <xf numFmtId="0" fontId="91" fillId="41" borderId="28" xfId="0" applyFont="1" applyFill="1" applyBorder="1" applyAlignment="1">
      <alignment horizontal="center"/>
    </xf>
    <xf numFmtId="0" fontId="91" fillId="41" borderId="29" xfId="0" applyFont="1" applyFill="1" applyBorder="1" applyAlignment="1">
      <alignment horizontal="center"/>
    </xf>
    <xf numFmtId="0" fontId="0" fillId="25" borderId="17" xfId="0" applyFill="1" applyBorder="1" applyAlignment="1">
      <alignment horizontal="center"/>
    </xf>
    <xf numFmtId="0" fontId="0" fillId="25" borderId="19" xfId="0" applyFill="1" applyBorder="1" applyAlignment="1">
      <alignment horizontal="center"/>
    </xf>
    <xf numFmtId="0" fontId="108" fillId="25" borderId="0" xfId="0" applyFont="1" applyFill="1" applyProtection="1"/>
    <xf numFmtId="0" fontId="98" fillId="36" borderId="0" xfId="0" applyFont="1" applyFill="1" applyProtection="1"/>
    <xf numFmtId="167" fontId="10" fillId="24" borderId="92" xfId="0" applyNumberFormat="1" applyFont="1" applyFill="1" applyBorder="1" applyAlignment="1" applyProtection="1">
      <alignment horizontal="center"/>
      <protection locked="0"/>
    </xf>
    <xf numFmtId="167" fontId="10" fillId="24" borderId="94" xfId="0" applyNumberFormat="1" applyFont="1" applyFill="1" applyBorder="1" applyAlignment="1" applyProtection="1">
      <alignment horizontal="center"/>
      <protection locked="0"/>
    </xf>
    <xf numFmtId="0" fontId="10" fillId="25" borderId="92" xfId="0" applyFont="1" applyFill="1" applyBorder="1" applyAlignment="1">
      <alignment horizontal="center"/>
    </xf>
    <xf numFmtId="0" fontId="14" fillId="25" borderId="107" xfId="0" applyFont="1" applyFill="1" applyBorder="1" applyProtection="1"/>
    <xf numFmtId="0" fontId="14" fillId="25" borderId="114" xfId="0" applyFont="1" applyFill="1" applyBorder="1" applyProtection="1"/>
    <xf numFmtId="0" fontId="14" fillId="25" borderId="113" xfId="0" applyFont="1" applyFill="1" applyBorder="1" applyProtection="1"/>
    <xf numFmtId="0" fontId="14" fillId="25" borderId="17" xfId="0" applyFont="1" applyFill="1" applyBorder="1" applyProtection="1"/>
    <xf numFmtId="0" fontId="14" fillId="25" borderId="19" xfId="0" applyFont="1" applyFill="1" applyBorder="1" applyProtection="1"/>
    <xf numFmtId="3" fontId="10" fillId="24" borderId="39" xfId="0" applyNumberFormat="1" applyFont="1" applyFill="1" applyBorder="1" applyAlignment="1" applyProtection="1">
      <alignment horizontal="center"/>
      <protection locked="0"/>
    </xf>
    <xf numFmtId="3" fontId="78" fillId="36" borderId="32" xfId="0" applyNumberFormat="1" applyFont="1" applyFill="1" applyBorder="1"/>
    <xf numFmtId="3" fontId="10" fillId="24" borderId="52" xfId="0" applyNumberFormat="1" applyFont="1" applyFill="1" applyBorder="1" applyAlignment="1" applyProtection="1">
      <alignment horizontal="center"/>
      <protection locked="0"/>
    </xf>
    <xf numFmtId="0" fontId="8" fillId="33" borderId="95" xfId="0" applyFont="1" applyFill="1" applyBorder="1" applyAlignment="1">
      <alignment horizontal="center"/>
    </xf>
    <xf numFmtId="0" fontId="8" fillId="33" borderId="29" xfId="0" applyFont="1" applyFill="1" applyBorder="1" applyAlignment="1">
      <alignment horizontal="center"/>
    </xf>
    <xf numFmtId="0" fontId="42" fillId="25" borderId="26" xfId="0" applyFont="1" applyFill="1" applyBorder="1" applyAlignment="1">
      <alignment horizontal="center"/>
    </xf>
    <xf numFmtId="0" fontId="78" fillId="36" borderId="11" xfId="0" applyFont="1" applyFill="1" applyBorder="1" applyAlignment="1">
      <alignment horizontal="center"/>
    </xf>
    <xf numFmtId="0" fontId="78" fillId="36" borderId="28" xfId="0" applyFont="1" applyFill="1" applyBorder="1" applyAlignment="1">
      <alignment horizontal="center"/>
    </xf>
    <xf numFmtId="0" fontId="3" fillId="25" borderId="29" xfId="0" applyFont="1" applyFill="1" applyBorder="1"/>
    <xf numFmtId="0" fontId="14" fillId="25" borderId="28" xfId="0" applyFont="1" applyFill="1" applyBorder="1" applyAlignment="1" applyProtection="1">
      <alignment horizontal="center"/>
    </xf>
    <xf numFmtId="167" fontId="81" fillId="36" borderId="61" xfId="0" applyNumberFormat="1" applyFont="1" applyFill="1" applyBorder="1" applyAlignment="1">
      <alignment horizontal="center"/>
    </xf>
    <xf numFmtId="173" fontId="81" fillId="36" borderId="31" xfId="0" applyNumberFormat="1" applyFont="1" applyFill="1" applyBorder="1" applyAlignment="1">
      <alignment horizontal="center"/>
    </xf>
    <xf numFmtId="0" fontId="78" fillId="36" borderId="107" xfId="0" applyFont="1" applyFill="1" applyBorder="1" applyAlignment="1">
      <alignment horizontal="center"/>
    </xf>
    <xf numFmtId="0" fontId="81" fillId="36" borderId="112" xfId="0" applyFont="1" applyFill="1" applyBorder="1" applyAlignment="1">
      <alignment horizontal="center"/>
    </xf>
    <xf numFmtId="173" fontId="78" fillId="36" borderId="26" xfId="0" applyNumberFormat="1" applyFont="1" applyFill="1" applyBorder="1" applyAlignment="1">
      <alignment horizontal="center"/>
    </xf>
    <xf numFmtId="0" fontId="78" fillId="36" borderId="112" xfId="0" applyFont="1" applyFill="1" applyBorder="1" applyAlignment="1">
      <alignment horizontal="center"/>
    </xf>
    <xf numFmtId="0" fontId="14" fillId="25" borderId="107" xfId="0" applyFont="1" applyFill="1" applyBorder="1" applyAlignment="1" applyProtection="1">
      <alignment horizontal="center"/>
    </xf>
    <xf numFmtId="0" fontId="78" fillId="36" borderId="81" xfId="0" applyFont="1" applyFill="1" applyBorder="1" applyAlignment="1">
      <alignment horizontal="center"/>
    </xf>
    <xf numFmtId="1" fontId="78" fillId="36" borderId="29" xfId="0" applyNumberFormat="1" applyFont="1" applyFill="1" applyBorder="1" applyAlignment="1">
      <alignment horizontal="center"/>
    </xf>
    <xf numFmtId="173" fontId="14" fillId="25" borderId="0" xfId="0" applyNumberFormat="1" applyFont="1" applyFill="1" applyAlignment="1" applyProtection="1">
      <alignment horizontal="center"/>
    </xf>
    <xf numFmtId="0" fontId="81" fillId="36" borderId="0" xfId="0" applyFont="1" applyFill="1" applyAlignment="1" applyProtection="1">
      <alignment horizontal="center"/>
      <protection locked="0"/>
    </xf>
    <xf numFmtId="169" fontId="78" fillId="36" borderId="81" xfId="0" applyNumberFormat="1" applyFont="1" applyFill="1" applyBorder="1" applyAlignment="1">
      <alignment horizontal="center"/>
    </xf>
    <xf numFmtId="0" fontId="91" fillId="41" borderId="0" xfId="0" applyFont="1" applyFill="1" applyBorder="1" applyAlignment="1">
      <alignment horizontal="center"/>
    </xf>
    <xf numFmtId="0" fontId="0" fillId="25" borderId="28" xfId="0" applyFill="1" applyBorder="1" applyAlignment="1">
      <alignment horizontal="center"/>
    </xf>
    <xf numFmtId="0" fontId="0" fillId="25" borderId="29" xfId="0" applyFill="1" applyBorder="1" applyAlignment="1">
      <alignment horizontal="center"/>
    </xf>
    <xf numFmtId="0" fontId="0" fillId="25" borderId="17" xfId="0" applyFill="1" applyBorder="1" applyAlignment="1">
      <alignment horizontal="center"/>
    </xf>
    <xf numFmtId="0" fontId="0" fillId="25" borderId="18" xfId="0" applyFill="1" applyBorder="1" applyAlignment="1">
      <alignment horizontal="center"/>
    </xf>
    <xf numFmtId="0" fontId="89" fillId="43" borderId="16" xfId="0" applyFont="1" applyFill="1" applyBorder="1" applyAlignment="1" applyProtection="1">
      <alignment horizontal="center" vertical="center"/>
      <protection locked="0"/>
    </xf>
    <xf numFmtId="2" fontId="0" fillId="39" borderId="107" xfId="0" applyNumberFormat="1" applyFill="1" applyBorder="1" applyAlignment="1">
      <alignment horizontal="center"/>
    </xf>
    <xf numFmtId="2" fontId="0" fillId="39" borderId="28" xfId="0" applyNumberFormat="1" applyFill="1" applyBorder="1" applyAlignment="1">
      <alignment horizontal="center"/>
    </xf>
    <xf numFmtId="2" fontId="0" fillId="39" borderId="17" xfId="0" applyNumberFormat="1" applyFill="1" applyBorder="1" applyAlignment="1">
      <alignment horizontal="center"/>
    </xf>
    <xf numFmtId="169" fontId="0" fillId="36" borderId="0" xfId="0" applyNumberFormat="1" applyFill="1" applyBorder="1" applyAlignment="1">
      <alignment horizontal="center"/>
    </xf>
    <xf numFmtId="169" fontId="0" fillId="36" borderId="28" xfId="0" applyNumberFormat="1" applyFill="1" applyBorder="1" applyAlignment="1">
      <alignment horizontal="center"/>
    </xf>
    <xf numFmtId="169" fontId="0" fillId="36" borderId="29" xfId="0" applyNumberFormat="1" applyFill="1" applyBorder="1" applyAlignment="1">
      <alignment horizontal="center"/>
    </xf>
    <xf numFmtId="0" fontId="91" fillId="41" borderId="0" xfId="0" applyFont="1" applyFill="1" applyBorder="1"/>
    <xf numFmtId="0" fontId="91" fillId="41" borderId="30" xfId="0" applyFont="1" applyFill="1" applyBorder="1"/>
    <xf numFmtId="167" fontId="3" fillId="25" borderId="28" xfId="0" applyNumberFormat="1" applyFont="1" applyFill="1" applyBorder="1" applyAlignment="1">
      <alignment horizontal="center"/>
    </xf>
    <xf numFmtId="167" fontId="3" fillId="25" borderId="0" xfId="0" applyNumberFormat="1" applyFont="1" applyFill="1" applyBorder="1" applyAlignment="1">
      <alignment horizontal="center"/>
    </xf>
    <xf numFmtId="167" fontId="3" fillId="25" borderId="29" xfId="0" applyNumberFormat="1" applyFont="1" applyFill="1" applyBorder="1" applyAlignment="1">
      <alignment horizontal="center"/>
    </xf>
    <xf numFmtId="0" fontId="3" fillId="25" borderId="29" xfId="0" applyFont="1" applyFill="1" applyBorder="1" applyAlignment="1">
      <alignment horizontal="center"/>
    </xf>
    <xf numFmtId="0" fontId="3" fillId="25" borderId="28" xfId="0" applyFont="1" applyFill="1" applyBorder="1" applyAlignment="1">
      <alignment horizontal="center"/>
    </xf>
    <xf numFmtId="0" fontId="3" fillId="25" borderId="17" xfId="0" applyFont="1" applyFill="1" applyBorder="1" applyAlignment="1">
      <alignment horizontal="center"/>
    </xf>
    <xf numFmtId="0" fontId="8" fillId="26" borderId="107" xfId="0" applyFont="1" applyFill="1" applyBorder="1"/>
    <xf numFmtId="0" fontId="0" fillId="26" borderId="95" xfId="0" applyFill="1" applyBorder="1"/>
    <xf numFmtId="0" fontId="14" fillId="25" borderId="107" xfId="0" applyFont="1" applyFill="1" applyBorder="1" applyAlignment="1">
      <alignment horizontal="left"/>
    </xf>
    <xf numFmtId="0" fontId="14" fillId="25" borderId="95" xfId="0" applyFont="1" applyFill="1" applyBorder="1" applyAlignment="1">
      <alignment horizontal="left"/>
    </xf>
    <xf numFmtId="0" fontId="41" fillId="25" borderId="32" xfId="0" applyFont="1" applyFill="1" applyBorder="1" applyAlignment="1" applyProtection="1">
      <alignment horizontal="center" vertical="center" wrapText="1"/>
    </xf>
    <xf numFmtId="0" fontId="0" fillId="25" borderId="107" xfId="0" applyFill="1" applyBorder="1" applyAlignment="1">
      <alignment horizontal="left"/>
    </xf>
    <xf numFmtId="9" fontId="0" fillId="25" borderId="95" xfId="32" applyFont="1" applyFill="1" applyBorder="1" applyAlignment="1">
      <alignment horizontal="center"/>
    </xf>
    <xf numFmtId="164" fontId="93" fillId="25" borderId="13" xfId="0" applyNumberFormat="1" applyFont="1" applyFill="1" applyBorder="1" applyAlignment="1" applyProtection="1">
      <alignment horizontal="center" vertical="center" wrapText="1"/>
      <protection locked="0"/>
    </xf>
    <xf numFmtId="0" fontId="93" fillId="25" borderId="13" xfId="0" applyFont="1" applyFill="1" applyBorder="1" applyAlignment="1" applyProtection="1">
      <alignment horizontal="center" vertical="center" wrapText="1"/>
      <protection locked="0"/>
    </xf>
    <xf numFmtId="9" fontId="10" fillId="25" borderId="17" xfId="0" applyNumberFormat="1" applyFont="1" applyFill="1" applyBorder="1" applyAlignment="1">
      <alignment horizontal="center"/>
    </xf>
    <xf numFmtId="9" fontId="10" fillId="25" borderId="18" xfId="0" applyNumberFormat="1" applyFont="1" applyFill="1" applyBorder="1" applyAlignment="1">
      <alignment horizontal="center"/>
    </xf>
    <xf numFmtId="9" fontId="10" fillId="25" borderId="19" xfId="0" applyNumberFormat="1" applyFont="1" applyFill="1" applyBorder="1" applyAlignment="1">
      <alignment horizontal="center"/>
    </xf>
    <xf numFmtId="0" fontId="3" fillId="25" borderId="113" xfId="0" applyFont="1" applyFill="1" applyBorder="1" applyAlignment="1">
      <alignment horizontal="center" wrapText="1"/>
    </xf>
    <xf numFmtId="0" fontId="3" fillId="25" borderId="29" xfId="0" applyFont="1" applyFill="1" applyBorder="1" applyAlignment="1">
      <alignment horizontal="center" wrapText="1"/>
    </xf>
    <xf numFmtId="0" fontId="3" fillId="25" borderId="19" xfId="0" applyFont="1" applyFill="1" applyBorder="1" applyAlignment="1">
      <alignment horizontal="center" wrapText="1"/>
    </xf>
    <xf numFmtId="0" fontId="0" fillId="25" borderId="29" xfId="0" applyFill="1" applyBorder="1" applyAlignment="1">
      <alignment horizontal="center"/>
    </xf>
    <xf numFmtId="0" fontId="3" fillId="36" borderId="12" xfId="0" applyFont="1" applyFill="1" applyBorder="1"/>
    <xf numFmtId="0" fontId="14" fillId="25" borderId="12" xfId="0" applyFont="1" applyFill="1" applyBorder="1" applyProtection="1"/>
    <xf numFmtId="0" fontId="8" fillId="30" borderId="12" xfId="0" applyFont="1" applyFill="1" applyBorder="1" applyAlignment="1" applyProtection="1">
      <alignment horizontal="center"/>
      <protection locked="0"/>
    </xf>
    <xf numFmtId="0" fontId="8" fillId="30" borderId="30" xfId="0" applyFont="1" applyFill="1" applyBorder="1" applyAlignment="1" applyProtection="1">
      <alignment horizontal="center"/>
      <protection locked="0"/>
    </xf>
    <xf numFmtId="0" fontId="8" fillId="26" borderId="114" xfId="0" applyFont="1" applyFill="1" applyBorder="1" applyAlignment="1">
      <alignment horizontal="center"/>
    </xf>
    <xf numFmtId="0" fontId="8" fillId="26" borderId="112" xfId="0" applyFont="1" applyFill="1" applyBorder="1" applyAlignment="1">
      <alignment horizontal="center"/>
    </xf>
    <xf numFmtId="9" fontId="0" fillId="25" borderId="112" xfId="32" applyFont="1" applyFill="1" applyBorder="1" applyAlignment="1">
      <alignment horizontal="center"/>
    </xf>
    <xf numFmtId="9" fontId="0" fillId="25" borderId="26" xfId="32" applyFont="1" applyFill="1" applyBorder="1" applyAlignment="1">
      <alignment horizontal="center"/>
    </xf>
    <xf numFmtId="9" fontId="0" fillId="25" borderId="30" xfId="32" applyFont="1" applyFill="1" applyBorder="1" applyAlignment="1">
      <alignment horizontal="center"/>
    </xf>
    <xf numFmtId="0" fontId="43" fillId="25" borderId="10" xfId="0" applyFont="1" applyFill="1" applyBorder="1" applyAlignment="1" applyProtection="1">
      <alignment horizontal="center" vertical="center" wrapText="1"/>
    </xf>
    <xf numFmtId="0" fontId="25" fillId="25" borderId="18" xfId="0" applyFont="1" applyFill="1" applyBorder="1" applyAlignment="1" applyProtection="1">
      <alignment vertical="center"/>
    </xf>
    <xf numFmtId="0" fontId="0" fillId="37" borderId="18" xfId="0" applyFill="1" applyBorder="1"/>
    <xf numFmtId="0" fontId="0" fillId="36" borderId="14" xfId="0" applyFill="1" applyBorder="1" applyAlignment="1">
      <alignment horizontal="center"/>
    </xf>
    <xf numFmtId="167" fontId="10" fillId="36" borderId="20" xfId="0" applyNumberFormat="1" applyFont="1" applyFill="1" applyBorder="1" applyAlignment="1" applyProtection="1">
      <alignment horizontal="center"/>
    </xf>
    <xf numFmtId="167" fontId="10" fillId="36" borderId="14" xfId="0" applyNumberFormat="1" applyFont="1" applyFill="1" applyBorder="1" applyAlignment="1" applyProtection="1">
      <alignment horizontal="center"/>
    </xf>
    <xf numFmtId="167" fontId="10" fillId="36" borderId="22" xfId="0" applyNumberFormat="1" applyFont="1" applyFill="1" applyBorder="1" applyAlignment="1" applyProtection="1">
      <alignment horizontal="center"/>
    </xf>
    <xf numFmtId="171" fontId="10" fillId="25" borderId="34" xfId="32" applyNumberFormat="1" applyFont="1" applyFill="1" applyBorder="1" applyAlignment="1">
      <alignment horizontal="center"/>
    </xf>
    <xf numFmtId="167" fontId="10" fillId="25" borderId="35" xfId="32" applyNumberFormat="1" applyFont="1" applyFill="1" applyBorder="1" applyAlignment="1">
      <alignment horizontal="center"/>
    </xf>
    <xf numFmtId="171" fontId="14" fillId="25" borderId="34" xfId="32" applyNumberFormat="1" applyFont="1" applyFill="1" applyBorder="1" applyAlignment="1" applyProtection="1">
      <alignment horizontal="center"/>
    </xf>
    <xf numFmtId="167" fontId="10" fillId="25" borderId="35" xfId="32" applyNumberFormat="1" applyFont="1" applyFill="1" applyBorder="1" applyAlignment="1" applyProtection="1">
      <alignment horizontal="center"/>
    </xf>
    <xf numFmtId="167" fontId="14" fillId="25" borderId="35" xfId="32" applyNumberFormat="1" applyFont="1" applyFill="1" applyBorder="1" applyAlignment="1" applyProtection="1">
      <alignment horizontal="center"/>
    </xf>
    <xf numFmtId="0" fontId="10" fillId="25" borderId="47" xfId="0" applyFont="1" applyFill="1" applyBorder="1" applyAlignment="1" applyProtection="1"/>
    <xf numFmtId="9" fontId="11" fillId="25" borderId="16" xfId="32" applyFont="1" applyFill="1" applyBorder="1" applyAlignment="1" applyProtection="1">
      <alignment horizontal="center"/>
    </xf>
    <xf numFmtId="167" fontId="11" fillId="25" borderId="16" xfId="0" applyNumberFormat="1" applyFont="1" applyFill="1" applyBorder="1" applyAlignment="1" applyProtection="1">
      <alignment horizontal="center"/>
    </xf>
    <xf numFmtId="167" fontId="11" fillId="25" borderId="19" xfId="0" applyNumberFormat="1" applyFont="1" applyFill="1" applyBorder="1" applyAlignment="1" applyProtection="1">
      <alignment horizontal="center"/>
    </xf>
    <xf numFmtId="0" fontId="14" fillId="25" borderId="34" xfId="0" applyFont="1" applyFill="1" applyBorder="1" applyAlignment="1" applyProtection="1">
      <alignment horizontal="center"/>
    </xf>
    <xf numFmtId="0" fontId="0" fillId="25" borderId="35" xfId="0" applyFill="1" applyBorder="1" applyAlignment="1">
      <alignment horizontal="center"/>
    </xf>
    <xf numFmtId="0" fontId="41" fillId="25" borderId="47" xfId="0" applyFont="1" applyFill="1" applyBorder="1" applyAlignment="1" applyProtection="1">
      <alignment horizontal="center"/>
    </xf>
    <xf numFmtId="0" fontId="11" fillId="25" borderId="47" xfId="0" applyFont="1" applyFill="1" applyBorder="1" applyAlignment="1" applyProtection="1">
      <alignment horizontal="center"/>
    </xf>
    <xf numFmtId="0" fontId="56" fillId="36" borderId="13" xfId="0" applyFont="1" applyFill="1" applyBorder="1" applyAlignment="1">
      <alignment wrapText="1"/>
    </xf>
    <xf numFmtId="0" fontId="91" fillId="41" borderId="26" xfId="0" applyFont="1" applyFill="1" applyBorder="1" applyAlignment="1">
      <alignment horizontal="center" wrapText="1"/>
    </xf>
    <xf numFmtId="0" fontId="0" fillId="41" borderId="26" xfId="0" applyFill="1" applyBorder="1"/>
    <xf numFmtId="0" fontId="10" fillId="25" borderId="71" xfId="0" applyFont="1" applyFill="1" applyBorder="1" applyAlignment="1" applyProtection="1">
      <alignment vertical="center"/>
    </xf>
    <xf numFmtId="0" fontId="10" fillId="25" borderId="71" xfId="0" applyFont="1" applyFill="1" applyBorder="1" applyAlignment="1" applyProtection="1">
      <alignment vertical="center"/>
    </xf>
    <xf numFmtId="1" fontId="0" fillId="25" borderId="29" xfId="0" applyNumberFormat="1" applyFill="1" applyBorder="1" applyAlignment="1">
      <alignment horizontal="center"/>
    </xf>
    <xf numFmtId="4" fontId="10" fillId="35" borderId="13" xfId="0" applyNumberFormat="1" applyFont="1" applyFill="1" applyBorder="1" applyAlignment="1" applyProtection="1">
      <alignment horizontal="center" vertical="center"/>
      <protection locked="0"/>
    </xf>
    <xf numFmtId="0" fontId="6" fillId="25" borderId="46" xfId="0" applyFont="1" applyFill="1" applyBorder="1" applyAlignment="1" applyProtection="1">
      <alignment horizontal="right" vertical="center"/>
    </xf>
    <xf numFmtId="1" fontId="0" fillId="25" borderId="112" xfId="0" applyNumberFormat="1" applyFill="1" applyBorder="1" applyAlignment="1">
      <alignment horizontal="center"/>
    </xf>
    <xf numFmtId="167" fontId="10" fillId="36" borderId="19" xfId="0" applyNumberFormat="1" applyFont="1" applyFill="1" applyBorder="1" applyAlignment="1" applyProtection="1">
      <alignment horizontal="center"/>
    </xf>
    <xf numFmtId="0" fontId="10" fillId="25" borderId="95" xfId="0" applyFont="1" applyFill="1" applyBorder="1" applyAlignment="1" applyProtection="1">
      <alignment horizontal="center"/>
    </xf>
    <xf numFmtId="173" fontId="10" fillId="35" borderId="13" xfId="0" applyNumberFormat="1" applyFont="1" applyFill="1" applyBorder="1" applyAlignment="1" applyProtection="1">
      <alignment horizontal="center" vertical="center"/>
      <protection locked="0"/>
    </xf>
    <xf numFmtId="171" fontId="101" fillId="25" borderId="79" xfId="0" applyNumberFormat="1" applyFont="1" applyFill="1" applyBorder="1" applyAlignment="1">
      <alignment horizontal="center"/>
    </xf>
    <xf numFmtId="171" fontId="101" fillId="25" borderId="27" xfId="0" applyNumberFormat="1" applyFont="1" applyFill="1" applyBorder="1" applyAlignment="1">
      <alignment horizontal="center"/>
    </xf>
    <xf numFmtId="171" fontId="101" fillId="25" borderId="18" xfId="0" applyNumberFormat="1" applyFont="1" applyFill="1" applyBorder="1" applyAlignment="1">
      <alignment horizontal="center"/>
    </xf>
    <xf numFmtId="171" fontId="101" fillId="25" borderId="30" xfId="0" applyNumberFormat="1" applyFont="1" applyFill="1" applyBorder="1" applyAlignment="1">
      <alignment horizontal="center"/>
    </xf>
    <xf numFmtId="0" fontId="122" fillId="41" borderId="107" xfId="0" applyFont="1" applyFill="1" applyBorder="1"/>
    <xf numFmtId="0" fontId="123" fillId="41" borderId="114" xfId="0" applyFont="1" applyFill="1" applyBorder="1"/>
    <xf numFmtId="0" fontId="123" fillId="41" borderId="113" xfId="0" applyFont="1" applyFill="1" applyBorder="1"/>
    <xf numFmtId="2" fontId="0" fillId="0" borderId="0" xfId="0" applyNumberFormat="1" applyFill="1" applyBorder="1"/>
    <xf numFmtId="0" fontId="122" fillId="41" borderId="17" xfId="0" applyFont="1" applyFill="1" applyBorder="1"/>
    <xf numFmtId="0" fontId="122" fillId="41" borderId="18" xfId="0" applyFont="1" applyFill="1" applyBorder="1" applyAlignment="1">
      <alignment horizontal="center"/>
    </xf>
    <xf numFmtId="0" fontId="122" fillId="41" borderId="19" xfId="0" applyFont="1" applyFill="1" applyBorder="1" applyAlignment="1">
      <alignment horizontal="center"/>
    </xf>
    <xf numFmtId="0" fontId="124" fillId="0" borderId="107" xfId="0" applyFont="1" applyFill="1" applyBorder="1" applyAlignment="1">
      <alignment horizontal="center"/>
    </xf>
    <xf numFmtId="0" fontId="124" fillId="0" borderId="114" xfId="0" applyFont="1" applyFill="1" applyBorder="1" applyAlignment="1">
      <alignment horizontal="center"/>
    </xf>
    <xf numFmtId="0" fontId="124" fillId="0" borderId="113" xfId="0" applyFont="1" applyFill="1" applyBorder="1" applyAlignment="1">
      <alignment horizontal="center"/>
    </xf>
    <xf numFmtId="0" fontId="125" fillId="0" borderId="112" xfId="0" applyFont="1" applyFill="1" applyBorder="1"/>
    <xf numFmtId="0" fontId="125" fillId="0" borderId="113" xfId="0" applyFont="1" applyFill="1" applyBorder="1" applyAlignment="1">
      <alignment horizontal="center"/>
    </xf>
    <xf numFmtId="0" fontId="125" fillId="0" borderId="0" xfId="0" applyNumberFormat="1" applyFont="1" applyFill="1" applyBorder="1" applyAlignment="1">
      <alignment horizontal="left"/>
    </xf>
    <xf numFmtId="0" fontId="124" fillId="0" borderId="112" xfId="0" applyFont="1" applyFill="1" applyBorder="1" applyAlignment="1">
      <alignment horizontal="fill"/>
    </xf>
    <xf numFmtId="0" fontId="125" fillId="0" borderId="107" xfId="0" quotePrefix="1" applyFont="1" applyFill="1" applyBorder="1"/>
    <xf numFmtId="0" fontId="125" fillId="0" borderId="114" xfId="0" applyFont="1" applyFill="1" applyBorder="1"/>
    <xf numFmtId="0" fontId="125" fillId="0" borderId="113" xfId="0" applyFont="1" applyFill="1" applyBorder="1" applyAlignment="1">
      <alignment horizontal="fill"/>
    </xf>
    <xf numFmtId="2" fontId="3" fillId="0" borderId="0" xfId="0" applyNumberFormat="1" applyFont="1" applyFill="1" applyBorder="1"/>
    <xf numFmtId="0" fontId="125" fillId="0" borderId="17" xfId="0" applyFont="1" applyFill="1" applyBorder="1"/>
    <xf numFmtId="0" fontId="125" fillId="0" borderId="18" xfId="0" applyFont="1" applyFill="1" applyBorder="1"/>
    <xf numFmtId="0" fontId="125" fillId="0" borderId="19" xfId="0" applyFont="1" applyFill="1" applyBorder="1" applyAlignment="1">
      <alignment horizontal="fill"/>
    </xf>
    <xf numFmtId="0" fontId="125" fillId="0" borderId="26" xfId="0" applyFont="1" applyFill="1" applyBorder="1"/>
    <xf numFmtId="0" fontId="125" fillId="0" borderId="29" xfId="0" applyFont="1" applyFill="1" applyBorder="1" applyAlignment="1">
      <alignment horizontal="center"/>
    </xf>
    <xf numFmtId="0" fontId="124" fillId="0" borderId="26" xfId="0" applyFont="1" applyFill="1" applyBorder="1" applyAlignment="1">
      <alignment horizontal="fill"/>
    </xf>
    <xf numFmtId="0" fontId="125" fillId="0" borderId="28" xfId="0" applyFont="1" applyFill="1" applyBorder="1"/>
    <xf numFmtId="0" fontId="125" fillId="0" borderId="0" xfId="0" applyFont="1" applyFill="1" applyBorder="1"/>
    <xf numFmtId="0" fontId="125" fillId="0" borderId="29" xfId="0" applyFont="1" applyFill="1" applyBorder="1"/>
    <xf numFmtId="0" fontId="125" fillId="0" borderId="30" xfId="0" applyFont="1" applyFill="1" applyBorder="1"/>
    <xf numFmtId="0" fontId="125" fillId="0" borderId="19" xfId="0" applyFont="1" applyFill="1" applyBorder="1" applyAlignment="1">
      <alignment horizontal="center"/>
    </xf>
    <xf numFmtId="0" fontId="2" fillId="0" borderId="0" xfId="0" applyFont="1" applyFill="1" applyBorder="1"/>
    <xf numFmtId="0" fontId="125" fillId="49" borderId="114" xfId="0" applyFont="1" applyFill="1" applyBorder="1" applyAlignment="1">
      <alignment horizontal="center"/>
    </xf>
    <xf numFmtId="167" fontId="123" fillId="41" borderId="114" xfId="0" applyNumberFormat="1" applyFont="1" applyFill="1" applyBorder="1" applyAlignment="1">
      <alignment horizontal="center"/>
    </xf>
    <xf numFmtId="0" fontId="125" fillId="41" borderId="107" xfId="0" applyFont="1" applyFill="1" applyBorder="1"/>
    <xf numFmtId="167" fontId="123" fillId="41" borderId="113" xfId="0" applyNumberFormat="1" applyFont="1" applyFill="1" applyBorder="1" applyAlignment="1">
      <alignment horizontal="center"/>
    </xf>
    <xf numFmtId="0" fontId="125" fillId="41" borderId="114" xfId="0" applyFont="1" applyFill="1" applyBorder="1"/>
    <xf numFmtId="0" fontId="3" fillId="0" borderId="107" xfId="0" applyFont="1" applyFill="1" applyBorder="1"/>
    <xf numFmtId="0" fontId="3" fillId="0" borderId="114" xfId="0" applyFont="1" applyFill="1" applyBorder="1" applyAlignment="1">
      <alignment horizontal="fill"/>
    </xf>
    <xf numFmtId="0" fontId="0" fillId="0" borderId="107" xfId="0" applyFill="1" applyBorder="1"/>
    <xf numFmtId="0" fontId="3" fillId="0" borderId="114" xfId="0" applyFont="1" applyFill="1" applyBorder="1"/>
    <xf numFmtId="0" fontId="123" fillId="41" borderId="17" xfId="0" applyFont="1" applyFill="1" applyBorder="1"/>
    <xf numFmtId="0" fontId="125" fillId="49" borderId="18" xfId="0" applyFont="1" applyFill="1" applyBorder="1" applyAlignment="1">
      <alignment horizontal="center"/>
    </xf>
    <xf numFmtId="0" fontId="123" fillId="41" borderId="0" xfId="0" applyFont="1" applyFill="1" applyBorder="1"/>
    <xf numFmtId="0" fontId="125" fillId="49" borderId="29" xfId="0" applyFont="1" applyFill="1" applyBorder="1" applyAlignment="1">
      <alignment horizontal="center"/>
    </xf>
    <xf numFmtId="0" fontId="122" fillId="41" borderId="20" xfId="0" applyFont="1" applyFill="1" applyBorder="1"/>
    <xf numFmtId="0" fontId="122" fillId="41" borderId="14" xfId="0" applyFont="1" applyFill="1" applyBorder="1"/>
    <xf numFmtId="0" fontId="123" fillId="41" borderId="22" xfId="0" applyFont="1" applyFill="1" applyBorder="1"/>
    <xf numFmtId="0" fontId="3" fillId="49" borderId="29" xfId="0" applyFont="1" applyFill="1" applyBorder="1"/>
    <xf numFmtId="0" fontId="0" fillId="0" borderId="17" xfId="0" applyFill="1" applyBorder="1"/>
    <xf numFmtId="0" fontId="0" fillId="0" borderId="18" xfId="0" applyFill="1" applyBorder="1"/>
    <xf numFmtId="0" fontId="0" fillId="0" borderId="19" xfId="0" applyFill="1" applyBorder="1"/>
    <xf numFmtId="0" fontId="0" fillId="0" borderId="28" xfId="0" applyFill="1" applyBorder="1"/>
    <xf numFmtId="0" fontId="0" fillId="0" borderId="29" xfId="0" applyFill="1" applyBorder="1"/>
    <xf numFmtId="0" fontId="125" fillId="0" borderId="0" xfId="0" applyFont="1" applyFill="1" applyBorder="1" applyAlignment="1">
      <alignment horizontal="right"/>
    </xf>
    <xf numFmtId="0" fontId="125" fillId="0" borderId="0" xfId="0" applyFont="1" applyFill="1" applyBorder="1" applyAlignment="1">
      <alignment horizontal="center"/>
    </xf>
    <xf numFmtId="0" fontId="125" fillId="0" borderId="107" xfId="0" applyFont="1" applyFill="1" applyBorder="1"/>
    <xf numFmtId="0" fontId="125" fillId="0" borderId="113" xfId="0" applyFont="1" applyFill="1" applyBorder="1"/>
    <xf numFmtId="0" fontId="0" fillId="0" borderId="112" xfId="0" applyFill="1" applyBorder="1"/>
    <xf numFmtId="0" fontId="0" fillId="0" borderId="0" xfId="0" applyNumberFormat="1" applyFill="1" applyBorder="1" applyAlignment="1">
      <alignment horizontal="left"/>
    </xf>
    <xf numFmtId="0" fontId="127" fillId="0" borderId="0" xfId="59" applyFont="1" applyFill="1" applyBorder="1"/>
    <xf numFmtId="0" fontId="125" fillId="0" borderId="107" xfId="0" applyFont="1" applyFill="1" applyBorder="1" applyAlignment="1">
      <alignment horizontal="center"/>
    </xf>
    <xf numFmtId="0" fontId="125" fillId="0" borderId="114" xfId="0" applyFont="1" applyFill="1" applyBorder="1" applyAlignment="1">
      <alignment horizontal="center"/>
    </xf>
    <xf numFmtId="0" fontId="125" fillId="0" borderId="28" xfId="0" applyFont="1" applyFill="1" applyBorder="1" applyAlignment="1">
      <alignment horizontal="center"/>
    </xf>
    <xf numFmtId="2" fontId="125" fillId="0" borderId="0" xfId="0" applyNumberFormat="1" applyFont="1" applyFill="1" applyBorder="1"/>
    <xf numFmtId="2" fontId="125" fillId="0" borderId="29" xfId="0" applyNumberFormat="1" applyFont="1" applyFill="1" applyBorder="1"/>
    <xf numFmtId="0" fontId="124" fillId="0" borderId="30" xfId="0" applyFont="1" applyFill="1" applyBorder="1" applyAlignment="1">
      <alignment horizontal="fill"/>
    </xf>
    <xf numFmtId="167" fontId="125" fillId="0" borderId="18" xfId="0" applyNumberFormat="1" applyFont="1" applyFill="1" applyBorder="1"/>
    <xf numFmtId="167" fontId="125" fillId="0" borderId="19" xfId="0" applyNumberFormat="1" applyFont="1" applyFill="1" applyBorder="1" applyAlignment="1">
      <alignment horizontal="fill"/>
    </xf>
    <xf numFmtId="0" fontId="0" fillId="0" borderId="26" xfId="0" applyFill="1" applyBorder="1"/>
    <xf numFmtId="0" fontId="0" fillId="49" borderId="0" xfId="0" applyFill="1" applyBorder="1"/>
    <xf numFmtId="0" fontId="128" fillId="41" borderId="20" xfId="59" applyFont="1" applyFill="1" applyBorder="1"/>
    <xf numFmtId="0" fontId="128" fillId="41" borderId="22" xfId="59" applyFont="1" applyFill="1" applyBorder="1"/>
    <xf numFmtId="0" fontId="91" fillId="41" borderId="18" xfId="0" applyFont="1" applyFill="1" applyBorder="1"/>
    <xf numFmtId="2" fontId="125" fillId="0" borderId="112" xfId="0" applyNumberFormat="1" applyFont="1" applyFill="1" applyBorder="1"/>
    <xf numFmtId="0" fontId="0" fillId="0" borderId="114" xfId="0" applyFill="1" applyBorder="1"/>
    <xf numFmtId="0" fontId="0" fillId="0" borderId="113" xfId="0" applyFill="1" applyBorder="1"/>
    <xf numFmtId="0" fontId="122" fillId="41" borderId="28" xfId="0" applyFont="1" applyFill="1" applyBorder="1"/>
    <xf numFmtId="2" fontId="125" fillId="0" borderId="26" xfId="0" applyNumberFormat="1" applyFont="1" applyFill="1" applyBorder="1"/>
    <xf numFmtId="0" fontId="125" fillId="0" borderId="26" xfId="0" applyFont="1" applyBorder="1" applyAlignment="1">
      <alignment horizontal="fill"/>
    </xf>
    <xf numFmtId="0" fontId="125" fillId="0" borderId="26" xfId="0" applyFont="1" applyFill="1" applyBorder="1" applyAlignment="1">
      <alignment horizontal="fill"/>
    </xf>
    <xf numFmtId="0" fontId="125" fillId="0" borderId="0" xfId="0" applyFont="1" applyFill="1" applyBorder="1" applyAlignment="1">
      <alignment horizontal="fill"/>
    </xf>
    <xf numFmtId="0" fontId="125" fillId="0" borderId="29" xfId="0" applyFont="1" applyBorder="1"/>
    <xf numFmtId="0" fontId="125" fillId="0" borderId="29" xfId="0" applyFont="1" applyFill="1" applyBorder="1" applyAlignment="1">
      <alignment horizontal="fill"/>
    </xf>
    <xf numFmtId="0" fontId="129" fillId="0" borderId="0" xfId="0" applyFont="1" applyBorder="1" applyAlignment="1">
      <alignment horizontal="center"/>
    </xf>
    <xf numFmtId="0" fontId="3" fillId="0" borderId="29" xfId="0" applyFont="1" applyFill="1" applyBorder="1"/>
    <xf numFmtId="0" fontId="3" fillId="0" borderId="113" xfId="0" applyFont="1" applyFill="1" applyBorder="1"/>
    <xf numFmtId="177" fontId="0" fillId="0" borderId="0" xfId="0" applyNumberFormat="1" applyFill="1" applyBorder="1"/>
    <xf numFmtId="0" fontId="125" fillId="0" borderId="30" xfId="0" applyFont="1" applyBorder="1" applyAlignment="1">
      <alignment horizontal="fill"/>
    </xf>
    <xf numFmtId="0" fontId="125" fillId="0" borderId="30" xfId="0" applyFont="1" applyFill="1" applyBorder="1" applyAlignment="1">
      <alignment horizontal="fill"/>
    </xf>
    <xf numFmtId="0" fontId="125" fillId="0" borderId="18" xfId="0" applyFont="1" applyFill="1" applyBorder="1" applyAlignment="1">
      <alignment horizontal="fill"/>
    </xf>
    <xf numFmtId="0" fontId="125" fillId="0" borderId="19" xfId="0" applyFont="1" applyBorder="1"/>
    <xf numFmtId="167" fontId="0" fillId="0" borderId="0" xfId="0" applyNumberFormat="1" applyFill="1" applyBorder="1"/>
    <xf numFmtId="178" fontId="0" fillId="0" borderId="0" xfId="0" applyNumberFormat="1" applyFill="1" applyBorder="1"/>
    <xf numFmtId="0" fontId="125" fillId="0" borderId="26" xfId="0" applyNumberFormat="1" applyFont="1" applyBorder="1" applyAlignment="1">
      <alignment horizontal="fill"/>
    </xf>
    <xf numFmtId="0" fontId="125" fillId="0" borderId="19" xfId="0" applyFont="1" applyFill="1" applyBorder="1"/>
    <xf numFmtId="0" fontId="125" fillId="0" borderId="30" xfId="0" applyNumberFormat="1" applyFont="1" applyBorder="1" applyAlignment="1">
      <alignment horizontal="fill"/>
    </xf>
    <xf numFmtId="0" fontId="0" fillId="0" borderId="30" xfId="0" applyFill="1" applyBorder="1"/>
    <xf numFmtId="0" fontId="129" fillId="0" borderId="18" xfId="0" applyFont="1" applyBorder="1" applyAlignment="1">
      <alignment horizontal="center"/>
    </xf>
    <xf numFmtId="0" fontId="3" fillId="0" borderId="19" xfId="0" applyFont="1" applyFill="1" applyBorder="1"/>
    <xf numFmtId="0" fontId="125" fillId="0" borderId="12" xfId="0" applyFont="1" applyFill="1" applyBorder="1"/>
    <xf numFmtId="2" fontId="125" fillId="0" borderId="12" xfId="0" applyNumberFormat="1" applyFont="1" applyFill="1" applyBorder="1" applyAlignment="1">
      <alignment horizontal="center"/>
    </xf>
    <xf numFmtId="2" fontId="125" fillId="0" borderId="20" xfId="0" applyNumberFormat="1" applyFont="1" applyFill="1" applyBorder="1" applyAlignment="1">
      <alignment horizontal="center"/>
    </xf>
    <xf numFmtId="0" fontId="125" fillId="0" borderId="22" xfId="0" applyFont="1" applyFill="1" applyBorder="1" applyAlignment="1">
      <alignment horizontal="fill"/>
    </xf>
    <xf numFmtId="0" fontId="125" fillId="0" borderId="17" xfId="0" applyFont="1" applyFill="1" applyBorder="1" applyAlignment="1">
      <alignment horizontal="center"/>
    </xf>
    <xf numFmtId="0" fontId="125" fillId="0" borderId="18" xfId="0" applyFont="1" applyFill="1" applyBorder="1" applyAlignment="1">
      <alignment horizontal="center"/>
    </xf>
    <xf numFmtId="2" fontId="125" fillId="0" borderId="18" xfId="0" applyNumberFormat="1" applyFont="1" applyFill="1" applyBorder="1"/>
    <xf numFmtId="2" fontId="125" fillId="0" borderId="19" xfId="0" applyNumberFormat="1" applyFont="1" applyFill="1" applyBorder="1"/>
    <xf numFmtId="0" fontId="130" fillId="0" borderId="0" xfId="0" applyFont="1" applyFill="1" applyBorder="1"/>
    <xf numFmtId="0" fontId="6" fillId="0" borderId="0" xfId="0" applyFont="1" applyFill="1" applyBorder="1" applyAlignment="1">
      <alignment horizontal="center" wrapText="1"/>
    </xf>
    <xf numFmtId="0" fontId="0" fillId="0" borderId="0" xfId="0" applyFill="1" applyBorder="1" applyAlignment="1">
      <alignment horizontal="fill"/>
    </xf>
    <xf numFmtId="167" fontId="0" fillId="50" borderId="0" xfId="0" applyNumberFormat="1" applyFill="1" applyBorder="1"/>
    <xf numFmtId="167" fontId="0" fillId="0" borderId="28" xfId="0" applyNumberFormat="1" applyFill="1" applyBorder="1"/>
    <xf numFmtId="167" fontId="0" fillId="50" borderId="28" xfId="0" applyNumberFormat="1" applyFill="1" applyBorder="1"/>
    <xf numFmtId="0" fontId="0" fillId="0" borderId="114" xfId="0" applyFill="1" applyBorder="1" applyAlignment="1">
      <alignment horizontal="fill"/>
    </xf>
    <xf numFmtId="167" fontId="0" fillId="0" borderId="114" xfId="0" applyNumberFormat="1" applyFill="1" applyBorder="1"/>
    <xf numFmtId="167" fontId="0" fillId="50" borderId="107" xfId="0" applyNumberFormat="1" applyFill="1" applyBorder="1"/>
    <xf numFmtId="167" fontId="0" fillId="50" borderId="114" xfId="0" applyNumberFormat="1" applyFill="1" applyBorder="1"/>
    <xf numFmtId="167" fontId="0" fillId="0" borderId="107" xfId="0" applyNumberFormat="1" applyFill="1" applyBorder="1"/>
    <xf numFmtId="0" fontId="3" fillId="0" borderId="0" xfId="0" applyFont="1" applyFill="1" applyBorder="1" applyAlignment="1">
      <alignment horizontal="fill"/>
    </xf>
    <xf numFmtId="0" fontId="126" fillId="0" borderId="0" xfId="59" applyFill="1" applyBorder="1"/>
    <xf numFmtId="0" fontId="131" fillId="0" borderId="0" xfId="0" applyFont="1" applyFill="1" applyBorder="1"/>
    <xf numFmtId="0" fontId="0" fillId="0" borderId="117" xfId="0" applyFill="1" applyBorder="1"/>
    <xf numFmtId="0" fontId="0" fillId="0" borderId="118" xfId="0" applyFill="1" applyBorder="1"/>
    <xf numFmtId="0" fontId="0" fillId="0" borderId="119" xfId="0" applyFill="1" applyBorder="1"/>
    <xf numFmtId="0" fontId="0" fillId="0" borderId="120" xfId="0" applyFill="1" applyBorder="1"/>
    <xf numFmtId="0" fontId="0" fillId="0" borderId="121" xfId="0" applyFill="1" applyBorder="1"/>
    <xf numFmtId="0" fontId="0" fillId="0" borderId="122" xfId="0" applyFill="1" applyBorder="1"/>
    <xf numFmtId="0" fontId="0" fillId="0" borderId="123" xfId="0" applyFill="1" applyBorder="1"/>
    <xf numFmtId="0" fontId="0" fillId="0" borderId="124" xfId="0" applyFill="1" applyBorder="1"/>
    <xf numFmtId="0" fontId="3" fillId="0" borderId="125" xfId="0" applyFont="1" applyFill="1" applyBorder="1"/>
    <xf numFmtId="0" fontId="0" fillId="0" borderId="126" xfId="0" applyFill="1" applyBorder="1"/>
    <xf numFmtId="0" fontId="0" fillId="0" borderId="125" xfId="0" applyFill="1" applyBorder="1"/>
    <xf numFmtId="0" fontId="0" fillId="0" borderId="124" xfId="0" applyFill="1" applyBorder="1" applyAlignment="1">
      <alignment horizontal="fill"/>
    </xf>
    <xf numFmtId="167" fontId="0" fillId="0" borderId="127" xfId="0" applyNumberFormat="1" applyFill="1" applyBorder="1"/>
    <xf numFmtId="0" fontId="0" fillId="0" borderId="126" xfId="0" applyFill="1" applyBorder="1" applyAlignment="1">
      <alignment horizontal="fill"/>
    </xf>
    <xf numFmtId="0" fontId="0" fillId="0" borderId="128" xfId="0" applyFill="1" applyBorder="1" applyAlignment="1">
      <alignment horizontal="fill"/>
    </xf>
    <xf numFmtId="167" fontId="0" fillId="50" borderId="129" xfId="0" applyNumberFormat="1" applyFill="1" applyBorder="1"/>
    <xf numFmtId="0" fontId="0" fillId="0" borderId="130" xfId="0" applyFill="1" applyBorder="1" applyAlignment="1">
      <alignment horizontal="fill"/>
    </xf>
    <xf numFmtId="167" fontId="0" fillId="50" borderId="127" xfId="0" applyNumberFormat="1" applyFill="1" applyBorder="1"/>
    <xf numFmtId="167" fontId="0" fillId="0" borderId="129" xfId="0" applyNumberFormat="1" applyFill="1" applyBorder="1"/>
    <xf numFmtId="0" fontId="3" fillId="0" borderId="128" xfId="0" applyFont="1" applyFill="1" applyBorder="1" applyAlignment="1">
      <alignment horizontal="fill"/>
    </xf>
    <xf numFmtId="0" fontId="3" fillId="0" borderId="130" xfId="0" applyFont="1" applyFill="1" applyBorder="1" applyAlignment="1">
      <alignment horizontal="fill"/>
    </xf>
    <xf numFmtId="0" fontId="0" fillId="0" borderId="131" xfId="0" applyFill="1" applyBorder="1"/>
    <xf numFmtId="0" fontId="0" fillId="0" borderId="132" xfId="0" applyFill="1" applyBorder="1"/>
    <xf numFmtId="167" fontId="0" fillId="50" borderId="133" xfId="0" applyNumberFormat="1" applyFill="1" applyBorder="1"/>
    <xf numFmtId="167" fontId="0" fillId="0" borderId="133" xfId="0" applyNumberFormat="1" applyFill="1" applyBorder="1"/>
    <xf numFmtId="167" fontId="0" fillId="0" borderId="134" xfId="0" applyNumberFormat="1" applyFill="1" applyBorder="1"/>
    <xf numFmtId="0" fontId="0" fillId="0" borderId="135" xfId="0" applyFill="1" applyBorder="1"/>
    <xf numFmtId="0" fontId="0" fillId="0" borderId="133" xfId="0" applyFill="1" applyBorder="1"/>
    <xf numFmtId="0" fontId="3" fillId="0" borderId="112" xfId="0" applyFont="1" applyFill="1" applyBorder="1"/>
    <xf numFmtId="0" fontId="2" fillId="0" borderId="28" xfId="0" applyFont="1" applyFill="1" applyBorder="1"/>
    <xf numFmtId="0" fontId="2" fillId="0" borderId="29" xfId="0" applyFont="1" applyFill="1" applyBorder="1"/>
    <xf numFmtId="0" fontId="2" fillId="0" borderId="26" xfId="0" applyFont="1" applyFill="1" applyBorder="1"/>
    <xf numFmtId="0" fontId="2" fillId="0" borderId="107" xfId="0" applyFont="1" applyFill="1" applyBorder="1"/>
    <xf numFmtId="0" fontId="2" fillId="0" borderId="114" xfId="0" applyFont="1" applyFill="1" applyBorder="1"/>
    <xf numFmtId="0" fontId="2" fillId="0" borderId="113" xfId="0" applyFont="1" applyFill="1" applyBorder="1"/>
    <xf numFmtId="0" fontId="2" fillId="0" borderId="28" xfId="0" applyFont="1" applyFill="1" applyBorder="1" applyAlignment="1">
      <alignment horizontal="fill"/>
    </xf>
    <xf numFmtId="0" fontId="3" fillId="0" borderId="29" xfId="0" applyFont="1" applyFill="1" applyBorder="1" applyAlignment="1">
      <alignment horizontal="fill"/>
    </xf>
    <xf numFmtId="0" fontId="2" fillId="0" borderId="0" xfId="0" applyFont="1" applyFill="1" applyBorder="1" applyAlignment="1">
      <alignment horizontal="fill"/>
    </xf>
    <xf numFmtId="0" fontId="3" fillId="0" borderId="19" xfId="0" applyFont="1" applyFill="1" applyBorder="1" applyAlignment="1">
      <alignment horizontal="fill"/>
    </xf>
    <xf numFmtId="1" fontId="0" fillId="0" borderId="28" xfId="0" applyNumberFormat="1" applyFill="1" applyBorder="1"/>
    <xf numFmtId="1" fontId="0" fillId="0" borderId="17" xfId="0" applyNumberFormat="1" applyFill="1" applyBorder="1"/>
    <xf numFmtId="0" fontId="11" fillId="0" borderId="0" xfId="0" applyFont="1"/>
    <xf numFmtId="0" fontId="11" fillId="0" borderId="18" xfId="0" applyFont="1" applyBorder="1"/>
    <xf numFmtId="0" fontId="10" fillId="0" borderId="0" xfId="0" applyFont="1"/>
    <xf numFmtId="0" fontId="3" fillId="0" borderId="0" xfId="60" applyProtection="1">
      <protection hidden="1"/>
    </xf>
    <xf numFmtId="0" fontId="3" fillId="51" borderId="0" xfId="60" applyFill="1" applyProtection="1">
      <protection hidden="1"/>
    </xf>
    <xf numFmtId="0" fontId="10" fillId="51" borderId="0" xfId="0" applyFont="1" applyFill="1"/>
    <xf numFmtId="167" fontId="10" fillId="0" borderId="0" xfId="0" applyNumberFormat="1" applyFont="1"/>
    <xf numFmtId="167" fontId="10" fillId="51" borderId="0" xfId="0" applyNumberFormat="1" applyFont="1" applyFill="1"/>
    <xf numFmtId="0" fontId="11" fillId="0" borderId="18" xfId="60" applyFont="1" applyBorder="1" applyProtection="1">
      <protection hidden="1"/>
    </xf>
    <xf numFmtId="0" fontId="10" fillId="0" borderId="18" xfId="0" applyFont="1" applyBorder="1"/>
    <xf numFmtId="0" fontId="10" fillId="0" borderId="0" xfId="60" applyFont="1" applyProtection="1">
      <protection hidden="1"/>
    </xf>
    <xf numFmtId="0" fontId="132" fillId="0" borderId="0" xfId="0" applyFont="1" applyAlignment="1">
      <alignment vertical="center" wrapText="1"/>
    </xf>
    <xf numFmtId="0" fontId="3" fillId="0" borderId="18" xfId="60" applyBorder="1" applyProtection="1">
      <protection hidden="1"/>
    </xf>
    <xf numFmtId="2" fontId="10" fillId="0" borderId="0" xfId="60" applyNumberFormat="1" applyFont="1" applyProtection="1">
      <protection hidden="1"/>
    </xf>
    <xf numFmtId="169" fontId="10" fillId="0" borderId="0" xfId="0" applyNumberFormat="1" applyFont="1"/>
    <xf numFmtId="0" fontId="6" fillId="52" borderId="112" xfId="0" applyFont="1" applyFill="1" applyBorder="1" applyAlignment="1" applyProtection="1">
      <alignment horizontal="center" vertical="center"/>
    </xf>
    <xf numFmtId="0" fontId="6" fillId="52" borderId="30" xfId="0" applyFont="1" applyFill="1" applyBorder="1" applyAlignment="1" applyProtection="1">
      <alignment horizontal="center" vertical="center"/>
    </xf>
    <xf numFmtId="0" fontId="91" fillId="41" borderId="20" xfId="0" applyFont="1" applyFill="1" applyBorder="1" applyAlignment="1" applyProtection="1">
      <alignment vertical="center"/>
    </xf>
    <xf numFmtId="2" fontId="0" fillId="52" borderId="12" xfId="0" applyNumberFormat="1" applyFill="1" applyBorder="1" applyAlignment="1" applyProtection="1">
      <alignment horizontal="center" vertical="center"/>
    </xf>
    <xf numFmtId="0" fontId="0" fillId="52" borderId="28" xfId="0" applyFill="1" applyBorder="1" applyAlignment="1" applyProtection="1">
      <alignment vertical="center"/>
    </xf>
    <xf numFmtId="0" fontId="0" fillId="52" borderId="29" xfId="0" applyFill="1" applyBorder="1" applyAlignment="1" applyProtection="1">
      <alignment vertical="center"/>
    </xf>
    <xf numFmtId="0" fontId="0" fillId="52" borderId="12" xfId="0" applyFill="1" applyBorder="1" applyAlignment="1" applyProtection="1">
      <alignment horizontal="center" vertical="center"/>
    </xf>
    <xf numFmtId="0" fontId="0" fillId="52" borderId="136" xfId="0" applyFill="1" applyBorder="1" applyAlignment="1" applyProtection="1">
      <alignment horizontal="center" vertical="center"/>
    </xf>
    <xf numFmtId="0" fontId="0" fillId="52" borderId="137" xfId="0" applyFill="1" applyBorder="1" applyAlignment="1" applyProtection="1">
      <alignment horizontal="center" vertical="center"/>
    </xf>
    <xf numFmtId="2" fontId="0" fillId="52" borderId="144" xfId="0" applyNumberFormat="1" applyFill="1" applyBorder="1" applyAlignment="1" applyProtection="1">
      <alignment horizontal="center" vertical="center"/>
    </xf>
    <xf numFmtId="0" fontId="78" fillId="52" borderId="112" xfId="0" applyFont="1" applyFill="1" applyBorder="1" applyAlignment="1" applyProtection="1">
      <alignment horizontal="center"/>
    </xf>
    <xf numFmtId="0" fontId="78" fillId="52" borderId="12" xfId="0" applyFont="1" applyFill="1" applyBorder="1" applyAlignment="1" applyProtection="1">
      <alignment horizontal="center"/>
    </xf>
    <xf numFmtId="0" fontId="6" fillId="36" borderId="21" xfId="0" applyFont="1" applyFill="1" applyBorder="1" applyAlignment="1" applyProtection="1">
      <alignment horizontal="center" vertical="center" wrapText="1"/>
      <protection locked="0"/>
    </xf>
    <xf numFmtId="0" fontId="6" fillId="36" borderId="16" xfId="0" applyFont="1" applyFill="1" applyBorder="1" applyAlignment="1" applyProtection="1">
      <alignment horizontal="center" vertical="center" wrapText="1"/>
      <protection locked="0"/>
    </xf>
    <xf numFmtId="0" fontId="91" fillId="41" borderId="22" xfId="0" applyFont="1" applyFill="1" applyBorder="1" applyAlignment="1" applyProtection="1">
      <alignment horizontal="center" vertical="center"/>
    </xf>
    <xf numFmtId="0" fontId="0" fillId="36" borderId="107" xfId="0" applyFill="1" applyBorder="1" applyProtection="1"/>
    <xf numFmtId="0" fontId="0" fillId="36" borderId="114" xfId="0" applyFill="1" applyBorder="1" applyProtection="1"/>
    <xf numFmtId="0" fontId="0" fillId="36" borderId="28" xfId="0" applyFill="1" applyBorder="1" applyProtection="1"/>
    <xf numFmtId="0" fontId="0" fillId="36" borderId="0" xfId="0" applyFill="1" applyBorder="1" applyProtection="1"/>
    <xf numFmtId="0" fontId="0" fillId="36" borderId="17" xfId="0" applyFill="1" applyBorder="1" applyProtection="1"/>
    <xf numFmtId="0" fontId="0" fillId="36" borderId="18" xfId="0" applyFill="1" applyBorder="1" applyProtection="1"/>
    <xf numFmtId="0" fontId="16" fillId="36" borderId="18" xfId="0" applyFont="1" applyFill="1" applyBorder="1" applyAlignment="1" applyProtection="1">
      <alignment vertical="center" wrapText="1"/>
    </xf>
    <xf numFmtId="0" fontId="2" fillId="36" borderId="0" xfId="0" applyFont="1" applyFill="1" applyBorder="1" applyAlignment="1" applyProtection="1">
      <alignment vertical="center"/>
    </xf>
    <xf numFmtId="0" fontId="2" fillId="36" borderId="0" xfId="0" applyFont="1" applyFill="1" applyAlignment="1" applyProtection="1">
      <alignment vertical="center"/>
    </xf>
    <xf numFmtId="0" fontId="0" fillId="36" borderId="0" xfId="0" applyFill="1" applyAlignment="1" applyProtection="1">
      <alignment vertical="center"/>
    </xf>
    <xf numFmtId="0" fontId="0" fillId="36" borderId="0" xfId="0" applyFill="1" applyBorder="1" applyAlignment="1" applyProtection="1">
      <alignment vertical="center"/>
    </xf>
    <xf numFmtId="0" fontId="3" fillId="36" borderId="0" xfId="0" applyFont="1" applyFill="1" applyBorder="1" applyAlignment="1" applyProtection="1">
      <alignment vertical="center"/>
    </xf>
    <xf numFmtId="0" fontId="0" fillId="36" borderId="0" xfId="0" applyFill="1" applyBorder="1" applyAlignment="1" applyProtection="1">
      <alignment horizontal="center" vertical="center"/>
    </xf>
    <xf numFmtId="0" fontId="3" fillId="36" borderId="0" xfId="0" applyFont="1" applyFill="1" applyBorder="1" applyAlignment="1" applyProtection="1">
      <alignment horizontal="center" vertical="center"/>
    </xf>
    <xf numFmtId="0" fontId="16" fillId="36" borderId="107" xfId="0" applyFont="1" applyFill="1" applyBorder="1" applyAlignment="1" applyProtection="1">
      <alignment vertical="center"/>
    </xf>
    <xf numFmtId="0" fontId="0" fillId="36" borderId="113" xfId="0" applyFill="1" applyBorder="1" applyProtection="1"/>
    <xf numFmtId="0" fontId="6" fillId="36" borderId="112" xfId="0" applyFont="1" applyFill="1" applyBorder="1" applyAlignment="1" applyProtection="1">
      <alignment horizontal="center" vertical="center"/>
    </xf>
    <xf numFmtId="0" fontId="6" fillId="36" borderId="113" xfId="0" applyFont="1" applyFill="1" applyBorder="1" applyAlignment="1" applyProtection="1">
      <alignment horizontal="center" vertical="center"/>
    </xf>
    <xf numFmtId="0" fontId="6" fillId="36" borderId="107" xfId="0" applyFont="1" applyFill="1" applyBorder="1" applyAlignment="1" applyProtection="1">
      <alignment horizontal="center" vertical="center"/>
    </xf>
    <xf numFmtId="0" fontId="0" fillId="36" borderId="107" xfId="0" applyFill="1" applyBorder="1" applyAlignment="1" applyProtection="1">
      <alignment vertical="center"/>
    </xf>
    <xf numFmtId="0" fontId="0" fillId="36" borderId="114" xfId="0" applyFill="1" applyBorder="1" applyAlignment="1" applyProtection="1">
      <alignment vertical="center"/>
    </xf>
    <xf numFmtId="0" fontId="0" fillId="36" borderId="113" xfId="0" applyFill="1" applyBorder="1" applyAlignment="1" applyProtection="1">
      <alignment vertical="center"/>
    </xf>
    <xf numFmtId="0" fontId="0" fillId="36" borderId="19" xfId="0" applyFill="1" applyBorder="1" applyProtection="1"/>
    <xf numFmtId="0" fontId="6" fillId="36" borderId="30" xfId="0" applyFont="1" applyFill="1" applyBorder="1" applyAlignment="1" applyProtection="1">
      <alignment horizontal="center" vertical="center"/>
    </xf>
    <xf numFmtId="0" fontId="6" fillId="36" borderId="19" xfId="0" applyFont="1" applyFill="1" applyBorder="1" applyAlignment="1" applyProtection="1">
      <alignment horizontal="center" vertical="center"/>
    </xf>
    <xf numFmtId="0" fontId="6" fillId="36" borderId="17" xfId="0" applyFont="1" applyFill="1" applyBorder="1" applyAlignment="1" applyProtection="1">
      <alignment horizontal="center" vertical="center"/>
    </xf>
    <xf numFmtId="0" fontId="0" fillId="36" borderId="28" xfId="0" applyFill="1" applyBorder="1" applyAlignment="1" applyProtection="1">
      <alignment vertical="center"/>
    </xf>
    <xf numFmtId="0" fontId="3" fillId="36" borderId="29" xfId="0" applyFont="1" applyFill="1" applyBorder="1" applyAlignment="1" applyProtection="1">
      <alignment vertical="center"/>
    </xf>
    <xf numFmtId="0" fontId="54" fillId="36" borderId="0" xfId="0" applyFont="1" applyFill="1" applyAlignment="1" applyProtection="1">
      <alignment vertical="center"/>
    </xf>
    <xf numFmtId="0" fontId="11" fillId="36" borderId="20" xfId="0" applyFont="1" applyFill="1" applyBorder="1" applyAlignment="1" applyProtection="1">
      <alignment vertical="center"/>
    </xf>
    <xf numFmtId="0" fontId="0" fillId="36" borderId="14" xfId="0" applyFill="1" applyBorder="1" applyAlignment="1" applyProtection="1">
      <alignment vertical="center"/>
    </xf>
    <xf numFmtId="0" fontId="2" fillId="36" borderId="21" xfId="0" applyFont="1" applyFill="1" applyBorder="1" applyAlignment="1" applyProtection="1">
      <alignment horizontal="center" vertical="center"/>
    </xf>
    <xf numFmtId="0" fontId="2" fillId="36" borderId="82" xfId="0" applyFont="1" applyFill="1" applyBorder="1" applyAlignment="1" applyProtection="1">
      <alignment horizontal="center" vertical="center"/>
    </xf>
    <xf numFmtId="0" fontId="2" fillId="36" borderId="0" xfId="0" applyFont="1" applyFill="1" applyBorder="1" applyAlignment="1" applyProtection="1">
      <alignment horizontal="center" vertical="center"/>
    </xf>
    <xf numFmtId="0" fontId="2" fillId="36" borderId="72" xfId="0" applyFont="1" applyFill="1" applyBorder="1" applyAlignment="1" applyProtection="1">
      <alignment horizontal="center" vertical="center"/>
    </xf>
    <xf numFmtId="0" fontId="10" fillId="36" borderId="20" xfId="0" applyFont="1" applyFill="1" applyBorder="1" applyAlignment="1" applyProtection="1">
      <alignment vertical="center"/>
    </xf>
    <xf numFmtId="0" fontId="10" fillId="36" borderId="14" xfId="0" applyFont="1" applyFill="1" applyBorder="1" applyAlignment="1" applyProtection="1">
      <alignment vertical="center"/>
    </xf>
    <xf numFmtId="0" fontId="3" fillId="36" borderId="21" xfId="0" applyFont="1" applyFill="1" applyBorder="1" applyAlignment="1" applyProtection="1">
      <alignment horizontal="center" vertical="center"/>
    </xf>
    <xf numFmtId="0" fontId="3" fillId="36" borderId="82" xfId="0" applyFont="1" applyFill="1" applyBorder="1" applyAlignment="1" applyProtection="1">
      <alignment horizontal="center" vertical="center"/>
    </xf>
    <xf numFmtId="0" fontId="10" fillId="36" borderId="21" xfId="0" applyFont="1" applyFill="1" applyBorder="1" applyAlignment="1" applyProtection="1">
      <alignment horizontal="center" vertical="center"/>
    </xf>
    <xf numFmtId="0" fontId="0" fillId="36" borderId="21" xfId="0" applyFill="1" applyBorder="1" applyAlignment="1" applyProtection="1">
      <alignment horizontal="center" vertical="center"/>
    </xf>
    <xf numFmtId="0" fontId="0" fillId="36" borderId="82" xfId="0" applyFill="1" applyBorder="1" applyAlignment="1" applyProtection="1">
      <alignment vertical="center"/>
    </xf>
    <xf numFmtId="0" fontId="3" fillId="36" borderId="20" xfId="0" applyFont="1" applyFill="1" applyBorder="1" applyAlignment="1" applyProtection="1">
      <alignment vertical="center"/>
    </xf>
    <xf numFmtId="2" fontId="0" fillId="36" borderId="12" xfId="0" applyNumberFormat="1" applyFill="1" applyBorder="1" applyAlignment="1" applyProtection="1">
      <alignment horizontal="center" vertical="center"/>
    </xf>
    <xf numFmtId="2" fontId="0" fillId="36" borderId="22" xfId="0" applyNumberFormat="1" applyFill="1" applyBorder="1" applyAlignment="1" applyProtection="1">
      <alignment horizontal="center" vertical="center"/>
    </xf>
    <xf numFmtId="2" fontId="0" fillId="36" borderId="20" xfId="0" applyNumberFormat="1" applyFill="1" applyBorder="1" applyAlignment="1" applyProtection="1">
      <alignment horizontal="center" vertical="center"/>
    </xf>
    <xf numFmtId="0" fontId="3" fillId="36" borderId="28" xfId="0" applyFont="1" applyFill="1" applyBorder="1" applyAlignment="1" applyProtection="1">
      <alignment vertical="center"/>
    </xf>
    <xf numFmtId="0" fontId="98" fillId="36" borderId="0" xfId="0" applyFont="1" applyFill="1" applyBorder="1" applyAlignment="1" applyProtection="1">
      <alignment horizontal="center" vertical="center"/>
    </xf>
    <xf numFmtId="0" fontId="10" fillId="36" borderId="36" xfId="0" applyFont="1" applyFill="1" applyBorder="1" applyAlignment="1" applyProtection="1">
      <alignment vertical="center"/>
    </xf>
    <xf numFmtId="0" fontId="0" fillId="36" borderId="61" xfId="0" applyFill="1" applyBorder="1" applyAlignment="1" applyProtection="1">
      <alignment vertical="center"/>
    </xf>
    <xf numFmtId="0" fontId="0" fillId="36" borderId="45" xfId="0" applyFill="1" applyBorder="1" applyAlignment="1" applyProtection="1">
      <alignment vertical="center"/>
    </xf>
    <xf numFmtId="0" fontId="0" fillId="36" borderId="29" xfId="0" applyFill="1" applyBorder="1" applyAlignment="1" applyProtection="1">
      <alignment vertical="center"/>
    </xf>
    <xf numFmtId="0" fontId="0" fillId="36" borderId="60" xfId="0" applyFill="1" applyBorder="1" applyAlignment="1" applyProtection="1">
      <alignment vertical="center"/>
    </xf>
    <xf numFmtId="0" fontId="3" fillId="36" borderId="60" xfId="0" applyFont="1" applyFill="1" applyBorder="1" applyAlignment="1" applyProtection="1">
      <alignment vertical="center"/>
    </xf>
    <xf numFmtId="0" fontId="3" fillId="36" borderId="69" xfId="0" applyFont="1" applyFill="1" applyBorder="1" applyAlignment="1" applyProtection="1">
      <alignment vertical="center"/>
    </xf>
    <xf numFmtId="0" fontId="3" fillId="36" borderId="33" xfId="0" applyFont="1" applyFill="1" applyBorder="1" applyAlignment="1" applyProtection="1">
      <alignment horizontal="center" vertical="center"/>
    </xf>
    <xf numFmtId="0" fontId="3" fillId="36" borderId="38" xfId="0" applyFont="1" applyFill="1" applyBorder="1" applyAlignment="1" applyProtection="1">
      <alignment horizontal="center" vertical="center"/>
    </xf>
    <xf numFmtId="0" fontId="3" fillId="36" borderId="84" xfId="0" applyFont="1" applyFill="1" applyBorder="1" applyAlignment="1" applyProtection="1">
      <alignment horizontal="center" vertical="center"/>
    </xf>
    <xf numFmtId="0" fontId="3" fillId="36" borderId="107" xfId="0" applyFont="1" applyFill="1" applyBorder="1" applyAlignment="1" applyProtection="1">
      <alignment vertical="center"/>
    </xf>
    <xf numFmtId="0" fontId="0" fillId="36" borderId="20" xfId="0" applyFill="1" applyBorder="1" applyAlignment="1" applyProtection="1">
      <alignment horizontal="center" vertical="center"/>
    </xf>
    <xf numFmtId="0" fontId="0" fillId="36" borderId="12" xfId="0" applyFill="1" applyBorder="1" applyAlignment="1" applyProtection="1">
      <alignment horizontal="center" vertical="center"/>
    </xf>
    <xf numFmtId="0" fontId="10" fillId="36" borderId="71" xfId="0" applyFont="1" applyFill="1" applyBorder="1" applyAlignment="1" applyProtection="1">
      <alignment vertical="center"/>
    </xf>
    <xf numFmtId="0" fontId="0" fillId="36" borderId="31" xfId="0" applyFill="1" applyBorder="1" applyAlignment="1" applyProtection="1">
      <alignment vertical="center"/>
    </xf>
    <xf numFmtId="0" fontId="0" fillId="36" borderId="46" xfId="0" applyFill="1" applyBorder="1" applyAlignment="1" applyProtection="1">
      <alignment vertical="center"/>
    </xf>
    <xf numFmtId="0" fontId="3" fillId="36" borderId="13" xfId="0" applyFont="1" applyFill="1" applyBorder="1" applyAlignment="1" applyProtection="1">
      <alignment horizontal="center" vertical="center"/>
    </xf>
    <xf numFmtId="0" fontId="3" fillId="36" borderId="40" xfId="0" applyFont="1" applyFill="1" applyBorder="1" applyAlignment="1" applyProtection="1">
      <alignment horizontal="center" vertical="center"/>
    </xf>
    <xf numFmtId="0" fontId="3" fillId="36" borderId="91" xfId="0" applyFont="1" applyFill="1" applyBorder="1" applyAlignment="1" applyProtection="1">
      <alignment horizontal="center" vertical="center"/>
    </xf>
    <xf numFmtId="0" fontId="3" fillId="36" borderId="31" xfId="0" applyFont="1" applyFill="1" applyBorder="1" applyAlignment="1" applyProtection="1">
      <alignment vertical="center"/>
    </xf>
    <xf numFmtId="0" fontId="3" fillId="36" borderId="46" xfId="0" applyFont="1" applyFill="1" applyBorder="1" applyAlignment="1" applyProtection="1">
      <alignment vertical="center"/>
    </xf>
    <xf numFmtId="2" fontId="3" fillId="36" borderId="0" xfId="0" applyNumberFormat="1" applyFont="1" applyFill="1" applyBorder="1" applyAlignment="1" applyProtection="1">
      <alignment horizontal="center" vertical="center"/>
    </xf>
    <xf numFmtId="2" fontId="3" fillId="36" borderId="91" xfId="0" applyNumberFormat="1" applyFont="1" applyFill="1" applyBorder="1" applyAlignment="1" applyProtection="1">
      <alignment horizontal="center" vertical="center"/>
    </xf>
    <xf numFmtId="1" fontId="3" fillId="36" borderId="0" xfId="0" applyNumberFormat="1" applyFont="1" applyFill="1" applyBorder="1" applyAlignment="1" applyProtection="1">
      <alignment vertical="center"/>
    </xf>
    <xf numFmtId="0" fontId="3" fillId="36" borderId="31" xfId="0" applyFont="1" applyFill="1" applyBorder="1" applyAlignment="1" applyProtection="1">
      <alignment horizontal="right" vertical="center"/>
    </xf>
    <xf numFmtId="1" fontId="0" fillId="36" borderId="0" xfId="0" applyNumberFormat="1" applyFill="1" applyBorder="1" applyAlignment="1" applyProtection="1">
      <alignment vertical="center"/>
    </xf>
    <xf numFmtId="0" fontId="3" fillId="36" borderId="31" xfId="0" quotePrefix="1" applyFont="1" applyFill="1" applyBorder="1" applyAlignment="1" applyProtection="1">
      <alignment vertical="center"/>
    </xf>
    <xf numFmtId="0" fontId="3" fillId="36" borderId="0" xfId="0" applyFont="1" applyFill="1" applyAlignment="1" applyProtection="1">
      <alignment vertical="center"/>
    </xf>
    <xf numFmtId="0" fontId="3" fillId="36" borderId="17" xfId="0" applyFont="1" applyFill="1" applyBorder="1" applyAlignment="1" applyProtection="1">
      <alignment vertical="center"/>
    </xf>
    <xf numFmtId="0" fontId="3" fillId="36" borderId="19" xfId="0" applyFont="1" applyFill="1" applyBorder="1" applyAlignment="1" applyProtection="1">
      <alignment vertical="center"/>
    </xf>
    <xf numFmtId="0" fontId="10" fillId="36" borderId="55" xfId="0" applyFont="1" applyFill="1" applyBorder="1" applyAlignment="1" applyProtection="1">
      <alignment vertical="center"/>
    </xf>
    <xf numFmtId="0" fontId="0" fillId="36" borderId="47" xfId="0" applyFill="1" applyBorder="1" applyAlignment="1" applyProtection="1">
      <alignment vertical="center"/>
    </xf>
    <xf numFmtId="0" fontId="10" fillId="36" borderId="0" xfId="0" applyFont="1" applyFill="1" applyAlignment="1" applyProtection="1">
      <alignment vertical="center"/>
    </xf>
    <xf numFmtId="0" fontId="16" fillId="36" borderId="17" xfId="0" applyFont="1" applyFill="1" applyBorder="1" applyAlignment="1" applyProtection="1">
      <alignment vertical="center"/>
    </xf>
    <xf numFmtId="0" fontId="0" fillId="36" borderId="18" xfId="0" applyFill="1" applyBorder="1" applyAlignment="1" applyProtection="1">
      <alignment vertical="center"/>
    </xf>
    <xf numFmtId="0" fontId="3" fillId="36" borderId="18" xfId="0" applyFont="1" applyFill="1" applyBorder="1" applyAlignment="1" applyProtection="1">
      <alignment vertical="center"/>
    </xf>
    <xf numFmtId="0" fontId="3" fillId="36" borderId="61" xfId="0" applyFont="1" applyFill="1" applyBorder="1" applyAlignment="1" applyProtection="1">
      <alignment horizontal="center" vertical="center"/>
    </xf>
    <xf numFmtId="0" fontId="3" fillId="36" borderId="61" xfId="0" applyFont="1" applyFill="1" applyBorder="1" applyAlignment="1" applyProtection="1">
      <alignment vertical="center"/>
    </xf>
    <xf numFmtId="0" fontId="3" fillId="36" borderId="0" xfId="0" applyFont="1" applyFill="1" applyAlignment="1" applyProtection="1">
      <alignment horizontal="center" vertical="center"/>
    </xf>
    <xf numFmtId="0" fontId="134" fillId="36" borderId="31" xfId="0" applyFont="1" applyFill="1" applyBorder="1" applyAlignment="1" applyProtection="1">
      <alignment horizontal="center" vertical="center" wrapText="1"/>
    </xf>
    <xf numFmtId="0" fontId="0" fillId="36" borderId="112" xfId="0" applyFill="1" applyBorder="1" applyAlignment="1" applyProtection="1">
      <alignment horizontal="center" vertical="center"/>
    </xf>
    <xf numFmtId="0" fontId="0" fillId="36" borderId="112" xfId="0" applyFill="1" applyBorder="1" applyAlignment="1" applyProtection="1">
      <alignment vertical="center"/>
    </xf>
    <xf numFmtId="0" fontId="3" fillId="36" borderId="20" xfId="0" applyFont="1" applyFill="1" applyBorder="1" applyAlignment="1" applyProtection="1">
      <alignment horizontal="left" vertical="center"/>
    </xf>
    <xf numFmtId="0" fontId="0" fillId="36" borderId="137" xfId="0" applyFill="1" applyBorder="1" applyAlignment="1" applyProtection="1">
      <alignment horizontal="center" vertical="center"/>
    </xf>
    <xf numFmtId="0" fontId="0" fillId="36" borderId="138" xfId="0" applyFill="1" applyBorder="1" applyAlignment="1" applyProtection="1">
      <alignment horizontal="center" vertical="center"/>
    </xf>
    <xf numFmtId="0" fontId="0" fillId="36" borderId="139" xfId="0" applyFill="1" applyBorder="1" applyAlignment="1" applyProtection="1">
      <alignment horizontal="center" vertical="center"/>
    </xf>
    <xf numFmtId="0" fontId="0" fillId="36" borderId="26" xfId="0" applyFill="1" applyBorder="1" applyAlignment="1" applyProtection="1">
      <alignment horizontal="center" vertical="center"/>
    </xf>
    <xf numFmtId="0" fontId="0" fillId="36" borderId="26" xfId="0" applyFill="1" applyBorder="1" applyAlignment="1" applyProtection="1">
      <alignment vertical="center"/>
    </xf>
    <xf numFmtId="0" fontId="98" fillId="36" borderId="0" xfId="0" applyFont="1" applyFill="1" applyBorder="1" applyAlignment="1" applyProtection="1">
      <alignment vertical="center"/>
    </xf>
    <xf numFmtId="0" fontId="3" fillId="36" borderId="31" xfId="0" applyFont="1" applyFill="1" applyBorder="1" applyAlignment="1" applyProtection="1">
      <alignment horizontal="center" vertical="center"/>
    </xf>
    <xf numFmtId="0" fontId="10" fillId="36" borderId="31" xfId="0" applyFont="1" applyFill="1" applyBorder="1" applyAlignment="1" applyProtection="1">
      <alignment vertical="center"/>
    </xf>
    <xf numFmtId="2" fontId="0" fillId="36" borderId="144" xfId="0" applyNumberFormat="1" applyFill="1" applyBorder="1" applyAlignment="1" applyProtection="1">
      <alignment horizontal="center" vertical="center"/>
    </xf>
    <xf numFmtId="0" fontId="10" fillId="36" borderId="47" xfId="0" applyFont="1" applyFill="1" applyBorder="1" applyAlignment="1" applyProtection="1">
      <alignment vertical="center"/>
    </xf>
    <xf numFmtId="0" fontId="134" fillId="36" borderId="48" xfId="0" applyFont="1" applyFill="1" applyBorder="1" applyAlignment="1" applyProtection="1">
      <alignment horizontal="center" vertical="center" wrapText="1"/>
    </xf>
    <xf numFmtId="0" fontId="0" fillId="36" borderId="30" xfId="0" applyFill="1" applyBorder="1" applyAlignment="1" applyProtection="1">
      <alignment horizontal="center" vertical="center"/>
    </xf>
    <xf numFmtId="0" fontId="0" fillId="36" borderId="30" xfId="0" applyFill="1" applyBorder="1" applyAlignment="1" applyProtection="1">
      <alignment vertical="center"/>
    </xf>
    <xf numFmtId="0" fontId="54" fillId="36" borderId="0" xfId="0" applyFont="1" applyFill="1" applyBorder="1" applyAlignment="1" applyProtection="1">
      <alignment vertical="center"/>
    </xf>
    <xf numFmtId="0" fontId="10" fillId="36" borderId="0" xfId="0" applyFont="1" applyFill="1" applyBorder="1" applyAlignment="1" applyProtection="1">
      <alignment vertical="center"/>
    </xf>
    <xf numFmtId="0" fontId="3" fillId="36" borderId="107" xfId="0" applyFont="1" applyFill="1" applyBorder="1" applyProtection="1"/>
    <xf numFmtId="0" fontId="78" fillId="36" borderId="112" xfId="0" applyFont="1" applyFill="1" applyBorder="1" applyAlignment="1" applyProtection="1">
      <alignment horizontal="center"/>
    </xf>
    <xf numFmtId="0" fontId="78" fillId="36" borderId="113" xfId="0" applyFont="1" applyFill="1" applyBorder="1" applyAlignment="1" applyProtection="1">
      <alignment horizontal="center"/>
    </xf>
    <xf numFmtId="0" fontId="78" fillId="36" borderId="107" xfId="0" applyFont="1" applyFill="1" applyBorder="1" applyAlignment="1" applyProtection="1">
      <alignment horizontal="center"/>
    </xf>
    <xf numFmtId="0" fontId="0" fillId="36" borderId="14" xfId="0" applyFill="1" applyBorder="1" applyProtection="1"/>
    <xf numFmtId="1" fontId="78" fillId="36" borderId="0" xfId="32" applyNumberFormat="1" applyFont="1" applyFill="1" applyBorder="1" applyAlignment="1" applyProtection="1">
      <alignment horizontal="center" vertical="center"/>
    </xf>
    <xf numFmtId="0" fontId="3" fillId="36" borderId="20" xfId="0" applyFont="1" applyFill="1" applyBorder="1" applyProtection="1"/>
    <xf numFmtId="0" fontId="78" fillId="36" borderId="12" xfId="0" applyFont="1" applyFill="1" applyBorder="1" applyAlignment="1" applyProtection="1">
      <alignment horizontal="center"/>
    </xf>
    <xf numFmtId="0" fontId="78" fillId="36" borderId="22" xfId="0" applyFont="1" applyFill="1" applyBorder="1" applyAlignment="1" applyProtection="1">
      <alignment horizontal="center"/>
    </xf>
    <xf numFmtId="0" fontId="78" fillId="36" borderId="20" xfId="0" applyFont="1" applyFill="1" applyBorder="1" applyAlignment="1" applyProtection="1">
      <alignment horizontal="center"/>
    </xf>
    <xf numFmtId="0" fontId="10" fillId="36" borderId="31" xfId="0" applyFont="1" applyFill="1" applyBorder="1" applyAlignment="1" applyProtection="1">
      <alignment vertical="center" wrapText="1"/>
    </xf>
    <xf numFmtId="0" fontId="10" fillId="36" borderId="46" xfId="0" applyFont="1" applyFill="1" applyBorder="1" applyAlignment="1" applyProtection="1">
      <alignment vertical="center" wrapText="1"/>
    </xf>
    <xf numFmtId="167" fontId="82" fillId="36" borderId="63" xfId="0" applyNumberFormat="1" applyFont="1" applyFill="1" applyBorder="1" applyAlignment="1" applyProtection="1">
      <alignment horizontal="right" vertical="center" wrapText="1"/>
    </xf>
    <xf numFmtId="0" fontId="82" fillId="36" borderId="39" xfId="0" applyFont="1" applyFill="1" applyBorder="1" applyAlignment="1" applyProtection="1">
      <alignment horizontal="left" vertical="center" wrapText="1"/>
    </xf>
    <xf numFmtId="0" fontId="11" fillId="36" borderId="39" xfId="0" applyFont="1" applyFill="1" applyBorder="1" applyAlignment="1" applyProtection="1">
      <alignment horizontal="left" vertical="center" wrapText="1"/>
    </xf>
    <xf numFmtId="167" fontId="82" fillId="36" borderId="40" xfId="0" applyNumberFormat="1" applyFont="1" applyFill="1" applyBorder="1" applyAlignment="1" applyProtection="1">
      <alignment horizontal="right" vertical="center" wrapText="1"/>
    </xf>
    <xf numFmtId="0" fontId="82" fillId="36" borderId="37" xfId="0" applyFont="1" applyFill="1" applyBorder="1" applyAlignment="1" applyProtection="1">
      <alignment horizontal="left" vertical="center" wrapText="1"/>
    </xf>
    <xf numFmtId="0" fontId="11" fillId="36" borderId="37" xfId="0" applyFont="1" applyFill="1" applyBorder="1" applyAlignment="1" applyProtection="1">
      <alignment horizontal="left" vertical="center" wrapText="1"/>
    </xf>
    <xf numFmtId="0" fontId="10" fillId="36" borderId="47" xfId="0" applyFont="1" applyFill="1" applyBorder="1" applyAlignment="1" applyProtection="1">
      <alignment vertical="center" wrapText="1"/>
    </xf>
    <xf numFmtId="0" fontId="10" fillId="36" borderId="48" xfId="0" applyFont="1" applyFill="1" applyBorder="1" applyAlignment="1" applyProtection="1">
      <alignment vertical="center" wrapText="1"/>
    </xf>
    <xf numFmtId="167" fontId="82" fillId="36" borderId="47" xfId="0" applyNumberFormat="1" applyFont="1" applyFill="1" applyBorder="1" applyAlignment="1" applyProtection="1">
      <alignment horizontal="right" vertical="center" wrapText="1"/>
    </xf>
    <xf numFmtId="0" fontId="82" fillId="36" borderId="52" xfId="0" applyFont="1" applyFill="1" applyBorder="1" applyAlignment="1" applyProtection="1">
      <alignment horizontal="left" vertical="center" wrapText="1"/>
    </xf>
    <xf numFmtId="167" fontId="82" fillId="36" borderId="55" xfId="0" applyNumberFormat="1" applyFont="1" applyFill="1" applyBorder="1" applyAlignment="1" applyProtection="1">
      <alignment horizontal="right" vertical="center" wrapText="1"/>
    </xf>
    <xf numFmtId="0" fontId="11" fillId="36" borderId="52" xfId="0" applyFont="1" applyFill="1" applyBorder="1" applyAlignment="1" applyProtection="1">
      <alignment horizontal="left" vertical="center" wrapText="1"/>
    </xf>
    <xf numFmtId="2" fontId="0" fillId="36" borderId="0" xfId="0" applyNumberFormat="1" applyFill="1" applyAlignment="1" applyProtection="1">
      <alignment vertical="center"/>
    </xf>
    <xf numFmtId="2" fontId="0" fillId="36" borderId="0" xfId="0" applyNumberFormat="1" applyFill="1" applyProtection="1"/>
    <xf numFmtId="0" fontId="25" fillId="36" borderId="0" xfId="0" applyFont="1" applyFill="1" applyBorder="1" applyAlignment="1" applyProtection="1">
      <alignment horizontal="center" vertical="center" wrapText="1"/>
    </xf>
    <xf numFmtId="0" fontId="3" fillId="36" borderId="0" xfId="0" applyFont="1" applyFill="1" applyProtection="1"/>
    <xf numFmtId="49" fontId="3" fillId="36" borderId="0" xfId="0" applyNumberFormat="1" applyFont="1" applyFill="1" applyProtection="1"/>
    <xf numFmtId="0" fontId="10" fillId="36" borderId="0" xfId="0" applyFont="1" applyFill="1" applyBorder="1" applyAlignment="1" applyProtection="1">
      <alignment horizontal="left" vertical="center" wrapText="1"/>
    </xf>
    <xf numFmtId="0" fontId="10" fillId="36" borderId="0" xfId="0" applyFont="1" applyFill="1" applyBorder="1" applyAlignment="1" applyProtection="1">
      <alignment vertical="center" wrapText="1"/>
    </xf>
    <xf numFmtId="2" fontId="11" fillId="36" borderId="0" xfId="0" applyNumberFormat="1" applyFont="1" applyFill="1" applyBorder="1" applyAlignment="1" applyProtection="1">
      <alignment horizontal="center" vertical="center" wrapText="1"/>
    </xf>
    <xf numFmtId="0" fontId="11" fillId="36" borderId="0" xfId="0" applyFont="1" applyFill="1" applyBorder="1" applyAlignment="1" applyProtection="1">
      <alignment horizontal="center" vertical="center" wrapText="1"/>
    </xf>
    <xf numFmtId="0" fontId="10" fillId="36" borderId="70" xfId="0" applyFont="1" applyFill="1" applyBorder="1" applyAlignment="1" applyProtection="1">
      <alignment vertical="center"/>
    </xf>
    <xf numFmtId="0" fontId="0" fillId="36" borderId="93" xfId="0" applyFill="1" applyBorder="1" applyAlignment="1" applyProtection="1">
      <alignment vertical="center"/>
    </xf>
    <xf numFmtId="0" fontId="3" fillId="36" borderId="47" xfId="0" applyFont="1" applyFill="1" applyBorder="1" applyAlignment="1" applyProtection="1">
      <alignment vertical="center"/>
    </xf>
    <xf numFmtId="0" fontId="2" fillId="36" borderId="0" xfId="0" applyFont="1" applyFill="1" applyBorder="1" applyAlignment="1" applyProtection="1"/>
    <xf numFmtId="0" fontId="5" fillId="36" borderId="0" xfId="0" applyFont="1" applyFill="1" applyBorder="1" applyAlignment="1" applyProtection="1"/>
    <xf numFmtId="0" fontId="16" fillId="36" borderId="0" xfId="0" applyFont="1" applyFill="1" applyBorder="1" applyAlignment="1" applyProtection="1">
      <alignment vertical="center"/>
    </xf>
    <xf numFmtId="0" fontId="16" fillId="36" borderId="19" xfId="0" applyFont="1" applyFill="1" applyBorder="1" applyAlignment="1" applyProtection="1">
      <alignment vertical="center"/>
    </xf>
    <xf numFmtId="0" fontId="0" fillId="36" borderId="79" xfId="0" applyFill="1" applyBorder="1" applyProtection="1"/>
    <xf numFmtId="0" fontId="3" fillId="36" borderId="20" xfId="0" applyFont="1" applyFill="1" applyBorder="1" applyAlignment="1" applyProtection="1">
      <alignment vertical="center"/>
    </xf>
    <xf numFmtId="0" fontId="3" fillId="36" borderId="12" xfId="0" applyFont="1" applyFill="1" applyBorder="1" applyAlignment="1" applyProtection="1">
      <alignment vertical="center"/>
    </xf>
    <xf numFmtId="0" fontId="0" fillId="36" borderId="17" xfId="0" applyFill="1" applyBorder="1" applyAlignment="1" applyProtection="1">
      <alignment vertical="center"/>
    </xf>
    <xf numFmtId="0" fontId="10" fillId="53" borderId="13" xfId="0" applyFont="1" applyFill="1" applyBorder="1" applyAlignment="1">
      <alignment wrapText="1"/>
    </xf>
    <xf numFmtId="0" fontId="10" fillId="36" borderId="78" xfId="0" applyFont="1" applyFill="1" applyBorder="1" applyAlignment="1" applyProtection="1">
      <alignment vertical="center"/>
    </xf>
    <xf numFmtId="0" fontId="0" fillId="36" borderId="53" xfId="0" applyFill="1" applyBorder="1" applyAlignment="1" applyProtection="1">
      <alignment vertical="center"/>
    </xf>
    <xf numFmtId="0" fontId="3" fillId="36" borderId="53" xfId="0" quotePrefix="1" applyFont="1" applyFill="1" applyBorder="1" applyAlignment="1" applyProtection="1">
      <alignment vertical="center"/>
    </xf>
    <xf numFmtId="2" fontId="14" fillId="25" borderId="30" xfId="0" applyNumberFormat="1" applyFont="1" applyFill="1" applyBorder="1" applyAlignment="1" applyProtection="1">
      <alignment horizontal="center"/>
    </xf>
    <xf numFmtId="0" fontId="0" fillId="36" borderId="136" xfId="0" applyFill="1" applyBorder="1" applyAlignment="1" applyProtection="1">
      <alignment horizontal="center" vertical="center"/>
    </xf>
    <xf numFmtId="0" fontId="0" fillId="36" borderId="79" xfId="0" applyFill="1" applyBorder="1" applyAlignment="1" applyProtection="1">
      <alignment vertical="center"/>
    </xf>
    <xf numFmtId="0" fontId="0" fillId="36" borderId="19" xfId="0" applyFill="1" applyBorder="1" applyAlignment="1" applyProtection="1">
      <alignment vertical="center"/>
    </xf>
    <xf numFmtId="2" fontId="0" fillId="36" borderId="146" xfId="0" applyNumberFormat="1" applyFill="1" applyBorder="1" applyAlignment="1" applyProtection="1">
      <alignment horizontal="center" vertical="center"/>
    </xf>
    <xf numFmtId="2" fontId="0" fillId="36" borderId="145" xfId="0" applyNumberFormat="1" applyFill="1" applyBorder="1" applyAlignment="1" applyProtection="1">
      <alignment horizontal="center" vertical="center"/>
    </xf>
    <xf numFmtId="2" fontId="0" fillId="52" borderId="147" xfId="0" applyNumberFormat="1" applyFill="1" applyBorder="1" applyAlignment="1" applyProtection="1">
      <alignment horizontal="center" vertical="center"/>
    </xf>
    <xf numFmtId="2" fontId="0" fillId="52" borderId="148" xfId="0" applyNumberFormat="1" applyFill="1" applyBorder="1" applyAlignment="1" applyProtection="1">
      <alignment horizontal="center" vertical="center"/>
    </xf>
    <xf numFmtId="2" fontId="0" fillId="52" borderId="150" xfId="0" applyNumberFormat="1" applyFill="1" applyBorder="1" applyAlignment="1" applyProtection="1">
      <alignment horizontal="center" vertical="center"/>
    </xf>
    <xf numFmtId="2" fontId="0" fillId="36" borderId="152" xfId="0" applyNumberFormat="1" applyFill="1" applyBorder="1" applyAlignment="1" applyProtection="1">
      <alignment horizontal="center" vertical="center"/>
    </xf>
    <xf numFmtId="2" fontId="0" fillId="36" borderId="153" xfId="0" applyNumberFormat="1" applyFill="1" applyBorder="1" applyAlignment="1" applyProtection="1">
      <alignment horizontal="center" vertical="center"/>
    </xf>
    <xf numFmtId="2" fontId="0" fillId="36" borderId="150" xfId="0" applyNumberFormat="1" applyFill="1" applyBorder="1" applyAlignment="1" applyProtection="1">
      <alignment horizontal="center" vertical="center"/>
    </xf>
    <xf numFmtId="0" fontId="0" fillId="36" borderId="151" xfId="0" applyFill="1" applyBorder="1" applyAlignment="1" applyProtection="1">
      <alignment horizontal="center"/>
    </xf>
    <xf numFmtId="2" fontId="0" fillId="52" borderId="151" xfId="0" applyNumberFormat="1" applyFill="1" applyBorder="1" applyAlignment="1" applyProtection="1">
      <alignment horizontal="center"/>
    </xf>
    <xf numFmtId="2" fontId="0" fillId="52" borderId="149" xfId="0" applyNumberFormat="1" applyFill="1" applyBorder="1" applyAlignment="1" applyProtection="1">
      <alignment horizontal="center"/>
    </xf>
    <xf numFmtId="2" fontId="0" fillId="36" borderId="151" xfId="0" applyNumberFormat="1" applyFill="1" applyBorder="1" applyAlignment="1" applyProtection="1">
      <alignment horizontal="center"/>
    </xf>
    <xf numFmtId="2" fontId="0" fillId="36" borderId="154" xfId="0" applyNumberFormat="1" applyFill="1" applyBorder="1" applyAlignment="1" applyProtection="1">
      <alignment horizontal="center"/>
    </xf>
    <xf numFmtId="0" fontId="0" fillId="36" borderId="20" xfId="0" applyFill="1" applyBorder="1" applyAlignment="1" applyProtection="1">
      <alignment vertical="center"/>
    </xf>
    <xf numFmtId="2" fontId="3" fillId="52" borderId="112" xfId="0" applyNumberFormat="1" applyFont="1" applyFill="1" applyBorder="1" applyAlignment="1" applyProtection="1">
      <alignment horizontal="center" vertical="center"/>
    </xf>
    <xf numFmtId="0" fontId="3" fillId="36" borderId="113" xfId="0" applyFont="1" applyFill="1" applyBorder="1" applyAlignment="1" applyProtection="1">
      <alignment horizontal="center" vertical="center"/>
    </xf>
    <xf numFmtId="0" fontId="0" fillId="36" borderId="107" xfId="0" applyFill="1" applyBorder="1" applyAlignment="1" applyProtection="1">
      <alignment horizontal="center" vertical="center"/>
    </xf>
    <xf numFmtId="0" fontId="3" fillId="52" borderId="112" xfId="0" applyFont="1" applyFill="1" applyBorder="1" applyAlignment="1" applyProtection="1">
      <alignment horizontal="center" vertical="center"/>
    </xf>
    <xf numFmtId="0" fontId="0" fillId="52" borderId="112" xfId="0" applyFill="1" applyBorder="1" applyAlignment="1" applyProtection="1">
      <alignment horizontal="center" vertical="center"/>
    </xf>
    <xf numFmtId="0" fontId="0" fillId="36" borderId="79" xfId="0" applyFill="1" applyBorder="1" applyAlignment="1" applyProtection="1">
      <alignment horizontal="center" vertical="center"/>
    </xf>
    <xf numFmtId="0" fontId="0" fillId="36" borderId="113" xfId="0" applyFill="1" applyBorder="1" applyAlignment="1" applyProtection="1">
      <alignment horizontal="center" vertical="center"/>
    </xf>
    <xf numFmtId="0" fontId="0" fillId="36" borderId="29" xfId="0" applyFill="1" applyBorder="1" applyAlignment="1" applyProtection="1">
      <alignment horizontal="center" vertical="center"/>
    </xf>
    <xf numFmtId="0" fontId="0" fillId="36" borderId="28" xfId="0" applyFill="1" applyBorder="1" applyAlignment="1" applyProtection="1">
      <alignment horizontal="center" vertical="center"/>
    </xf>
    <xf numFmtId="0" fontId="0" fillId="36" borderId="18" xfId="0" applyFill="1" applyBorder="1" applyAlignment="1" applyProtection="1">
      <alignment horizontal="center" vertical="center"/>
    </xf>
    <xf numFmtId="0" fontId="0" fillId="36" borderId="143" xfId="0" applyFill="1" applyBorder="1" applyAlignment="1" applyProtection="1">
      <alignment horizontal="center" vertical="center"/>
    </xf>
    <xf numFmtId="0" fontId="0" fillId="52" borderId="140" xfId="0" applyFill="1" applyBorder="1" applyAlignment="1" applyProtection="1">
      <alignment horizontal="center" vertical="center"/>
    </xf>
    <xf numFmtId="0" fontId="0" fillId="52" borderId="141" xfId="0" applyFill="1" applyBorder="1" applyAlignment="1" applyProtection="1">
      <alignment horizontal="center" vertical="center"/>
    </xf>
    <xf numFmtId="0" fontId="0" fillId="36" borderId="140" xfId="0" applyFill="1" applyBorder="1" applyAlignment="1" applyProtection="1">
      <alignment horizontal="center" vertical="center"/>
    </xf>
    <xf numFmtId="0" fontId="0" fillId="36" borderId="141" xfId="0" applyFill="1" applyBorder="1" applyAlignment="1" applyProtection="1">
      <alignment horizontal="center" vertical="center"/>
    </xf>
    <xf numFmtId="0" fontId="0" fillId="36" borderId="142" xfId="0" applyFill="1" applyBorder="1" applyAlignment="1" applyProtection="1">
      <alignment horizontal="center" vertical="center"/>
    </xf>
    <xf numFmtId="0" fontId="91" fillId="41" borderId="107" xfId="0" applyFont="1" applyFill="1" applyBorder="1" applyAlignment="1" applyProtection="1">
      <alignment vertical="center"/>
    </xf>
    <xf numFmtId="0" fontId="90" fillId="41" borderId="79" xfId="0" applyFont="1" applyFill="1" applyBorder="1" applyProtection="1"/>
    <xf numFmtId="0" fontId="90" fillId="41" borderId="113" xfId="0" applyFont="1" applyFill="1" applyBorder="1" applyProtection="1"/>
    <xf numFmtId="0" fontId="90" fillId="41" borderId="28" xfId="0" applyFont="1" applyFill="1" applyBorder="1" applyProtection="1"/>
    <xf numFmtId="0" fontId="90" fillId="41" borderId="0" xfId="0" applyFont="1" applyFill="1" applyBorder="1" applyProtection="1"/>
    <xf numFmtId="0" fontId="90" fillId="41" borderId="29" xfId="0" applyFont="1" applyFill="1" applyBorder="1" applyProtection="1"/>
    <xf numFmtId="0" fontId="90" fillId="41" borderId="17" xfId="0" applyFont="1" applyFill="1" applyBorder="1" applyProtection="1"/>
    <xf numFmtId="0" fontId="90" fillId="41" borderId="18" xfId="0" applyFont="1" applyFill="1" applyBorder="1" applyProtection="1"/>
    <xf numFmtId="0" fontId="90" fillId="41" borderId="19" xfId="0" applyFont="1" applyFill="1" applyBorder="1" applyProtection="1"/>
    <xf numFmtId="0" fontId="3" fillId="36" borderId="12" xfId="0" applyFont="1" applyFill="1" applyBorder="1" applyAlignment="1" applyProtection="1">
      <alignment horizontal="left" vertical="center"/>
    </xf>
    <xf numFmtId="2" fontId="0" fillId="36" borderId="12" xfId="0" applyNumberFormat="1" applyFill="1" applyBorder="1" applyAlignment="1" applyProtection="1">
      <alignment horizontal="center"/>
    </xf>
    <xf numFmtId="2" fontId="0" fillId="52" borderId="146" xfId="0" applyNumberFormat="1" applyFill="1" applyBorder="1" applyAlignment="1" applyProtection="1">
      <alignment horizontal="center" vertical="center"/>
    </xf>
    <xf numFmtId="2" fontId="0" fillId="52" borderId="145" xfId="0" applyNumberFormat="1" applyFill="1" applyBorder="1" applyAlignment="1" applyProtection="1">
      <alignment horizontal="center" vertical="center"/>
    </xf>
    <xf numFmtId="2" fontId="0" fillId="52" borderId="12" xfId="0" applyNumberFormat="1" applyFill="1" applyBorder="1" applyAlignment="1" applyProtection="1">
      <alignment horizontal="center"/>
    </xf>
    <xf numFmtId="2" fontId="0" fillId="36" borderId="0" xfId="0" applyNumberFormat="1" applyFill="1" applyBorder="1" applyAlignment="1" applyProtection="1">
      <alignment vertical="center"/>
    </xf>
    <xf numFmtId="167" fontId="0" fillId="36" borderId="0" xfId="0" applyNumberFormat="1" applyFill="1" applyBorder="1" applyAlignment="1" applyProtection="1">
      <alignment vertical="center"/>
    </xf>
    <xf numFmtId="0" fontId="102" fillId="36" borderId="0" xfId="0" applyFont="1" applyFill="1" applyBorder="1" applyAlignment="1" applyProtection="1">
      <alignment horizontal="center" vertical="center"/>
    </xf>
    <xf numFmtId="0" fontId="2" fillId="36" borderId="107" xfId="0" applyFont="1" applyFill="1" applyBorder="1" applyProtection="1"/>
    <xf numFmtId="0" fontId="2" fillId="36" borderId="28" xfId="0" applyFont="1" applyFill="1" applyBorder="1" applyAlignment="1" applyProtection="1">
      <alignment vertical="center"/>
    </xf>
    <xf numFmtId="0" fontId="98" fillId="36" borderId="18" xfId="0" applyFont="1" applyFill="1" applyBorder="1" applyAlignment="1" applyProtection="1">
      <alignment horizontal="center" vertical="center"/>
    </xf>
    <xf numFmtId="0" fontId="98" fillId="36" borderId="19" xfId="0" applyFont="1" applyFill="1" applyBorder="1" applyAlignment="1" applyProtection="1">
      <alignment horizontal="center" vertical="center"/>
    </xf>
    <xf numFmtId="0" fontId="91" fillId="41" borderId="107" xfId="0" applyFont="1" applyFill="1" applyBorder="1"/>
    <xf numFmtId="0" fontId="90" fillId="41" borderId="79" xfId="0" applyFont="1" applyFill="1" applyBorder="1"/>
    <xf numFmtId="0" fontId="90" fillId="41" borderId="113" xfId="0" applyFont="1" applyFill="1" applyBorder="1"/>
    <xf numFmtId="0" fontId="3" fillId="36" borderId="107" xfId="0" applyFont="1" applyFill="1" applyBorder="1"/>
    <xf numFmtId="0" fontId="137" fillId="36" borderId="113" xfId="0" applyFont="1" applyFill="1" applyBorder="1"/>
    <xf numFmtId="0" fontId="137" fillId="36" borderId="29" xfId="0" applyFont="1" applyFill="1" applyBorder="1"/>
    <xf numFmtId="0" fontId="137" fillId="36" borderId="18" xfId="0" applyFont="1" applyFill="1" applyBorder="1"/>
    <xf numFmtId="0" fontId="137" fillId="36" borderId="19" xfId="0" applyFont="1" applyFill="1" applyBorder="1"/>
    <xf numFmtId="0" fontId="137" fillId="36" borderId="28" xfId="0" applyFont="1" applyFill="1" applyBorder="1"/>
    <xf numFmtId="0" fontId="137" fillId="36" borderId="0" xfId="0" applyFont="1" applyFill="1" applyBorder="1"/>
    <xf numFmtId="0" fontId="137" fillId="36" borderId="79" xfId="0" applyFont="1" applyFill="1" applyBorder="1"/>
    <xf numFmtId="0" fontId="125" fillId="36" borderId="107" xfId="0" applyFont="1" applyFill="1" applyBorder="1" applyAlignment="1">
      <alignment horizontal="center"/>
    </xf>
    <xf numFmtId="0" fontId="125" fillId="36" borderId="112" xfId="0" applyFont="1" applyFill="1" applyBorder="1" applyAlignment="1">
      <alignment horizontal="center"/>
    </xf>
    <xf numFmtId="0" fontId="137" fillId="35" borderId="17" xfId="0" applyFont="1" applyFill="1" applyBorder="1" applyAlignment="1">
      <alignment horizontal="center"/>
    </xf>
    <xf numFmtId="0" fontId="137" fillId="35" borderId="30" xfId="0" applyFont="1" applyFill="1" applyBorder="1" applyAlignment="1">
      <alignment horizontal="center"/>
    </xf>
    <xf numFmtId="0" fontId="3" fillId="36" borderId="17" xfId="0" applyFont="1" applyFill="1" applyBorder="1"/>
    <xf numFmtId="0" fontId="125" fillId="0" borderId="112" xfId="0" applyFont="1" applyFill="1" applyBorder="1" applyAlignment="1">
      <alignment horizontal="center"/>
    </xf>
    <xf numFmtId="0" fontId="125" fillId="36" borderId="107" xfId="0" applyFont="1" applyFill="1" applyBorder="1" applyAlignment="1">
      <alignment horizontal="left"/>
    </xf>
    <xf numFmtId="0" fontId="125" fillId="36" borderId="28" xfId="0" applyFont="1" applyFill="1" applyBorder="1" applyAlignment="1">
      <alignment horizontal="left"/>
    </xf>
    <xf numFmtId="0" fontId="125" fillId="36" borderId="17" xfId="0" applyFont="1" applyFill="1" applyBorder="1" applyAlignment="1">
      <alignment horizontal="left"/>
    </xf>
    <xf numFmtId="0" fontId="125" fillId="36" borderId="20" xfId="0" applyFont="1" applyFill="1" applyBorder="1" applyAlignment="1">
      <alignment horizontal="left"/>
    </xf>
    <xf numFmtId="169" fontId="125" fillId="36" borderId="20" xfId="0" applyNumberFormat="1" applyFont="1" applyFill="1" applyBorder="1" applyAlignment="1">
      <alignment horizontal="center"/>
    </xf>
    <xf numFmtId="169" fontId="125" fillId="36" borderId="12" xfId="0" applyNumberFormat="1" applyFont="1" applyFill="1" applyBorder="1" applyAlignment="1">
      <alignment horizontal="center"/>
    </xf>
    <xf numFmtId="0" fontId="125" fillId="35" borderId="28" xfId="0" applyFont="1" applyFill="1" applyBorder="1" applyAlignment="1">
      <alignment horizontal="center"/>
    </xf>
    <xf numFmtId="0" fontId="125" fillId="35" borderId="26" xfId="0" applyFont="1" applyFill="1" applyBorder="1" applyAlignment="1">
      <alignment horizontal="center"/>
    </xf>
    <xf numFmtId="0" fontId="125" fillId="35" borderId="17" xfId="0" applyFont="1" applyFill="1" applyBorder="1" applyAlignment="1">
      <alignment horizontal="center"/>
    </xf>
    <xf numFmtId="0" fontId="125" fillId="35" borderId="30" xfId="0" applyFont="1" applyFill="1" applyBorder="1" applyAlignment="1">
      <alignment horizontal="center"/>
    </xf>
    <xf numFmtId="2" fontId="0" fillId="36" borderId="30" xfId="0" applyNumberFormat="1" applyFill="1" applyBorder="1" applyAlignment="1" applyProtection="1">
      <alignment horizontal="center" vertical="center"/>
    </xf>
    <xf numFmtId="0" fontId="3" fillId="36" borderId="30" xfId="0" applyFont="1" applyFill="1" applyBorder="1" applyAlignment="1" applyProtection="1">
      <alignment horizontal="center" vertical="center"/>
    </xf>
    <xf numFmtId="9" fontId="0" fillId="36" borderId="112" xfId="32" applyFont="1" applyFill="1" applyBorder="1" applyAlignment="1" applyProtection="1">
      <alignment horizontal="center" vertical="center"/>
    </xf>
    <xf numFmtId="9" fontId="0" fillId="36" borderId="26" xfId="32" applyFont="1" applyFill="1" applyBorder="1" applyAlignment="1" applyProtection="1">
      <alignment horizontal="center" vertical="center"/>
    </xf>
    <xf numFmtId="0" fontId="0" fillId="0" borderId="112" xfId="0" applyFill="1" applyBorder="1" applyAlignment="1">
      <alignment horizontal="center"/>
    </xf>
    <xf numFmtId="0" fontId="0" fillId="0" borderId="26" xfId="0" applyFill="1" applyBorder="1" applyAlignment="1">
      <alignment horizontal="center"/>
    </xf>
    <xf numFmtId="0" fontId="0" fillId="0" borderId="30" xfId="0" applyFill="1" applyBorder="1" applyAlignment="1">
      <alignment horizontal="center"/>
    </xf>
    <xf numFmtId="0" fontId="10" fillId="25" borderId="17" xfId="0" applyFont="1" applyFill="1" applyBorder="1" applyAlignment="1" applyProtection="1">
      <alignment horizontal="left" vertical="center"/>
    </xf>
    <xf numFmtId="0" fontId="10" fillId="25" borderId="18" xfId="0" applyFont="1" applyFill="1" applyBorder="1" applyAlignment="1" applyProtection="1">
      <alignment horizontal="left" vertical="center"/>
    </xf>
    <xf numFmtId="0" fontId="16" fillId="25" borderId="20" xfId="0" applyFont="1" applyFill="1" applyBorder="1" applyAlignment="1" applyProtection="1">
      <alignment vertical="center"/>
    </xf>
    <xf numFmtId="0" fontId="0" fillId="25" borderId="156" xfId="0" applyFill="1" applyBorder="1"/>
    <xf numFmtId="0" fontId="8" fillId="33" borderId="30" xfId="0" applyFont="1" applyFill="1" applyBorder="1" applyAlignment="1">
      <alignment horizontal="center"/>
    </xf>
    <xf numFmtId="0" fontId="0" fillId="36" borderId="145" xfId="0" applyFill="1" applyBorder="1" applyAlignment="1" applyProtection="1">
      <alignment horizontal="center"/>
    </xf>
    <xf numFmtId="2" fontId="3" fillId="0" borderId="144" xfId="0" applyNumberFormat="1" applyFont="1" applyBorder="1" applyAlignment="1" applyProtection="1">
      <alignment horizontal="center" vertical="center"/>
    </xf>
    <xf numFmtId="2" fontId="3" fillId="52" borderId="155" xfId="0" applyNumberFormat="1" applyFont="1" applyFill="1" applyBorder="1" applyAlignment="1" applyProtection="1">
      <alignment horizontal="center" vertical="center"/>
    </xf>
    <xf numFmtId="2" fontId="3" fillId="0" borderId="155" xfId="0" applyNumberFormat="1" applyFont="1" applyBorder="1" applyAlignment="1" applyProtection="1">
      <alignment horizontal="center" vertical="center"/>
    </xf>
    <xf numFmtId="0" fontId="3" fillId="0" borderId="0" xfId="0" applyFont="1"/>
    <xf numFmtId="0" fontId="0" fillId="25" borderId="0" xfId="0" applyFill="1"/>
    <xf numFmtId="0" fontId="0" fillId="25" borderId="26" xfId="0" applyFill="1" applyBorder="1"/>
    <xf numFmtId="0" fontId="35" fillId="25" borderId="13" xfId="0" applyFont="1" applyFill="1" applyBorder="1" applyAlignment="1">
      <alignment horizontal="center" wrapText="1"/>
    </xf>
    <xf numFmtId="0" fontId="8" fillId="33" borderId="112" xfId="0" applyFont="1" applyFill="1" applyBorder="1" applyAlignment="1">
      <alignment horizontal="center"/>
    </xf>
    <xf numFmtId="0" fontId="10" fillId="25" borderId="20" xfId="0" applyFont="1" applyFill="1" applyBorder="1" applyAlignment="1" applyProtection="1">
      <alignment horizontal="center"/>
    </xf>
    <xf numFmtId="0" fontId="10" fillId="37" borderId="13" xfId="0" applyFont="1" applyFill="1" applyBorder="1" applyAlignment="1">
      <alignment wrapText="1"/>
    </xf>
    <xf numFmtId="0" fontId="35" fillId="36" borderId="13" xfId="0" applyFont="1" applyFill="1" applyBorder="1" applyAlignment="1">
      <alignment horizontal="center" wrapText="1"/>
    </xf>
    <xf numFmtId="0" fontId="3" fillId="0" borderId="0" xfId="0" applyFont="1" applyAlignment="1">
      <alignment horizontal="left"/>
    </xf>
    <xf numFmtId="0" fontId="0" fillId="0" borderId="0" xfId="0" applyAlignment="1">
      <alignment horizontal="left"/>
    </xf>
    <xf numFmtId="0" fontId="78" fillId="36" borderId="0" xfId="0" applyFont="1" applyFill="1" applyAlignment="1">
      <alignment horizontal="right"/>
    </xf>
    <xf numFmtId="0" fontId="35" fillId="25" borderId="13" xfId="0" applyFont="1" applyFill="1" applyBorder="1" applyAlignment="1">
      <alignment wrapText="1"/>
    </xf>
    <xf numFmtId="0" fontId="3" fillId="0" borderId="12" xfId="0" applyFont="1" applyBorder="1" applyAlignment="1" applyProtection="1">
      <alignment vertical="center"/>
    </xf>
    <xf numFmtId="2" fontId="3" fillId="52" borderId="12" xfId="0" applyNumberFormat="1" applyFont="1" applyFill="1" applyBorder="1" applyAlignment="1" applyProtection="1">
      <alignment horizontal="center" vertical="center"/>
    </xf>
    <xf numFmtId="0" fontId="78" fillId="25" borderId="29" xfId="0" applyFont="1" applyFill="1" applyBorder="1"/>
    <xf numFmtId="0" fontId="78" fillId="25" borderId="26" xfId="0" applyFont="1" applyFill="1" applyBorder="1"/>
    <xf numFmtId="2" fontId="78" fillId="25" borderId="26" xfId="0" applyNumberFormat="1" applyFont="1" applyFill="1" applyBorder="1" applyAlignment="1">
      <alignment horizontal="center"/>
    </xf>
    <xf numFmtId="2" fontId="96" fillId="25" borderId="26" xfId="0" applyNumberFormat="1" applyFont="1" applyFill="1" applyBorder="1" applyAlignment="1">
      <alignment horizontal="center"/>
    </xf>
    <xf numFmtId="0" fontId="78" fillId="25" borderId="26" xfId="0" applyFont="1" applyFill="1" applyBorder="1" applyAlignment="1">
      <alignment horizontal="center"/>
    </xf>
    <xf numFmtId="0" fontId="78" fillId="25" borderId="26" xfId="0" applyFont="1" applyFill="1" applyBorder="1" applyAlignment="1">
      <alignment horizontal="left"/>
    </xf>
    <xf numFmtId="0" fontId="78" fillId="25" borderId="28" xfId="0" applyFont="1" applyFill="1" applyBorder="1"/>
    <xf numFmtId="0" fontId="78" fillId="25" borderId="30" xfId="0" applyFont="1" applyFill="1" applyBorder="1"/>
    <xf numFmtId="0" fontId="78" fillId="25" borderId="17" xfId="0" applyFont="1" applyFill="1" applyBorder="1"/>
    <xf numFmtId="0" fontId="78" fillId="25" borderId="30" xfId="0" applyFont="1" applyFill="1" applyBorder="1" applyAlignment="1">
      <alignment horizontal="center"/>
    </xf>
    <xf numFmtId="0" fontId="78" fillId="25" borderId="30" xfId="0" applyFont="1" applyFill="1" applyBorder="1" applyAlignment="1">
      <alignment horizontal="left"/>
    </xf>
    <xf numFmtId="169" fontId="78" fillId="25" borderId="0" xfId="0" applyNumberFormat="1" applyFont="1" applyFill="1" applyBorder="1"/>
    <xf numFmtId="9" fontId="78" fillId="25" borderId="0" xfId="32" applyFont="1" applyFill="1" applyBorder="1" applyAlignment="1">
      <alignment horizontal="center"/>
    </xf>
    <xf numFmtId="9" fontId="78" fillId="25" borderId="18" xfId="32" applyFont="1" applyFill="1" applyBorder="1" applyAlignment="1">
      <alignment horizontal="center"/>
    </xf>
    <xf numFmtId="0" fontId="78" fillId="25" borderId="19" xfId="0" applyFont="1" applyFill="1" applyBorder="1"/>
    <xf numFmtId="0" fontId="125" fillId="36" borderId="79" xfId="0" applyFont="1" applyFill="1" applyBorder="1" applyAlignment="1">
      <alignment horizontal="center"/>
    </xf>
    <xf numFmtId="0" fontId="137" fillId="35" borderId="18" xfId="0" applyFont="1" applyFill="1" applyBorder="1" applyAlignment="1">
      <alignment horizontal="center"/>
    </xf>
    <xf numFmtId="0" fontId="125" fillId="36" borderId="156" xfId="0" applyFont="1" applyFill="1" applyBorder="1" applyAlignment="1">
      <alignment horizontal="center"/>
    </xf>
    <xf numFmtId="1" fontId="0" fillId="36" borderId="30" xfId="0" applyNumberFormat="1" applyFill="1" applyBorder="1" applyAlignment="1" applyProtection="1">
      <alignment horizontal="center"/>
    </xf>
    <xf numFmtId="0" fontId="0" fillId="36" borderId="18" xfId="0" applyFill="1" applyBorder="1" applyAlignment="1" applyProtection="1">
      <alignment horizontal="center"/>
    </xf>
    <xf numFmtId="0" fontId="0" fillId="36" borderId="79" xfId="0" applyFill="1" applyBorder="1" applyAlignment="1" applyProtection="1">
      <alignment horizontal="center"/>
    </xf>
    <xf numFmtId="0" fontId="3" fillId="36" borderId="28" xfId="0" applyFont="1" applyFill="1" applyBorder="1" applyProtection="1"/>
    <xf numFmtId="0" fontId="0" fillId="36" borderId="0" xfId="0" applyFill="1" applyBorder="1" applyAlignment="1" applyProtection="1">
      <alignment horizontal="center"/>
    </xf>
    <xf numFmtId="0" fontId="0" fillId="36" borderId="29" xfId="0" applyFill="1" applyBorder="1" applyProtection="1"/>
    <xf numFmtId="167" fontId="3" fillId="36" borderId="0" xfId="0" applyNumberFormat="1" applyFont="1" applyFill="1" applyBorder="1" applyAlignment="1" applyProtection="1">
      <alignment vertical="center"/>
    </xf>
    <xf numFmtId="0" fontId="16" fillId="25" borderId="107" xfId="0" applyFont="1" applyFill="1" applyBorder="1" applyProtection="1"/>
    <xf numFmtId="0" fontId="11" fillId="25" borderId="79" xfId="0" applyFont="1" applyFill="1" applyBorder="1" applyProtection="1"/>
    <xf numFmtId="0" fontId="108" fillId="25" borderId="157" xfId="0" applyFont="1" applyFill="1" applyBorder="1" applyAlignment="1" applyProtection="1">
      <alignment horizontal="center"/>
    </xf>
    <xf numFmtId="167" fontId="83" fillId="25" borderId="14" xfId="0" applyNumberFormat="1" applyFont="1" applyFill="1" applyBorder="1" applyProtection="1"/>
    <xf numFmtId="167" fontId="83" fillId="25" borderId="22" xfId="0" applyNumberFormat="1" applyFont="1" applyFill="1" applyBorder="1" applyProtection="1"/>
    <xf numFmtId="167" fontId="81" fillId="25" borderId="61" xfId="0" applyNumberFormat="1" applyFont="1" applyFill="1" applyBorder="1" applyProtection="1"/>
    <xf numFmtId="167" fontId="81" fillId="25" borderId="70" xfId="0" applyNumberFormat="1" applyFont="1" applyFill="1" applyBorder="1" applyAlignment="1" applyProtection="1">
      <alignment vertical="center"/>
    </xf>
    <xf numFmtId="167" fontId="81" fillId="25" borderId="71" xfId="0" applyNumberFormat="1" applyFont="1" applyFill="1" applyBorder="1" applyAlignment="1" applyProtection="1">
      <alignment vertical="center"/>
    </xf>
    <xf numFmtId="167" fontId="81" fillId="25" borderId="55" xfId="0" applyNumberFormat="1" applyFont="1" applyFill="1" applyBorder="1" applyAlignment="1" applyProtection="1">
      <alignment vertical="center"/>
    </xf>
    <xf numFmtId="167" fontId="81" fillId="25" borderId="61" xfId="0" applyNumberFormat="1" applyFont="1" applyFill="1" applyBorder="1" applyAlignment="1" applyProtection="1">
      <alignment vertical="center"/>
    </xf>
    <xf numFmtId="167" fontId="81" fillId="25" borderId="39" xfId="0" applyNumberFormat="1" applyFont="1" applyFill="1" applyBorder="1" applyAlignment="1" applyProtection="1">
      <alignment vertical="center"/>
    </xf>
    <xf numFmtId="0" fontId="10" fillId="25" borderId="68" xfId="0" applyFont="1" applyFill="1" applyBorder="1" applyAlignment="1" applyProtection="1">
      <alignment horizontal="left" vertical="center"/>
    </xf>
    <xf numFmtId="2" fontId="10" fillId="25" borderId="19" xfId="0" applyNumberFormat="1" applyFont="1" applyFill="1" applyBorder="1" applyAlignment="1" applyProtection="1">
      <alignment horizontal="center" vertical="center"/>
    </xf>
    <xf numFmtId="0" fontId="10" fillId="25" borderId="20" xfId="0" applyFont="1" applyFill="1" applyBorder="1" applyAlignment="1" applyProtection="1">
      <alignment horizontal="left" vertical="center"/>
    </xf>
    <xf numFmtId="0" fontId="10" fillId="25" borderId="14" xfId="0" applyFont="1" applyFill="1" applyBorder="1" applyAlignment="1" applyProtection="1">
      <alignment horizontal="center" vertical="center"/>
    </xf>
    <xf numFmtId="0" fontId="10" fillId="25" borderId="66" xfId="0" applyFont="1" applyFill="1" applyBorder="1" applyAlignment="1" applyProtection="1">
      <alignment horizontal="left" vertical="center"/>
    </xf>
    <xf numFmtId="2" fontId="11" fillId="25" borderId="22" xfId="0" applyNumberFormat="1" applyFont="1" applyFill="1" applyBorder="1" applyAlignment="1" applyProtection="1">
      <alignment horizontal="center" vertical="center"/>
    </xf>
    <xf numFmtId="167" fontId="81" fillId="25" borderId="31" xfId="0" applyNumberFormat="1" applyFont="1" applyFill="1" applyBorder="1" applyAlignment="1" applyProtection="1">
      <alignment vertical="center"/>
    </xf>
    <xf numFmtId="167" fontId="81" fillId="25" borderId="32" xfId="0" applyNumberFormat="1" applyFont="1" applyFill="1" applyBorder="1" applyAlignment="1" applyProtection="1">
      <alignment vertical="center"/>
    </xf>
    <xf numFmtId="167" fontId="81" fillId="25" borderId="47" xfId="0" applyNumberFormat="1" applyFont="1" applyFill="1" applyBorder="1" applyAlignment="1" applyProtection="1">
      <alignment vertical="center"/>
    </xf>
    <xf numFmtId="167" fontId="81" fillId="25" borderId="52" xfId="0" applyNumberFormat="1" applyFont="1" applyFill="1" applyBorder="1" applyAlignment="1" applyProtection="1">
      <alignment vertical="center"/>
    </xf>
    <xf numFmtId="0" fontId="0" fillId="36" borderId="158" xfId="0" applyFill="1" applyBorder="1" applyAlignment="1" applyProtection="1">
      <alignment vertical="center"/>
    </xf>
    <xf numFmtId="0" fontId="0" fillId="36" borderId="95" xfId="0" applyFill="1" applyBorder="1" applyAlignment="1" applyProtection="1">
      <alignment vertical="center"/>
    </xf>
    <xf numFmtId="1" fontId="0" fillId="36" borderId="18" xfId="0" applyNumberFormat="1" applyFill="1" applyBorder="1" applyAlignment="1" applyProtection="1">
      <alignment vertical="center"/>
    </xf>
    <xf numFmtId="0" fontId="91" fillId="41" borderId="0" xfId="0" applyFont="1" applyFill="1" applyBorder="1" applyAlignment="1">
      <alignment horizontal="center"/>
    </xf>
    <xf numFmtId="0" fontId="0" fillId="0" borderId="156" xfId="0" applyFill="1" applyBorder="1"/>
    <xf numFmtId="0" fontId="0" fillId="0" borderId="79" xfId="0" applyFill="1" applyBorder="1"/>
    <xf numFmtId="0" fontId="0" fillId="0" borderId="95" xfId="0" applyFill="1" applyBorder="1"/>
    <xf numFmtId="0" fontId="3" fillId="35" borderId="95" xfId="0" applyFont="1" applyFill="1" applyBorder="1" applyAlignment="1" applyProtection="1">
      <alignment horizontal="center" vertical="center"/>
    </xf>
    <xf numFmtId="0" fontId="6" fillId="52" borderId="26" xfId="0" applyFont="1" applyFill="1" applyBorder="1" applyAlignment="1" applyProtection="1">
      <alignment horizontal="center" vertical="center"/>
    </xf>
    <xf numFmtId="0" fontId="6" fillId="36" borderId="26" xfId="0" applyFont="1" applyFill="1" applyBorder="1" applyAlignment="1" applyProtection="1">
      <alignment horizontal="center" vertical="center"/>
    </xf>
    <xf numFmtId="167" fontId="81" fillId="25" borderId="0" xfId="0" applyNumberFormat="1" applyFont="1" applyFill="1" applyBorder="1" applyAlignment="1" applyProtection="1">
      <alignment vertical="center"/>
    </xf>
    <xf numFmtId="167" fontId="81" fillId="25" borderId="0" xfId="0" applyNumberFormat="1" applyFont="1" applyFill="1" applyBorder="1" applyAlignment="1" applyProtection="1">
      <alignment horizontal="center" vertical="center"/>
    </xf>
    <xf numFmtId="167" fontId="81" fillId="25" borderId="14" xfId="0" applyNumberFormat="1" applyFont="1" applyFill="1" applyBorder="1" applyAlignment="1" applyProtection="1">
      <alignment vertical="center"/>
    </xf>
    <xf numFmtId="0" fontId="3" fillId="0" borderId="0" xfId="0" applyNumberFormat="1" applyFont="1" applyFill="1" applyBorder="1" applyAlignment="1">
      <alignment horizontal="left"/>
    </xf>
    <xf numFmtId="0" fontId="10" fillId="36" borderId="31" xfId="0" applyFont="1" applyFill="1" applyBorder="1" applyAlignment="1" applyProtection="1">
      <alignment vertical="center"/>
    </xf>
    <xf numFmtId="22" fontId="17" fillId="25" borderId="0" xfId="0" applyNumberFormat="1" applyFont="1" applyFill="1" applyAlignment="1" applyProtection="1">
      <alignment horizontal="left"/>
    </xf>
    <xf numFmtId="0" fontId="81" fillId="25" borderId="66" xfId="0" applyFont="1" applyFill="1" applyBorder="1" applyAlignment="1" applyProtection="1">
      <alignment vertical="center"/>
    </xf>
    <xf numFmtId="0" fontId="3" fillId="0" borderId="0" xfId="0" applyFont="1" applyFill="1" applyBorder="1" applyAlignment="1">
      <alignment horizontal="center"/>
    </xf>
    <xf numFmtId="171" fontId="98" fillId="36" borderId="0" xfId="0" applyNumberFormat="1" applyFont="1" applyFill="1"/>
    <xf numFmtId="0" fontId="10" fillId="36" borderId="0" xfId="0" applyFont="1" applyFill="1" applyProtection="1"/>
    <xf numFmtId="0" fontId="10" fillId="36" borderId="69" xfId="0" applyFont="1" applyFill="1" applyBorder="1" applyProtection="1"/>
    <xf numFmtId="171" fontId="10" fillId="25" borderId="20" xfId="32" applyNumberFormat="1" applyFont="1" applyFill="1" applyBorder="1" applyAlignment="1" applyProtection="1">
      <alignment horizontal="center" vertical="center"/>
    </xf>
    <xf numFmtId="0" fontId="10" fillId="37" borderId="19" xfId="0" applyFont="1" applyFill="1" applyBorder="1" applyAlignment="1" applyProtection="1">
      <alignment horizontal="center" vertical="center"/>
      <protection locked="0"/>
    </xf>
    <xf numFmtId="0" fontId="10" fillId="25" borderId="66" xfId="0" applyFont="1" applyFill="1" applyBorder="1" applyAlignment="1" applyProtection="1">
      <alignment horizontal="center" vertical="center"/>
    </xf>
    <xf numFmtId="0" fontId="81" fillId="37" borderId="90" xfId="0" applyFont="1" applyFill="1" applyBorder="1" applyAlignment="1" applyProtection="1">
      <alignment horizontal="center" vertical="center"/>
      <protection locked="0"/>
    </xf>
    <xf numFmtId="0" fontId="3" fillId="36" borderId="28" xfId="0" applyFont="1" applyFill="1" applyBorder="1" applyAlignment="1" applyProtection="1">
      <alignment horizontal="left" vertical="center"/>
    </xf>
    <xf numFmtId="0" fontId="0" fillId="36" borderId="0" xfId="0" applyFill="1" applyBorder="1" applyAlignment="1" applyProtection="1">
      <alignment horizontal="left" vertical="center"/>
    </xf>
    <xf numFmtId="167" fontId="10" fillId="25" borderId="54" xfId="0" applyNumberFormat="1" applyFont="1" applyFill="1" applyBorder="1" applyAlignment="1" applyProtection="1">
      <alignment horizontal="center" vertical="center"/>
    </xf>
    <xf numFmtId="2" fontId="81" fillId="36" borderId="29" xfId="0" applyNumberFormat="1" applyFont="1" applyFill="1" applyBorder="1" applyAlignment="1" applyProtection="1">
      <alignment horizontal="left" vertical="center"/>
    </xf>
    <xf numFmtId="2" fontId="81" fillId="36" borderId="0" xfId="0" applyNumberFormat="1" applyFont="1" applyFill="1" applyBorder="1" applyAlignment="1" applyProtection="1">
      <alignment horizontal="left" vertical="center" wrapText="1"/>
    </xf>
    <xf numFmtId="0" fontId="3" fillId="36" borderId="36" xfId="0" applyFont="1" applyFill="1" applyBorder="1" applyAlignment="1" applyProtection="1">
      <alignment horizontal="left" vertical="center"/>
    </xf>
    <xf numFmtId="0" fontId="0" fillId="36" borderId="60" xfId="0" applyFill="1" applyBorder="1" applyAlignment="1" applyProtection="1">
      <alignment horizontal="left" vertical="center"/>
    </xf>
    <xf numFmtId="2" fontId="81" fillId="36" borderId="21" xfId="0" applyNumberFormat="1" applyFont="1" applyFill="1" applyBorder="1" applyAlignment="1" applyProtection="1">
      <alignment horizontal="center" vertical="center"/>
    </xf>
    <xf numFmtId="173" fontId="89" fillId="36" borderId="21" xfId="0" applyNumberFormat="1" applyFont="1" applyFill="1" applyBorder="1" applyAlignment="1" applyProtection="1">
      <alignment horizontal="center" vertical="center" wrapText="1"/>
    </xf>
    <xf numFmtId="0" fontId="2" fillId="36" borderId="158" xfId="0" applyFont="1" applyFill="1" applyBorder="1" applyAlignment="1" applyProtection="1"/>
    <xf numFmtId="0" fontId="81" fillId="0" borderId="33"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167" fontId="81" fillId="0" borderId="82" xfId="32" applyNumberFormat="1" applyFont="1" applyFill="1" applyBorder="1" applyAlignment="1" applyProtection="1">
      <alignment horizontal="center" vertical="center"/>
    </xf>
    <xf numFmtId="0" fontId="10" fillId="36" borderId="17" xfId="0" applyFont="1" applyFill="1" applyBorder="1" applyAlignment="1" applyProtection="1">
      <alignment vertical="top"/>
    </xf>
    <xf numFmtId="0" fontId="3" fillId="37" borderId="71" xfId="0" applyFont="1" applyFill="1" applyBorder="1" applyAlignment="1" applyProtection="1">
      <alignment horizontal="left" vertical="center"/>
      <protection locked="0"/>
    </xf>
    <xf numFmtId="0" fontId="3" fillId="37" borderId="31" xfId="0" applyFont="1" applyFill="1" applyBorder="1" applyAlignment="1" applyProtection="1">
      <alignment horizontal="left" vertical="center"/>
      <protection locked="0"/>
    </xf>
    <xf numFmtId="0" fontId="3" fillId="37" borderId="46" xfId="0" applyFont="1" applyFill="1" applyBorder="1" applyAlignment="1" applyProtection="1">
      <alignment horizontal="left" vertical="center"/>
      <protection locked="0"/>
    </xf>
    <xf numFmtId="0" fontId="10" fillId="37" borderId="71" xfId="0" applyFont="1" applyFill="1" applyBorder="1" applyProtection="1">
      <protection locked="0"/>
    </xf>
    <xf numFmtId="0" fontId="10" fillId="37" borderId="31" xfId="0" applyFont="1" applyFill="1" applyBorder="1" applyProtection="1">
      <protection locked="0"/>
    </xf>
    <xf numFmtId="0" fontId="3" fillId="37" borderId="14" xfId="0" applyFont="1" applyFill="1" applyBorder="1" applyAlignment="1" applyProtection="1">
      <alignment horizontal="left" vertical="center"/>
      <protection locked="0"/>
    </xf>
    <xf numFmtId="0" fontId="6" fillId="36" borderId="0" xfId="0" applyFont="1" applyFill="1" applyAlignment="1" applyProtection="1">
      <alignment horizontal="right" vertical="center"/>
    </xf>
    <xf numFmtId="0" fontId="10" fillId="36" borderId="0" xfId="0" applyFont="1" applyFill="1" applyAlignment="1" applyProtection="1"/>
    <xf numFmtId="167" fontId="10" fillId="36" borderId="0" xfId="0" applyNumberFormat="1" applyFont="1" applyFill="1" applyAlignment="1" applyProtection="1">
      <alignment horizontal="center" vertical="center"/>
    </xf>
    <xf numFmtId="167" fontId="10" fillId="36" borderId="34" xfId="0" applyNumberFormat="1" applyFont="1" applyFill="1" applyBorder="1" applyAlignment="1" applyProtection="1">
      <alignment horizontal="center" vertical="center"/>
    </xf>
    <xf numFmtId="0" fontId="138" fillId="25" borderId="0" xfId="0" applyFont="1" applyFill="1" applyAlignment="1" applyProtection="1">
      <alignment vertical="center"/>
    </xf>
    <xf numFmtId="0" fontId="3" fillId="25" borderId="112" xfId="0" applyFont="1" applyFill="1" applyBorder="1" applyAlignment="1">
      <alignment horizontal="right"/>
    </xf>
    <xf numFmtId="0" fontId="3" fillId="25" borderId="26" xfId="0" applyFont="1" applyFill="1" applyBorder="1" applyAlignment="1">
      <alignment horizontal="right"/>
    </xf>
    <xf numFmtId="0" fontId="0" fillId="25" borderId="30" xfId="0" applyFill="1" applyBorder="1" applyAlignment="1">
      <alignment horizontal="right"/>
    </xf>
    <xf numFmtId="14" fontId="0" fillId="0" borderId="18" xfId="0" applyNumberFormat="1" applyFill="1" applyBorder="1"/>
    <xf numFmtId="0" fontId="0" fillId="0" borderId="18" xfId="0" applyFill="1" applyBorder="1" applyAlignment="1">
      <alignment horizontal="center"/>
    </xf>
    <xf numFmtId="0" fontId="103" fillId="25" borderId="34" xfId="0" applyFont="1" applyFill="1" applyBorder="1" applyAlignment="1" applyProtection="1">
      <alignment horizontal="right" vertic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102" fillId="25" borderId="0" xfId="0" applyFont="1" applyFill="1" applyProtection="1"/>
    <xf numFmtId="170" fontId="102" fillId="25" borderId="0" xfId="0" applyNumberFormat="1" applyFont="1" applyFill="1" applyProtection="1"/>
    <xf numFmtId="0" fontId="102" fillId="25" borderId="0" xfId="0" applyFont="1" applyFill="1" applyBorder="1" applyProtection="1"/>
    <xf numFmtId="9" fontId="102" fillId="25" borderId="0" xfId="0" applyNumberFormat="1" applyFont="1" applyFill="1" applyAlignment="1" applyProtection="1">
      <alignment horizontal="center"/>
    </xf>
    <xf numFmtId="9" fontId="102" fillId="25" borderId="0" xfId="0" applyNumberFormat="1" applyFont="1" applyFill="1" applyProtection="1"/>
    <xf numFmtId="0" fontId="90" fillId="25" borderId="29" xfId="0" applyFont="1" applyFill="1" applyBorder="1"/>
    <xf numFmtId="0" fontId="83" fillId="25" borderId="28" xfId="0" applyFont="1" applyFill="1" applyBorder="1" applyProtection="1"/>
    <xf numFmtId="0" fontId="6" fillId="25" borderId="58" xfId="0" applyFont="1" applyFill="1" applyBorder="1" applyAlignment="1" applyProtection="1">
      <alignment horizontal="center" vertical="center" wrapText="1"/>
    </xf>
    <xf numFmtId="167" fontId="0" fillId="35" borderId="156" xfId="0" applyNumberFormat="1" applyFill="1" applyBorder="1" applyAlignment="1">
      <alignment horizontal="center"/>
    </xf>
    <xf numFmtId="0" fontId="90" fillId="41" borderId="158" xfId="0" applyFont="1" applyFill="1" applyBorder="1"/>
    <xf numFmtId="0" fontId="90" fillId="41" borderId="79" xfId="0" applyFont="1" applyFill="1" applyBorder="1" applyAlignment="1">
      <alignment horizontal="center"/>
    </xf>
    <xf numFmtId="0" fontId="0" fillId="25" borderId="156" xfId="0" applyFill="1" applyBorder="1" applyAlignment="1">
      <alignment horizontal="center"/>
    </xf>
    <xf numFmtId="0" fontId="90" fillId="41" borderId="156" xfId="0" applyFont="1" applyFill="1" applyBorder="1" applyAlignment="1">
      <alignment horizontal="center"/>
    </xf>
    <xf numFmtId="167" fontId="90" fillId="41" borderId="30" xfId="0" applyNumberFormat="1" applyFont="1" applyFill="1" applyBorder="1" applyAlignment="1">
      <alignment horizontal="center"/>
    </xf>
    <xf numFmtId="167" fontId="90" fillId="41" borderId="17" xfId="0" applyNumberFormat="1" applyFont="1" applyFill="1" applyBorder="1" applyAlignment="1">
      <alignment horizontal="center"/>
    </xf>
    <xf numFmtId="171" fontId="0" fillId="36" borderId="0" xfId="0" applyNumberFormat="1" applyFill="1"/>
    <xf numFmtId="171" fontId="3" fillId="25" borderId="0" xfId="0" applyNumberFormat="1" applyFont="1" applyFill="1"/>
    <xf numFmtId="0" fontId="3" fillId="0" borderId="0" xfId="0" applyFont="1" applyFill="1" applyBorder="1" applyAlignment="1">
      <alignment horizontal="center"/>
    </xf>
    <xf numFmtId="0" fontId="11" fillId="25" borderId="19" xfId="0" applyFont="1" applyFill="1" applyBorder="1" applyAlignment="1" applyProtection="1">
      <alignment horizontal="center" vertical="center"/>
    </xf>
    <xf numFmtId="0" fontId="10" fillId="25" borderId="17" xfId="0" applyFont="1" applyFill="1" applyBorder="1" applyAlignment="1" applyProtection="1">
      <alignment horizontal="left" vertical="center"/>
    </xf>
    <xf numFmtId="0" fontId="10" fillId="25" borderId="18" xfId="0" applyFont="1" applyFill="1" applyBorder="1" applyAlignment="1" applyProtection="1">
      <alignment horizontal="left" vertical="center"/>
    </xf>
    <xf numFmtId="0" fontId="10" fillId="25" borderId="17" xfId="0" applyFont="1" applyFill="1" applyBorder="1" applyAlignment="1" applyProtection="1">
      <alignment vertical="center"/>
    </xf>
    <xf numFmtId="0" fontId="10" fillId="25" borderId="31" xfId="0" applyFont="1" applyFill="1" applyBorder="1" applyAlignment="1" applyProtection="1">
      <alignment horizontal="left" vertical="center"/>
    </xf>
    <xf numFmtId="0" fontId="10" fillId="25" borderId="46" xfId="0" applyFont="1" applyFill="1" applyBorder="1" applyAlignment="1" applyProtection="1">
      <alignment horizontal="left" vertical="center"/>
    </xf>
    <xf numFmtId="0" fontId="11" fillId="25" borderId="52" xfId="0" applyFont="1" applyFill="1" applyBorder="1" applyAlignment="1" applyProtection="1">
      <alignment horizontal="center" vertical="center"/>
    </xf>
    <xf numFmtId="0" fontId="10" fillId="25" borderId="61" xfId="0" applyFont="1" applyFill="1" applyBorder="1" applyAlignment="1" applyProtection="1">
      <alignment horizontal="left" vertical="center"/>
    </xf>
    <xf numFmtId="0" fontId="16" fillId="25" borderId="20" xfId="0" applyFont="1" applyFill="1" applyBorder="1" applyAlignment="1" applyProtection="1">
      <alignment vertical="center"/>
    </xf>
    <xf numFmtId="0" fontId="10" fillId="25" borderId="68" xfId="0" applyFont="1" applyFill="1" applyBorder="1" applyAlignment="1" applyProtection="1">
      <alignment vertical="center"/>
    </xf>
    <xf numFmtId="0" fontId="25" fillId="25" borderId="0" xfId="0" applyFont="1" applyFill="1" applyBorder="1" applyAlignment="1" applyProtection="1">
      <alignment horizontal="left" vertical="center"/>
    </xf>
    <xf numFmtId="22" fontId="17" fillId="25" borderId="0" xfId="0" applyNumberFormat="1" applyFont="1" applyFill="1" applyAlignment="1" applyProtection="1">
      <alignment horizontal="left"/>
    </xf>
    <xf numFmtId="167" fontId="10" fillId="25" borderId="40" xfId="0" applyNumberFormat="1" applyFont="1" applyFill="1" applyBorder="1" applyAlignment="1" applyProtection="1">
      <alignment horizontal="center" vertical="center"/>
    </xf>
    <xf numFmtId="167" fontId="10" fillId="25" borderId="46" xfId="0" applyNumberFormat="1" applyFont="1" applyFill="1" applyBorder="1" applyAlignment="1" applyProtection="1">
      <alignment horizontal="center" vertical="center"/>
    </xf>
    <xf numFmtId="0" fontId="25" fillId="25" borderId="0" xfId="0" applyFont="1" applyFill="1" applyBorder="1" applyAlignment="1" applyProtection="1">
      <alignment horizontal="left" vertical="center" wrapText="1"/>
    </xf>
    <xf numFmtId="0" fontId="10" fillId="25" borderId="19" xfId="0" applyFont="1" applyFill="1" applyBorder="1" applyAlignment="1" applyProtection="1">
      <alignment horizontal="center"/>
    </xf>
    <xf numFmtId="0" fontId="3" fillId="0" borderId="0" xfId="0" applyFont="1" applyFill="1" applyBorder="1" applyAlignment="1">
      <alignment horizontal="center"/>
    </xf>
    <xf numFmtId="0" fontId="94" fillId="36" borderId="0" xfId="0" applyFont="1" applyFill="1" applyProtection="1"/>
    <xf numFmtId="0" fontId="94" fillId="36" borderId="0" xfId="0" applyFont="1" applyFill="1" applyBorder="1" applyProtection="1"/>
    <xf numFmtId="0" fontId="83" fillId="36" borderId="0" xfId="0" applyFont="1" applyFill="1" applyBorder="1" applyProtection="1"/>
    <xf numFmtId="0" fontId="83" fillId="36" borderId="0" xfId="0" applyFont="1" applyFill="1" applyProtection="1"/>
    <xf numFmtId="2" fontId="94" fillId="36" borderId="0" xfId="0" applyNumberFormat="1" applyFont="1" applyFill="1" applyBorder="1" applyProtection="1"/>
    <xf numFmtId="0" fontId="94" fillId="36" borderId="0" xfId="0" applyFont="1" applyFill="1" applyAlignment="1" applyProtection="1">
      <alignment horizontal="center"/>
    </xf>
    <xf numFmtId="167" fontId="83" fillId="36" borderId="0" xfId="0" applyNumberFormat="1" applyFont="1" applyFill="1" applyBorder="1" applyProtection="1"/>
    <xf numFmtId="0" fontId="83" fillId="36" borderId="0" xfId="0" applyFont="1" applyFill="1" applyBorder="1" applyAlignment="1" applyProtection="1">
      <alignment horizontal="right"/>
    </xf>
    <xf numFmtId="167" fontId="83" fillId="36" borderId="0" xfId="0" applyNumberFormat="1" applyFont="1" applyFill="1" applyBorder="1" applyAlignment="1" applyProtection="1">
      <alignment horizontal="right"/>
    </xf>
    <xf numFmtId="0" fontId="83" fillId="36" borderId="0" xfId="0" applyFont="1" applyFill="1" applyAlignment="1" applyProtection="1">
      <alignment horizontal="right"/>
    </xf>
    <xf numFmtId="0" fontId="83" fillId="36" borderId="0" xfId="0" applyFont="1" applyFill="1" applyBorder="1" applyAlignment="1" applyProtection="1">
      <alignment horizontal="right" wrapText="1"/>
    </xf>
    <xf numFmtId="0" fontId="90" fillId="36" borderId="0" xfId="0" applyFont="1" applyFill="1" applyAlignment="1" applyProtection="1"/>
    <xf numFmtId="167" fontId="90" fillId="36" borderId="0" xfId="0" applyNumberFormat="1" applyFont="1" applyFill="1" applyBorder="1" applyAlignment="1" applyProtection="1"/>
    <xf numFmtId="167" fontId="94" fillId="36" borderId="0" xfId="0" applyNumberFormat="1" applyFont="1" applyFill="1" applyBorder="1" applyProtection="1"/>
    <xf numFmtId="167" fontId="83" fillId="36" borderId="0" xfId="0" applyNumberFormat="1" applyFont="1" applyFill="1" applyProtection="1"/>
    <xf numFmtId="0" fontId="91" fillId="36" borderId="0" xfId="0" applyFont="1" applyFill="1" applyProtection="1"/>
    <xf numFmtId="0" fontId="91" fillId="36" borderId="0" xfId="0" applyFont="1" applyFill="1" applyBorder="1" applyProtection="1"/>
    <xf numFmtId="0" fontId="83" fillId="36" borderId="0" xfId="0" applyFont="1" applyFill="1" applyBorder="1" applyAlignment="1" applyProtection="1">
      <alignment horizontal="center"/>
    </xf>
    <xf numFmtId="0" fontId="83" fillId="36" borderId="0" xfId="0" quotePrefix="1" applyFont="1" applyFill="1" applyBorder="1" applyProtection="1"/>
    <xf numFmtId="167" fontId="108" fillId="25" borderId="98" xfId="0" applyNumberFormat="1" applyFont="1" applyFill="1" applyBorder="1" applyAlignment="1" applyProtection="1">
      <alignment horizontal="center" vertical="center"/>
    </xf>
    <xf numFmtId="0" fontId="10" fillId="25" borderId="96" xfId="0" applyFont="1" applyFill="1" applyBorder="1" applyAlignment="1" applyProtection="1">
      <alignment horizontal="center" wrapText="1"/>
    </xf>
    <xf numFmtId="0" fontId="16" fillId="25" borderId="107" xfId="0" applyFont="1" applyFill="1" applyBorder="1" applyAlignment="1" applyProtection="1">
      <alignment vertical="center"/>
    </xf>
    <xf numFmtId="0" fontId="16" fillId="25" borderId="15" xfId="0" applyFont="1" applyFill="1" applyBorder="1" applyAlignment="1" applyProtection="1"/>
    <xf numFmtId="0" fontId="6" fillId="25" borderId="0" xfId="0" quotePrefix="1" applyFont="1" applyFill="1" applyAlignment="1" applyProtection="1">
      <alignment horizontal="right"/>
    </xf>
    <xf numFmtId="0" fontId="10" fillId="25" borderId="28" xfId="0" applyFont="1" applyFill="1" applyBorder="1" applyAlignment="1" applyProtection="1">
      <alignment horizontal="center"/>
    </xf>
    <xf numFmtId="0" fontId="10" fillId="25" borderId="29" xfId="0" applyFont="1" applyFill="1" applyBorder="1" applyAlignment="1" applyProtection="1">
      <alignment horizontal="center"/>
    </xf>
    <xf numFmtId="0" fontId="10" fillId="25" borderId="0" xfId="0" applyFont="1" applyFill="1" applyBorder="1" applyAlignment="1" applyProtection="1">
      <alignment horizontal="center"/>
    </xf>
    <xf numFmtId="0" fontId="3" fillId="0" borderId="0" xfId="0" applyFont="1" applyFill="1" applyBorder="1" applyAlignment="1">
      <alignment horizontal="center"/>
    </xf>
    <xf numFmtId="164" fontId="25" fillId="25" borderId="22" xfId="0" applyNumberFormat="1" applyFont="1" applyFill="1" applyBorder="1" applyAlignment="1" applyProtection="1">
      <alignment horizontal="center" vertical="center" wrapText="1"/>
    </xf>
    <xf numFmtId="164" fontId="83" fillId="36" borderId="40" xfId="0" applyNumberFormat="1" applyFont="1" applyFill="1" applyBorder="1" applyAlignment="1" applyProtection="1">
      <alignment horizontal="center" vertical="center"/>
      <protection locked="0"/>
    </xf>
    <xf numFmtId="0" fontId="6" fillId="25" borderId="43" xfId="0" applyFont="1" applyFill="1" applyBorder="1" applyAlignment="1" applyProtection="1">
      <alignment vertical="center"/>
    </xf>
    <xf numFmtId="0" fontId="81" fillId="36" borderId="54" xfId="0" applyFont="1" applyFill="1" applyBorder="1" applyAlignment="1" applyProtection="1">
      <alignment horizontal="center" wrapText="1"/>
    </xf>
    <xf numFmtId="0" fontId="10" fillId="25" borderId="40" xfId="0" applyFont="1" applyFill="1" applyBorder="1" applyProtection="1"/>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140" fillId="37" borderId="13" xfId="0" applyFont="1" applyFill="1" applyBorder="1" applyAlignment="1" applyProtection="1">
      <alignment horizontal="center" wrapText="1"/>
      <protection locked="0"/>
    </xf>
    <xf numFmtId="0" fontId="10" fillId="0" borderId="0" xfId="0" applyFont="1" applyAlignment="1">
      <alignment horizontal="center" wrapText="1"/>
    </xf>
    <xf numFmtId="0" fontId="17" fillId="25" borderId="0" xfId="0" applyFont="1" applyFill="1" applyAlignment="1" applyProtection="1">
      <alignment horizontal="left" vertical="center"/>
    </xf>
    <xf numFmtId="0" fontId="6" fillId="25" borderId="0" xfId="0" applyFont="1" applyFill="1" applyAlignment="1" applyProtection="1">
      <alignment horizontal="left" vertic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xf>
    <xf numFmtId="167" fontId="6" fillId="37" borderId="16" xfId="0" applyNumberFormat="1" applyFont="1" applyFill="1" applyBorder="1" applyAlignment="1" applyProtection="1">
      <alignment horizontal="center" vertical="center"/>
      <protection locked="0"/>
    </xf>
    <xf numFmtId="0" fontId="10" fillId="25" borderId="18" xfId="0" applyFont="1" applyFill="1" applyBorder="1" applyAlignment="1">
      <alignment horizontal="left" vertical="center"/>
    </xf>
    <xf numFmtId="0" fontId="3" fillId="0" borderId="0" xfId="0" applyFont="1" applyFill="1" applyBorder="1" applyAlignment="1">
      <alignment horizontal="center"/>
    </xf>
    <xf numFmtId="0" fontId="10" fillId="36" borderId="14" xfId="0" applyFont="1" applyFill="1" applyBorder="1" applyAlignment="1" applyProtection="1">
      <alignment horizontal="center"/>
    </xf>
    <xf numFmtId="0" fontId="10" fillId="35" borderId="22" xfId="0" applyFont="1" applyFill="1" applyBorder="1" applyProtection="1"/>
    <xf numFmtId="0" fontId="17" fillId="25" borderId="0" xfId="0" applyFont="1" applyFill="1" applyProtection="1"/>
    <xf numFmtId="0" fontId="102" fillId="25" borderId="12" xfId="0" applyFont="1" applyFill="1" applyBorder="1" applyProtection="1"/>
    <xf numFmtId="174" fontId="10" fillId="31" borderId="13" xfId="55" applyNumberFormat="1" applyFont="1" applyFill="1" applyBorder="1" applyAlignment="1">
      <alignment wrapText="1"/>
    </xf>
    <xf numFmtId="174" fontId="10" fillId="37" borderId="13" xfId="55" applyNumberFormat="1" applyFont="1" applyFill="1" applyBorder="1" applyAlignment="1">
      <alignment wrapText="1"/>
    </xf>
    <xf numFmtId="174" fontId="10" fillId="32" borderId="13" xfId="55" applyNumberFormat="1" applyFont="1" applyFill="1" applyBorder="1" applyAlignment="1">
      <alignment wrapText="1"/>
    </xf>
    <xf numFmtId="0" fontId="2" fillId="25" borderId="17" xfId="0" applyFont="1" applyFill="1" applyBorder="1" applyAlignment="1" applyProtection="1">
      <alignment horizontal="left"/>
    </xf>
    <xf numFmtId="0" fontId="2" fillId="25" borderId="18" xfId="0" applyFont="1" applyFill="1" applyBorder="1" applyAlignment="1" applyProtection="1">
      <alignment horizontal="left"/>
    </xf>
    <xf numFmtId="0" fontId="18" fillId="25" borderId="18" xfId="0" applyFont="1" applyFill="1" applyBorder="1" applyAlignment="1">
      <alignment horizontal="center"/>
    </xf>
    <xf numFmtId="0" fontId="18" fillId="25" borderId="19" xfId="0" applyFont="1" applyFill="1" applyBorder="1" applyAlignment="1">
      <alignment horizontal="center"/>
    </xf>
    <xf numFmtId="0" fontId="10" fillId="25" borderId="18" xfId="0" applyFont="1" applyFill="1" applyBorder="1" applyAlignment="1">
      <alignment horizontal="center" vertical="center"/>
    </xf>
    <xf numFmtId="164" fontId="10" fillId="25" borderId="18" xfId="0" applyNumberFormat="1" applyFont="1" applyFill="1" applyBorder="1" applyAlignment="1">
      <alignment horizontal="center" vertical="center"/>
    </xf>
    <xf numFmtId="0" fontId="10" fillId="25" borderId="158" xfId="0" applyFont="1" applyFill="1" applyBorder="1" applyAlignment="1" applyProtection="1">
      <alignment vertical="center"/>
    </xf>
    <xf numFmtId="0" fontId="14" fillId="25" borderId="79" xfId="0" applyFont="1" applyFill="1" applyBorder="1" applyAlignment="1" applyProtection="1">
      <alignment vertical="center"/>
    </xf>
    <xf numFmtId="0" fontId="11" fillId="40" borderId="85" xfId="0" applyFont="1" applyFill="1" applyBorder="1" applyAlignment="1" applyProtection="1">
      <alignment horizontal="center" vertical="center"/>
      <protection locked="0"/>
    </xf>
    <xf numFmtId="0" fontId="3" fillId="0" borderId="0" xfId="0" applyFont="1" applyFill="1" applyBorder="1" applyAlignment="1">
      <alignment horizontal="center"/>
    </xf>
    <xf numFmtId="0" fontId="3" fillId="0" borderId="0" xfId="0" applyFont="1" applyFill="1" applyBorder="1" applyAlignment="1">
      <alignment horizontal="center"/>
    </xf>
    <xf numFmtId="0" fontId="140" fillId="35" borderId="13" xfId="0" applyFont="1" applyFill="1" applyBorder="1" applyAlignment="1" applyProtection="1">
      <alignment horizontal="center" wrapText="1"/>
      <protection locked="0"/>
    </xf>
    <xf numFmtId="0" fontId="3" fillId="37" borderId="13" xfId="0" applyFont="1" applyFill="1" applyBorder="1" applyAlignment="1">
      <alignment horizontal="center" wrapText="1"/>
    </xf>
    <xf numFmtId="0" fontId="76" fillId="37" borderId="13" xfId="0" applyFont="1" applyFill="1" applyBorder="1" applyAlignment="1">
      <alignment horizontal="center" wrapText="1"/>
    </xf>
    <xf numFmtId="0" fontId="3" fillId="0" borderId="18"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83" fillId="36" borderId="0" xfId="0" applyFont="1" applyFill="1" applyBorder="1" applyProtection="1">
      <protection hidden="1"/>
    </xf>
    <xf numFmtId="0" fontId="93" fillId="36" borderId="0" xfId="0" applyNumberFormat="1" applyFont="1" applyFill="1" applyBorder="1" applyAlignment="1" applyProtection="1">
      <alignment horizontal="center" vertical="center"/>
      <protection hidden="1"/>
    </xf>
    <xf numFmtId="0" fontId="3" fillId="0" borderId="0" xfId="0" applyFont="1" applyFill="1" applyBorder="1" applyAlignment="1">
      <alignment horizontal="center"/>
    </xf>
    <xf numFmtId="0" fontId="10" fillId="25" borderId="29" xfId="0" applyFont="1" applyFill="1" applyBorder="1" applyAlignment="1" applyProtection="1">
      <alignment vertical="center"/>
    </xf>
    <xf numFmtId="0" fontId="10" fillId="25" borderId="36" xfId="0" applyFont="1" applyFill="1" applyBorder="1" applyAlignment="1" applyProtection="1">
      <alignment vertical="center"/>
    </xf>
    <xf numFmtId="0" fontId="10" fillId="25" borderId="69" xfId="0" applyFont="1" applyFill="1" applyBorder="1" applyAlignment="1" applyProtection="1">
      <alignment vertical="center"/>
    </xf>
    <xf numFmtId="0" fontId="10" fillId="25" borderId="31" xfId="0" applyFont="1" applyFill="1" applyBorder="1" applyAlignment="1" applyProtection="1">
      <alignment horizontal="left" vertical="center"/>
    </xf>
    <xf numFmtId="0" fontId="10" fillId="25" borderId="46" xfId="0" applyFont="1" applyFill="1" applyBorder="1" applyAlignment="1" applyProtection="1">
      <alignment horizontal="left" vertical="center"/>
    </xf>
    <xf numFmtId="22" fontId="17" fillId="25" borderId="0" xfId="0" applyNumberFormat="1" applyFont="1" applyFill="1" applyAlignment="1" applyProtection="1">
      <alignment horizontal="left"/>
    </xf>
    <xf numFmtId="0" fontId="3" fillId="0" borderId="0" xfId="0" applyFont="1" applyFill="1" applyBorder="1" applyAlignment="1">
      <alignment horizontal="center"/>
    </xf>
    <xf numFmtId="0" fontId="3" fillId="0" borderId="0" xfId="0" applyFont="1" applyFill="1" applyBorder="1" applyAlignment="1">
      <alignment horizontal="center"/>
    </xf>
    <xf numFmtId="0" fontId="0" fillId="36" borderId="0" xfId="0" applyFill="1" applyAlignment="1" applyProtection="1">
      <alignment horizontal="center"/>
    </xf>
    <xf numFmtId="167" fontId="0" fillId="36" borderId="0" xfId="0" applyNumberFormat="1" applyFill="1" applyAlignment="1" applyProtection="1">
      <alignment horizontal="center"/>
    </xf>
    <xf numFmtId="3" fontId="0" fillId="36" borderId="0" xfId="0" applyNumberFormat="1" applyFill="1" applyAlignment="1" applyProtection="1">
      <alignment horizontal="center"/>
    </xf>
    <xf numFmtId="0" fontId="3" fillId="25" borderId="0" xfId="0" applyFont="1" applyFill="1" applyAlignment="1" applyProtection="1">
      <alignment horizontal="center"/>
    </xf>
    <xf numFmtId="1" fontId="3" fillId="25" borderId="0" xfId="0" applyNumberFormat="1" applyFont="1" applyFill="1" applyAlignment="1" applyProtection="1">
      <alignment horizontal="center"/>
    </xf>
    <xf numFmtId="0" fontId="3" fillId="36" borderId="0" xfId="0" applyFont="1" applyFill="1" applyAlignment="1" applyProtection="1">
      <alignment horizontal="right"/>
    </xf>
    <xf numFmtId="0" fontId="3" fillId="36" borderId="0" xfId="0" applyFont="1" applyFill="1" applyAlignment="1" applyProtection="1">
      <alignment horizontal="center"/>
    </xf>
    <xf numFmtId="0" fontId="10" fillId="25" borderId="60" xfId="0" applyFont="1" applyFill="1" applyBorder="1" applyAlignment="1" applyProtection="1">
      <alignment vertical="center"/>
    </xf>
    <xf numFmtId="0" fontId="10" fillId="25" borderId="31" xfId="0" applyFont="1" applyFill="1" applyBorder="1" applyAlignment="1" applyProtection="1">
      <alignment horizontal="center" vertical="center"/>
    </xf>
    <xf numFmtId="0" fontId="3" fillId="25" borderId="31" xfId="0" applyFont="1" applyFill="1" applyBorder="1" applyAlignment="1" applyProtection="1">
      <alignment horizontal="center" vertical="center"/>
    </xf>
    <xf numFmtId="0" fontId="94" fillId="36" borderId="0" xfId="0" applyFont="1" applyFill="1" applyAlignment="1" applyProtection="1">
      <alignment vertical="center"/>
    </xf>
    <xf numFmtId="0" fontId="11" fillId="25" borderId="0" xfId="0" applyFont="1" applyFill="1" applyAlignment="1" applyProtection="1">
      <alignment vertical="center"/>
    </xf>
    <xf numFmtId="2" fontId="11" fillId="40" borderId="19" xfId="0" applyNumberFormat="1" applyFont="1" applyFill="1" applyBorder="1" applyAlignment="1" applyProtection="1">
      <alignment horizontal="center" vertical="center"/>
    </xf>
    <xf numFmtId="0" fontId="6" fillId="25" borderId="40" xfId="0" applyFont="1" applyFill="1" applyBorder="1" applyAlignment="1" applyProtection="1">
      <alignment horizontal="center" vertical="center"/>
    </xf>
    <xf numFmtId="0" fontId="3" fillId="0" borderId="0" xfId="0" applyFont="1" applyFill="1" applyBorder="1" applyAlignment="1">
      <alignment horizontal="center"/>
    </xf>
    <xf numFmtId="0" fontId="10" fillId="36" borderId="0" xfId="0" applyFont="1" applyFill="1" applyAlignment="1" applyProtection="1">
      <alignment horizontal="center"/>
    </xf>
    <xf numFmtId="0" fontId="10" fillId="37" borderId="13" xfId="0" applyFont="1" applyFill="1" applyBorder="1" applyAlignment="1" applyProtection="1">
      <alignment wrapText="1"/>
      <protection locked="0"/>
    </xf>
    <xf numFmtId="0" fontId="10" fillId="32" borderId="13" xfId="0" applyFont="1" applyFill="1" applyBorder="1" applyAlignment="1" applyProtection="1">
      <alignment wrapText="1"/>
      <protection locked="0"/>
    </xf>
    <xf numFmtId="0" fontId="3" fillId="0" borderId="0" xfId="0" applyFont="1" applyFill="1" applyBorder="1" applyAlignment="1">
      <alignment horizontal="center"/>
    </xf>
    <xf numFmtId="0" fontId="3" fillId="0" borderId="0" xfId="0" applyFont="1" applyFill="1" applyBorder="1" applyAlignment="1">
      <alignment horizontal="center"/>
    </xf>
    <xf numFmtId="0" fontId="10" fillId="25" borderId="17" xfId="0" applyFont="1" applyFill="1" applyBorder="1" applyAlignment="1" applyProtection="1">
      <alignment horizontal="left" vertical="center"/>
    </xf>
    <xf numFmtId="0" fontId="10" fillId="25" borderId="18" xfId="0" applyFont="1" applyFill="1" applyBorder="1" applyAlignment="1" applyProtection="1">
      <alignment horizontal="left" vertical="center"/>
    </xf>
    <xf numFmtId="0" fontId="10" fillId="25" borderId="19" xfId="0" applyFont="1" applyFill="1" applyBorder="1" applyAlignment="1" applyProtection="1">
      <alignment horizontal="left" vertical="center"/>
    </xf>
    <xf numFmtId="0" fontId="3" fillId="0" borderId="0" xfId="0" applyFont="1" applyFill="1" applyBorder="1" applyAlignment="1">
      <alignment horizontal="center"/>
    </xf>
    <xf numFmtId="0" fontId="10" fillId="25" borderId="78" xfId="0" applyFont="1" applyFill="1" applyBorder="1" applyAlignment="1" applyProtection="1">
      <alignment horizontal="left" vertical="center"/>
    </xf>
    <xf numFmtId="0" fontId="10" fillId="25" borderId="53" xfId="0" applyFont="1" applyFill="1" applyBorder="1" applyAlignment="1" applyProtection="1">
      <alignment horizontal="left" vertical="center"/>
    </xf>
    <xf numFmtId="0" fontId="10" fillId="25" borderId="86" xfId="0" applyFont="1" applyFill="1" applyBorder="1" applyAlignment="1" applyProtection="1">
      <alignment horizontal="left" vertical="center"/>
    </xf>
    <xf numFmtId="0" fontId="10" fillId="25" borderId="158" xfId="0" applyFont="1" applyFill="1" applyBorder="1" applyAlignment="1" applyProtection="1">
      <alignment horizontal="left" vertical="center"/>
    </xf>
    <xf numFmtId="0" fontId="10" fillId="25" borderId="95" xfId="0" applyFont="1" applyFill="1" applyBorder="1" applyAlignment="1" applyProtection="1">
      <alignment horizontal="left" vertical="center"/>
    </xf>
    <xf numFmtId="0" fontId="10" fillId="25" borderId="31" xfId="0" applyFont="1" applyFill="1" applyBorder="1" applyAlignment="1" applyProtection="1">
      <alignment horizontal="left" vertical="center"/>
    </xf>
    <xf numFmtId="0" fontId="10" fillId="25" borderId="46" xfId="0" applyFont="1" applyFill="1" applyBorder="1" applyAlignment="1" applyProtection="1">
      <alignment horizontal="left" vertical="center"/>
    </xf>
    <xf numFmtId="0" fontId="3" fillId="0" borderId="0" xfId="0" applyFont="1" applyFill="1" applyBorder="1" applyAlignment="1">
      <alignment horizontal="center"/>
    </xf>
    <xf numFmtId="0" fontId="3" fillId="0" borderId="0" xfId="0" applyFont="1" applyFill="1" applyBorder="1" applyAlignment="1">
      <alignment horizontal="center"/>
    </xf>
    <xf numFmtId="0" fontId="11" fillId="25" borderId="71" xfId="0" applyFont="1" applyFill="1" applyBorder="1" applyAlignment="1" applyProtection="1">
      <alignment horizontal="left" vertical="center"/>
    </xf>
    <xf numFmtId="0" fontId="11" fillId="25" borderId="31" xfId="0" applyFont="1" applyFill="1" applyBorder="1" applyAlignment="1" applyProtection="1">
      <alignment horizontal="left" vertical="center"/>
    </xf>
    <xf numFmtId="0" fontId="2" fillId="25" borderId="31" xfId="0" applyFont="1" applyFill="1" applyBorder="1" applyAlignment="1" applyProtection="1">
      <alignment horizontal="right" vertical="center"/>
    </xf>
    <xf numFmtId="0" fontId="11" fillId="25" borderId="46" xfId="0" applyFont="1" applyFill="1" applyBorder="1" applyAlignment="1" applyProtection="1">
      <alignment horizontal="left" vertical="center"/>
    </xf>
    <xf numFmtId="0" fontId="11" fillId="25" borderId="31" xfId="0" applyFont="1" applyFill="1" applyBorder="1" applyAlignment="1" applyProtection="1">
      <alignment horizontal="center" vertical="center"/>
    </xf>
    <xf numFmtId="0" fontId="3" fillId="37" borderId="60" xfId="0" applyFont="1" applyFill="1" applyBorder="1" applyAlignment="1" applyProtection="1">
      <alignment horizontal="left"/>
      <protection locked="0"/>
    </xf>
    <xf numFmtId="0" fontId="0" fillId="37" borderId="60" xfId="0" applyFill="1" applyBorder="1" applyAlignment="1" applyProtection="1">
      <alignment horizontal="left"/>
      <protection locked="0"/>
    </xf>
    <xf numFmtId="0" fontId="10" fillId="25" borderId="40" xfId="0" applyFont="1" applyFill="1" applyBorder="1" applyAlignment="1" applyProtection="1">
      <alignment horizontal="center"/>
    </xf>
    <xf numFmtId="0" fontId="10" fillId="25" borderId="32" xfId="0" applyFont="1" applyFill="1" applyBorder="1" applyAlignment="1" applyProtection="1">
      <alignment horizontal="center"/>
    </xf>
    <xf numFmtId="0" fontId="3" fillId="37" borderId="28" xfId="0" applyFont="1" applyFill="1" applyBorder="1" applyAlignment="1" applyProtection="1">
      <alignment horizontal="left" vertical="center"/>
      <protection locked="0"/>
    </xf>
    <xf numFmtId="0" fontId="0" fillId="37" borderId="0" xfId="0" applyFill="1" applyBorder="1" applyAlignment="1" applyProtection="1">
      <alignment horizontal="left" vertical="center"/>
      <protection locked="0"/>
    </xf>
    <xf numFmtId="0" fontId="0" fillId="37" borderId="17" xfId="0" applyFill="1" applyBorder="1" applyAlignment="1" applyProtection="1">
      <alignment horizontal="left" vertical="center"/>
      <protection locked="0"/>
    </xf>
    <xf numFmtId="0" fontId="0" fillId="37" borderId="18" xfId="0" applyFill="1" applyBorder="1" applyAlignment="1" applyProtection="1">
      <alignment horizontal="left" vertical="center"/>
      <protection locked="0"/>
    </xf>
    <xf numFmtId="0" fontId="10" fillId="25" borderId="51" xfId="0" applyFont="1" applyFill="1" applyBorder="1" applyAlignment="1" applyProtection="1">
      <alignment horizontal="center"/>
    </xf>
    <xf numFmtId="0" fontId="10" fillId="25" borderId="52" xfId="0" applyFont="1" applyFill="1" applyBorder="1" applyAlignment="1" applyProtection="1">
      <alignment horizontal="center"/>
    </xf>
    <xf numFmtId="0" fontId="10" fillId="29" borderId="40" xfId="0" applyFont="1" applyFill="1" applyBorder="1" applyAlignment="1" applyProtection="1">
      <alignment horizontal="center" vertical="center"/>
    </xf>
    <xf numFmtId="0" fontId="10" fillId="29" borderId="32" xfId="0" applyFont="1" applyFill="1" applyBorder="1" applyAlignment="1" applyProtection="1">
      <alignment horizontal="center" vertical="center"/>
    </xf>
    <xf numFmtId="0" fontId="10" fillId="25" borderId="38" xfId="0" applyFont="1" applyFill="1" applyBorder="1" applyAlignment="1" applyProtection="1">
      <alignment horizontal="center" vertical="center"/>
    </xf>
    <xf numFmtId="0" fontId="10" fillId="25" borderId="39" xfId="0" applyFont="1" applyFill="1" applyBorder="1" applyAlignment="1" applyProtection="1">
      <alignment horizontal="center" vertical="center"/>
    </xf>
    <xf numFmtId="0" fontId="10" fillId="25" borderId="70" xfId="0" applyFont="1" applyFill="1" applyBorder="1" applyAlignment="1" applyProtection="1">
      <alignment vertical="center"/>
    </xf>
    <xf numFmtId="0" fontId="10" fillId="25" borderId="45" xfId="0" applyFont="1" applyFill="1" applyBorder="1" applyAlignment="1" applyProtection="1">
      <alignment vertical="center"/>
    </xf>
    <xf numFmtId="0" fontId="14" fillId="25" borderId="71" xfId="0" applyFont="1" applyFill="1" applyBorder="1" applyAlignment="1" applyProtection="1">
      <alignment vertical="center"/>
    </xf>
    <xf numFmtId="0" fontId="14" fillId="25" borderId="46" xfId="0" applyFont="1" applyFill="1" applyBorder="1" applyAlignment="1" applyProtection="1">
      <alignment vertical="center"/>
    </xf>
    <xf numFmtId="0" fontId="10" fillId="25" borderId="71" xfId="0" applyFont="1" applyFill="1" applyBorder="1" applyAlignment="1" applyProtection="1">
      <alignment vertical="center"/>
    </xf>
    <xf numFmtId="0" fontId="10" fillId="25" borderId="46" xfId="0" applyFont="1" applyFill="1" applyBorder="1" applyAlignment="1" applyProtection="1">
      <alignment vertical="center"/>
    </xf>
    <xf numFmtId="0" fontId="14" fillId="25" borderId="45" xfId="0" applyFont="1" applyFill="1" applyBorder="1" applyAlignment="1" applyProtection="1">
      <alignment vertical="center"/>
    </xf>
    <xf numFmtId="0" fontId="10" fillId="25" borderId="71" xfId="0" applyFont="1" applyFill="1" applyBorder="1" applyAlignment="1" applyProtection="1">
      <alignment vertical="center" wrapText="1"/>
    </xf>
    <xf numFmtId="0" fontId="10" fillId="25" borderId="46" xfId="0" applyFont="1" applyFill="1" applyBorder="1" applyAlignment="1" applyProtection="1">
      <alignment vertical="center" wrapText="1"/>
    </xf>
    <xf numFmtId="0" fontId="10" fillId="25" borderId="55" xfId="0" applyFont="1" applyFill="1" applyBorder="1" applyAlignment="1" applyProtection="1">
      <alignment vertical="center" wrapText="1"/>
    </xf>
    <xf numFmtId="0" fontId="10" fillId="25" borderId="48" xfId="0" applyFont="1" applyFill="1" applyBorder="1" applyAlignment="1" applyProtection="1">
      <alignment vertical="center" wrapText="1"/>
    </xf>
    <xf numFmtId="0" fontId="10" fillId="25" borderId="29" xfId="0" applyFont="1" applyFill="1" applyBorder="1" applyAlignment="1" applyProtection="1">
      <alignment vertical="center"/>
    </xf>
    <xf numFmtId="0" fontId="3" fillId="37" borderId="36" xfId="0" applyFont="1" applyFill="1" applyBorder="1" applyAlignment="1" applyProtection="1">
      <alignment horizontal="left" vertical="center"/>
      <protection locked="0"/>
    </xf>
    <xf numFmtId="0" fontId="0" fillId="37" borderId="60" xfId="0" applyFill="1" applyBorder="1" applyAlignment="1" applyProtection="1">
      <alignment horizontal="left" vertical="center"/>
      <protection locked="0"/>
    </xf>
    <xf numFmtId="0" fontId="0" fillId="37" borderId="37" xfId="0" applyFill="1" applyBorder="1" applyAlignment="1" applyProtection="1">
      <alignment horizontal="left" vertical="center"/>
      <protection locked="0"/>
    </xf>
    <xf numFmtId="0" fontId="0" fillId="37" borderId="29" xfId="0" applyFill="1" applyBorder="1" applyAlignment="1" applyProtection="1">
      <alignment horizontal="left" vertical="center"/>
      <protection locked="0"/>
    </xf>
    <xf numFmtId="0" fontId="0" fillId="37" borderId="19" xfId="0" applyFill="1" applyBorder="1" applyAlignment="1" applyProtection="1">
      <alignment horizontal="left" vertical="center"/>
      <protection locked="0"/>
    </xf>
    <xf numFmtId="0" fontId="14" fillId="25" borderId="55" xfId="0" applyFont="1" applyFill="1" applyBorder="1" applyAlignment="1" applyProtection="1">
      <alignment vertical="center"/>
    </xf>
    <xf numFmtId="0" fontId="14" fillId="25" borderId="48" xfId="0" applyFont="1" applyFill="1" applyBorder="1" applyAlignment="1" applyProtection="1">
      <alignment vertical="center"/>
    </xf>
    <xf numFmtId="0" fontId="32" fillId="25" borderId="20" xfId="0" applyFont="1" applyFill="1" applyBorder="1" applyAlignment="1" applyProtection="1">
      <alignment horizontal="left" vertical="center"/>
    </xf>
    <xf numFmtId="0" fontId="32" fillId="25" borderId="14" xfId="0" applyFont="1" applyFill="1" applyBorder="1" applyAlignment="1" applyProtection="1">
      <alignment horizontal="left" vertical="center"/>
    </xf>
    <xf numFmtId="0" fontId="10" fillId="25" borderId="31" xfId="0" applyFont="1" applyFill="1" applyBorder="1" applyAlignment="1" applyProtection="1">
      <alignment vertical="center"/>
    </xf>
    <xf numFmtId="0" fontId="10" fillId="25" borderId="71" xfId="0" applyFont="1" applyFill="1" applyBorder="1" applyAlignment="1" applyProtection="1">
      <alignment vertical="center"/>
      <protection hidden="1"/>
    </xf>
    <xf numFmtId="0" fontId="10" fillId="25" borderId="46" xfId="0" applyFont="1" applyFill="1" applyBorder="1" applyAlignment="1" applyProtection="1">
      <alignment vertical="center"/>
      <protection hidden="1"/>
    </xf>
    <xf numFmtId="0" fontId="10" fillId="25" borderId="28" xfId="0" applyFont="1" applyFill="1" applyBorder="1" applyAlignment="1" applyProtection="1">
      <alignment vertical="center"/>
    </xf>
    <xf numFmtId="0" fontId="10" fillId="25" borderId="34" xfId="0" applyFont="1" applyFill="1" applyBorder="1" applyAlignment="1" applyProtection="1">
      <alignment vertical="center"/>
    </xf>
    <xf numFmtId="0" fontId="81" fillId="25" borderId="55" xfId="0" applyFont="1" applyFill="1" applyBorder="1" applyAlignment="1" applyProtection="1">
      <alignment horizontal="left" vertical="center" wrapText="1"/>
    </xf>
    <xf numFmtId="0" fontId="81" fillId="25" borderId="48" xfId="0" applyFont="1" applyFill="1" applyBorder="1" applyAlignment="1" applyProtection="1">
      <alignment horizontal="left" vertical="center" wrapText="1"/>
    </xf>
    <xf numFmtId="0" fontId="16" fillId="25" borderId="15" xfId="0" applyFont="1" applyFill="1" applyBorder="1" applyAlignment="1" applyProtection="1">
      <alignment vertical="center" wrapText="1"/>
    </xf>
    <xf numFmtId="0" fontId="16" fillId="25" borderId="79" xfId="0" applyFont="1" applyFill="1" applyBorder="1" applyAlignment="1" applyProtection="1">
      <alignment vertical="center" wrapText="1"/>
    </xf>
    <xf numFmtId="0" fontId="32" fillId="25" borderId="20" xfId="0" applyFont="1" applyFill="1" applyBorder="1" applyAlignment="1" applyProtection="1">
      <alignment horizontal="left" vertical="center" wrapText="1"/>
    </xf>
    <xf numFmtId="0" fontId="32" fillId="25" borderId="14" xfId="0" applyFont="1" applyFill="1" applyBorder="1" applyAlignment="1" applyProtection="1">
      <alignment horizontal="left" vertical="center" wrapText="1"/>
    </xf>
    <xf numFmtId="0" fontId="2" fillId="25" borderId="15" xfId="0" applyFont="1" applyFill="1" applyBorder="1" applyAlignment="1">
      <alignment horizontal="center"/>
    </xf>
    <xf numFmtId="0" fontId="2" fillId="25" borderId="10" xfId="0" applyFont="1" applyFill="1" applyBorder="1" applyAlignment="1">
      <alignment horizontal="center"/>
    </xf>
    <xf numFmtId="0" fontId="2" fillId="25" borderId="11" xfId="0" applyFont="1" applyFill="1" applyBorder="1" applyAlignment="1">
      <alignment horizontal="center"/>
    </xf>
    <xf numFmtId="0" fontId="79" fillId="25" borderId="28" xfId="0" applyFont="1" applyFill="1" applyBorder="1" applyAlignment="1">
      <alignment horizontal="center"/>
    </xf>
    <xf numFmtId="0" fontId="79" fillId="25" borderId="29" xfId="0" applyFont="1" applyFill="1" applyBorder="1" applyAlignment="1">
      <alignment horizontal="center"/>
    </xf>
    <xf numFmtId="0" fontId="5" fillId="25" borderId="28" xfId="0" applyFont="1" applyFill="1" applyBorder="1" applyAlignment="1">
      <alignment horizontal="center"/>
    </xf>
    <xf numFmtId="0" fontId="5" fillId="25" borderId="0" xfId="0" applyFont="1" applyFill="1" applyBorder="1" applyAlignment="1">
      <alignment horizontal="center"/>
    </xf>
    <xf numFmtId="0" fontId="5" fillId="25" borderId="29" xfId="0" applyFont="1" applyFill="1" applyBorder="1" applyAlignment="1">
      <alignment horizontal="center"/>
    </xf>
    <xf numFmtId="0" fontId="80" fillId="25" borderId="17" xfId="0" applyFont="1" applyFill="1" applyBorder="1" applyAlignment="1">
      <alignment horizontal="center"/>
    </xf>
    <xf numFmtId="0" fontId="80" fillId="25" borderId="18" xfId="0" applyFont="1" applyFill="1" applyBorder="1" applyAlignment="1">
      <alignment horizontal="center"/>
    </xf>
    <xf numFmtId="0" fontId="80" fillId="25" borderId="19" xfId="0" applyFont="1" applyFill="1" applyBorder="1" applyAlignment="1">
      <alignment horizontal="center"/>
    </xf>
    <xf numFmtId="0" fontId="40" fillId="25" borderId="38" xfId="0" applyFont="1" applyFill="1" applyBorder="1" applyAlignment="1" applyProtection="1">
      <alignment horizontal="left" vertical="center" wrapText="1"/>
    </xf>
    <xf numFmtId="0" fontId="0" fillId="0" borderId="45" xfId="0" applyBorder="1" applyAlignment="1">
      <alignment horizontal="left" vertical="center"/>
    </xf>
    <xf numFmtId="0" fontId="6" fillId="35" borderId="61" xfId="0" applyFont="1" applyFill="1" applyBorder="1" applyAlignment="1" applyProtection="1">
      <alignment horizontal="center"/>
      <protection locked="0"/>
    </xf>
    <xf numFmtId="0" fontId="6" fillId="35" borderId="39" xfId="0" applyFont="1" applyFill="1" applyBorder="1" applyAlignment="1" applyProtection="1">
      <alignment horizontal="center"/>
      <protection locked="0"/>
    </xf>
    <xf numFmtId="1" fontId="6" fillId="35" borderId="47" xfId="0" applyNumberFormat="1" applyFont="1" applyFill="1" applyBorder="1" applyAlignment="1" applyProtection="1">
      <alignment horizontal="center"/>
      <protection locked="0"/>
    </xf>
    <xf numFmtId="1" fontId="6" fillId="35" borderId="52" xfId="0" applyNumberFormat="1" applyFont="1" applyFill="1" applyBorder="1" applyAlignment="1" applyProtection="1">
      <alignment horizontal="center"/>
      <protection locked="0"/>
    </xf>
    <xf numFmtId="0" fontId="11" fillId="35" borderId="61" xfId="0" applyFont="1" applyFill="1" applyBorder="1" applyAlignment="1" applyProtection="1">
      <alignment horizontal="left"/>
      <protection locked="0"/>
    </xf>
    <xf numFmtId="0" fontId="11" fillId="35" borderId="47" xfId="0" applyFont="1" applyFill="1" applyBorder="1" applyAlignment="1" applyProtection="1">
      <protection locked="0"/>
    </xf>
    <xf numFmtId="0" fontId="10" fillId="43" borderId="61" xfId="0" applyFont="1" applyFill="1" applyBorder="1" applyAlignment="1" applyProtection="1">
      <alignment horizontal="left" vertical="center"/>
      <protection locked="0"/>
    </xf>
    <xf numFmtId="0" fontId="10" fillId="43" borderId="39" xfId="0" applyFont="1" applyFill="1" applyBorder="1" applyAlignment="1" applyProtection="1">
      <alignment horizontal="left" vertical="center"/>
      <protection locked="0"/>
    </xf>
    <xf numFmtId="0" fontId="10" fillId="43" borderId="18" xfId="0" applyFont="1" applyFill="1" applyBorder="1" applyAlignment="1" applyProtection="1">
      <alignment horizontal="left" vertical="center"/>
      <protection locked="0"/>
    </xf>
    <xf numFmtId="0" fontId="10" fillId="43" borderId="19" xfId="0" applyFont="1" applyFill="1" applyBorder="1" applyAlignment="1" applyProtection="1">
      <alignment horizontal="left" vertical="center"/>
      <protection locked="0"/>
    </xf>
    <xf numFmtId="0" fontId="10" fillId="29" borderId="61" xfId="0" applyFont="1" applyFill="1" applyBorder="1" applyAlignment="1" applyProtection="1">
      <alignment horizontal="center" vertical="center"/>
      <protection locked="0"/>
    </xf>
    <xf numFmtId="0" fontId="10" fillId="25" borderId="55" xfId="0" applyFont="1" applyFill="1" applyBorder="1" applyAlignment="1" applyProtection="1">
      <alignment vertical="center"/>
    </xf>
    <xf numFmtId="0" fontId="10" fillId="25" borderId="48" xfId="0" applyFont="1" applyFill="1" applyBorder="1" applyAlignment="1" applyProtection="1">
      <alignment vertical="center"/>
    </xf>
    <xf numFmtId="0" fontId="14" fillId="25" borderId="20" xfId="0" applyFont="1" applyFill="1" applyBorder="1" applyAlignment="1" applyProtection="1">
      <alignment vertical="center"/>
    </xf>
    <xf numFmtId="0" fontId="14" fillId="25" borderId="66" xfId="0" applyFont="1" applyFill="1" applyBorder="1" applyAlignment="1" applyProtection="1">
      <alignment vertical="center"/>
    </xf>
    <xf numFmtId="0" fontId="10" fillId="25" borderId="17" xfId="0" applyFont="1" applyFill="1" applyBorder="1" applyAlignment="1" applyProtection="1">
      <alignment horizontal="left" vertical="center"/>
    </xf>
    <xf numFmtId="0" fontId="10" fillId="25" borderId="18" xfId="0" applyFont="1" applyFill="1" applyBorder="1" applyAlignment="1" applyProtection="1">
      <alignment horizontal="left" vertical="center"/>
    </xf>
    <xf numFmtId="0" fontId="3" fillId="37" borderId="60" xfId="0" applyFont="1" applyFill="1" applyBorder="1" applyAlignment="1" applyProtection="1">
      <alignment horizontal="left" wrapText="1"/>
      <protection locked="0"/>
    </xf>
    <xf numFmtId="0" fontId="0" fillId="37" borderId="60" xfId="0" applyFill="1" applyBorder="1" applyAlignment="1" applyProtection="1">
      <alignment horizontal="left" wrapText="1"/>
      <protection locked="0"/>
    </xf>
    <xf numFmtId="0" fontId="2" fillId="0" borderId="79" xfId="0" applyFont="1" applyFill="1" applyBorder="1" applyAlignment="1" applyProtection="1">
      <alignment horizontal="left"/>
      <protection locked="0"/>
    </xf>
    <xf numFmtId="0" fontId="3" fillId="37" borderId="70" xfId="0" applyFont="1" applyFill="1" applyBorder="1" applyAlignment="1" applyProtection="1">
      <alignment horizontal="left" vertical="center"/>
      <protection locked="0"/>
    </xf>
    <xf numFmtId="0" fontId="3" fillId="37" borderId="61" xfId="0" applyFont="1" applyFill="1" applyBorder="1" applyAlignment="1" applyProtection="1">
      <alignment horizontal="left" vertical="center"/>
      <protection locked="0"/>
    </xf>
    <xf numFmtId="0" fontId="11" fillId="25" borderId="67" xfId="0" applyFont="1" applyFill="1" applyBorder="1" applyAlignment="1" applyProtection="1">
      <alignment horizontal="center" vertical="center"/>
    </xf>
    <xf numFmtId="0" fontId="11" fillId="25" borderId="18" xfId="0" applyFont="1" applyFill="1" applyBorder="1" applyAlignment="1" applyProtection="1">
      <alignment horizontal="center" vertical="center"/>
    </xf>
    <xf numFmtId="0" fontId="11" fillId="25" borderId="19" xfId="0" applyFont="1" applyFill="1" applyBorder="1" applyAlignment="1" applyProtection="1">
      <alignment horizontal="center" vertical="center"/>
    </xf>
    <xf numFmtId="0" fontId="10" fillId="0" borderId="79" xfId="0" applyFont="1" applyFill="1" applyBorder="1" applyProtection="1">
      <protection locked="0"/>
    </xf>
    <xf numFmtId="0" fontId="10" fillId="0" borderId="95" xfId="0" applyFont="1" applyFill="1" applyBorder="1" applyProtection="1">
      <protection locked="0"/>
    </xf>
    <xf numFmtId="167" fontId="81" fillId="37" borderId="67" xfId="32" applyNumberFormat="1" applyFont="1" applyFill="1" applyBorder="1" applyAlignment="1" applyProtection="1">
      <alignment horizontal="center" vertical="center"/>
      <protection locked="0"/>
    </xf>
    <xf numFmtId="167" fontId="81" fillId="37" borderId="18" xfId="32" applyNumberFormat="1" applyFont="1" applyFill="1" applyBorder="1" applyAlignment="1" applyProtection="1">
      <alignment horizontal="center" vertical="center"/>
      <protection locked="0"/>
    </xf>
    <xf numFmtId="0" fontId="10" fillId="25" borderId="28" xfId="0" applyFont="1" applyFill="1" applyBorder="1" applyAlignment="1" applyProtection="1">
      <alignment horizontal="left" vertical="center" wrapText="1"/>
    </xf>
    <xf numFmtId="0" fontId="10" fillId="25" borderId="0" xfId="0" applyFont="1" applyFill="1" applyBorder="1" applyAlignment="1" applyProtection="1">
      <alignment horizontal="left" vertical="center" wrapText="1"/>
    </xf>
    <xf numFmtId="0" fontId="10" fillId="25" borderId="34" xfId="0" applyFont="1" applyFill="1" applyBorder="1" applyAlignment="1" applyProtection="1">
      <alignment horizontal="left" vertical="center" wrapText="1"/>
    </xf>
    <xf numFmtId="0" fontId="10" fillId="37" borderId="60" xfId="0" applyFont="1" applyFill="1" applyBorder="1" applyAlignment="1" applyProtection="1">
      <alignment horizontal="left"/>
      <protection locked="0"/>
    </xf>
    <xf numFmtId="0" fontId="10" fillId="37" borderId="37" xfId="0" applyFont="1" applyFill="1" applyBorder="1" applyAlignment="1" applyProtection="1">
      <alignment horizontal="left"/>
      <protection locked="0"/>
    </xf>
    <xf numFmtId="0" fontId="11" fillId="25" borderId="72" xfId="0" applyFont="1" applyFill="1" applyBorder="1" applyAlignment="1" applyProtection="1">
      <alignment horizontal="center" vertical="center"/>
    </xf>
    <xf numFmtId="0" fontId="11" fillId="25" borderId="14" xfId="0" applyFont="1" applyFill="1" applyBorder="1" applyAlignment="1" applyProtection="1">
      <alignment horizontal="center" vertical="center"/>
    </xf>
    <xf numFmtId="0" fontId="11" fillId="25" borderId="22" xfId="0" applyFont="1" applyFill="1" applyBorder="1" applyAlignment="1" applyProtection="1">
      <alignment horizontal="center" vertical="center"/>
    </xf>
    <xf numFmtId="171" fontId="10" fillId="25" borderId="14" xfId="0" applyNumberFormat="1" applyFont="1" applyFill="1" applyBorder="1" applyAlignment="1" applyProtection="1">
      <alignment horizontal="center" vertical="center"/>
      <protection locked="0"/>
    </xf>
    <xf numFmtId="0" fontId="108" fillId="25" borderId="0" xfId="0" applyFont="1" applyFill="1" applyBorder="1" applyProtection="1"/>
    <xf numFmtId="0" fontId="11" fillId="36" borderId="31" xfId="0" applyFont="1" applyFill="1" applyBorder="1" applyAlignment="1" applyProtection="1">
      <protection locked="0"/>
    </xf>
    <xf numFmtId="1" fontId="6" fillId="36" borderId="31" xfId="0" applyNumberFormat="1" applyFont="1" applyFill="1" applyBorder="1" applyAlignment="1" applyProtection="1">
      <alignment horizontal="center"/>
      <protection locked="0"/>
    </xf>
    <xf numFmtId="1" fontId="6" fillId="36" borderId="32" xfId="0" applyNumberFormat="1" applyFont="1" applyFill="1" applyBorder="1" applyAlignment="1" applyProtection="1">
      <alignment horizontal="center"/>
      <protection locked="0"/>
    </xf>
    <xf numFmtId="0" fontId="0" fillId="0" borderId="61" xfId="0" applyBorder="1" applyAlignment="1">
      <alignment horizontal="left" vertical="center"/>
    </xf>
    <xf numFmtId="0" fontId="108" fillId="25" borderId="0" xfId="0" applyFont="1" applyFill="1" applyProtection="1"/>
    <xf numFmtId="0" fontId="108" fillId="25" borderId="18" xfId="0" applyFont="1" applyFill="1" applyBorder="1" applyProtection="1"/>
    <xf numFmtId="0" fontId="16" fillId="25" borderId="20" xfId="0" applyFont="1" applyFill="1" applyBorder="1" applyAlignment="1" applyProtection="1">
      <alignment vertical="center"/>
    </xf>
    <xf numFmtId="0" fontId="16" fillId="25" borderId="14" xfId="0" applyFont="1" applyFill="1" applyBorder="1" applyAlignment="1" applyProtection="1">
      <alignment vertical="center"/>
    </xf>
    <xf numFmtId="0" fontId="10" fillId="25" borderId="71" xfId="0" quotePrefix="1" applyFont="1" applyFill="1" applyBorder="1" applyAlignment="1" applyProtection="1">
      <alignment vertical="center" wrapText="1"/>
    </xf>
    <xf numFmtId="0" fontId="10" fillId="25" borderId="17" xfId="0" applyFont="1" applyFill="1" applyBorder="1" applyAlignment="1" applyProtection="1">
      <alignment vertical="center"/>
    </xf>
    <xf numFmtId="0" fontId="10" fillId="25" borderId="68" xfId="0" applyFont="1" applyFill="1" applyBorder="1" applyAlignment="1" applyProtection="1">
      <alignment vertical="center"/>
    </xf>
    <xf numFmtId="0" fontId="11" fillId="36" borderId="61" xfId="0" applyFont="1" applyFill="1" applyBorder="1" applyAlignment="1" applyProtection="1">
      <alignment horizontal="left"/>
      <protection locked="0"/>
    </xf>
    <xf numFmtId="0" fontId="6" fillId="36" borderId="61" xfId="0" applyFont="1" applyFill="1" applyBorder="1" applyAlignment="1" applyProtection="1">
      <alignment horizontal="center"/>
      <protection locked="0"/>
    </xf>
    <xf numFmtId="0" fontId="6" fillId="36" borderId="39" xfId="0" applyFont="1" applyFill="1" applyBorder="1" applyAlignment="1" applyProtection="1">
      <alignment horizontal="center"/>
      <protection locked="0"/>
    </xf>
    <xf numFmtId="0" fontId="6" fillId="25" borderId="40" xfId="0" applyFont="1" applyFill="1" applyBorder="1" applyAlignment="1" applyProtection="1">
      <alignment horizontal="center" vertical="center" wrapText="1"/>
      <protection locked="0"/>
    </xf>
    <xf numFmtId="0" fontId="6" fillId="25" borderId="32" xfId="0" applyFont="1" applyFill="1" applyBorder="1" applyAlignment="1" applyProtection="1">
      <alignment horizontal="center" vertical="center" wrapText="1"/>
      <protection locked="0"/>
    </xf>
    <xf numFmtId="0" fontId="6" fillId="25" borderId="40" xfId="0" applyFont="1" applyFill="1" applyBorder="1" applyAlignment="1" applyProtection="1">
      <alignment horizontal="center" vertical="center"/>
    </xf>
    <xf numFmtId="0" fontId="6" fillId="25" borderId="32" xfId="0" applyFont="1" applyFill="1" applyBorder="1" applyAlignment="1" applyProtection="1">
      <alignment horizontal="center" vertical="center"/>
    </xf>
    <xf numFmtId="0" fontId="10" fillId="25" borderId="38" xfId="0" applyFont="1" applyFill="1" applyBorder="1" applyAlignment="1" applyProtection="1">
      <alignment horizontal="left" vertical="center"/>
    </xf>
    <xf numFmtId="0" fontId="10" fillId="25" borderId="61" xfId="0" applyFont="1" applyFill="1" applyBorder="1" applyAlignment="1" applyProtection="1">
      <alignment horizontal="left" vertical="center"/>
    </xf>
    <xf numFmtId="0" fontId="10" fillId="25" borderId="45" xfId="0" applyFont="1" applyFill="1" applyBorder="1" applyAlignment="1" applyProtection="1">
      <alignment horizontal="left" vertical="center"/>
    </xf>
    <xf numFmtId="0" fontId="10" fillId="25" borderId="40" xfId="0" applyFont="1" applyFill="1" applyBorder="1" applyAlignment="1" applyProtection="1">
      <alignment horizontal="left" vertical="center"/>
    </xf>
    <xf numFmtId="0" fontId="10" fillId="25" borderId="31" xfId="0" applyFont="1" applyFill="1" applyBorder="1" applyAlignment="1" applyProtection="1">
      <alignment horizontal="left" vertical="center"/>
    </xf>
    <xf numFmtId="0" fontId="10" fillId="25" borderId="46" xfId="0" applyFont="1" applyFill="1" applyBorder="1" applyAlignment="1" applyProtection="1">
      <alignment horizontal="left" vertical="center"/>
    </xf>
    <xf numFmtId="0" fontId="10" fillId="25" borderId="40" xfId="0" applyFont="1" applyFill="1" applyBorder="1" applyAlignment="1" applyProtection="1">
      <alignment horizontal="left" vertical="center" wrapText="1"/>
    </xf>
    <xf numFmtId="0" fontId="10" fillId="25" borderId="31" xfId="0" applyFont="1" applyFill="1" applyBorder="1" applyAlignment="1" applyProtection="1">
      <alignment horizontal="left" vertical="center" wrapText="1"/>
    </xf>
    <xf numFmtId="0" fontId="10" fillId="25" borderId="46" xfId="0" applyFont="1" applyFill="1" applyBorder="1" applyAlignment="1" applyProtection="1">
      <alignment horizontal="left" vertical="center" wrapText="1"/>
    </xf>
    <xf numFmtId="0" fontId="6" fillId="25" borderId="40" xfId="0" applyFont="1" applyFill="1" applyBorder="1" applyAlignment="1" applyProtection="1">
      <alignment horizontal="left" vertical="center" wrapText="1"/>
    </xf>
    <xf numFmtId="0" fontId="6" fillId="25" borderId="31" xfId="0" applyFont="1" applyFill="1" applyBorder="1" applyAlignment="1" applyProtection="1">
      <alignment horizontal="left" vertical="center" wrapText="1"/>
    </xf>
    <xf numFmtId="0" fontId="6" fillId="25" borderId="46" xfId="0" applyFont="1" applyFill="1" applyBorder="1" applyAlignment="1" applyProtection="1">
      <alignment horizontal="left" vertical="center" wrapText="1"/>
    </xf>
    <xf numFmtId="0" fontId="10" fillId="25" borderId="71" xfId="0" applyFont="1" applyFill="1" applyBorder="1" applyAlignment="1" applyProtection="1">
      <alignment vertical="center" wrapText="1"/>
      <protection hidden="1"/>
    </xf>
    <xf numFmtId="0" fontId="10" fillId="25" borderId="46" xfId="0" applyFont="1" applyFill="1" applyBorder="1" applyAlignment="1" applyProtection="1">
      <alignment vertical="center" wrapText="1"/>
      <protection hidden="1"/>
    </xf>
    <xf numFmtId="0" fontId="11" fillId="25" borderId="51" xfId="0" applyFont="1" applyFill="1" applyBorder="1" applyAlignment="1" applyProtection="1">
      <alignment horizontal="center" vertical="center"/>
    </xf>
    <xf numFmtId="0" fontId="11" fillId="25" borderId="47" xfId="0" applyFont="1" applyFill="1" applyBorder="1" applyAlignment="1" applyProtection="1">
      <alignment horizontal="center" vertical="center"/>
    </xf>
    <xf numFmtId="0" fontId="11" fillId="25" borderId="52" xfId="0" applyFont="1" applyFill="1" applyBorder="1" applyAlignment="1" applyProtection="1">
      <alignment horizontal="center" vertical="center"/>
    </xf>
    <xf numFmtId="2" fontId="85" fillId="36" borderId="15" xfId="0" applyNumberFormat="1" applyFont="1" applyFill="1" applyBorder="1" applyAlignment="1">
      <alignment horizontal="center" wrapText="1"/>
    </xf>
    <xf numFmtId="2" fontId="85" fillId="36" borderId="95" xfId="0" applyNumberFormat="1" applyFont="1" applyFill="1" applyBorder="1" applyAlignment="1">
      <alignment horizontal="center" wrapText="1"/>
    </xf>
    <xf numFmtId="0" fontId="85" fillId="36" borderId="15" xfId="0" applyFont="1" applyFill="1" applyBorder="1" applyAlignment="1">
      <alignment horizontal="center" wrapText="1"/>
    </xf>
    <xf numFmtId="0" fontId="85" fillId="36" borderId="79" xfId="0" applyFont="1" applyFill="1" applyBorder="1" applyAlignment="1">
      <alignment horizontal="center" wrapText="1"/>
    </xf>
    <xf numFmtId="0" fontId="85" fillId="36" borderId="95" xfId="0" applyFont="1" applyFill="1" applyBorder="1" applyAlignment="1">
      <alignment horizontal="center" wrapText="1"/>
    </xf>
    <xf numFmtId="0" fontId="2" fillId="25" borderId="15" xfId="0" applyFont="1" applyFill="1" applyBorder="1" applyProtection="1"/>
    <xf numFmtId="0" fontId="2" fillId="25" borderId="79" xfId="0" applyFont="1" applyFill="1" applyBorder="1" applyProtection="1"/>
    <xf numFmtId="0" fontId="2" fillId="25" borderId="95" xfId="0" applyFont="1" applyFill="1" applyBorder="1" applyProtection="1"/>
    <xf numFmtId="0" fontId="10" fillId="25" borderId="55" xfId="0" applyFont="1" applyFill="1" applyBorder="1" applyProtection="1"/>
    <xf numFmtId="0" fontId="10" fillId="25" borderId="47" xfId="0" applyFont="1" applyFill="1" applyBorder="1" applyProtection="1"/>
    <xf numFmtId="0" fontId="10" fillId="25" borderId="48" xfId="0" applyFont="1" applyFill="1" applyBorder="1" applyProtection="1"/>
    <xf numFmtId="0" fontId="81" fillId="36" borderId="20" xfId="0" applyFont="1" applyFill="1" applyBorder="1" applyAlignment="1">
      <alignment vertical="center" wrapText="1"/>
    </xf>
    <xf numFmtId="0" fontId="81" fillId="36" borderId="14" xfId="0" applyFont="1" applyFill="1" applyBorder="1" applyAlignment="1">
      <alignment vertical="center" wrapText="1"/>
    </xf>
    <xf numFmtId="0" fontId="81" fillId="36" borderId="66" xfId="0" applyFont="1" applyFill="1" applyBorder="1" applyAlignment="1">
      <alignment vertical="center" wrapText="1"/>
    </xf>
    <xf numFmtId="171" fontId="81" fillId="37" borderId="14" xfId="32" applyNumberFormat="1" applyFont="1" applyFill="1" applyBorder="1" applyAlignment="1" applyProtection="1">
      <alignment horizontal="center" vertical="center"/>
    </xf>
    <xf numFmtId="171" fontId="81" fillId="37" borderId="22" xfId="32" applyNumberFormat="1" applyFont="1" applyFill="1" applyBorder="1" applyAlignment="1" applyProtection="1">
      <alignment horizontal="center" vertical="center"/>
    </xf>
    <xf numFmtId="0" fontId="85" fillId="36" borderId="0" xfId="0" applyFont="1" applyFill="1" applyBorder="1" applyAlignment="1">
      <alignment horizontal="center"/>
    </xf>
    <xf numFmtId="0" fontId="85" fillId="36" borderId="29" xfId="0" applyFont="1" applyFill="1" applyBorder="1" applyAlignment="1">
      <alignment horizontal="center"/>
    </xf>
    <xf numFmtId="171" fontId="10" fillId="0" borderId="72" xfId="0" applyNumberFormat="1" applyFont="1" applyFill="1" applyBorder="1" applyAlignment="1" applyProtection="1">
      <alignment horizontal="center" vertical="center"/>
    </xf>
    <xf numFmtId="171" fontId="10" fillId="0" borderId="22" xfId="0" applyNumberFormat="1" applyFont="1" applyFill="1" applyBorder="1" applyAlignment="1" applyProtection="1">
      <alignment horizontal="center" vertical="center"/>
    </xf>
    <xf numFmtId="0" fontId="81" fillId="36" borderId="70" xfId="0" applyFont="1" applyFill="1" applyBorder="1" applyAlignment="1">
      <alignment horizontal="left" vertical="center"/>
    </xf>
    <xf numFmtId="0" fontId="81" fillId="36" borderId="61" xfId="0" applyFont="1" applyFill="1" applyBorder="1" applyAlignment="1">
      <alignment horizontal="left" vertical="center"/>
    </xf>
    <xf numFmtId="0" fontId="81" fillId="36" borderId="45" xfId="0" applyFont="1" applyFill="1" applyBorder="1" applyAlignment="1">
      <alignment horizontal="left" vertical="center"/>
    </xf>
    <xf numFmtId="0" fontId="10" fillId="25" borderId="55" xfId="0" applyFont="1" applyFill="1" applyBorder="1" applyAlignment="1">
      <alignment vertical="center"/>
    </xf>
    <xf numFmtId="0" fontId="10" fillId="25" borderId="47" xfId="0" applyFont="1" applyFill="1" applyBorder="1" applyAlignment="1">
      <alignment vertical="center"/>
    </xf>
    <xf numFmtId="0" fontId="10" fillId="25" borderId="48" xfId="0" applyFont="1" applyFill="1" applyBorder="1" applyAlignment="1">
      <alignment vertical="center"/>
    </xf>
    <xf numFmtId="0" fontId="10" fillId="25" borderId="51" xfId="0" applyFont="1" applyFill="1" applyBorder="1" applyAlignment="1" applyProtection="1">
      <alignment horizontal="left" vertical="center" wrapText="1"/>
    </xf>
    <xf numFmtId="0" fontId="10" fillId="25" borderId="47" xfId="0" applyFont="1" applyFill="1" applyBorder="1" applyAlignment="1" applyProtection="1">
      <alignment horizontal="left" vertical="center" wrapText="1"/>
    </xf>
    <xf numFmtId="0" fontId="10" fillId="25" borderId="48" xfId="0" applyFont="1" applyFill="1" applyBorder="1" applyAlignment="1" applyProtection="1">
      <alignment horizontal="left" vertical="center" wrapText="1"/>
    </xf>
    <xf numFmtId="0" fontId="6" fillId="25" borderId="51" xfId="0" applyFont="1" applyFill="1" applyBorder="1" applyAlignment="1" applyProtection="1">
      <alignment horizontal="center" vertical="center"/>
    </xf>
    <xf numFmtId="0" fontId="6" fillId="25" borderId="52" xfId="0" applyFont="1" applyFill="1" applyBorder="1" applyAlignment="1" applyProtection="1">
      <alignment horizontal="center" vertical="center"/>
    </xf>
    <xf numFmtId="0" fontId="14" fillId="25" borderId="68" xfId="0" applyFont="1" applyFill="1" applyBorder="1" applyAlignment="1" applyProtection="1">
      <alignment vertical="center"/>
    </xf>
    <xf numFmtId="0" fontId="6" fillId="25" borderId="51" xfId="0" applyFont="1" applyFill="1" applyBorder="1" applyAlignment="1" applyProtection="1">
      <alignment horizontal="center" vertical="center" wrapText="1"/>
    </xf>
    <xf numFmtId="0" fontId="6" fillId="25" borderId="52" xfId="0" applyFont="1" applyFill="1" applyBorder="1" applyAlignment="1" applyProtection="1">
      <alignment horizontal="center" vertical="center" wrapText="1"/>
    </xf>
    <xf numFmtId="0" fontId="6" fillId="25" borderId="36" xfId="0" applyFont="1" applyFill="1" applyBorder="1" applyAlignment="1" applyProtection="1">
      <alignment vertical="center"/>
    </xf>
    <xf numFmtId="0" fontId="6" fillId="25" borderId="69" xfId="0" applyFont="1" applyFill="1" applyBorder="1" applyAlignment="1" applyProtection="1">
      <alignment vertical="center"/>
    </xf>
    <xf numFmtId="0" fontId="6" fillId="25" borderId="71" xfId="0" applyFont="1" applyFill="1" applyBorder="1" applyAlignment="1" applyProtection="1">
      <alignment vertical="center" wrapText="1"/>
    </xf>
    <xf numFmtId="0" fontId="6" fillId="25" borderId="46" xfId="0" applyFont="1" applyFill="1" applyBorder="1" applyAlignment="1" applyProtection="1">
      <alignment vertical="center" wrapText="1"/>
    </xf>
    <xf numFmtId="0" fontId="10" fillId="25" borderId="36" xfId="0" applyFont="1" applyFill="1" applyBorder="1" applyAlignment="1" applyProtection="1">
      <alignment vertical="center"/>
    </xf>
    <xf numFmtId="0" fontId="10" fillId="25" borderId="69" xfId="0" applyFont="1" applyFill="1" applyBorder="1" applyAlignment="1" applyProtection="1">
      <alignment vertical="center"/>
    </xf>
    <xf numFmtId="9" fontId="6" fillId="25" borderId="14" xfId="32" applyFont="1" applyFill="1" applyBorder="1" applyAlignment="1" applyProtection="1">
      <alignment horizontal="center" vertical="center"/>
    </xf>
    <xf numFmtId="9" fontId="6" fillId="25" borderId="22" xfId="32" applyFont="1" applyFill="1" applyBorder="1" applyAlignment="1" applyProtection="1">
      <alignment horizontal="center" vertical="center"/>
    </xf>
    <xf numFmtId="0" fontId="6" fillId="25" borderId="38" xfId="0" applyFont="1" applyFill="1" applyBorder="1" applyAlignment="1" applyProtection="1">
      <alignment horizontal="center" vertical="center"/>
    </xf>
    <xf numFmtId="0" fontId="6" fillId="25" borderId="39" xfId="0" applyFont="1" applyFill="1" applyBorder="1" applyAlignment="1" applyProtection="1">
      <alignment horizontal="center" vertical="center"/>
    </xf>
    <xf numFmtId="0" fontId="10" fillId="25" borderId="15" xfId="0" applyFont="1" applyFill="1" applyBorder="1" applyAlignment="1" applyProtection="1">
      <alignment horizontal="center"/>
    </xf>
    <xf numFmtId="0" fontId="10" fillId="25" borderId="95" xfId="0" applyFont="1" applyFill="1" applyBorder="1" applyAlignment="1" applyProtection="1">
      <alignment horizontal="center"/>
    </xf>
    <xf numFmtId="0" fontId="0" fillId="29" borderId="36" xfId="0" applyFill="1" applyBorder="1" applyAlignment="1" applyProtection="1">
      <alignment horizontal="left"/>
      <protection locked="0"/>
    </xf>
    <xf numFmtId="0" fontId="0" fillId="29" borderId="60" xfId="0" applyFill="1" applyBorder="1" applyAlignment="1" applyProtection="1">
      <alignment horizontal="left"/>
      <protection locked="0"/>
    </xf>
    <xf numFmtId="0" fontId="96" fillId="43" borderId="20" xfId="0" applyFont="1" applyFill="1" applyBorder="1" applyProtection="1">
      <protection locked="0"/>
    </xf>
    <xf numFmtId="0" fontId="96" fillId="43" borderId="14" xfId="0" applyFont="1" applyFill="1" applyBorder="1" applyProtection="1">
      <protection locked="0"/>
    </xf>
    <xf numFmtId="0" fontId="96" fillId="43" borderId="22" xfId="0" applyFont="1" applyFill="1" applyBorder="1" applyProtection="1">
      <protection locked="0"/>
    </xf>
    <xf numFmtId="0" fontId="11" fillId="37" borderId="20" xfId="0" applyFont="1" applyFill="1" applyBorder="1" applyAlignment="1" applyProtection="1">
      <alignment horizontal="left"/>
      <protection locked="0"/>
    </xf>
    <xf numFmtId="0" fontId="11" fillId="37" borderId="14" xfId="0" applyFont="1" applyFill="1" applyBorder="1" applyAlignment="1" applyProtection="1">
      <alignment horizontal="left"/>
      <protection locked="0"/>
    </xf>
    <xf numFmtId="0" fontId="97" fillId="25" borderId="14" xfId="0" applyFont="1" applyFill="1" applyBorder="1" applyAlignment="1" applyProtection="1">
      <alignment horizontal="right" vertical="center"/>
    </xf>
    <xf numFmtId="0" fontId="85" fillId="36" borderId="70" xfId="0" applyFont="1" applyFill="1" applyBorder="1"/>
    <xf numFmtId="0" fontId="85" fillId="36" borderId="61" xfId="0" applyFont="1" applyFill="1" applyBorder="1"/>
    <xf numFmtId="0" fontId="85" fillId="36" borderId="71" xfId="0" applyFont="1" applyFill="1" applyBorder="1"/>
    <xf numFmtId="0" fontId="85" fillId="36" borderId="31" xfId="0" applyFont="1" applyFill="1" applyBorder="1"/>
    <xf numFmtId="0" fontId="6" fillId="25" borderId="42" xfId="0" applyFont="1" applyFill="1" applyBorder="1" applyAlignment="1" applyProtection="1">
      <alignment horizontal="center" wrapText="1"/>
    </xf>
    <xf numFmtId="0" fontId="6" fillId="25" borderId="44" xfId="0" applyFont="1" applyFill="1" applyBorder="1" applyAlignment="1" applyProtection="1">
      <alignment horizontal="center" wrapText="1"/>
    </xf>
    <xf numFmtId="0" fontId="6" fillId="25" borderId="49" xfId="0" applyFont="1" applyFill="1" applyBorder="1" applyAlignment="1" applyProtection="1">
      <alignment horizontal="center" wrapText="1"/>
    </xf>
    <xf numFmtId="0" fontId="6" fillId="25" borderId="50" xfId="0" applyFont="1" applyFill="1" applyBorder="1" applyAlignment="1" applyProtection="1">
      <alignment horizontal="center" wrapText="1"/>
    </xf>
    <xf numFmtId="173" fontId="89" fillId="36" borderId="73" xfId="0" applyNumberFormat="1" applyFont="1" applyFill="1" applyBorder="1" applyAlignment="1">
      <alignment horizontal="center" vertical="center" wrapText="1"/>
    </xf>
    <xf numFmtId="173" fontId="89" fillId="36" borderId="75" xfId="0" applyNumberFormat="1" applyFont="1" applyFill="1" applyBorder="1" applyAlignment="1">
      <alignment horizontal="center" vertical="center" wrapText="1"/>
    </xf>
    <xf numFmtId="173" fontId="89" fillId="36" borderId="41" xfId="0" applyNumberFormat="1" applyFont="1" applyFill="1" applyBorder="1" applyAlignment="1">
      <alignment horizontal="center" vertical="center" wrapText="1"/>
    </xf>
    <xf numFmtId="0" fontId="11" fillId="25" borderId="72" xfId="0" applyFont="1" applyFill="1" applyBorder="1" applyAlignment="1" applyProtection="1">
      <alignment horizontal="center"/>
    </xf>
    <xf numFmtId="0" fontId="11" fillId="25" borderId="14" xfId="0" applyFont="1" applyFill="1" applyBorder="1" applyAlignment="1" applyProtection="1">
      <alignment horizontal="center"/>
    </xf>
    <xf numFmtId="0" fontId="55" fillId="0" borderId="17" xfId="0" applyFont="1" applyBorder="1" applyAlignment="1" applyProtection="1">
      <alignment vertical="center"/>
      <protection locked="0"/>
    </xf>
    <xf numFmtId="0" fontId="55" fillId="0" borderId="18" xfId="0" applyFont="1" applyBorder="1" applyAlignment="1" applyProtection="1">
      <alignment vertical="center"/>
      <protection locked="0"/>
    </xf>
    <xf numFmtId="0" fontId="10" fillId="25" borderId="47" xfId="0" applyFont="1" applyFill="1" applyBorder="1" applyAlignment="1" applyProtection="1">
      <alignment horizontal="left" vertical="center"/>
    </xf>
    <xf numFmtId="0" fontId="81" fillId="25" borderId="20" xfId="0" applyFont="1" applyFill="1" applyBorder="1" applyAlignment="1" applyProtection="1">
      <alignment vertical="center"/>
    </xf>
    <xf numFmtId="0" fontId="81" fillId="25" borderId="14" xfId="0" applyFont="1" applyFill="1" applyBorder="1" applyAlignment="1" applyProtection="1">
      <alignment vertical="center"/>
    </xf>
    <xf numFmtId="0" fontId="81" fillId="25" borderId="66" xfId="0" applyFont="1" applyFill="1" applyBorder="1" applyAlignment="1" applyProtection="1">
      <alignment vertical="center"/>
    </xf>
    <xf numFmtId="0" fontId="79" fillId="25" borderId="0" xfId="0" applyFont="1" applyFill="1" applyBorder="1" applyAlignment="1">
      <alignment horizontal="center"/>
    </xf>
    <xf numFmtId="173" fontId="87" fillId="36" borderId="75" xfId="0" applyNumberFormat="1" applyFont="1" applyFill="1" applyBorder="1" applyAlignment="1">
      <alignment horizontal="center" wrapText="1"/>
    </xf>
    <xf numFmtId="173" fontId="87" fillId="36" borderId="41" xfId="0" applyNumberFormat="1" applyFont="1" applyFill="1" applyBorder="1" applyAlignment="1">
      <alignment horizontal="center" wrapText="1"/>
    </xf>
    <xf numFmtId="0" fontId="84" fillId="36" borderId="17" xfId="0" applyFont="1" applyFill="1" applyBorder="1"/>
    <xf numFmtId="0" fontId="84" fillId="36" borderId="18" xfId="0" applyFont="1" applyFill="1" applyBorder="1"/>
    <xf numFmtId="0" fontId="82" fillId="36" borderId="20" xfId="0" applyFont="1" applyFill="1" applyBorder="1" applyAlignment="1">
      <alignment horizontal="center"/>
    </xf>
    <xf numFmtId="0" fontId="82" fillId="36" borderId="14" xfId="0" applyFont="1" applyFill="1" applyBorder="1" applyAlignment="1">
      <alignment horizontal="center"/>
    </xf>
    <xf numFmtId="0" fontId="82" fillId="36" borderId="22" xfId="0" applyFont="1" applyFill="1" applyBorder="1" applyAlignment="1">
      <alignment horizontal="center"/>
    </xf>
    <xf numFmtId="0" fontId="82" fillId="36" borderId="20" xfId="0" applyFont="1" applyFill="1" applyBorder="1" applyAlignment="1">
      <alignment horizontal="center" wrapText="1"/>
    </xf>
    <xf numFmtId="0" fontId="82" fillId="36" borderId="22" xfId="0" applyFont="1" applyFill="1" applyBorder="1" applyAlignment="1">
      <alignment horizontal="center" wrapText="1"/>
    </xf>
    <xf numFmtId="173" fontId="87" fillId="36" borderId="29" xfId="0" applyNumberFormat="1" applyFont="1" applyFill="1" applyBorder="1" applyAlignment="1">
      <alignment horizontal="center" wrapText="1"/>
    </xf>
    <xf numFmtId="173" fontId="87" fillId="36" borderId="19" xfId="0" applyNumberFormat="1" applyFont="1" applyFill="1" applyBorder="1" applyAlignment="1">
      <alignment horizontal="center" wrapText="1"/>
    </xf>
    <xf numFmtId="0" fontId="84" fillId="36" borderId="20" xfId="0" applyFont="1" applyFill="1" applyBorder="1"/>
    <xf numFmtId="0" fontId="84" fillId="36" borderId="14" xfId="0" applyFont="1" applyFill="1" applyBorder="1"/>
    <xf numFmtId="0" fontId="84" fillId="36" borderId="22" xfId="0" applyFont="1" applyFill="1" applyBorder="1"/>
    <xf numFmtId="0" fontId="78" fillId="36" borderId="15" xfId="0" applyFont="1" applyFill="1" applyBorder="1" applyAlignment="1">
      <alignment horizontal="center"/>
    </xf>
    <xf numFmtId="0" fontId="78" fillId="36" borderId="79" xfId="0" applyFont="1" applyFill="1" applyBorder="1" applyAlignment="1">
      <alignment horizontal="center"/>
    </xf>
    <xf numFmtId="0" fontId="78" fillId="36" borderId="11" xfId="0" applyFont="1" applyFill="1" applyBorder="1" applyAlignment="1">
      <alignment horizontal="center"/>
    </xf>
    <xf numFmtId="0" fontId="78" fillId="36" borderId="28" xfId="0" applyFont="1" applyFill="1" applyBorder="1" applyAlignment="1">
      <alignment horizontal="center"/>
    </xf>
    <xf numFmtId="0" fontId="78" fillId="36" borderId="29" xfId="0" applyFont="1" applyFill="1" applyBorder="1" applyAlignment="1">
      <alignment horizontal="center"/>
    </xf>
    <xf numFmtId="167" fontId="78" fillId="36" borderId="15" xfId="0" applyNumberFormat="1" applyFont="1" applyFill="1" applyBorder="1" applyAlignment="1">
      <alignment horizontal="center"/>
    </xf>
    <xf numFmtId="167" fontId="78" fillId="36" borderId="11" xfId="0" applyNumberFormat="1" applyFont="1" applyFill="1" applyBorder="1" applyAlignment="1">
      <alignment horizontal="center"/>
    </xf>
    <xf numFmtId="22" fontId="17" fillId="25" borderId="0" xfId="0" applyNumberFormat="1" applyFont="1" applyFill="1" applyAlignment="1" applyProtection="1">
      <alignment horizontal="left"/>
    </xf>
    <xf numFmtId="0" fontId="10" fillId="25" borderId="17" xfId="0" applyFont="1" applyFill="1" applyBorder="1" applyAlignment="1">
      <alignment horizontal="left" vertical="center"/>
    </xf>
    <xf numFmtId="0" fontId="10" fillId="25" borderId="18" xfId="0" applyFont="1" applyFill="1" applyBorder="1" applyAlignment="1">
      <alignment horizontal="left" vertical="center"/>
    </xf>
    <xf numFmtId="0" fontId="10" fillId="25" borderId="19" xfId="0" applyFont="1" applyFill="1" applyBorder="1" applyAlignment="1">
      <alignment horizontal="left" vertical="center"/>
    </xf>
    <xf numFmtId="0" fontId="41" fillId="25" borderId="14" xfId="0" applyFont="1" applyFill="1" applyBorder="1" applyAlignment="1" applyProtection="1">
      <alignment horizontal="center"/>
    </xf>
    <xf numFmtId="0" fontId="6" fillId="25" borderId="50" xfId="0" applyFont="1" applyFill="1" applyBorder="1" applyAlignment="1">
      <alignment horizontal="center"/>
    </xf>
    <xf numFmtId="0" fontId="6" fillId="25" borderId="42" xfId="0" applyFont="1" applyFill="1" applyBorder="1" applyAlignment="1">
      <alignment horizontal="center"/>
    </xf>
    <xf numFmtId="0" fontId="0" fillId="29" borderId="78" xfId="0" applyFill="1" applyBorder="1" applyAlignment="1" applyProtection="1">
      <alignment horizontal="left" vertical="center"/>
      <protection locked="0"/>
    </xf>
    <xf numFmtId="0" fontId="0" fillId="29" borderId="53" xfId="0" applyFill="1" applyBorder="1" applyAlignment="1" applyProtection="1">
      <alignment horizontal="left" vertical="center"/>
      <protection locked="0"/>
    </xf>
    <xf numFmtId="0" fontId="0" fillId="29" borderId="54" xfId="0" applyFill="1" applyBorder="1" applyAlignment="1" applyProtection="1">
      <alignment horizontal="left" vertical="center"/>
      <protection locked="0"/>
    </xf>
    <xf numFmtId="0" fontId="0" fillId="29" borderId="17" xfId="0" applyFill="1" applyBorder="1" applyAlignment="1" applyProtection="1">
      <alignment horizontal="left" vertical="center"/>
      <protection locked="0"/>
    </xf>
    <xf numFmtId="0" fontId="0" fillId="29" borderId="18" xfId="0" applyFill="1" applyBorder="1" applyAlignment="1" applyProtection="1">
      <alignment horizontal="left" vertical="center"/>
      <protection locked="0"/>
    </xf>
    <xf numFmtId="0" fontId="0" fillId="29" borderId="19" xfId="0" applyFill="1" applyBorder="1" applyAlignment="1" applyProtection="1">
      <alignment horizontal="left" vertical="center"/>
      <protection locked="0"/>
    </xf>
    <xf numFmtId="0" fontId="0" fillId="29" borderId="28" xfId="0" applyFill="1" applyBorder="1" applyAlignment="1" applyProtection="1">
      <alignment horizontal="left"/>
      <protection locked="0"/>
    </xf>
    <xf numFmtId="0" fontId="0" fillId="29" borderId="0" xfId="0" applyFill="1" applyBorder="1" applyAlignment="1" applyProtection="1">
      <alignment horizontal="left"/>
      <protection locked="0"/>
    </xf>
    <xf numFmtId="0" fontId="0" fillId="29" borderId="29" xfId="0" applyFill="1" applyBorder="1" applyAlignment="1" applyProtection="1">
      <alignment horizontal="left"/>
      <protection locked="0"/>
    </xf>
    <xf numFmtId="0" fontId="0" fillId="29" borderId="37" xfId="0" applyFill="1" applyBorder="1" applyAlignment="1" applyProtection="1">
      <alignment horizontal="left"/>
      <protection locked="0"/>
    </xf>
    <xf numFmtId="0" fontId="10" fillId="25" borderId="61" xfId="0" applyFont="1" applyFill="1" applyBorder="1" applyAlignment="1">
      <alignment vertical="center"/>
    </xf>
    <xf numFmtId="0" fontId="14" fillId="37" borderId="47" xfId="0" applyFont="1" applyFill="1" applyBorder="1" applyProtection="1">
      <protection locked="0"/>
    </xf>
    <xf numFmtId="0" fontId="14" fillId="37" borderId="52" xfId="0" applyFont="1" applyFill="1" applyBorder="1" applyProtection="1">
      <protection locked="0"/>
    </xf>
    <xf numFmtId="0" fontId="10" fillId="25" borderId="18" xfId="0" applyFont="1" applyFill="1" applyBorder="1" applyAlignment="1" applyProtection="1">
      <alignment horizontal="left" vertical="center"/>
      <protection locked="0"/>
    </xf>
    <xf numFmtId="0" fontId="10" fillId="25" borderId="19" xfId="0" applyFont="1" applyFill="1" applyBorder="1" applyAlignment="1" applyProtection="1">
      <alignment horizontal="left" vertical="center"/>
      <protection locked="0"/>
    </xf>
    <xf numFmtId="0" fontId="10" fillId="25" borderId="28" xfId="0" applyFont="1" applyFill="1" applyBorder="1" applyAlignment="1">
      <alignment horizontal="left" vertical="center"/>
    </xf>
    <xf numFmtId="0" fontId="10" fillId="25" borderId="0" xfId="0" applyFont="1" applyFill="1" applyBorder="1" applyAlignment="1">
      <alignment horizontal="left" vertical="center"/>
    </xf>
    <xf numFmtId="0" fontId="10" fillId="25" borderId="29" xfId="0" applyFont="1" applyFill="1" applyBorder="1" applyAlignment="1">
      <alignment horizontal="left" vertical="center"/>
    </xf>
    <xf numFmtId="0" fontId="11" fillId="25" borderId="66" xfId="0" applyFont="1" applyFill="1" applyBorder="1" applyAlignment="1" applyProtection="1">
      <alignment horizontal="center"/>
    </xf>
    <xf numFmtId="0" fontId="14" fillId="37" borderId="61" xfId="0" applyFont="1" applyFill="1" applyBorder="1" applyProtection="1">
      <protection locked="0"/>
    </xf>
    <xf numFmtId="0" fontId="14" fillId="37" borderId="39" xfId="0" applyFont="1" applyFill="1" applyBorder="1" applyProtection="1">
      <protection locked="0"/>
    </xf>
    <xf numFmtId="0" fontId="78" fillId="36" borderId="107" xfId="0" applyFont="1" applyFill="1" applyBorder="1" applyAlignment="1">
      <alignment horizontal="center"/>
    </xf>
    <xf numFmtId="0" fontId="78" fillId="36" borderId="95" xfId="0" applyFont="1" applyFill="1" applyBorder="1" applyAlignment="1">
      <alignment horizontal="center"/>
    </xf>
    <xf numFmtId="0" fontId="10" fillId="25" borderId="28" xfId="0" applyFont="1" applyFill="1" applyBorder="1" applyAlignment="1" applyProtection="1">
      <alignment horizontal="center"/>
    </xf>
    <xf numFmtId="0" fontId="10" fillId="25" borderId="29" xfId="0" applyFont="1" applyFill="1" applyBorder="1" applyAlignment="1" applyProtection="1">
      <alignment horizontal="center"/>
    </xf>
    <xf numFmtId="0" fontId="6" fillId="25" borderId="107" xfId="0" applyFont="1" applyFill="1" applyBorder="1" applyAlignment="1">
      <alignment horizontal="left" vertical="center" wrapText="1"/>
    </xf>
    <xf numFmtId="0" fontId="6" fillId="25" borderId="114" xfId="0" applyFont="1" applyFill="1" applyBorder="1" applyAlignment="1">
      <alignment horizontal="left" vertical="center" wrapText="1"/>
    </xf>
    <xf numFmtId="0" fontId="6" fillId="25" borderId="113" xfId="0" applyFont="1" applyFill="1" applyBorder="1" applyAlignment="1">
      <alignment horizontal="left" vertical="center" wrapText="1"/>
    </xf>
    <xf numFmtId="0" fontId="6" fillId="25" borderId="17" xfId="0" applyFont="1" applyFill="1" applyBorder="1" applyAlignment="1">
      <alignment vertical="center"/>
    </xf>
    <xf numFmtId="0" fontId="6" fillId="25" borderId="18" xfId="0" applyFont="1" applyFill="1" applyBorder="1" applyAlignment="1">
      <alignment vertical="center"/>
    </xf>
    <xf numFmtId="0" fontId="6" fillId="25" borderId="19" xfId="0" applyFont="1" applyFill="1" applyBorder="1" applyAlignment="1">
      <alignment vertical="center"/>
    </xf>
    <xf numFmtId="0" fontId="6" fillId="25" borderId="23" xfId="0" applyFont="1" applyFill="1" applyBorder="1" applyAlignment="1">
      <alignment wrapText="1"/>
    </xf>
    <xf numFmtId="0" fontId="6" fillId="25" borderId="25" xfId="0" applyFont="1" applyFill="1" applyBorder="1" applyAlignment="1">
      <alignment wrapText="1"/>
    </xf>
    <xf numFmtId="0" fontId="6" fillId="25" borderId="13" xfId="0" applyFont="1" applyFill="1" applyBorder="1" applyAlignment="1">
      <alignment wrapText="1"/>
    </xf>
    <xf numFmtId="0" fontId="6" fillId="25" borderId="16" xfId="0" applyFont="1" applyFill="1" applyBorder="1" applyAlignment="1">
      <alignment wrapText="1"/>
    </xf>
    <xf numFmtId="0" fontId="6" fillId="25" borderId="28" xfId="0" quotePrefix="1" applyFont="1" applyFill="1" applyBorder="1" applyAlignment="1">
      <alignment horizontal="left" vertical="center" wrapText="1"/>
    </xf>
    <xf numFmtId="0" fontId="6" fillId="25" borderId="0" xfId="0" quotePrefix="1" applyFont="1" applyFill="1" applyBorder="1" applyAlignment="1">
      <alignment horizontal="left" vertical="center" wrapText="1"/>
    </xf>
    <xf numFmtId="0" fontId="6" fillId="25" borderId="29" xfId="0" quotePrefix="1" applyFont="1" applyFill="1" applyBorder="1" applyAlignment="1">
      <alignment horizontal="left" vertical="center" wrapText="1"/>
    </xf>
    <xf numFmtId="0" fontId="6" fillId="25" borderId="28" xfId="0" quotePrefix="1" applyFont="1" applyFill="1" applyBorder="1" applyAlignment="1">
      <alignment horizontal="left" vertical="center"/>
    </xf>
    <xf numFmtId="0" fontId="6" fillId="25" borderId="0" xfId="0" quotePrefix="1" applyFont="1" applyFill="1" applyBorder="1" applyAlignment="1">
      <alignment horizontal="left" vertical="center"/>
    </xf>
    <xf numFmtId="0" fontId="6" fillId="25" borderId="29" xfId="0" quotePrefix="1" applyFont="1" applyFill="1" applyBorder="1" applyAlignment="1">
      <alignment horizontal="left" vertical="center"/>
    </xf>
    <xf numFmtId="0" fontId="10" fillId="25" borderId="71" xfId="0" applyFont="1" applyFill="1" applyBorder="1" applyAlignment="1">
      <alignment horizontal="left" vertical="center" wrapText="1"/>
    </xf>
    <xf numFmtId="0" fontId="10" fillId="25" borderId="31" xfId="0" applyFont="1" applyFill="1" applyBorder="1" applyAlignment="1">
      <alignment horizontal="left" vertical="center" wrapText="1"/>
    </xf>
    <xf numFmtId="0" fontId="10" fillId="25" borderId="55" xfId="0" applyFont="1" applyFill="1" applyBorder="1" applyAlignment="1">
      <alignment horizontal="left" vertical="center" wrapText="1"/>
    </xf>
    <xf numFmtId="0" fontId="10" fillId="25" borderId="47" xfId="0" applyFont="1" applyFill="1" applyBorder="1" applyAlignment="1">
      <alignment horizontal="left" vertical="center" wrapText="1"/>
    </xf>
    <xf numFmtId="0" fontId="6" fillId="24" borderId="17" xfId="0" applyFont="1" applyFill="1" applyBorder="1" applyAlignment="1" applyProtection="1">
      <alignment horizontal="left" vertical="center" wrapText="1"/>
      <protection locked="0"/>
    </xf>
    <xf numFmtId="0" fontId="6" fillId="24" borderId="18" xfId="0" applyFont="1" applyFill="1" applyBorder="1" applyAlignment="1" applyProtection="1">
      <alignment horizontal="left" vertical="center" wrapText="1"/>
      <protection locked="0"/>
    </xf>
    <xf numFmtId="0" fontId="6" fillId="24" borderId="19" xfId="0" applyFont="1" applyFill="1" applyBorder="1" applyAlignment="1" applyProtection="1">
      <alignment horizontal="left" vertical="center" wrapText="1"/>
      <protection locked="0"/>
    </xf>
    <xf numFmtId="0" fontId="10" fillId="25" borderId="14" xfId="0" applyFont="1" applyFill="1" applyBorder="1" applyAlignment="1">
      <alignment horizontal="right" vertical="center" wrapText="1"/>
    </xf>
    <xf numFmtId="0" fontId="10" fillId="25" borderId="66" xfId="0" applyFont="1" applyFill="1" applyBorder="1" applyAlignment="1">
      <alignment horizontal="right" vertical="center" wrapText="1"/>
    </xf>
    <xf numFmtId="0" fontId="6" fillId="25" borderId="36" xfId="0" applyFont="1" applyFill="1" applyBorder="1" applyAlignment="1">
      <alignment horizontal="left" vertical="center" wrapText="1"/>
    </xf>
    <xf numFmtId="0" fontId="6" fillId="25" borderId="60" xfId="0" applyFont="1" applyFill="1" applyBorder="1" applyAlignment="1">
      <alignment horizontal="left" vertical="center" wrapText="1"/>
    </xf>
    <xf numFmtId="0" fontId="6" fillId="25" borderId="69" xfId="0" applyFont="1" applyFill="1" applyBorder="1" applyAlignment="1">
      <alignment horizontal="left" vertical="center" wrapText="1"/>
    </xf>
    <xf numFmtId="0" fontId="10" fillId="25" borderId="75" xfId="0" applyFont="1" applyFill="1" applyBorder="1" applyAlignment="1">
      <alignment horizontal="center" vertical="top"/>
    </xf>
    <xf numFmtId="0" fontId="10" fillId="25" borderId="35" xfId="0" applyFont="1" applyFill="1" applyBorder="1" applyAlignment="1">
      <alignment horizontal="center" vertical="top"/>
    </xf>
    <xf numFmtId="0" fontId="6" fillId="25" borderId="91" xfId="0" applyFont="1" applyFill="1" applyBorder="1" applyAlignment="1">
      <alignment wrapText="1"/>
    </xf>
    <xf numFmtId="0" fontId="6" fillId="25" borderId="93" xfId="0" applyFont="1" applyFill="1" applyBorder="1" applyAlignment="1">
      <alignment wrapText="1"/>
    </xf>
    <xf numFmtId="0" fontId="54" fillId="25" borderId="29" xfId="0" applyFont="1" applyFill="1" applyBorder="1" applyAlignment="1">
      <alignment horizontal="center" vertical="center"/>
    </xf>
    <xf numFmtId="0" fontId="6" fillId="25" borderId="78" xfId="0" applyFont="1" applyFill="1" applyBorder="1" applyAlignment="1">
      <alignment horizontal="left" vertical="center" wrapText="1"/>
    </xf>
    <xf numFmtId="0" fontId="6" fillId="25" borderId="53" xfId="0" applyFont="1" applyFill="1" applyBorder="1" applyAlignment="1">
      <alignment horizontal="left" vertical="center" wrapText="1"/>
    </xf>
    <xf numFmtId="0" fontId="6" fillId="25" borderId="86" xfId="0" applyFont="1" applyFill="1" applyBorder="1" applyAlignment="1">
      <alignment horizontal="left" vertical="center" wrapText="1"/>
    </xf>
    <xf numFmtId="0" fontId="6" fillId="25" borderId="57" xfId="0" applyFont="1" applyFill="1" applyBorder="1" applyAlignment="1" applyProtection="1">
      <alignment horizontal="center" vertical="center" wrapText="1"/>
      <protection locked="0"/>
    </xf>
    <xf numFmtId="0" fontId="0" fillId="0" borderId="58" xfId="0" applyBorder="1" applyAlignment="1" applyProtection="1">
      <protection locked="0"/>
    </xf>
    <xf numFmtId="0" fontId="6" fillId="25" borderId="87" xfId="0" applyFont="1" applyFill="1" applyBorder="1" applyAlignment="1" applyProtection="1">
      <alignment horizontal="center" vertical="center" wrapText="1"/>
      <protection locked="0"/>
    </xf>
    <xf numFmtId="0" fontId="0" fillId="0" borderId="90" xfId="0" applyBorder="1" applyAlignment="1" applyProtection="1">
      <protection locked="0"/>
    </xf>
    <xf numFmtId="0" fontId="25" fillId="25" borderId="20" xfId="0" applyFont="1" applyFill="1" applyBorder="1" applyAlignment="1">
      <alignment horizontal="left" vertical="center" wrapText="1"/>
    </xf>
    <xf numFmtId="0" fontId="25" fillId="25" borderId="14" xfId="0" applyFont="1" applyFill="1" applyBorder="1" applyAlignment="1">
      <alignment horizontal="left" vertical="center" wrapText="1"/>
    </xf>
    <xf numFmtId="0" fontId="25" fillId="25" borderId="66" xfId="0" applyFont="1" applyFill="1" applyBorder="1" applyAlignment="1">
      <alignment horizontal="left" vertical="center" wrapText="1"/>
    </xf>
    <xf numFmtId="0" fontId="10" fillId="25" borderId="40" xfId="0" applyFont="1" applyFill="1" applyBorder="1" applyAlignment="1">
      <alignment horizontal="left" vertical="center" wrapText="1"/>
    </xf>
    <xf numFmtId="0" fontId="6" fillId="25" borderId="71" xfId="0" applyFont="1" applyFill="1" applyBorder="1" applyAlignment="1">
      <alignment horizontal="left" vertical="center" wrapText="1"/>
    </xf>
    <xf numFmtId="0" fontId="6" fillId="25" borderId="31" xfId="0" applyFont="1" applyFill="1" applyBorder="1" applyAlignment="1">
      <alignment horizontal="left" vertical="center" wrapText="1"/>
    </xf>
    <xf numFmtId="0" fontId="6" fillId="25" borderId="40" xfId="0" applyFont="1" applyFill="1" applyBorder="1" applyAlignment="1">
      <alignment horizontal="left" vertical="center" wrapText="1"/>
    </xf>
    <xf numFmtId="0" fontId="11" fillId="25" borderId="17" xfId="0" applyFont="1" applyFill="1" applyBorder="1" applyAlignment="1" applyProtection="1">
      <alignment horizontal="left" vertical="center" wrapText="1"/>
    </xf>
    <xf numFmtId="0" fontId="11" fillId="25" borderId="18" xfId="0" applyFont="1" applyFill="1" applyBorder="1" applyAlignment="1" applyProtection="1">
      <alignment horizontal="left" vertical="center" wrapText="1"/>
    </xf>
    <xf numFmtId="0" fontId="11" fillId="25" borderId="19" xfId="0" applyFont="1" applyFill="1" applyBorder="1" applyAlignment="1" applyProtection="1">
      <alignment horizontal="left" vertical="center" wrapText="1"/>
    </xf>
    <xf numFmtId="0" fontId="11" fillId="25" borderId="18" xfId="0" applyFont="1" applyFill="1" applyBorder="1" applyAlignment="1">
      <alignment horizontal="left" vertical="center" wrapText="1"/>
    </xf>
    <xf numFmtId="0" fontId="5" fillId="25" borderId="107" xfId="0" applyFont="1" applyFill="1" applyBorder="1" applyAlignment="1">
      <alignment horizontal="center" vertical="center" wrapText="1"/>
    </xf>
    <xf numFmtId="0" fontId="5" fillId="25" borderId="79" xfId="0" applyFont="1" applyFill="1" applyBorder="1" applyAlignment="1">
      <alignment horizontal="center" vertical="center" wrapText="1"/>
    </xf>
    <xf numFmtId="0" fontId="5" fillId="25" borderId="113" xfId="0" applyFont="1" applyFill="1" applyBorder="1" applyAlignment="1">
      <alignment horizontal="center" vertical="center" wrapText="1"/>
    </xf>
    <xf numFmtId="0" fontId="5" fillId="25" borderId="28" xfId="0" applyFont="1" applyFill="1" applyBorder="1" applyAlignment="1">
      <alignment horizontal="center" vertical="center" wrapText="1"/>
    </xf>
    <xf numFmtId="0" fontId="5" fillId="25" borderId="0" xfId="0" applyFont="1" applyFill="1" applyBorder="1" applyAlignment="1">
      <alignment horizontal="center" vertical="center" wrapText="1"/>
    </xf>
    <xf numFmtId="0" fontId="5" fillId="25" borderId="29"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5" fillId="25" borderId="18" xfId="0" applyFont="1" applyFill="1" applyBorder="1" applyAlignment="1">
      <alignment horizontal="center" vertical="center" wrapText="1"/>
    </xf>
    <xf numFmtId="0" fontId="5" fillId="25" borderId="19" xfId="0" applyFont="1" applyFill="1" applyBorder="1" applyAlignment="1">
      <alignment horizontal="center" vertical="center" wrapText="1"/>
    </xf>
    <xf numFmtId="0" fontId="11" fillId="25" borderId="107" xfId="0" applyFont="1" applyFill="1" applyBorder="1" applyAlignment="1" applyProtection="1">
      <alignment horizontal="left" vertical="center"/>
    </xf>
    <xf numFmtId="0" fontId="11" fillId="25" borderId="79" xfId="0" applyFont="1" applyFill="1" applyBorder="1" applyAlignment="1" applyProtection="1">
      <alignment horizontal="left" vertical="center"/>
    </xf>
    <xf numFmtId="0" fontId="11" fillId="25" borderId="113" xfId="0" applyFont="1" applyFill="1" applyBorder="1" applyAlignment="1" applyProtection="1">
      <alignment horizontal="left" vertical="center"/>
    </xf>
    <xf numFmtId="0" fontId="25" fillId="25" borderId="28" xfId="0" applyFont="1" applyFill="1" applyBorder="1" applyAlignment="1" applyProtection="1">
      <alignment horizontal="left" vertical="center"/>
    </xf>
    <xf numFmtId="0" fontId="25" fillId="25" borderId="0" xfId="0" applyFont="1" applyFill="1" applyBorder="1" applyAlignment="1" applyProtection="1">
      <alignment horizontal="left" vertical="center"/>
    </xf>
    <xf numFmtId="0" fontId="25" fillId="25" borderId="29" xfId="0" applyFont="1" applyFill="1" applyBorder="1" applyAlignment="1" applyProtection="1">
      <alignment horizontal="left" vertical="center"/>
    </xf>
    <xf numFmtId="0" fontId="10" fillId="25" borderId="89" xfId="0" applyFont="1" applyFill="1" applyBorder="1" applyAlignment="1">
      <alignment horizontal="center" vertical="top"/>
    </xf>
    <xf numFmtId="0" fontId="6" fillId="25" borderId="36" xfId="0" quotePrefix="1" applyFont="1" applyFill="1" applyBorder="1" applyAlignment="1">
      <alignment horizontal="right" vertical="center" wrapText="1"/>
    </xf>
    <xf numFmtId="0" fontId="6" fillId="25" borderId="60" xfId="0" applyFont="1" applyFill="1" applyBorder="1" applyAlignment="1">
      <alignment horizontal="right" vertical="center" wrapText="1"/>
    </xf>
    <xf numFmtId="0" fontId="10" fillId="25" borderId="88" xfId="0" applyFont="1" applyFill="1" applyBorder="1" applyAlignment="1">
      <alignment horizontal="center" vertical="top" wrapText="1"/>
    </xf>
    <xf numFmtId="0" fontId="10" fillId="25" borderId="81" xfId="0" applyFont="1" applyFill="1" applyBorder="1" applyAlignment="1">
      <alignment horizontal="center" vertical="top" wrapText="1"/>
    </xf>
    <xf numFmtId="0" fontId="10" fillId="25" borderId="28" xfId="0" applyFont="1" applyFill="1" applyBorder="1" applyAlignment="1">
      <alignment horizontal="center" vertical="top"/>
    </xf>
    <xf numFmtId="0" fontId="10" fillId="25" borderId="0" xfId="0" applyFont="1" applyFill="1" applyBorder="1" applyAlignment="1">
      <alignment horizontal="center" vertical="top"/>
    </xf>
    <xf numFmtId="0" fontId="10" fillId="25" borderId="29" xfId="0" applyFont="1" applyFill="1" applyBorder="1" applyAlignment="1">
      <alignment horizontal="center" vertical="top"/>
    </xf>
    <xf numFmtId="0" fontId="10" fillId="25" borderId="57" xfId="0" applyFont="1" applyFill="1" applyBorder="1" applyAlignment="1" applyProtection="1">
      <alignment horizontal="center" vertical="center"/>
      <protection locked="0"/>
    </xf>
    <xf numFmtId="0" fontId="10" fillId="25" borderId="58" xfId="0" applyFont="1" applyFill="1" applyBorder="1" applyAlignment="1" applyProtection="1">
      <alignment horizontal="center" vertical="center"/>
      <protection locked="0"/>
    </xf>
    <xf numFmtId="0" fontId="10" fillId="25" borderId="87" xfId="0" applyFont="1" applyFill="1" applyBorder="1" applyAlignment="1" applyProtection="1">
      <alignment horizontal="center" vertical="center"/>
      <protection locked="0"/>
    </xf>
    <xf numFmtId="0" fontId="10" fillId="25" borderId="90" xfId="0" applyFont="1" applyFill="1" applyBorder="1" applyAlignment="1" applyProtection="1">
      <alignment horizontal="center" vertical="center"/>
      <protection locked="0"/>
    </xf>
    <xf numFmtId="0" fontId="6" fillId="25" borderId="28" xfId="0" applyFont="1" applyFill="1" applyBorder="1" applyAlignment="1">
      <alignment vertical="center" wrapText="1"/>
    </xf>
    <xf numFmtId="0" fontId="6" fillId="25" borderId="0" xfId="0" applyFont="1" applyFill="1" applyBorder="1" applyAlignment="1">
      <alignment vertical="center" wrapText="1"/>
    </xf>
    <xf numFmtId="0" fontId="6" fillId="25" borderId="34" xfId="0" applyFont="1" applyFill="1" applyBorder="1" applyAlignment="1">
      <alignment vertical="center" wrapText="1"/>
    </xf>
    <xf numFmtId="0" fontId="6" fillId="25" borderId="36" xfId="0" applyFont="1" applyFill="1" applyBorder="1" applyAlignment="1">
      <alignment horizontal="right" vertical="center" wrapText="1"/>
    </xf>
    <xf numFmtId="0" fontId="6" fillId="25" borderId="78" xfId="0" applyFont="1" applyFill="1" applyBorder="1" applyAlignment="1">
      <alignment vertical="center" wrapText="1"/>
    </xf>
    <xf numFmtId="0" fontId="6" fillId="25" borderId="53" xfId="0" applyFont="1" applyFill="1" applyBorder="1" applyAlignment="1">
      <alignment vertical="center" wrapText="1"/>
    </xf>
    <xf numFmtId="0" fontId="6" fillId="25" borderId="86" xfId="0" applyFont="1" applyFill="1" applyBorder="1" applyAlignment="1">
      <alignment vertical="center" wrapText="1"/>
    </xf>
    <xf numFmtId="0" fontId="6" fillId="25" borderId="70" xfId="0" applyFont="1" applyFill="1" applyBorder="1" applyAlignment="1">
      <alignment horizontal="left" vertical="center" wrapText="1"/>
    </xf>
    <xf numFmtId="0" fontId="6" fillId="25" borderId="61" xfId="0" applyFont="1" applyFill="1" applyBorder="1" applyAlignment="1">
      <alignment horizontal="left" vertical="center" wrapText="1"/>
    </xf>
    <xf numFmtId="0" fontId="6" fillId="25" borderId="45" xfId="0" applyFont="1" applyFill="1" applyBorder="1" applyAlignment="1">
      <alignment horizontal="left" vertical="center" wrapText="1"/>
    </xf>
    <xf numFmtId="0" fontId="6" fillId="25" borderId="46" xfId="0" applyFont="1" applyFill="1" applyBorder="1" applyAlignment="1">
      <alignment horizontal="left" vertical="center" wrapText="1"/>
    </xf>
    <xf numFmtId="0" fontId="10" fillId="25" borderId="72" xfId="0" applyFont="1" applyFill="1" applyBorder="1" applyAlignment="1">
      <alignment horizontal="right" vertical="center" wrapText="1"/>
    </xf>
    <xf numFmtId="0" fontId="35" fillId="25" borderId="20" xfId="0" applyFont="1" applyFill="1" applyBorder="1" applyAlignment="1">
      <alignment horizontal="left" vertical="center" wrapText="1"/>
    </xf>
    <xf numFmtId="0" fontId="35" fillId="25" borderId="14" xfId="0" applyFont="1" applyFill="1" applyBorder="1" applyAlignment="1">
      <alignment horizontal="left" vertical="center" wrapText="1"/>
    </xf>
    <xf numFmtId="0" fontId="35" fillId="25" borderId="22" xfId="0" applyFont="1" applyFill="1" applyBorder="1" applyAlignment="1">
      <alignment horizontal="left" vertical="center" wrapText="1"/>
    </xf>
    <xf numFmtId="0" fontId="25" fillId="25" borderId="28" xfId="0" applyFont="1" applyFill="1" applyBorder="1" applyAlignment="1" applyProtection="1">
      <alignment horizontal="left" vertical="center" wrapText="1"/>
    </xf>
    <xf numFmtId="0" fontId="25" fillId="25" borderId="0" xfId="0" applyFont="1" applyFill="1" applyBorder="1" applyAlignment="1" applyProtection="1">
      <alignment horizontal="left" vertical="center" wrapText="1"/>
    </xf>
    <xf numFmtId="171" fontId="10" fillId="25" borderId="56" xfId="32" applyNumberFormat="1" applyFont="1" applyFill="1" applyBorder="1" applyAlignment="1" applyProtection="1">
      <alignment horizontal="center" vertical="center"/>
    </xf>
    <xf numFmtId="171" fontId="10" fillId="25" borderId="86" xfId="32" applyNumberFormat="1" applyFont="1" applyFill="1" applyBorder="1" applyAlignment="1" applyProtection="1">
      <alignment horizontal="center" vertical="center"/>
    </xf>
    <xf numFmtId="167" fontId="10" fillId="25" borderId="67" xfId="0" applyNumberFormat="1" applyFont="1" applyFill="1" applyBorder="1" applyAlignment="1" applyProtection="1">
      <alignment horizontal="center" vertical="center"/>
    </xf>
    <xf numFmtId="167" fontId="10" fillId="25" borderId="68" xfId="0" applyNumberFormat="1" applyFont="1" applyFill="1" applyBorder="1" applyAlignment="1" applyProtection="1">
      <alignment horizontal="center" vertical="center"/>
    </xf>
    <xf numFmtId="0" fontId="10" fillId="25" borderId="71" xfId="0" applyFont="1" applyFill="1" applyBorder="1" applyAlignment="1" applyProtection="1">
      <alignment horizontal="left" vertical="center" wrapText="1"/>
    </xf>
    <xf numFmtId="0" fontId="10" fillId="25" borderId="17" xfId="0" applyFont="1" applyFill="1" applyBorder="1" applyAlignment="1" applyProtection="1">
      <alignment horizontal="left" vertical="center" wrapText="1"/>
    </xf>
    <xf numFmtId="0" fontId="10" fillId="25" borderId="18" xfId="0" applyFont="1" applyFill="1" applyBorder="1" applyAlignment="1" applyProtection="1">
      <alignment horizontal="left" vertical="center" wrapText="1"/>
    </xf>
    <xf numFmtId="0" fontId="11" fillId="25" borderId="68" xfId="0" applyFont="1" applyFill="1" applyBorder="1" applyAlignment="1" applyProtection="1">
      <alignment horizontal="center" vertical="center"/>
    </xf>
    <xf numFmtId="167" fontId="10" fillId="25" borderId="38" xfId="0" applyNumberFormat="1" applyFont="1" applyFill="1" applyBorder="1" applyAlignment="1" applyProtection="1">
      <alignment horizontal="center" vertical="center"/>
    </xf>
    <xf numFmtId="167" fontId="10" fillId="25" borderId="45" xfId="0" applyNumberFormat="1" applyFont="1" applyFill="1" applyBorder="1" applyAlignment="1" applyProtection="1">
      <alignment horizontal="center" vertical="center"/>
    </xf>
    <xf numFmtId="167" fontId="10" fillId="25" borderId="56" xfId="0" applyNumberFormat="1" applyFont="1" applyFill="1" applyBorder="1" applyAlignment="1" applyProtection="1">
      <alignment horizontal="center" vertical="center"/>
    </xf>
    <xf numFmtId="167" fontId="10" fillId="25" borderId="86" xfId="0" applyNumberFormat="1" applyFont="1" applyFill="1" applyBorder="1" applyAlignment="1" applyProtection="1">
      <alignment horizontal="center" vertical="center"/>
    </xf>
    <xf numFmtId="167" fontId="10" fillId="25" borderId="40" xfId="0" applyNumberFormat="1" applyFont="1" applyFill="1" applyBorder="1" applyAlignment="1" applyProtection="1">
      <alignment horizontal="center" vertical="center"/>
    </xf>
    <xf numFmtId="167" fontId="10" fillId="25" borderId="46" xfId="0" applyNumberFormat="1" applyFont="1" applyFill="1" applyBorder="1" applyAlignment="1" applyProtection="1">
      <alignment horizontal="center" vertical="center"/>
    </xf>
    <xf numFmtId="2" fontId="10" fillId="25" borderId="40" xfId="0" applyNumberFormat="1" applyFont="1" applyFill="1" applyBorder="1" applyAlignment="1" applyProtection="1">
      <alignment horizontal="center" vertical="center"/>
    </xf>
    <xf numFmtId="2" fontId="10" fillId="25" borderId="46" xfId="0" applyNumberFormat="1" applyFont="1" applyFill="1" applyBorder="1" applyAlignment="1" applyProtection="1">
      <alignment horizontal="center" vertical="center"/>
    </xf>
    <xf numFmtId="0" fontId="2" fillId="25" borderId="15" xfId="0" applyFont="1" applyFill="1" applyBorder="1" applyAlignment="1" applyProtection="1">
      <alignment horizontal="center"/>
    </xf>
    <xf numFmtId="0" fontId="2" fillId="25" borderId="79" xfId="0" applyFont="1" applyFill="1" applyBorder="1" applyAlignment="1" applyProtection="1">
      <alignment horizontal="center"/>
    </xf>
    <xf numFmtId="0" fontId="2" fillId="25" borderId="11" xfId="0" applyFont="1" applyFill="1" applyBorder="1" applyAlignment="1" applyProtection="1">
      <alignment horizontal="center"/>
    </xf>
    <xf numFmtId="0" fontId="5" fillId="25" borderId="28" xfId="0" applyFont="1" applyFill="1" applyBorder="1" applyAlignment="1" applyProtection="1">
      <alignment horizontal="center"/>
    </xf>
    <xf numFmtId="0" fontId="5" fillId="25" borderId="0" xfId="0" applyFont="1" applyFill="1" applyBorder="1" applyAlignment="1" applyProtection="1">
      <alignment horizontal="center"/>
    </xf>
    <xf numFmtId="0" fontId="5" fillId="25" borderId="29" xfId="0" applyFont="1" applyFill="1" applyBorder="1" applyAlignment="1" applyProtection="1">
      <alignment horizontal="center"/>
    </xf>
    <xf numFmtId="0" fontId="6" fillId="37" borderId="18" xfId="0" applyFont="1" applyFill="1" applyBorder="1" applyAlignment="1" applyProtection="1">
      <alignment horizontal="center" vertical="center"/>
    </xf>
    <xf numFmtId="0" fontId="6" fillId="43" borderId="18" xfId="0" applyFont="1" applyFill="1" applyBorder="1" applyAlignment="1" applyProtection="1">
      <alignment horizontal="center" vertical="center"/>
    </xf>
    <xf numFmtId="0" fontId="10" fillId="36" borderId="47" xfId="0" applyFont="1" applyFill="1" applyBorder="1" applyAlignment="1" applyProtection="1">
      <alignment horizontal="left"/>
    </xf>
    <xf numFmtId="0" fontId="10" fillId="36" borderId="52" xfId="0" applyFont="1" applyFill="1" applyBorder="1" applyAlignment="1" applyProtection="1">
      <alignment horizontal="left"/>
    </xf>
    <xf numFmtId="0" fontId="11" fillId="36" borderId="61" xfId="0" applyFont="1" applyFill="1" applyBorder="1" applyAlignment="1" applyProtection="1">
      <alignment wrapText="1"/>
    </xf>
    <xf numFmtId="167" fontId="10" fillId="25" borderId="72" xfId="0" applyNumberFormat="1" applyFont="1" applyFill="1" applyBorder="1" applyAlignment="1" applyProtection="1">
      <alignment horizontal="center" vertical="center"/>
    </xf>
    <xf numFmtId="167" fontId="10" fillId="25" borderId="66" xfId="0" applyNumberFormat="1" applyFont="1" applyFill="1" applyBorder="1" applyAlignment="1" applyProtection="1">
      <alignment horizontal="center" vertical="center"/>
    </xf>
    <xf numFmtId="167" fontId="81" fillId="25" borderId="38" xfId="0" applyNumberFormat="1" applyFont="1" applyFill="1" applyBorder="1" applyAlignment="1" applyProtection="1">
      <alignment horizontal="center" vertical="center"/>
    </xf>
    <xf numFmtId="167" fontId="81" fillId="25" borderId="45" xfId="0" applyNumberFormat="1" applyFont="1" applyFill="1" applyBorder="1" applyAlignment="1" applyProtection="1">
      <alignment horizontal="center" vertical="center"/>
    </xf>
    <xf numFmtId="167" fontId="81" fillId="25" borderId="40" xfId="0" applyNumberFormat="1" applyFont="1" applyFill="1" applyBorder="1" applyAlignment="1" applyProtection="1">
      <alignment horizontal="center" vertical="center"/>
    </xf>
    <xf numFmtId="167" fontId="81" fillId="25" borderId="46" xfId="0" applyNumberFormat="1" applyFont="1" applyFill="1" applyBorder="1" applyAlignment="1" applyProtection="1">
      <alignment horizontal="center" vertical="center"/>
    </xf>
    <xf numFmtId="167" fontId="81" fillId="25" borderId="51" xfId="0" applyNumberFormat="1" applyFont="1" applyFill="1" applyBorder="1" applyAlignment="1" applyProtection="1">
      <alignment horizontal="center" vertical="center"/>
    </xf>
    <xf numFmtId="167" fontId="81" fillId="25" borderId="48" xfId="0" applyNumberFormat="1" applyFont="1" applyFill="1" applyBorder="1" applyAlignment="1" applyProtection="1">
      <alignment horizontal="center" vertical="center"/>
    </xf>
    <xf numFmtId="0" fontId="10" fillId="25" borderId="19" xfId="0" applyFont="1" applyFill="1" applyBorder="1" applyAlignment="1" applyProtection="1">
      <alignment horizontal="left" vertical="center"/>
    </xf>
    <xf numFmtId="0" fontId="16" fillId="25" borderId="17" xfId="0" applyFont="1" applyFill="1" applyBorder="1" applyAlignment="1" applyProtection="1">
      <alignment horizontal="center" vertical="center"/>
    </xf>
    <xf numFmtId="0" fontId="16" fillId="25" borderId="18" xfId="0" applyFont="1" applyFill="1" applyBorder="1" applyAlignment="1" applyProtection="1">
      <alignment horizontal="center" vertical="center"/>
    </xf>
    <xf numFmtId="0" fontId="16" fillId="25" borderId="19" xfId="0" applyFont="1" applyFill="1" applyBorder="1" applyAlignment="1" applyProtection="1">
      <alignment horizontal="center" vertical="center"/>
    </xf>
    <xf numFmtId="0" fontId="10" fillId="36" borderId="28" xfId="0" applyFont="1" applyFill="1" applyBorder="1" applyAlignment="1" applyProtection="1">
      <alignment horizontal="left" vertical="center"/>
    </xf>
    <xf numFmtId="0" fontId="10" fillId="36" borderId="0" xfId="0" applyFont="1" applyFill="1" applyBorder="1" applyAlignment="1" applyProtection="1">
      <alignment horizontal="left" vertical="center"/>
    </xf>
    <xf numFmtId="0" fontId="10" fillId="36" borderId="29" xfId="0" applyFont="1" applyFill="1" applyBorder="1" applyAlignment="1" applyProtection="1">
      <alignment horizontal="left" vertical="center"/>
    </xf>
    <xf numFmtId="0" fontId="11" fillId="25" borderId="58" xfId="0" applyFont="1" applyFill="1" applyBorder="1" applyAlignment="1" applyProtection="1">
      <alignment horizontal="center" vertical="center"/>
    </xf>
    <xf numFmtId="167" fontId="3" fillId="25" borderId="13" xfId="0" applyNumberFormat="1" applyFont="1" applyFill="1" applyBorder="1" applyAlignment="1" applyProtection="1">
      <alignment horizontal="center" vertical="center"/>
    </xf>
    <xf numFmtId="2" fontId="2" fillId="25" borderId="40" xfId="0" applyNumberFormat="1" applyFont="1" applyFill="1" applyBorder="1" applyAlignment="1" applyProtection="1">
      <alignment horizontal="center" vertical="center"/>
    </xf>
    <xf numFmtId="2" fontId="2" fillId="25" borderId="32" xfId="0" applyNumberFormat="1" applyFont="1" applyFill="1" applyBorder="1" applyAlignment="1" applyProtection="1">
      <alignment horizontal="center" vertical="center"/>
    </xf>
    <xf numFmtId="3" fontId="2" fillId="25" borderId="13" xfId="0" applyNumberFormat="1" applyFont="1" applyFill="1" applyBorder="1" applyAlignment="1" applyProtection="1">
      <alignment horizontal="center" vertical="center"/>
    </xf>
    <xf numFmtId="0" fontId="11" fillId="25" borderId="63" xfId="0" applyFont="1" applyFill="1" applyBorder="1" applyAlignment="1" applyProtection="1">
      <alignment horizontal="center" vertical="center"/>
    </xf>
    <xf numFmtId="0" fontId="11" fillId="25" borderId="37" xfId="0" applyFont="1" applyFill="1" applyBorder="1" applyAlignment="1" applyProtection="1">
      <alignment horizontal="center" vertical="center"/>
    </xf>
    <xf numFmtId="3" fontId="3" fillId="25" borderId="13" xfId="0" applyNumberFormat="1" applyFont="1" applyFill="1" applyBorder="1" applyAlignment="1" applyProtection="1">
      <alignment horizontal="center" vertical="center"/>
    </xf>
    <xf numFmtId="0" fontId="3" fillId="25" borderId="40" xfId="0" applyFont="1" applyFill="1" applyBorder="1" applyAlignment="1" applyProtection="1">
      <alignment vertical="center"/>
    </xf>
    <xf numFmtId="0" fontId="3" fillId="25" borderId="32" xfId="0" applyFont="1" applyFill="1" applyBorder="1" applyAlignment="1" applyProtection="1">
      <alignment vertical="center"/>
    </xf>
    <xf numFmtId="167" fontId="2" fillId="25" borderId="0" xfId="0" applyNumberFormat="1" applyFont="1" applyFill="1" applyBorder="1" applyAlignment="1" applyProtection="1">
      <alignment horizontal="center" vertical="center"/>
    </xf>
    <xf numFmtId="167" fontId="2" fillId="25" borderId="40" xfId="0" applyNumberFormat="1" applyFont="1" applyFill="1" applyBorder="1" applyAlignment="1" applyProtection="1">
      <alignment horizontal="center" vertical="center"/>
    </xf>
    <xf numFmtId="167" fontId="2" fillId="25" borderId="46" xfId="0" applyNumberFormat="1" applyFont="1" applyFill="1" applyBorder="1" applyAlignment="1" applyProtection="1">
      <alignment horizontal="center" vertical="center"/>
    </xf>
    <xf numFmtId="0" fontId="2" fillId="25" borderId="40" xfId="0" applyFont="1" applyFill="1" applyBorder="1" applyAlignment="1" applyProtection="1">
      <alignment vertical="center"/>
    </xf>
    <xf numFmtId="0" fontId="2" fillId="25" borderId="32" xfId="0" applyFont="1" applyFill="1" applyBorder="1" applyAlignment="1" applyProtection="1">
      <alignment vertical="center"/>
    </xf>
    <xf numFmtId="0" fontId="2" fillId="40" borderId="57" xfId="0" applyFont="1" applyFill="1" applyBorder="1" applyAlignment="1" applyProtection="1">
      <alignment horizontal="center" vertical="center"/>
    </xf>
    <xf numFmtId="0" fontId="2" fillId="40" borderId="87" xfId="0" applyFont="1" applyFill="1" applyBorder="1" applyAlignment="1" applyProtection="1">
      <alignment horizontal="center" vertical="center"/>
    </xf>
    <xf numFmtId="0" fontId="11" fillId="25" borderId="40" xfId="0" applyFont="1" applyFill="1" applyBorder="1" applyProtection="1"/>
    <xf numFmtId="0" fontId="11" fillId="25" borderId="32" xfId="0" applyFont="1" applyFill="1" applyBorder="1" applyProtection="1"/>
    <xf numFmtId="167" fontId="10" fillId="25" borderId="57" xfId="0" applyNumberFormat="1" applyFont="1" applyFill="1" applyBorder="1" applyAlignment="1" applyProtection="1">
      <alignment horizontal="center" vertical="center"/>
    </xf>
    <xf numFmtId="0" fontId="79" fillId="25" borderId="28" xfId="0" applyFont="1" applyFill="1" applyBorder="1" applyAlignment="1" applyProtection="1">
      <alignment horizontal="center"/>
    </xf>
    <xf numFmtId="0" fontId="79" fillId="25" borderId="29" xfId="0" applyFont="1" applyFill="1" applyBorder="1" applyAlignment="1" applyProtection="1">
      <alignment horizontal="center"/>
    </xf>
    <xf numFmtId="3" fontId="10" fillId="25" borderId="67" xfId="0" applyNumberFormat="1" applyFont="1" applyFill="1" applyBorder="1" applyAlignment="1" applyProtection="1">
      <alignment horizontal="center" vertical="center"/>
    </xf>
    <xf numFmtId="3" fontId="10" fillId="25" borderId="68" xfId="0" applyNumberFormat="1" applyFont="1" applyFill="1" applyBorder="1" applyAlignment="1" applyProtection="1">
      <alignment horizontal="center" vertical="center"/>
    </xf>
    <xf numFmtId="9" fontId="0" fillId="25" borderId="20" xfId="0" applyNumberFormat="1" applyFill="1" applyBorder="1" applyAlignment="1">
      <alignment horizontal="center"/>
    </xf>
    <xf numFmtId="9" fontId="0" fillId="25" borderId="22" xfId="0" applyNumberFormat="1" applyFill="1" applyBorder="1" applyAlignment="1">
      <alignment horizontal="center"/>
    </xf>
    <xf numFmtId="0" fontId="0" fillId="25" borderId="28" xfId="0" applyFill="1" applyBorder="1" applyAlignment="1">
      <alignment horizontal="center"/>
    </xf>
    <xf numFmtId="0" fontId="0" fillId="25" borderId="29" xfId="0" applyFill="1" applyBorder="1" applyAlignment="1">
      <alignment horizontal="center"/>
    </xf>
    <xf numFmtId="0" fontId="8" fillId="27" borderId="20" xfId="0" applyFont="1" applyFill="1" applyBorder="1" applyAlignment="1">
      <alignment horizontal="left"/>
    </xf>
    <xf numFmtId="0" fontId="8" fillId="27" borderId="11" xfId="0" applyFont="1" applyFill="1" applyBorder="1" applyAlignment="1">
      <alignment horizontal="left"/>
    </xf>
    <xf numFmtId="0" fontId="10" fillId="25" borderId="0" xfId="0" applyFont="1" applyFill="1" applyBorder="1" applyAlignment="1" applyProtection="1">
      <alignment horizontal="center"/>
    </xf>
    <xf numFmtId="0" fontId="10" fillId="25" borderId="17" xfId="0" applyFont="1" applyFill="1" applyBorder="1" applyAlignment="1" applyProtection="1">
      <alignment horizontal="center"/>
    </xf>
    <xf numFmtId="0" fontId="10" fillId="25" borderId="19" xfId="0" applyFont="1" applyFill="1" applyBorder="1" applyAlignment="1" applyProtection="1">
      <alignment horizontal="center"/>
    </xf>
    <xf numFmtId="0" fontId="91" fillId="41" borderId="15" xfId="0" applyFont="1" applyFill="1" applyBorder="1" applyAlignment="1">
      <alignment horizontal="center"/>
    </xf>
    <xf numFmtId="0" fontId="91" fillId="41" borderId="79" xfId="0" applyFont="1" applyFill="1" applyBorder="1" applyAlignment="1">
      <alignment horizontal="center"/>
    </xf>
    <xf numFmtId="0" fontId="91" fillId="41" borderId="95" xfId="0" applyFont="1" applyFill="1" applyBorder="1" applyAlignment="1">
      <alignment horizontal="center"/>
    </xf>
    <xf numFmtId="0" fontId="91" fillId="41" borderId="28" xfId="0" applyFont="1" applyFill="1" applyBorder="1" applyAlignment="1">
      <alignment horizontal="center"/>
    </xf>
    <xf numFmtId="0" fontId="91" fillId="41" borderId="29" xfId="0" applyFont="1" applyFill="1" applyBorder="1" applyAlignment="1">
      <alignment horizontal="center"/>
    </xf>
    <xf numFmtId="0" fontId="91" fillId="41" borderId="0" xfId="0" applyFont="1" applyFill="1" applyBorder="1" applyAlignment="1">
      <alignment horizontal="center"/>
    </xf>
    <xf numFmtId="0" fontId="0" fillId="25" borderId="18" xfId="0" applyFill="1" applyBorder="1" applyAlignment="1">
      <alignment horizontal="center"/>
    </xf>
    <xf numFmtId="0" fontId="10" fillId="25" borderId="0" xfId="0" applyFont="1" applyFill="1" applyAlignment="1" applyProtection="1">
      <alignment horizontal="center"/>
    </xf>
    <xf numFmtId="0" fontId="28" fillId="26" borderId="15" xfId="0" applyFont="1" applyFill="1" applyBorder="1" applyAlignment="1" applyProtection="1">
      <alignment horizontal="center"/>
    </xf>
    <xf numFmtId="0" fontId="28" fillId="26" borderId="11" xfId="0" applyFont="1" applyFill="1" applyBorder="1" applyAlignment="1" applyProtection="1">
      <alignment horizontal="center"/>
    </xf>
    <xf numFmtId="0" fontId="8" fillId="27" borderId="0" xfId="0" applyFont="1" applyFill="1" applyBorder="1" applyAlignment="1"/>
    <xf numFmtId="0" fontId="8" fillId="0" borderId="29" xfId="0" applyFont="1" applyBorder="1" applyAlignment="1"/>
    <xf numFmtId="0" fontId="0" fillId="25" borderId="17" xfId="0" applyFill="1" applyBorder="1" applyAlignment="1">
      <alignment horizontal="center"/>
    </xf>
    <xf numFmtId="0" fontId="0" fillId="25" borderId="19" xfId="0" applyFill="1" applyBorder="1" applyAlignment="1">
      <alignment horizontal="center"/>
    </xf>
    <xf numFmtId="0" fontId="8" fillId="26" borderId="28" xfId="0" applyFont="1" applyFill="1" applyBorder="1" applyAlignment="1">
      <alignment horizontal="center"/>
    </xf>
    <xf numFmtId="0" fontId="8" fillId="26" borderId="29" xfId="0" applyFont="1" applyFill="1" applyBorder="1" applyAlignment="1">
      <alignment horizontal="center"/>
    </xf>
    <xf numFmtId="0" fontId="21" fillId="0" borderId="0" xfId="0" applyFont="1" applyFill="1" applyBorder="1" applyAlignment="1">
      <alignment horizontal="center"/>
    </xf>
    <xf numFmtId="1" fontId="8" fillId="26" borderId="20" xfId="0" applyNumberFormat="1" applyFont="1" applyFill="1" applyBorder="1" applyAlignment="1">
      <alignment horizontal="left"/>
    </xf>
    <xf numFmtId="1" fontId="8" fillId="26" borderId="14" xfId="0" applyNumberFormat="1" applyFont="1" applyFill="1" applyBorder="1" applyAlignment="1">
      <alignment horizontal="left"/>
    </xf>
    <xf numFmtId="1" fontId="8" fillId="26" borderId="22" xfId="0" applyNumberFormat="1" applyFont="1" applyFill="1" applyBorder="1" applyAlignment="1">
      <alignment horizontal="left"/>
    </xf>
    <xf numFmtId="0" fontId="3" fillId="25" borderId="107" xfId="0" applyFont="1" applyFill="1" applyBorder="1" applyAlignment="1">
      <alignment horizontal="center" textRotation="90" wrapText="1"/>
    </xf>
    <xf numFmtId="0" fontId="3" fillId="25" borderId="28" xfId="0" applyFont="1" applyFill="1" applyBorder="1" applyAlignment="1">
      <alignment horizontal="center" textRotation="90" wrapText="1"/>
    </xf>
    <xf numFmtId="0" fontId="3" fillId="25" borderId="17" xfId="0" applyFont="1" applyFill="1" applyBorder="1" applyAlignment="1">
      <alignment horizontal="center" textRotation="90" wrapText="1"/>
    </xf>
    <xf numFmtId="0" fontId="3" fillId="25" borderId="107" xfId="0" applyFont="1" applyFill="1" applyBorder="1" applyAlignment="1">
      <alignment horizontal="center" wrapText="1"/>
    </xf>
    <xf numFmtId="0" fontId="3" fillId="25" borderId="28" xfId="0" applyFont="1" applyFill="1" applyBorder="1" applyAlignment="1">
      <alignment horizontal="center" wrapText="1"/>
    </xf>
    <xf numFmtId="0" fontId="3" fillId="25" borderId="17" xfId="0" applyFont="1" applyFill="1" applyBorder="1" applyAlignment="1">
      <alignment horizontal="center" wrapText="1"/>
    </xf>
    <xf numFmtId="0" fontId="3" fillId="25" borderId="79" xfId="0" applyFont="1" applyFill="1" applyBorder="1" applyAlignment="1">
      <alignment horizontal="center" wrapText="1"/>
    </xf>
    <xf numFmtId="0" fontId="3" fillId="25" borderId="0" xfId="0" applyFont="1" applyFill="1" applyBorder="1" applyAlignment="1">
      <alignment horizontal="center" wrapText="1"/>
    </xf>
    <xf numFmtId="0" fontId="3" fillId="25" borderId="18" xfId="0" applyFont="1" applyFill="1" applyBorder="1" applyAlignment="1">
      <alignment horizontal="center" wrapText="1"/>
    </xf>
    <xf numFmtId="0" fontId="3" fillId="25" borderId="114" xfId="0" applyFont="1" applyFill="1" applyBorder="1" applyAlignment="1">
      <alignment horizontal="center" wrapText="1"/>
    </xf>
    <xf numFmtId="0" fontId="0" fillId="25" borderId="0" xfId="0" applyFill="1" applyBorder="1" applyAlignment="1">
      <alignment wrapText="1"/>
    </xf>
    <xf numFmtId="0" fontId="0" fillId="25" borderId="18" xfId="0" applyFill="1" applyBorder="1" applyAlignment="1">
      <alignment wrapText="1"/>
    </xf>
    <xf numFmtId="0" fontId="90" fillId="41" borderId="15" xfId="0" applyFont="1" applyFill="1" applyBorder="1" applyAlignment="1">
      <alignment horizontal="center"/>
    </xf>
    <xf numFmtId="0" fontId="90" fillId="41" borderId="10" xfId="0" applyFont="1" applyFill="1" applyBorder="1" applyAlignment="1">
      <alignment horizontal="center"/>
    </xf>
    <xf numFmtId="0" fontId="90" fillId="41" borderId="11" xfId="0" applyFont="1" applyFill="1" applyBorder="1" applyAlignment="1">
      <alignment horizontal="center"/>
    </xf>
    <xf numFmtId="0" fontId="8" fillId="26" borderId="49" xfId="0" applyFont="1" applyFill="1" applyBorder="1" applyAlignment="1">
      <alignment horizontal="center"/>
    </xf>
    <xf numFmtId="0" fontId="8" fillId="26" borderId="11" xfId="0" applyFont="1" applyFill="1" applyBorder="1" applyAlignment="1">
      <alignment horizontal="center"/>
    </xf>
    <xf numFmtId="0" fontId="91" fillId="41" borderId="17" xfId="0" applyFont="1" applyFill="1" applyBorder="1"/>
    <xf numFmtId="0" fontId="91" fillId="41" borderId="18" xfId="0" applyFont="1" applyFill="1" applyBorder="1"/>
    <xf numFmtId="0" fontId="125" fillId="0" borderId="107" xfId="0" applyFont="1" applyFill="1" applyBorder="1" applyAlignment="1">
      <alignment horizontal="center"/>
    </xf>
    <xf numFmtId="0" fontId="125" fillId="0" borderId="113" xfId="0" applyFont="1" applyFill="1" applyBorder="1" applyAlignment="1">
      <alignment horizontal="center"/>
    </xf>
    <xf numFmtId="0" fontId="137" fillId="35" borderId="17" xfId="0" applyFont="1" applyFill="1" applyBorder="1" applyAlignment="1">
      <alignment horizontal="center"/>
    </xf>
    <xf numFmtId="0" fontId="137" fillId="35" borderId="19" xfId="0" applyFont="1" applyFill="1" applyBorder="1" applyAlignment="1">
      <alignment horizontal="center"/>
    </xf>
    <xf numFmtId="0" fontId="91" fillId="41" borderId="20" xfId="0" applyFont="1" applyFill="1" applyBorder="1"/>
    <xf numFmtId="0" fontId="91" fillId="41" borderId="14" xfId="0" applyFont="1" applyFill="1" applyBorder="1"/>
    <xf numFmtId="0" fontId="91" fillId="41" borderId="22" xfId="0" applyFont="1" applyFill="1" applyBorder="1"/>
    <xf numFmtId="0" fontId="94" fillId="41" borderId="79" xfId="0" applyFont="1" applyFill="1" applyBorder="1" applyAlignment="1" applyProtection="1">
      <alignment horizontal="right" vertical="center"/>
    </xf>
    <xf numFmtId="0" fontId="94" fillId="41" borderId="158" xfId="0" applyFont="1" applyFill="1" applyBorder="1" applyAlignment="1" applyProtection="1">
      <alignment vertical="center"/>
    </xf>
    <xf numFmtId="0" fontId="94" fillId="41" borderId="79" xfId="0" applyFont="1" applyFill="1" applyBorder="1" applyAlignment="1" applyProtection="1">
      <alignment vertical="center"/>
    </xf>
    <xf numFmtId="0" fontId="94" fillId="41" borderId="28" xfId="0" applyFont="1" applyFill="1" applyBorder="1" applyAlignment="1" applyProtection="1">
      <alignment horizontal="right" vertical="center"/>
    </xf>
    <xf numFmtId="0" fontId="94" fillId="41" borderId="0" xfId="0" applyFont="1" applyFill="1" applyBorder="1" applyAlignment="1" applyProtection="1">
      <alignment horizontal="right" vertical="center"/>
    </xf>
    <xf numFmtId="0" fontId="94" fillId="41" borderId="17" xfId="0" applyFont="1" applyFill="1" applyBorder="1" applyAlignment="1" applyProtection="1">
      <alignment horizontal="right" vertical="center"/>
    </xf>
    <xf numFmtId="0" fontId="94" fillId="41" borderId="18" xfId="0" applyFont="1" applyFill="1" applyBorder="1" applyAlignment="1" applyProtection="1">
      <alignment horizontal="right" vertical="center"/>
    </xf>
    <xf numFmtId="0" fontId="10" fillId="36" borderId="40" xfId="0" applyFont="1" applyFill="1" applyBorder="1" applyAlignment="1" applyProtection="1">
      <alignment horizontal="center" vertical="center"/>
    </xf>
    <xf numFmtId="0" fontId="10" fillId="36" borderId="31" xfId="0" applyFont="1" applyFill="1" applyBorder="1" applyAlignment="1" applyProtection="1">
      <alignment horizontal="center" vertical="center"/>
    </xf>
    <xf numFmtId="0" fontId="10" fillId="36" borderId="32" xfId="0" applyFont="1" applyFill="1" applyBorder="1" applyAlignment="1" applyProtection="1">
      <alignment horizontal="center" vertical="center"/>
    </xf>
    <xf numFmtId="0" fontId="3" fillId="36" borderId="63" xfId="0" applyFont="1" applyFill="1" applyBorder="1" applyAlignment="1" applyProtection="1">
      <alignment horizontal="center" vertical="center"/>
    </xf>
    <xf numFmtId="0" fontId="3" fillId="36" borderId="60" xfId="0" applyFont="1" applyFill="1" applyBorder="1" applyAlignment="1" applyProtection="1">
      <alignment horizontal="center" vertical="center"/>
    </xf>
    <xf numFmtId="0" fontId="3" fillId="36" borderId="37" xfId="0" applyFont="1" applyFill="1" applyBorder="1" applyAlignment="1" applyProtection="1">
      <alignment horizontal="center" vertical="center"/>
    </xf>
    <xf numFmtId="0" fontId="3" fillId="36" borderId="40" xfId="0" applyFont="1" applyFill="1" applyBorder="1" applyAlignment="1" applyProtection="1">
      <alignment horizontal="center" vertical="center"/>
    </xf>
    <xf numFmtId="0" fontId="3" fillId="36" borderId="31" xfId="0" applyFont="1" applyFill="1" applyBorder="1" applyAlignment="1" applyProtection="1">
      <alignment horizontal="center" vertical="center"/>
    </xf>
    <xf numFmtId="0" fontId="3" fillId="36" borderId="32" xfId="0" applyFont="1" applyFill="1" applyBorder="1" applyAlignment="1" applyProtection="1">
      <alignment horizontal="center" vertical="center"/>
    </xf>
    <xf numFmtId="2" fontId="3" fillId="36" borderId="40" xfId="0" applyNumberFormat="1" applyFont="1" applyFill="1" applyBorder="1" applyAlignment="1" applyProtection="1">
      <alignment horizontal="center" vertical="center"/>
    </xf>
    <xf numFmtId="2" fontId="3" fillId="36" borderId="31" xfId="0" applyNumberFormat="1" applyFont="1" applyFill="1" applyBorder="1" applyAlignment="1" applyProtection="1">
      <alignment horizontal="center" vertical="center"/>
    </xf>
    <xf numFmtId="2" fontId="3" fillId="36" borderId="32" xfId="0" applyNumberFormat="1" applyFont="1" applyFill="1" applyBorder="1" applyAlignment="1" applyProtection="1">
      <alignment horizontal="center" vertical="center"/>
    </xf>
    <xf numFmtId="1" fontId="3" fillId="36" borderId="40" xfId="0" applyNumberFormat="1" applyFont="1" applyFill="1" applyBorder="1" applyAlignment="1" applyProtection="1">
      <alignment horizontal="center" vertical="center"/>
    </xf>
    <xf numFmtId="1" fontId="3" fillId="36" borderId="31" xfId="0" applyNumberFormat="1" applyFont="1" applyFill="1" applyBorder="1" applyAlignment="1" applyProtection="1">
      <alignment horizontal="center" vertical="center"/>
    </xf>
    <xf numFmtId="1" fontId="3" fillId="36" borderId="32" xfId="0" applyNumberFormat="1" applyFont="1" applyFill="1" applyBorder="1" applyAlignment="1" applyProtection="1">
      <alignment horizontal="center" vertical="center"/>
    </xf>
    <xf numFmtId="0" fontId="16" fillId="36" borderId="79" xfId="0" applyFont="1" applyFill="1" applyBorder="1" applyAlignment="1" applyProtection="1">
      <alignment horizontal="center"/>
    </xf>
    <xf numFmtId="0" fontId="16" fillId="36" borderId="113" xfId="0" applyFont="1" applyFill="1" applyBorder="1" applyAlignment="1" applyProtection="1">
      <alignment horizontal="center"/>
    </xf>
    <xf numFmtId="0" fontId="5" fillId="36" borderId="0" xfId="0" applyFont="1" applyFill="1" applyBorder="1" applyAlignment="1" applyProtection="1">
      <alignment horizontal="center"/>
    </xf>
    <xf numFmtId="0" fontId="5" fillId="36" borderId="29" xfId="0" applyFont="1" applyFill="1" applyBorder="1" applyAlignment="1" applyProtection="1">
      <alignment horizontal="center"/>
    </xf>
    <xf numFmtId="0" fontId="3" fillId="36" borderId="38" xfId="0" applyFont="1" applyFill="1" applyBorder="1" applyAlignment="1" applyProtection="1">
      <alignment horizontal="center" vertical="center"/>
    </xf>
    <xf numFmtId="0" fontId="3" fillId="36" borderId="61" xfId="0" applyFont="1" applyFill="1" applyBorder="1" applyAlignment="1" applyProtection="1">
      <alignment horizontal="center" vertical="center"/>
    </xf>
    <xf numFmtId="0" fontId="3" fillId="36" borderId="39" xfId="0" applyFont="1" applyFill="1" applyBorder="1" applyAlignment="1" applyProtection="1">
      <alignment horizontal="center" vertical="center"/>
    </xf>
    <xf numFmtId="2" fontId="101" fillId="41" borderId="29" xfId="0" applyNumberFormat="1" applyFont="1" applyFill="1" applyBorder="1" applyAlignment="1" applyProtection="1">
      <alignment horizontal="center" vertical="center"/>
    </xf>
    <xf numFmtId="2" fontId="101" fillId="41" borderId="19" xfId="0" applyNumberFormat="1" applyFont="1" applyFill="1" applyBorder="1" applyAlignment="1" applyProtection="1">
      <alignment horizontal="center" vertical="center"/>
    </xf>
    <xf numFmtId="0" fontId="91" fillId="41" borderId="20" xfId="0" applyFont="1" applyFill="1" applyBorder="1" applyAlignment="1" applyProtection="1">
      <alignment horizontal="center" vertical="center"/>
    </xf>
    <xf numFmtId="0" fontId="91" fillId="41" borderId="22" xfId="0" applyFont="1" applyFill="1" applyBorder="1" applyAlignment="1" applyProtection="1">
      <alignment horizontal="center" vertical="center"/>
    </xf>
    <xf numFmtId="0" fontId="10" fillId="36" borderId="56" xfId="0" applyFont="1" applyFill="1" applyBorder="1" applyAlignment="1" applyProtection="1">
      <alignment horizontal="center" vertical="center"/>
    </xf>
    <xf numFmtId="0" fontId="10" fillId="36" borderId="53" xfId="0" applyFont="1" applyFill="1" applyBorder="1" applyAlignment="1" applyProtection="1">
      <alignment horizontal="center" vertical="center"/>
    </xf>
    <xf numFmtId="0" fontId="10" fillId="36" borderId="54" xfId="0" applyFont="1" applyFill="1" applyBorder="1" applyAlignment="1" applyProtection="1">
      <alignment horizontal="center" vertical="center"/>
    </xf>
    <xf numFmtId="0" fontId="101" fillId="36" borderId="114" xfId="0" applyFont="1" applyFill="1" applyBorder="1" applyAlignment="1" applyProtection="1">
      <alignment horizontal="center" vertical="center"/>
    </xf>
    <xf numFmtId="0" fontId="101" fillId="36" borderId="113" xfId="0" applyFont="1" applyFill="1" applyBorder="1" applyAlignment="1" applyProtection="1">
      <alignment horizontal="center" vertical="center"/>
    </xf>
    <xf numFmtId="0" fontId="10" fillId="36" borderId="70" xfId="0" applyFont="1" applyFill="1" applyBorder="1" applyAlignment="1" applyProtection="1">
      <alignment vertical="center"/>
    </xf>
    <xf numFmtId="0" fontId="10" fillId="36" borderId="61" xfId="0" applyFont="1" applyFill="1" applyBorder="1" applyAlignment="1" applyProtection="1">
      <alignment vertical="center"/>
    </xf>
    <xf numFmtId="0" fontId="3" fillId="35" borderId="38" xfId="0" applyFont="1" applyFill="1" applyBorder="1" applyAlignment="1" applyProtection="1">
      <alignment horizontal="center" vertical="center"/>
      <protection locked="0"/>
    </xf>
    <xf numFmtId="0" fontId="3" fillId="35" borderId="61" xfId="0" applyFont="1" applyFill="1" applyBorder="1" applyAlignment="1" applyProtection="1">
      <alignment horizontal="center" vertical="center"/>
      <protection locked="0"/>
    </xf>
    <xf numFmtId="0" fontId="3" fillId="35" borderId="39" xfId="0" applyFont="1" applyFill="1" applyBorder="1" applyAlignment="1" applyProtection="1">
      <alignment horizontal="center" vertical="center"/>
      <protection locked="0"/>
    </xf>
    <xf numFmtId="0" fontId="10" fillId="36" borderId="51" xfId="0" applyFont="1" applyFill="1" applyBorder="1" applyAlignment="1" applyProtection="1">
      <alignment horizontal="center" vertical="center"/>
    </xf>
    <xf numFmtId="0" fontId="10" fillId="36" borderId="47" xfId="0" applyFont="1" applyFill="1" applyBorder="1" applyAlignment="1" applyProtection="1">
      <alignment horizontal="center" vertical="center"/>
    </xf>
    <xf numFmtId="0" fontId="10" fillId="36" borderId="52" xfId="0" applyFont="1" applyFill="1" applyBorder="1" applyAlignment="1" applyProtection="1">
      <alignment horizontal="center" vertical="center"/>
    </xf>
    <xf numFmtId="0" fontId="90" fillId="36" borderId="51" xfId="0" applyFont="1" applyFill="1" applyBorder="1" applyAlignment="1" applyProtection="1">
      <alignment horizontal="center" vertical="center" wrapText="1"/>
      <protection locked="0"/>
    </xf>
    <xf numFmtId="0" fontId="90" fillId="36" borderId="47" xfId="0" applyFont="1" applyFill="1" applyBorder="1" applyAlignment="1" applyProtection="1">
      <alignment horizontal="center" vertical="center" wrapText="1"/>
      <protection locked="0"/>
    </xf>
    <xf numFmtId="0" fontId="90" fillId="36" borderId="52" xfId="0" applyFont="1" applyFill="1" applyBorder="1" applyAlignment="1" applyProtection="1">
      <alignment horizontal="center" vertical="center" wrapText="1"/>
      <protection locked="0"/>
    </xf>
    <xf numFmtId="0" fontId="6" fillId="36" borderId="0" xfId="0" applyFont="1" applyFill="1" applyBorder="1" applyAlignment="1" applyProtection="1">
      <alignment horizontal="center" vertical="center" wrapText="1"/>
      <protection locked="0"/>
    </xf>
    <xf numFmtId="0" fontId="11" fillId="36" borderId="72" xfId="0" applyFont="1" applyFill="1" applyBorder="1" applyAlignment="1" applyProtection="1">
      <alignment horizontal="center" vertical="center"/>
    </xf>
    <xf numFmtId="0" fontId="11" fillId="36" borderId="22" xfId="0" applyFont="1" applyFill="1" applyBorder="1" applyAlignment="1" applyProtection="1">
      <alignment horizontal="center" vertical="center"/>
    </xf>
    <xf numFmtId="0" fontId="11" fillId="36" borderId="20" xfId="0" applyFont="1" applyFill="1" applyBorder="1" applyAlignment="1" applyProtection="1">
      <alignment horizontal="center" vertical="center"/>
    </xf>
    <xf numFmtId="0" fontId="10" fillId="36" borderId="71" xfId="0" applyFont="1" applyFill="1" applyBorder="1" applyAlignment="1" applyProtection="1">
      <alignment vertical="center"/>
    </xf>
    <xf numFmtId="0" fontId="10" fillId="36" borderId="31" xfId="0" applyFont="1" applyFill="1" applyBorder="1" applyAlignment="1" applyProtection="1">
      <alignment vertical="center"/>
    </xf>
    <xf numFmtId="0" fontId="90" fillId="36" borderId="40" xfId="0" applyFont="1" applyFill="1" applyBorder="1" applyAlignment="1" applyProtection="1">
      <alignment horizontal="center" vertical="center" wrapText="1"/>
      <protection locked="0"/>
    </xf>
    <xf numFmtId="0" fontId="90" fillId="36" borderId="31" xfId="0" applyFont="1" applyFill="1" applyBorder="1" applyAlignment="1" applyProtection="1">
      <alignment horizontal="center" vertical="center" wrapText="1"/>
      <protection locked="0"/>
    </xf>
    <xf numFmtId="0" fontId="90" fillId="36" borderId="32" xfId="0" applyFont="1" applyFill="1" applyBorder="1" applyAlignment="1" applyProtection="1">
      <alignment horizontal="center" vertical="center" wrapText="1"/>
      <protection locked="0"/>
    </xf>
    <xf numFmtId="0" fontId="90" fillId="36" borderId="63" xfId="0" applyFont="1" applyFill="1" applyBorder="1" applyAlignment="1" applyProtection="1">
      <alignment horizontal="center" vertical="center" wrapText="1"/>
      <protection locked="0"/>
    </xf>
    <xf numFmtId="0" fontId="90" fillId="36" borderId="60" xfId="0" applyFont="1" applyFill="1" applyBorder="1" applyAlignment="1" applyProtection="1">
      <alignment horizontal="center" vertical="center" wrapText="1"/>
      <protection locked="0"/>
    </xf>
    <xf numFmtId="0" fontId="90" fillId="36" borderId="37" xfId="0" applyFont="1" applyFill="1" applyBorder="1" applyAlignment="1" applyProtection="1">
      <alignment horizontal="center" vertical="center" wrapText="1"/>
      <protection locked="0"/>
    </xf>
    <xf numFmtId="0" fontId="90" fillId="36" borderId="56" xfId="0" applyFont="1" applyFill="1" applyBorder="1" applyAlignment="1" applyProtection="1">
      <alignment horizontal="center" vertical="center" wrapText="1"/>
      <protection locked="0"/>
    </xf>
    <xf numFmtId="0" fontId="90" fillId="36" borderId="53" xfId="0" applyFont="1" applyFill="1" applyBorder="1" applyAlignment="1" applyProtection="1">
      <alignment horizontal="center" vertical="center" wrapText="1"/>
      <protection locked="0"/>
    </xf>
    <xf numFmtId="0" fontId="90" fillId="36" borderId="54" xfId="0" applyFont="1" applyFill="1" applyBorder="1" applyAlignment="1" applyProtection="1">
      <alignment horizontal="center" vertical="center" wrapText="1"/>
      <protection locked="0"/>
    </xf>
    <xf numFmtId="0" fontId="3" fillId="36" borderId="20" xfId="0" applyFont="1" applyFill="1" applyBorder="1" applyAlignment="1" applyProtection="1">
      <alignment vertical="center"/>
    </xf>
    <xf numFmtId="0" fontId="3" fillId="36" borderId="14" xfId="0" applyFont="1" applyFill="1" applyBorder="1" applyAlignment="1" applyProtection="1">
      <alignment vertical="center"/>
    </xf>
    <xf numFmtId="0" fontId="3" fillId="36" borderId="22" xfId="0" applyFont="1" applyFill="1" applyBorder="1" applyAlignment="1" applyProtection="1">
      <alignment vertical="center"/>
    </xf>
    <xf numFmtId="0" fontId="10" fillId="36" borderId="0" xfId="0" applyFont="1" applyFill="1" applyBorder="1" applyAlignment="1" applyProtection="1">
      <alignment horizontal="left" vertical="center" wrapText="1"/>
    </xf>
    <xf numFmtId="0" fontId="10" fillId="36" borderId="71" xfId="0" applyFont="1" applyFill="1" applyBorder="1" applyAlignment="1" applyProtection="1">
      <alignment horizontal="left" vertical="center" wrapText="1"/>
    </xf>
    <xf numFmtId="0" fontId="10" fillId="36" borderId="31" xfId="0" applyFont="1" applyFill="1" applyBorder="1" applyAlignment="1" applyProtection="1">
      <alignment horizontal="left" vertical="center" wrapText="1"/>
    </xf>
    <xf numFmtId="0" fontId="10" fillId="36" borderId="55" xfId="0" applyFont="1" applyFill="1" applyBorder="1" applyAlignment="1" applyProtection="1">
      <alignment vertical="center" wrapText="1"/>
    </xf>
    <xf numFmtId="0" fontId="10" fillId="36" borderId="47" xfId="0" applyFont="1" applyFill="1" applyBorder="1" applyAlignment="1" applyProtection="1">
      <alignment vertical="center" wrapText="1"/>
    </xf>
    <xf numFmtId="0" fontId="10" fillId="36" borderId="70" xfId="0" applyFont="1" applyFill="1" applyBorder="1" applyAlignment="1" applyProtection="1">
      <alignment horizontal="left" vertical="center" wrapText="1"/>
    </xf>
    <xf numFmtId="0" fontId="10" fillId="36" borderId="61" xfId="0" applyFont="1" applyFill="1" applyBorder="1" applyAlignment="1" applyProtection="1">
      <alignment horizontal="left" vertical="center" wrapText="1"/>
    </xf>
    <xf numFmtId="1" fontId="90" fillId="36" borderId="40" xfId="0" applyNumberFormat="1" applyFont="1" applyFill="1" applyBorder="1" applyAlignment="1" applyProtection="1">
      <alignment horizontal="center" vertical="center"/>
      <protection locked="0"/>
    </xf>
    <xf numFmtId="1" fontId="90" fillId="36" borderId="31" xfId="0" applyNumberFormat="1" applyFont="1" applyFill="1" applyBorder="1" applyAlignment="1" applyProtection="1">
      <alignment horizontal="center" vertical="center"/>
      <protection locked="0"/>
    </xf>
    <xf numFmtId="1" fontId="90" fillId="36" borderId="32" xfId="0" applyNumberFormat="1" applyFont="1" applyFill="1" applyBorder="1" applyAlignment="1" applyProtection="1">
      <alignment horizontal="center" vertical="center"/>
      <protection locked="0"/>
    </xf>
    <xf numFmtId="0" fontId="124" fillId="0" borderId="107" xfId="0" applyFont="1" applyFill="1" applyBorder="1" applyAlignment="1">
      <alignment horizontal="center"/>
    </xf>
    <xf numFmtId="0" fontId="124" fillId="0" borderId="114" xfId="0" applyFont="1" applyFill="1" applyBorder="1" applyAlignment="1">
      <alignment horizontal="center"/>
    </xf>
    <xf numFmtId="0" fontId="124" fillId="0" borderId="113" xfId="0" applyFont="1" applyFill="1" applyBorder="1" applyAlignment="1">
      <alignment horizontal="center"/>
    </xf>
    <xf numFmtId="0" fontId="122" fillId="41" borderId="18" xfId="0" applyFont="1" applyFill="1" applyBorder="1"/>
    <xf numFmtId="0" fontId="3" fillId="0" borderId="0" xfId="0" applyFont="1" applyFill="1" applyBorder="1" applyAlignment="1">
      <alignment horizontal="center"/>
    </xf>
    <xf numFmtId="0" fontId="124" fillId="0" borderId="28" xfId="0" applyFont="1" applyFill="1" applyBorder="1" applyAlignment="1">
      <alignment horizontal="center"/>
    </xf>
    <xf numFmtId="0" fontId="124" fillId="0" borderId="0" xfId="0" applyFont="1" applyFill="1" applyBorder="1" applyAlignment="1">
      <alignment horizontal="center"/>
    </xf>
    <xf numFmtId="0" fontId="124" fillId="0" borderId="29" xfId="0" applyFont="1" applyFill="1" applyBorder="1" applyAlignment="1">
      <alignment horizontal="center"/>
    </xf>
    <xf numFmtId="0" fontId="124" fillId="0" borderId="17" xfId="0" applyFont="1" applyFill="1" applyBorder="1" applyAlignment="1">
      <alignment horizontal="center"/>
    </xf>
    <xf numFmtId="0" fontId="124" fillId="0" borderId="18" xfId="0" applyFont="1" applyFill="1" applyBorder="1" applyAlignment="1">
      <alignment horizontal="center"/>
    </xf>
    <xf numFmtId="0" fontId="124" fillId="0" borderId="19" xfId="0" applyFont="1" applyFill="1" applyBorder="1" applyAlignment="1">
      <alignment horizontal="center"/>
    </xf>
    <xf numFmtId="0" fontId="125" fillId="0" borderId="17" xfId="0" applyFont="1" applyFill="1" applyBorder="1" applyAlignment="1">
      <alignment horizontal="center" vertical="top"/>
    </xf>
    <xf numFmtId="0" fontId="125" fillId="0" borderId="18" xfId="0" applyFont="1" applyFill="1" applyBorder="1" applyAlignment="1">
      <alignment horizontal="center" vertical="top"/>
    </xf>
    <xf numFmtId="0" fontId="125" fillId="0" borderId="19" xfId="0" applyFont="1" applyFill="1" applyBorder="1" applyAlignment="1">
      <alignment horizontal="center" vertical="top"/>
    </xf>
    <xf numFmtId="0" fontId="125" fillId="0" borderId="20" xfId="0" applyFont="1" applyFill="1" applyBorder="1" applyAlignment="1">
      <alignment horizontal="center" vertical="top"/>
    </xf>
    <xf numFmtId="0" fontId="125" fillId="0" borderId="14" xfId="0" applyFont="1" applyFill="1" applyBorder="1" applyAlignment="1">
      <alignment horizontal="center" vertical="top"/>
    </xf>
    <xf numFmtId="0" fontId="125" fillId="0" borderId="22" xfId="0" applyFont="1" applyFill="1" applyBorder="1" applyAlignment="1">
      <alignment horizontal="center" vertical="top"/>
    </xf>
  </cellXfs>
  <cellStyles count="72">
    <cellStyle name="20% - Colore 1" xfId="1"/>
    <cellStyle name="20% - Colore 2" xfId="2"/>
    <cellStyle name="20% - Colore 3" xfId="3"/>
    <cellStyle name="20% - Colore 4" xfId="4"/>
    <cellStyle name="20% - Colore 5" xfId="5"/>
    <cellStyle name="20% - Colore 6" xfId="6"/>
    <cellStyle name="40% - Colore 1" xfId="7"/>
    <cellStyle name="40% - Colore 2" xfId="8"/>
    <cellStyle name="40% - Colore 3" xfId="9"/>
    <cellStyle name="40% - Colore 4" xfId="10"/>
    <cellStyle name="40% - Colore 5" xfId="11"/>
    <cellStyle name="40% - Colore 6" xfId="12"/>
    <cellStyle name="60% - Colore 1" xfId="13"/>
    <cellStyle name="60% - Colore 2" xfId="14"/>
    <cellStyle name="60% - Colore 3" xfId="15"/>
    <cellStyle name="60% - Colore 4" xfId="16"/>
    <cellStyle name="60% - Colore 5" xfId="17"/>
    <cellStyle name="60% - Colore 6" xfId="18"/>
    <cellStyle name="Calcolo" xfId="19"/>
    <cellStyle name="Calcolo 2" xfId="50"/>
    <cellStyle name="Cella collegata" xfId="20"/>
    <cellStyle name="Cella da controllare" xfId="21"/>
    <cellStyle name="Colore 1" xfId="22"/>
    <cellStyle name="Colore 2" xfId="23"/>
    <cellStyle name="Colore 3" xfId="24"/>
    <cellStyle name="Colore 4" xfId="25"/>
    <cellStyle name="Colore 5" xfId="26"/>
    <cellStyle name="Colore 6" xfId="27"/>
    <cellStyle name="Heading" xfId="46"/>
    <cellStyle name="Heading1" xfId="47"/>
    <cellStyle name="Input" xfId="28"/>
    <cellStyle name="Input 2" xfId="51"/>
    <cellStyle name="Komma" xfId="44" builtinId="3"/>
    <cellStyle name="Komma 2" xfId="55"/>
    <cellStyle name="Komma 2 2" xfId="58"/>
    <cellStyle name="Komma 2 2 2" xfId="69"/>
    <cellStyle name="Komma 2 2 3" xfId="63"/>
    <cellStyle name="Komma 2 3" xfId="68"/>
    <cellStyle name="Komma 2 4" xfId="62"/>
    <cellStyle name="Komma 3" xfId="57"/>
    <cellStyle name="Komma 3 2" xfId="70"/>
    <cellStyle name="Komma 3 3" xfId="64"/>
    <cellStyle name="Komma 4" xfId="67"/>
    <cellStyle name="Komma 5" xfId="61"/>
    <cellStyle name="Link" xfId="59" builtinId="8"/>
    <cellStyle name="Neutrale" xfId="29"/>
    <cellStyle name="Nota" xfId="30"/>
    <cellStyle name="Nota 2" xfId="52"/>
    <cellStyle name="Output" xfId="31"/>
    <cellStyle name="Output 2" xfId="53"/>
    <cellStyle name="Prozent" xfId="32" builtinId="5"/>
    <cellStyle name="Prozent 2" xfId="71"/>
    <cellStyle name="Result" xfId="48"/>
    <cellStyle name="Result2" xfId="49"/>
    <cellStyle name="Standard" xfId="0" builtinId="0"/>
    <cellStyle name="Standard 2" xfId="45"/>
    <cellStyle name="Standard 3" xfId="56"/>
    <cellStyle name="Standard 4" xfId="66"/>
    <cellStyle name="Standard 5" xfId="65"/>
    <cellStyle name="Standard_Entwurf Erläuterungen.XLT" xfId="33"/>
    <cellStyle name="Standard_etool_4_Stand_23_11_05-neu" xfId="60"/>
    <cellStyle name="Testo avviso" xfId="34"/>
    <cellStyle name="Testo descrittivo" xfId="35"/>
    <cellStyle name="Titolo" xfId="36"/>
    <cellStyle name="Titolo 1" xfId="37"/>
    <cellStyle name="Titolo 2" xfId="38"/>
    <cellStyle name="Titolo 3" xfId="39"/>
    <cellStyle name="Titolo 4" xfId="40"/>
    <cellStyle name="Totale" xfId="41"/>
    <cellStyle name="Totale 2" xfId="54"/>
    <cellStyle name="Valore non valido" xfId="42"/>
    <cellStyle name="Valore valido" xfId="43"/>
  </cellStyles>
  <dxfs count="489">
    <dxf>
      <font>
        <color theme="0"/>
      </font>
    </dxf>
    <dxf>
      <fill>
        <patternFill>
          <bgColor rgb="FFCCFF99"/>
        </patternFill>
      </fill>
    </dxf>
    <dxf>
      <font>
        <color theme="0" tint="-0.14996795556505021"/>
      </font>
    </dxf>
    <dxf>
      <fill>
        <patternFill>
          <bgColor rgb="FFEEFFDD"/>
        </patternFill>
      </fill>
    </dxf>
    <dxf>
      <fill>
        <patternFill>
          <bgColor rgb="FFFFC000"/>
        </patternFill>
      </fill>
    </dxf>
    <dxf>
      <font>
        <color theme="0"/>
      </font>
      <fill>
        <patternFill>
          <fgColor theme="0"/>
        </patternFill>
      </fill>
    </dxf>
    <dxf>
      <font>
        <color theme="0"/>
      </font>
      <fill>
        <patternFill>
          <f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patternFill>
      </fill>
    </dxf>
    <dxf>
      <font>
        <color theme="0"/>
      </font>
      <fill>
        <patternFill>
          <bgColor theme="0"/>
        </patternFill>
      </fill>
    </dxf>
    <dxf>
      <font>
        <color theme="0"/>
      </font>
      <fill>
        <patternFill>
          <fgColor theme="0"/>
        </patternFill>
      </fill>
    </dxf>
    <dxf>
      <font>
        <color theme="1"/>
      </font>
      <fill>
        <patternFill>
          <bgColor rgb="FFEEFFDD"/>
        </patternFill>
      </fill>
    </dxf>
    <dxf>
      <font>
        <color theme="0"/>
      </font>
      <fill>
        <patternFill>
          <bgColor theme="0"/>
        </patternFill>
      </fill>
    </dxf>
    <dxf>
      <font>
        <color theme="0" tint="-0.14996795556505021"/>
      </font>
    </dxf>
    <dxf>
      <border>
        <left/>
        <right/>
        <top style="thin">
          <color auto="1"/>
        </top>
        <vertical/>
        <horizontal/>
      </border>
    </dxf>
    <dxf>
      <font>
        <color theme="0"/>
      </font>
      <fill>
        <patternFill>
          <fgColor theme="0"/>
        </patternFill>
      </fill>
    </dxf>
    <dxf>
      <font>
        <color theme="0"/>
      </font>
      <fill>
        <patternFill>
          <bgColor theme="0"/>
        </patternFill>
      </fill>
      <border>
        <left/>
        <right/>
        <bottom/>
        <vertical/>
        <horizontal/>
      </border>
    </dxf>
    <dxf>
      <fill>
        <patternFill>
          <bgColor rgb="FFCCFF99"/>
        </patternFill>
      </fill>
    </dxf>
    <dxf>
      <font>
        <color rgb="FFC00000"/>
      </font>
      <fill>
        <patternFill>
          <bgColor rgb="FFFFCCCC"/>
        </patternFill>
      </fill>
    </dxf>
    <dxf>
      <font>
        <color theme="0"/>
      </font>
      <fill>
        <patternFill patternType="solid">
          <fgColor theme="0"/>
          <bgColor theme="0"/>
        </patternFill>
      </fill>
      <border>
        <left/>
        <right/>
        <top style="thin">
          <color auto="1"/>
        </top>
        <bottom style="thin">
          <color auto="1"/>
        </bottom>
        <vertical/>
        <horizontal/>
      </border>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ont>
        <b/>
        <i val="0"/>
        <color rgb="FFC00000"/>
      </font>
      <fill>
        <patternFill>
          <bgColor theme="5" tint="0.59996337778862885"/>
        </patternFill>
      </fill>
    </dxf>
    <dxf>
      <fill>
        <patternFill>
          <bgColor rgb="FFCCFF99"/>
        </patternFill>
      </fill>
    </dxf>
    <dxf>
      <font>
        <color rgb="FFC00000"/>
      </font>
      <fill>
        <patternFill patternType="solid">
          <bgColor rgb="FFFFCCCC"/>
        </patternFill>
      </fill>
    </dxf>
    <dxf>
      <fill>
        <patternFill>
          <bgColor indexed="13"/>
        </patternFill>
      </fill>
    </dxf>
    <dxf>
      <fill>
        <patternFill>
          <bgColor indexed="13"/>
        </patternFill>
      </fill>
    </dxf>
    <dxf>
      <font>
        <color theme="0"/>
      </font>
    </dxf>
    <dxf>
      <font>
        <color theme="0"/>
      </font>
    </dxf>
    <dxf>
      <border>
        <bottom style="thin">
          <color auto="1"/>
        </bottom>
        <vertical/>
        <horizontal/>
      </border>
    </dxf>
    <dxf>
      <border>
        <bottom style="hair">
          <color auto="1"/>
        </bottom>
        <vertical/>
        <horizontal/>
      </border>
    </dxf>
    <dxf>
      <border>
        <bottom style="thin">
          <color auto="1"/>
        </bottom>
        <vertical/>
        <horizontal/>
      </border>
    </dxf>
    <dxf>
      <font>
        <color theme="0"/>
      </font>
      <fill>
        <patternFill>
          <bgColor theme="0"/>
        </patternFill>
      </fill>
      <border>
        <left/>
        <right/>
        <bottom/>
        <vertical/>
        <horizontal/>
      </border>
    </dxf>
    <dxf>
      <font>
        <color theme="0"/>
      </font>
      <fill>
        <patternFill>
          <bgColor theme="0"/>
        </patternFill>
      </fill>
      <border>
        <left/>
        <right/>
        <top style="hair">
          <color auto="1"/>
        </top>
        <bottom style="thin">
          <color auto="1"/>
        </bottom>
        <vertical/>
        <horizontal/>
      </border>
    </dxf>
    <dxf>
      <font>
        <color theme="0"/>
      </font>
      <fill>
        <patternFill>
          <fgColor theme="0"/>
        </patternFill>
      </fill>
    </dxf>
    <dxf>
      <font>
        <color theme="0"/>
      </font>
      <fill>
        <patternFill>
          <fgColor theme="0"/>
        </patternFill>
      </fill>
      <border>
        <left/>
        <right/>
        <top/>
        <vertical/>
        <horizontal/>
      </border>
    </dxf>
    <dxf>
      <font>
        <color theme="0"/>
      </font>
      <fill>
        <patternFill>
          <bgColor theme="0"/>
        </patternFill>
      </fill>
      <border>
        <left/>
        <right/>
        <top/>
        <bottom/>
        <vertical/>
        <horizontal/>
      </border>
    </dxf>
    <dxf>
      <font>
        <color theme="0"/>
      </font>
    </dxf>
    <dxf>
      <font>
        <color theme="0"/>
      </font>
      <fill>
        <patternFill>
          <bgColor theme="0"/>
        </patternFill>
      </fill>
    </dxf>
    <dxf>
      <font>
        <color theme="0"/>
      </font>
    </dxf>
    <dxf>
      <font>
        <color theme="0"/>
      </font>
      <fill>
        <patternFill>
          <bgColor theme="0"/>
        </patternFill>
      </fill>
    </dxf>
    <dxf>
      <font>
        <color theme="0"/>
      </font>
    </dxf>
    <dxf>
      <font>
        <b/>
        <i val="0"/>
        <color rgb="FFC00000"/>
      </font>
      <fill>
        <patternFill>
          <bgColor theme="5" tint="0.59996337778862885"/>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dxf>
    <dxf>
      <font>
        <color auto="1"/>
      </font>
      <fill>
        <patternFill>
          <fgColor theme="0"/>
          <bgColor theme="0"/>
        </patternFill>
      </fill>
    </dxf>
    <dxf>
      <font>
        <color auto="1"/>
      </font>
      <fill>
        <patternFill>
          <fgColor theme="0"/>
          <bgColor theme="0"/>
        </patternFill>
      </fill>
    </dxf>
    <dxf>
      <fill>
        <patternFill>
          <bgColor rgb="FFCCFF99"/>
        </patternFill>
      </fill>
    </dxf>
    <dxf>
      <font>
        <color rgb="FFC00000"/>
      </font>
      <fill>
        <patternFill>
          <bgColor rgb="FFFFCCCC"/>
        </patternFill>
      </fill>
    </dxf>
    <dxf>
      <font>
        <color theme="0"/>
      </font>
      <fill>
        <patternFill patternType="solid">
          <fgColor theme="0"/>
          <bgColor theme="0"/>
        </patternFill>
      </fill>
      <border>
        <left/>
        <right/>
        <top style="thin">
          <color auto="1"/>
        </top>
        <bottom style="thin">
          <color auto="1"/>
        </bottom>
        <vertical/>
        <horizontal/>
      </border>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ill>
        <patternFill>
          <bgColor rgb="FFCCFF99"/>
        </patternFill>
      </fill>
    </dxf>
    <dxf>
      <font>
        <color rgb="FFC00000"/>
      </font>
      <fill>
        <patternFill>
          <bgColor rgb="FFFFCCCC"/>
        </patternFill>
      </fill>
    </dxf>
    <dxf>
      <fill>
        <patternFill>
          <bgColor rgb="FFCCFF99"/>
        </patternFill>
      </fill>
    </dxf>
    <dxf>
      <font>
        <color rgb="FFC00000"/>
      </font>
      <fill>
        <patternFill patternType="solid">
          <bgColor rgb="FFFFCCCC"/>
        </patternFill>
      </fill>
    </dxf>
    <dxf>
      <fill>
        <patternFill>
          <bgColor indexed="13"/>
        </patternFill>
      </fill>
    </dxf>
    <dxf>
      <fill>
        <patternFill>
          <bgColor indexed="13"/>
        </patternFill>
      </fill>
    </dxf>
    <dxf>
      <font>
        <color theme="0"/>
      </font>
    </dxf>
    <dxf>
      <border>
        <bottom style="thin">
          <color auto="1"/>
        </bottom>
        <vertical/>
        <horizontal/>
      </border>
    </dxf>
    <dxf>
      <border>
        <bottom style="hair">
          <color auto="1"/>
        </bottom>
        <vertical/>
        <horizontal/>
      </border>
    </dxf>
    <dxf>
      <border>
        <bottom style="thin">
          <color auto="1"/>
        </bottom>
        <vertical/>
        <horizontal/>
      </border>
    </dxf>
    <dxf>
      <font>
        <color theme="0"/>
      </font>
      <fill>
        <patternFill>
          <bgColor theme="0"/>
        </patternFill>
      </fill>
      <border>
        <left/>
        <right/>
        <top style="hair">
          <color auto="1"/>
        </top>
        <bottom style="thin">
          <color auto="1"/>
        </bottom>
        <vertical/>
        <horizontal/>
      </border>
    </dxf>
    <dxf>
      <font>
        <color theme="0"/>
      </font>
      <fill>
        <patternFill>
          <fgColor theme="0"/>
        </patternFill>
      </fill>
      <border>
        <left/>
        <right/>
        <top/>
        <vertical/>
        <horizontal/>
      </border>
    </dxf>
    <dxf>
      <font>
        <color theme="0"/>
      </font>
    </dxf>
    <dxf>
      <fill>
        <patternFill>
          <bgColor indexed="42"/>
        </patternFill>
      </fill>
    </dxf>
    <dxf>
      <font>
        <color theme="0"/>
      </font>
      <fill>
        <patternFill>
          <bgColor theme="0"/>
        </patternFill>
      </fill>
    </dxf>
    <dxf>
      <fill>
        <patternFill>
          <bgColor indexed="43"/>
        </patternFill>
      </fill>
    </dxf>
    <dxf>
      <fill>
        <patternFill>
          <bgColor indexed="43"/>
        </patternFill>
      </fill>
    </dxf>
    <dxf>
      <fill>
        <patternFill>
          <bgColor indexed="42"/>
        </patternFill>
      </fill>
    </dxf>
    <dxf>
      <font>
        <color theme="0"/>
      </font>
      <fill>
        <patternFill>
          <bgColor theme="0"/>
        </patternFill>
      </fill>
    </dxf>
    <dxf>
      <fill>
        <patternFill>
          <bgColor indexed="43"/>
        </patternFill>
      </fill>
    </dxf>
    <dxf>
      <fill>
        <patternFill>
          <bgColor indexed="43"/>
        </patternFill>
      </fill>
    </dxf>
    <dxf>
      <fill>
        <patternFill>
          <bgColor indexed="42"/>
        </patternFill>
      </fill>
    </dxf>
    <dxf>
      <font>
        <color theme="0"/>
      </font>
      <fill>
        <patternFill>
          <bgColor theme="0"/>
        </patternFill>
      </fill>
    </dxf>
    <dxf>
      <fill>
        <patternFill>
          <bgColor indexed="43"/>
        </patternFill>
      </fill>
    </dxf>
    <dxf>
      <fill>
        <patternFill>
          <bgColor indexed="43"/>
        </patternFill>
      </fill>
    </dxf>
    <dxf>
      <fill>
        <patternFill>
          <fgColor indexed="29"/>
          <bgColor indexed="42"/>
        </patternFill>
      </fill>
    </dxf>
    <dxf>
      <fill>
        <patternFill>
          <bgColor indexed="43"/>
        </patternFill>
      </fill>
    </dxf>
    <dxf>
      <fill>
        <patternFill>
          <bgColor indexed="43"/>
        </patternFill>
      </fill>
    </dxf>
    <dxf>
      <font>
        <color rgb="FF9C0006"/>
      </font>
      <fill>
        <patternFill>
          <bgColor rgb="FFFFC7CE"/>
        </patternFill>
      </fill>
    </dxf>
    <dxf>
      <font>
        <color auto="1"/>
      </font>
      <fill>
        <patternFill>
          <bgColor rgb="FFCCFF99"/>
        </patternFill>
      </fill>
    </dxf>
    <dxf>
      <font>
        <color theme="0"/>
      </font>
      <fill>
        <patternFill>
          <bgColor theme="0"/>
        </patternFill>
      </fill>
      <border>
        <left/>
        <right/>
        <top style="thin">
          <color auto="1"/>
        </top>
        <bottom style="thin">
          <color auto="1"/>
        </bottom>
        <vertical/>
        <horizontal/>
      </border>
    </dxf>
    <dxf>
      <font>
        <color rgb="FF9C0006"/>
      </font>
      <fill>
        <patternFill>
          <bgColor rgb="FFFFC7CE"/>
        </patternFill>
      </fill>
    </dxf>
    <dxf>
      <font>
        <color theme="0"/>
      </font>
      <fill>
        <patternFill>
          <bgColor theme="0"/>
        </patternFill>
      </fill>
      <border>
        <left/>
        <right/>
        <top style="thin">
          <color auto="1"/>
        </top>
        <bottom/>
        <vertical/>
        <horizontal/>
      </border>
    </dxf>
    <dxf>
      <font>
        <color rgb="FF9C0006"/>
      </font>
      <fill>
        <patternFill>
          <bgColor rgb="FFFFC7CE"/>
        </patternFill>
      </fill>
    </dxf>
    <dxf>
      <font>
        <color auto="1"/>
      </font>
      <fill>
        <patternFill>
          <bgColor rgb="FFCCFF99"/>
        </patternFill>
      </fill>
    </dxf>
    <dxf>
      <fill>
        <patternFill>
          <bgColor theme="0"/>
        </patternFill>
      </fill>
    </dxf>
    <dxf>
      <font>
        <color rgb="FFFF0000"/>
      </font>
      <fill>
        <patternFill>
          <bgColor theme="5" tint="0.59996337778862885"/>
        </patternFill>
      </fill>
    </dxf>
    <dxf>
      <font>
        <color theme="0"/>
      </font>
      <fill>
        <patternFill>
          <bgColor theme="0"/>
        </patternFill>
      </fill>
    </dxf>
    <dxf>
      <font>
        <color theme="0"/>
      </font>
      <fill>
        <patternFill>
          <bgColor theme="0"/>
        </patternFill>
      </fill>
    </dxf>
    <dxf>
      <fill>
        <patternFill>
          <bgColor rgb="FFFFFF00"/>
        </patternFill>
      </fill>
    </dxf>
    <dxf>
      <font>
        <color theme="0"/>
      </font>
    </dxf>
    <dxf>
      <fill>
        <patternFill>
          <bgColor rgb="FFFFFF00"/>
        </patternFill>
      </fill>
    </dxf>
    <dxf>
      <fill>
        <patternFill>
          <bgColor rgb="FFFFFF00"/>
        </patternFill>
      </fill>
    </dxf>
    <dxf>
      <font>
        <color theme="0"/>
      </font>
      <fill>
        <patternFill>
          <bgColor theme="0"/>
        </patternFill>
      </fill>
    </dxf>
    <dxf>
      <fill>
        <patternFill>
          <bgColor rgb="FFFFFF00"/>
        </patternFill>
      </fill>
    </dxf>
    <dxf>
      <fill>
        <patternFill>
          <bgColor theme="0"/>
        </patternFill>
      </fill>
    </dxf>
    <dxf>
      <font>
        <color rgb="FFFF0000"/>
      </font>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1"/>
      </font>
      <fill>
        <patternFill>
          <bgColor rgb="FFFFFF99"/>
        </patternFill>
      </fill>
      <border>
        <left/>
        <right style="thin">
          <color auto="1"/>
        </right>
        <top/>
        <bottom style="hair">
          <color auto="1"/>
        </bottom>
      </border>
    </dxf>
    <dxf>
      <font>
        <color auto="1"/>
      </font>
      <fill>
        <patternFill>
          <bgColor rgb="FFFFFF00"/>
        </patternFill>
      </fill>
      <border>
        <right style="thin">
          <color auto="1"/>
        </right>
        <top style="thin">
          <color auto="1"/>
        </top>
        <bottom style="hair">
          <color auto="1"/>
        </bottom>
        <vertical/>
        <horizontal/>
      </border>
    </dxf>
    <dxf>
      <font>
        <color theme="1"/>
      </font>
      <fill>
        <patternFill>
          <bgColor rgb="FFFFFF99"/>
        </patternFill>
      </fill>
      <border>
        <left/>
        <right style="thin">
          <color auto="1"/>
        </right>
        <top/>
        <bottom style="hair">
          <color auto="1"/>
        </bottom>
      </border>
    </dxf>
    <dxf>
      <font>
        <color theme="1"/>
      </font>
      <fill>
        <patternFill>
          <bgColor rgb="FFFFFF00"/>
        </patternFill>
      </fill>
      <border>
        <right style="thin">
          <color auto="1"/>
        </right>
        <top style="thin">
          <color auto="1"/>
        </top>
        <bottom style="hair">
          <color auto="1"/>
        </bottom>
      </border>
    </dxf>
    <dxf>
      <font>
        <color theme="1"/>
      </font>
      <fill>
        <patternFill>
          <bgColor rgb="FFFFFF99"/>
        </patternFill>
      </fill>
      <border>
        <left/>
        <right style="thin">
          <color auto="1"/>
        </right>
        <top/>
        <bottom style="hair">
          <color auto="1"/>
        </bottom>
      </border>
    </dxf>
    <dxf>
      <font>
        <color theme="1"/>
      </font>
      <numFmt numFmtId="0" formatCode="General"/>
      <fill>
        <patternFill>
          <bgColor rgb="FFFFFF00"/>
        </patternFill>
      </fill>
      <border>
        <right style="thin">
          <color auto="1"/>
        </right>
        <top style="thin">
          <color auto="1"/>
        </top>
        <bottom style="hair">
          <color auto="1"/>
        </bottom>
        <vertical/>
        <horizontal/>
      </border>
    </dxf>
    <dxf>
      <font>
        <color theme="1"/>
      </font>
      <fill>
        <patternFill>
          <bgColor rgb="FFFFFF99"/>
        </patternFill>
      </fill>
      <border>
        <left/>
        <right style="thin">
          <color auto="1"/>
        </right>
        <top/>
        <bottom style="hair">
          <color auto="1"/>
        </bottom>
      </border>
    </dxf>
    <dxf>
      <font>
        <color theme="1"/>
      </font>
      <fill>
        <patternFill>
          <bgColor rgb="FFFFFF00"/>
        </patternFill>
      </fill>
      <border>
        <left/>
        <right style="thin">
          <color auto="1"/>
        </right>
        <top style="thin">
          <color auto="1"/>
        </top>
        <bottom style="hair">
          <color auto="1"/>
        </bottom>
      </border>
    </dxf>
    <dxf>
      <font>
        <color theme="0"/>
      </font>
      <fill>
        <patternFill>
          <bgColor theme="0"/>
        </patternFill>
      </fill>
    </dxf>
    <dxf>
      <font>
        <color theme="0"/>
      </font>
      <fill>
        <patternFill>
          <bgColor theme="0"/>
        </patternFill>
      </fill>
    </dxf>
    <dxf>
      <border>
        <top/>
        <vertical/>
        <horizontal/>
      </border>
    </dxf>
    <dxf>
      <font>
        <color theme="0"/>
      </font>
      <fill>
        <patternFill>
          <bgColor theme="0"/>
        </patternFill>
      </fill>
      <border>
        <left/>
        <right/>
        <bottom/>
        <vertical/>
        <horizontal/>
      </border>
    </dxf>
    <dxf>
      <border>
        <vertical/>
        <horizontal/>
      </border>
    </dxf>
    <dxf>
      <border>
        <top style="thin">
          <color auto="1"/>
        </top>
        <vertical/>
        <horizontal/>
      </border>
    </dxf>
    <dxf>
      <border>
        <top style="thin">
          <color auto="1"/>
        </top>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style="thin">
          <color auto="1"/>
        </bottom>
        <vertical/>
        <horizontal/>
      </border>
    </dxf>
    <dxf>
      <font>
        <color theme="0"/>
      </font>
      <fill>
        <patternFill>
          <bgColor theme="0"/>
        </patternFill>
      </fill>
      <border>
        <left/>
        <right/>
        <top style="thin">
          <color auto="1"/>
        </top>
        <bottom style="thin">
          <color auto="1"/>
        </bottom>
        <vertical/>
        <horizontal/>
      </border>
    </dxf>
    <dxf>
      <font>
        <color theme="0"/>
      </font>
      <fill>
        <patternFill>
          <bgColor theme="0"/>
        </patternFill>
      </fill>
    </dxf>
    <dxf>
      <font>
        <color theme="0"/>
      </font>
      <fill>
        <patternFill>
          <bgColor theme="0"/>
        </patternFill>
      </fill>
      <border>
        <left/>
        <right/>
        <vertical/>
        <horizontal/>
      </border>
    </dxf>
    <dxf>
      <font>
        <color theme="0"/>
      </font>
    </dxf>
    <dxf>
      <font>
        <color theme="0"/>
      </font>
    </dxf>
    <dxf>
      <font>
        <color theme="0"/>
      </font>
    </dxf>
    <dxf>
      <fill>
        <patternFill>
          <bgColor rgb="FFEEFFDD"/>
        </patternFill>
      </fill>
    </dxf>
    <dxf>
      <fill>
        <patternFill>
          <bgColor rgb="FFEEFFDD"/>
        </patternFill>
      </fill>
    </dxf>
    <dxf>
      <fill>
        <patternFill>
          <bgColor rgb="FFEEFFDD"/>
        </patternFill>
      </fill>
    </dxf>
    <dxf>
      <fill>
        <patternFill>
          <bgColor rgb="FFEEFFDD"/>
        </patternFill>
      </fill>
    </dxf>
    <dxf>
      <font>
        <b val="0"/>
        <i val="0"/>
        <strike val="0"/>
        <color rgb="FFFF0000"/>
      </font>
    </dxf>
    <dxf>
      <font>
        <color theme="0"/>
      </font>
    </dxf>
    <dxf>
      <font>
        <b val="0"/>
        <i val="0"/>
        <strike val="0"/>
        <color rgb="FFFF0000"/>
      </font>
    </dxf>
    <dxf>
      <font>
        <color theme="0"/>
      </font>
      <fill>
        <patternFill>
          <bgColor theme="0"/>
        </patternFill>
      </fill>
      <border>
        <left/>
        <vertical/>
        <horizontal/>
      </border>
    </dxf>
    <dxf>
      <font>
        <color theme="0"/>
      </font>
      <fill>
        <patternFill>
          <bgColor theme="0"/>
        </patternFill>
      </fill>
      <border>
        <left/>
        <vertical/>
        <horizontal/>
      </border>
    </dxf>
    <dxf>
      <font>
        <color rgb="FF9C0006"/>
      </font>
      <fill>
        <patternFill>
          <bgColor rgb="FFFFC7CE"/>
        </patternFill>
      </fill>
    </dxf>
    <dxf>
      <font>
        <color auto="1"/>
      </font>
      <fill>
        <patternFill>
          <bgColor rgb="FFCCFF99"/>
        </patternFill>
      </fill>
    </dxf>
    <dxf>
      <fill>
        <patternFill>
          <fgColor indexed="9"/>
          <bgColor indexed="9"/>
        </patternFill>
      </fill>
    </dxf>
    <dxf>
      <font>
        <color rgb="FF9C0006"/>
      </font>
      <fill>
        <patternFill>
          <bgColor rgb="FFFFC7CE"/>
        </patternFill>
      </fill>
    </dxf>
    <dxf>
      <font>
        <color auto="1"/>
      </font>
      <fill>
        <patternFill>
          <bgColor rgb="FFCCFF99"/>
        </patternFill>
      </fill>
    </dxf>
    <dxf>
      <font>
        <color theme="0"/>
      </font>
      <fill>
        <patternFill>
          <bgColor theme="0"/>
        </patternFill>
      </fill>
    </dxf>
    <dxf>
      <font>
        <color rgb="FF9C0006"/>
      </font>
      <fill>
        <patternFill>
          <bgColor rgb="FFFFC7CE"/>
        </patternFill>
      </fill>
    </dxf>
    <dxf>
      <font>
        <color auto="1"/>
      </font>
      <fill>
        <patternFill>
          <bgColor rgb="FFCCFF99"/>
        </patternFill>
      </fill>
    </dxf>
    <dxf>
      <font>
        <color theme="0"/>
      </font>
      <fill>
        <patternFill>
          <bgColor theme="0"/>
        </patternFill>
      </fill>
      <border>
        <right/>
        <vertical/>
        <horizontal/>
      </border>
    </dxf>
    <dxf>
      <font>
        <color theme="1"/>
      </font>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indexed="13"/>
        </patternFill>
      </fill>
    </dxf>
    <dxf>
      <font>
        <color auto="1"/>
      </font>
      <fill>
        <patternFill>
          <bgColor rgb="FFFFFF99"/>
        </patternFill>
      </fill>
    </dxf>
    <dxf>
      <font>
        <color theme="1"/>
      </font>
      <fill>
        <patternFill>
          <bgColor rgb="FFEEFFDD"/>
        </patternFill>
      </fill>
    </dxf>
    <dxf>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theme="0"/>
        </patternFill>
      </fill>
    </dxf>
    <dxf>
      <font>
        <color theme="1"/>
      </font>
      <fill>
        <patternFill>
          <bgColor rgb="FFFFFF00"/>
        </patternFill>
      </fill>
    </dxf>
    <dxf>
      <font>
        <color theme="1"/>
      </font>
      <fill>
        <patternFill>
          <bgColor rgb="FFFFFF99"/>
        </patternFill>
      </fill>
    </dxf>
    <dxf>
      <fill>
        <patternFill>
          <bgColor rgb="FFFFFF99"/>
        </patternFill>
      </fill>
    </dxf>
    <dxf>
      <font>
        <color theme="0"/>
      </font>
      <fill>
        <patternFill>
          <bgColor theme="0"/>
        </patternFill>
      </fill>
      <border>
        <left/>
        <vertical/>
        <horizontal/>
      </border>
    </dxf>
    <dxf>
      <font>
        <color theme="1"/>
      </font>
      <fill>
        <patternFill>
          <bgColor indexed="13"/>
        </patternFill>
      </fill>
    </dxf>
    <dxf>
      <font>
        <color auto="1"/>
      </font>
      <fill>
        <patternFill>
          <bgColor rgb="FFFFFF99"/>
        </patternFill>
      </fill>
    </dxf>
    <dxf>
      <font>
        <color theme="1"/>
      </font>
      <fill>
        <patternFill>
          <bgColor rgb="FFEEFFDD"/>
        </patternFill>
      </fill>
    </dxf>
    <dxf>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theme="0"/>
        </patternFill>
      </fill>
    </dxf>
    <dxf>
      <font>
        <color theme="1"/>
      </font>
      <fill>
        <patternFill>
          <bgColor rgb="FFFFFF00"/>
        </patternFill>
      </fill>
    </dxf>
    <dxf>
      <font>
        <color theme="1"/>
      </font>
      <fill>
        <patternFill>
          <bgColor rgb="FFFFFF99"/>
        </patternFill>
      </fill>
    </dxf>
    <dxf>
      <fill>
        <patternFill>
          <bgColor rgb="FFFFFF99"/>
        </patternFill>
      </fill>
    </dxf>
    <dxf>
      <font>
        <color theme="0"/>
      </font>
    </dxf>
    <dxf>
      <font>
        <color theme="1"/>
      </font>
      <fill>
        <patternFill>
          <bgColor indexed="13"/>
        </patternFill>
      </fill>
    </dxf>
    <dxf>
      <font>
        <color auto="1"/>
      </font>
      <fill>
        <patternFill>
          <bgColor rgb="FFFFFF99"/>
        </patternFill>
      </fill>
    </dxf>
    <dxf>
      <font>
        <color theme="1"/>
      </font>
      <fill>
        <patternFill>
          <bgColor rgb="FFEEFFDD"/>
        </patternFill>
      </fill>
    </dxf>
    <dxf>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theme="0"/>
        </patternFill>
      </fill>
    </dxf>
    <dxf>
      <font>
        <color theme="1"/>
      </font>
      <fill>
        <patternFill>
          <bgColor rgb="FFFFFF00"/>
        </patternFill>
      </fill>
    </dxf>
    <dxf>
      <font>
        <color theme="1"/>
      </font>
      <fill>
        <patternFill>
          <bgColor rgb="FFFFFF99"/>
        </patternFill>
      </fill>
    </dxf>
    <dxf>
      <fill>
        <patternFill>
          <bgColor rgb="FFFFFF99"/>
        </patternFill>
      </fill>
    </dxf>
    <dxf>
      <font>
        <color theme="1"/>
      </font>
      <fill>
        <patternFill>
          <bgColor indexed="13"/>
        </patternFill>
      </fill>
    </dxf>
    <dxf>
      <font>
        <color auto="1"/>
      </font>
      <fill>
        <patternFill>
          <bgColor rgb="FFFFFF99"/>
        </patternFill>
      </fill>
    </dxf>
    <dxf>
      <font>
        <color theme="1"/>
      </font>
      <fill>
        <patternFill>
          <bgColor rgb="FFEEFFDD"/>
        </patternFill>
      </fill>
    </dxf>
    <dxf>
      <fill>
        <patternFill>
          <bgColor rgb="FFEEFFDD"/>
        </patternFill>
      </fill>
    </dxf>
    <dxf>
      <font>
        <color theme="1"/>
      </font>
      <fill>
        <patternFill>
          <bgColor rgb="FFEEFFDD"/>
        </patternFill>
      </fill>
    </dxf>
    <dxf>
      <font>
        <color theme="1"/>
      </font>
      <fill>
        <patternFill>
          <bgColor rgb="FFEEFFDD"/>
        </patternFill>
      </fill>
    </dxf>
    <dxf>
      <font>
        <color theme="1"/>
      </font>
      <fill>
        <patternFill>
          <bgColor theme="0"/>
        </patternFill>
      </fill>
    </dxf>
    <dxf>
      <font>
        <color theme="1"/>
      </font>
      <fill>
        <patternFill>
          <bgColor rgb="FFFFFF00"/>
        </patternFill>
      </fill>
    </dxf>
    <dxf>
      <font>
        <color theme="1"/>
      </font>
      <fill>
        <patternFill>
          <bgColor rgb="FFFFFF99"/>
        </patternFill>
      </fill>
    </dxf>
    <dxf>
      <font>
        <color theme="0"/>
      </font>
    </dxf>
    <dxf>
      <font>
        <b/>
        <i val="0"/>
        <color rgb="FFFF0000"/>
      </font>
      <fill>
        <patternFill>
          <bgColor theme="5" tint="0.79998168889431442"/>
        </patternFill>
      </fill>
    </dxf>
    <dxf>
      <font>
        <b/>
        <i val="0"/>
        <color auto="1"/>
      </font>
      <fill>
        <patternFill>
          <bgColor rgb="FFCCFF99"/>
        </patternFill>
      </fill>
    </dxf>
    <dxf>
      <font>
        <color theme="0"/>
      </font>
      <fill>
        <patternFill>
          <bgColor theme="0"/>
        </patternFill>
      </fill>
    </dxf>
    <dxf>
      <border>
        <top/>
        <vertical/>
        <horizontal/>
      </border>
    </dxf>
    <dxf>
      <font>
        <color theme="0"/>
      </font>
      <fill>
        <patternFill>
          <bgColor theme="0"/>
        </patternFill>
      </fill>
    </dxf>
    <dxf>
      <font>
        <color theme="0"/>
      </font>
      <fill>
        <patternFill>
          <fgColor theme="0"/>
          <bgColor theme="0"/>
        </patternFill>
      </fill>
      <border>
        <left/>
        <right/>
        <top style="thin">
          <color auto="1"/>
        </top>
        <bottom/>
        <vertical/>
        <horizontal/>
      </border>
    </dxf>
    <dxf>
      <font>
        <color theme="0"/>
      </font>
      <fill>
        <patternFill>
          <bgColor theme="0"/>
        </patternFill>
      </fill>
    </dxf>
    <dxf>
      <font>
        <color theme="0"/>
      </font>
    </dxf>
    <dxf>
      <border>
        <bottom style="thin">
          <color theme="1"/>
        </bottom>
        <vertical/>
        <horizontal/>
      </border>
    </dxf>
    <dxf>
      <font>
        <color theme="0"/>
      </font>
      <fill>
        <patternFill>
          <bgColor theme="0"/>
        </patternFill>
      </fill>
      <border>
        <left/>
        <right/>
        <top/>
        <bottom/>
        <vertical/>
        <horizontal/>
      </border>
    </dxf>
    <dxf>
      <font>
        <color rgb="FF9C0006"/>
      </font>
      <fill>
        <patternFill>
          <bgColor rgb="FFFFC7CE"/>
        </patternFill>
      </fill>
      <border>
        <left style="thin">
          <color auto="1"/>
        </left>
        <right style="thin">
          <color auto="1"/>
        </right>
        <top style="thin">
          <color auto="1"/>
        </top>
        <bottom style="thin">
          <color auto="1"/>
        </bottom>
      </border>
    </dxf>
    <dxf>
      <font>
        <color auto="1"/>
      </font>
      <fill>
        <patternFill>
          <bgColor rgb="FFCCFF99"/>
        </patternFill>
      </fill>
      <border>
        <left style="thin">
          <color auto="1"/>
        </left>
      </border>
    </dxf>
    <dxf>
      <font>
        <color rgb="FF9C0006"/>
      </font>
      <fill>
        <patternFill>
          <bgColor rgb="FFFFC7CE"/>
        </patternFill>
      </fill>
    </dxf>
    <dxf>
      <font>
        <color auto="1"/>
      </font>
      <fill>
        <patternFill>
          <bgColor rgb="FFCCFF99"/>
        </patternFill>
      </fill>
    </dxf>
    <dxf>
      <font>
        <color theme="0"/>
      </font>
      <fill>
        <patternFill>
          <bgColor theme="0"/>
        </patternFill>
      </fill>
    </dxf>
    <dxf>
      <font>
        <b/>
        <i val="0"/>
        <condense val="0"/>
        <extend val="0"/>
        <color indexed="10"/>
      </font>
    </dxf>
    <dxf>
      <font>
        <color theme="0"/>
      </font>
      <fill>
        <patternFill>
          <bgColor theme="0"/>
        </patternFill>
      </fill>
    </dxf>
    <dxf>
      <font>
        <color theme="0"/>
      </font>
      <fill>
        <patternFill>
          <bgColor theme="0"/>
        </patternFill>
      </fill>
    </dxf>
    <dxf>
      <font>
        <b/>
        <i val="0"/>
        <condense val="0"/>
        <extend val="0"/>
        <color indexed="10"/>
      </font>
    </dxf>
    <dxf>
      <border>
        <left/>
        <right/>
        <top/>
        <bottom/>
        <vertical/>
        <horizontal/>
      </border>
    </dxf>
    <dxf>
      <font>
        <b/>
        <i val="0"/>
        <condense val="0"/>
        <extend val="0"/>
        <color indexed="13"/>
      </font>
      <fill>
        <patternFill>
          <bgColor indexed="10"/>
        </patternFill>
      </fill>
    </dxf>
    <dxf>
      <font>
        <condense val="0"/>
        <extend val="0"/>
        <color indexed="9"/>
      </font>
    </dxf>
    <dxf>
      <font>
        <b/>
        <i val="0"/>
        <condense val="0"/>
        <extend val="0"/>
        <color indexed="10"/>
      </font>
      <fill>
        <patternFill>
          <bgColor indexed="34"/>
        </patternFill>
      </fill>
    </dxf>
    <dxf>
      <font>
        <condense val="0"/>
        <extend val="0"/>
        <color auto="1"/>
      </font>
    </dxf>
    <dxf>
      <font>
        <condense val="0"/>
        <extend val="0"/>
        <color indexed="10"/>
      </font>
    </dxf>
    <dxf>
      <font>
        <color theme="0"/>
      </font>
      <fill>
        <patternFill>
          <bgColor theme="0"/>
        </patternFill>
      </fill>
      <border>
        <right style="thin">
          <color auto="1"/>
        </right>
        <bottom style="hair">
          <color auto="1"/>
        </bottom>
        <vertical/>
        <horizontal/>
      </border>
    </dxf>
    <dxf>
      <fill>
        <patternFill>
          <bgColor theme="0"/>
        </patternFill>
      </fill>
      <border>
        <left/>
        <right style="thin">
          <color auto="1"/>
        </right>
        <top style="thin">
          <color auto="1"/>
        </top>
        <bottom style="hair">
          <color auto="1"/>
        </bottom>
        <vertical/>
        <horizontal/>
      </border>
    </dxf>
    <dxf>
      <font>
        <condense val="0"/>
        <extend val="0"/>
        <color auto="1"/>
      </font>
    </dxf>
    <dxf>
      <font>
        <color theme="0"/>
      </font>
    </dxf>
    <dxf>
      <font>
        <condense val="0"/>
        <extend val="0"/>
        <color indexed="9"/>
      </font>
    </dxf>
    <dxf>
      <border>
        <bottom style="thin">
          <color auto="1"/>
        </bottom>
        <vertical/>
        <horizontal/>
      </border>
    </dxf>
    <dxf>
      <font>
        <condense val="0"/>
        <extend val="0"/>
        <color indexed="9"/>
      </font>
    </dxf>
    <dxf>
      <fill>
        <patternFill>
          <bgColor rgb="FFFFFF99"/>
        </patternFill>
      </fill>
      <border>
        <right style="thin">
          <color auto="1"/>
        </right>
        <vertical/>
        <horizontal/>
      </border>
    </dxf>
    <dxf>
      <font>
        <color theme="0"/>
      </font>
      <fill>
        <patternFill>
          <bgColor theme="0"/>
        </patternFill>
      </fill>
      <border>
        <left/>
        <vertical/>
        <horizontal/>
      </border>
    </dxf>
    <dxf>
      <border>
        <left style="hair">
          <color auto="1"/>
        </left>
        <right style="thin">
          <color auto="1"/>
        </right>
        <top style="hair">
          <color auto="1"/>
        </top>
        <bottom style="hair">
          <color auto="1"/>
        </bottom>
        <vertical/>
        <horizontal/>
      </border>
    </dxf>
    <dxf>
      <fill>
        <patternFill>
          <bgColor indexed="13"/>
        </patternFill>
      </fill>
    </dxf>
    <dxf>
      <font>
        <color theme="0"/>
      </font>
      <fill>
        <patternFill>
          <bgColor theme="0"/>
        </patternFill>
      </fill>
      <border>
        <bottom style="hair">
          <color auto="1"/>
        </bottom>
      </border>
    </dxf>
    <dxf>
      <font>
        <color theme="0"/>
      </font>
      <fill>
        <patternFill>
          <bgColor theme="0"/>
        </patternFill>
      </fill>
      <border>
        <left/>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top style="hair">
          <color auto="1"/>
        </top>
        <vertical/>
        <horizontal/>
      </border>
    </dxf>
    <dxf>
      <border>
        <bottom style="thin">
          <color theme="1"/>
        </bottom>
        <vertical/>
        <horizontal/>
      </border>
    </dxf>
    <dxf>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vertical/>
        <horizontal/>
      </border>
    </dxf>
    <dxf>
      <font>
        <color theme="0"/>
      </font>
      <fill>
        <patternFill>
          <bgColor theme="0"/>
        </patternFill>
      </fill>
    </dxf>
    <dxf>
      <fill>
        <patternFill>
          <fgColor indexed="9"/>
          <bgColor indexed="9"/>
        </patternFill>
      </fill>
    </dxf>
    <dxf>
      <fill>
        <patternFill>
          <bgColor rgb="FFFFFF00"/>
        </patternFill>
      </fill>
    </dxf>
    <dxf>
      <fill>
        <patternFill>
          <bgColor indexed="43"/>
        </patternFill>
      </fill>
    </dxf>
    <dxf>
      <fill>
        <patternFill>
          <bgColor indexed="34"/>
        </patternFill>
      </fill>
    </dxf>
    <dxf>
      <font>
        <b val="0"/>
        <i val="0"/>
        <condense val="0"/>
        <extend val="0"/>
      </font>
      <fill>
        <patternFill patternType="solid">
          <bgColor indexed="43"/>
        </patternFill>
      </fill>
    </dxf>
    <dxf>
      <border>
        <left style="hair">
          <color auto="1"/>
        </left>
        <right style="hair">
          <color auto="1"/>
        </right>
        <vertical/>
        <horizontal/>
      </border>
    </dxf>
    <dxf>
      <fill>
        <patternFill>
          <bgColor indexed="9"/>
        </patternFill>
      </fill>
    </dxf>
    <dxf>
      <font>
        <color theme="0"/>
      </font>
      <fill>
        <patternFill>
          <bgColor theme="0"/>
        </patternFill>
      </fill>
    </dxf>
    <dxf>
      <fill>
        <patternFill>
          <bgColor indexed="13"/>
        </patternFill>
      </fill>
    </dxf>
    <dxf>
      <fill>
        <patternFill>
          <bgColor indexed="9"/>
        </patternFill>
      </fill>
    </dxf>
    <dxf>
      <fill>
        <patternFill>
          <bgColor indexed="43"/>
        </patternFill>
      </fill>
    </dxf>
    <dxf>
      <fill>
        <patternFill>
          <bgColor indexed="13"/>
        </patternFill>
      </fill>
    </dxf>
    <dxf>
      <fill>
        <patternFill>
          <bgColor theme="0"/>
        </patternFill>
      </fill>
    </dxf>
    <dxf>
      <fill>
        <patternFill>
          <bgColor rgb="FFFFFF00"/>
        </patternFill>
      </fill>
    </dxf>
    <dxf>
      <fill>
        <patternFill>
          <bgColor indexed="13"/>
        </patternFill>
      </fill>
    </dxf>
    <dxf>
      <font>
        <color auto="1"/>
      </font>
      <fill>
        <patternFill>
          <bgColor theme="0"/>
        </patternFill>
      </fill>
    </dxf>
    <dxf>
      <fill>
        <patternFill>
          <bgColor rgb="FFFFFF99"/>
        </patternFill>
      </fill>
    </dxf>
    <dxf>
      <fill>
        <patternFill>
          <bgColor indexed="9"/>
        </patternFill>
      </fill>
    </dxf>
    <dxf>
      <font>
        <color theme="0"/>
      </font>
      <fill>
        <patternFill>
          <bgColor theme="0"/>
        </patternFill>
      </fill>
    </dxf>
    <dxf>
      <font>
        <color theme="1"/>
      </font>
    </dxf>
    <dxf>
      <font>
        <b val="0"/>
        <i val="0"/>
        <color theme="1"/>
      </font>
      <fill>
        <patternFill patternType="solid">
          <bgColor rgb="FFEEFFDD"/>
        </patternFill>
      </fill>
    </dxf>
    <dxf>
      <font>
        <b val="0"/>
        <i val="0"/>
        <color theme="1"/>
      </font>
      <fill>
        <patternFill patternType="solid">
          <bgColor indexed="13"/>
        </patternFill>
      </fill>
    </dxf>
    <dxf>
      <font>
        <color theme="1"/>
      </font>
      <fill>
        <patternFill>
          <bgColor rgb="FFEEFFDD"/>
        </patternFill>
      </fill>
    </dxf>
    <dxf>
      <fill>
        <patternFill>
          <bgColor rgb="FFFFC000"/>
        </patternFill>
      </fill>
    </dxf>
    <dxf>
      <font>
        <color theme="0"/>
      </font>
      <fill>
        <patternFill>
          <bgColor theme="0"/>
        </patternFill>
      </fill>
    </dxf>
    <dxf>
      <font>
        <condense val="0"/>
        <extend val="0"/>
        <color auto="1"/>
      </font>
      <fill>
        <patternFill>
          <bgColor indexed="9"/>
        </patternFill>
      </fill>
    </dxf>
    <dxf>
      <font>
        <b val="0"/>
        <i val="0"/>
        <condense val="0"/>
        <extend val="0"/>
      </font>
      <fill>
        <patternFill>
          <bgColor indexed="13"/>
        </patternFill>
      </fill>
    </dxf>
    <dxf>
      <font>
        <b val="0"/>
        <i val="0"/>
        <condense val="0"/>
        <extend val="0"/>
      </font>
      <fill>
        <patternFill>
          <bgColor indexed="43"/>
        </patternFill>
      </fill>
    </dxf>
    <dxf>
      <font>
        <color theme="0"/>
      </font>
      <fill>
        <patternFill>
          <bgColor theme="0"/>
        </patternFill>
      </fill>
    </dxf>
    <dxf>
      <fill>
        <patternFill>
          <bgColor rgb="FFFFFF0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rgb="FFFFC000"/>
        </patternFill>
      </fill>
    </dxf>
    <dxf>
      <border>
        <left/>
        <right/>
        <top/>
        <bottom style="hair">
          <color auto="1"/>
        </bottom>
        <vertical/>
        <horizontal/>
      </border>
    </dxf>
    <dxf>
      <fill>
        <patternFill>
          <fgColor theme="0"/>
          <bgColor theme="0"/>
        </patternFill>
      </fill>
      <border>
        <top style="thin">
          <color auto="1"/>
        </top>
        <bottom style="hair">
          <color auto="1"/>
        </bottom>
        <vertical/>
        <horizontal/>
      </border>
    </dxf>
    <dxf>
      <fill>
        <patternFill>
          <bgColor rgb="FFFFFF00"/>
        </patternFill>
      </fill>
    </dxf>
    <dxf>
      <fill>
        <patternFill>
          <bgColor indexed="43"/>
        </patternFill>
      </fill>
    </dxf>
    <dxf>
      <fill>
        <patternFill>
          <bgColor indexed="13"/>
        </patternFill>
      </fill>
    </dxf>
    <dxf>
      <font>
        <b val="0"/>
        <i val="0"/>
        <condense val="0"/>
        <extend val="0"/>
      </font>
      <fill>
        <patternFill patternType="solid">
          <bgColor indexed="43"/>
        </patternFill>
      </fill>
    </dxf>
    <dxf>
      <border>
        <left style="hair">
          <color auto="1"/>
        </left>
        <top style="hair">
          <color auto="1"/>
        </top>
        <bottom style="thin">
          <color auto="1"/>
        </bottom>
        <vertical/>
        <horizontal/>
      </border>
    </dxf>
    <dxf>
      <font>
        <b val="0"/>
        <i/>
      </font>
      <border>
        <left/>
        <right/>
        <top style="thin">
          <color auto="1"/>
        </top>
        <bottom/>
        <vertical/>
        <horizontal/>
      </border>
    </dxf>
    <dxf>
      <fill>
        <patternFill>
          <bgColor indexed="9"/>
        </patternFill>
      </fill>
    </dxf>
    <dxf>
      <font>
        <color theme="0"/>
      </font>
      <fill>
        <patternFill>
          <bgColor theme="0"/>
        </patternFill>
      </fill>
    </dxf>
    <dxf>
      <fill>
        <patternFill>
          <bgColor indexed="13"/>
        </patternFill>
      </fill>
    </dxf>
    <dxf>
      <fill>
        <patternFill>
          <bgColor indexed="9"/>
        </patternFill>
      </fill>
    </dxf>
    <dxf>
      <fill>
        <patternFill>
          <bgColor indexed="43"/>
        </patternFill>
      </fill>
    </dxf>
    <dxf>
      <fill>
        <patternFill>
          <bgColor indexed="13"/>
        </patternFill>
      </fill>
    </dxf>
    <dxf>
      <fill>
        <patternFill>
          <bgColor theme="0"/>
        </patternFill>
      </fill>
    </dxf>
    <dxf>
      <fill>
        <patternFill>
          <bgColor rgb="FFFFFF00"/>
        </patternFill>
      </fill>
    </dxf>
    <dxf>
      <fill>
        <patternFill>
          <bgColor indexed="13"/>
        </patternFill>
      </fill>
    </dxf>
    <dxf>
      <font>
        <color auto="1"/>
      </font>
      <fill>
        <patternFill>
          <bgColor theme="0"/>
        </patternFill>
      </fill>
    </dxf>
    <dxf>
      <fill>
        <patternFill>
          <bgColor rgb="FFFFFF99"/>
        </patternFill>
      </fill>
    </dxf>
    <dxf>
      <fill>
        <patternFill>
          <bgColor indexed="9"/>
        </patternFill>
      </fill>
    </dxf>
    <dxf>
      <font>
        <color theme="0"/>
      </font>
      <fill>
        <patternFill>
          <bgColor theme="0"/>
        </patternFill>
      </fill>
    </dxf>
    <dxf>
      <font>
        <color theme="1"/>
      </font>
    </dxf>
    <dxf>
      <font>
        <b val="0"/>
        <i val="0"/>
        <color theme="1"/>
      </font>
      <fill>
        <patternFill patternType="solid">
          <bgColor rgb="FFEEFFDD"/>
        </patternFill>
      </fill>
    </dxf>
    <dxf>
      <font>
        <b val="0"/>
        <i val="0"/>
        <color theme="1"/>
      </font>
      <fill>
        <patternFill patternType="solid">
          <bgColor indexed="13"/>
        </patternFill>
      </fill>
    </dxf>
    <dxf>
      <font>
        <color theme="1"/>
      </font>
      <fill>
        <patternFill>
          <bgColor rgb="FFEEFFDD"/>
        </patternFill>
      </fill>
    </dxf>
    <dxf>
      <fill>
        <patternFill>
          <bgColor rgb="FFFFC000"/>
        </patternFill>
      </fill>
    </dxf>
    <dxf>
      <font>
        <color theme="0"/>
      </font>
      <fill>
        <patternFill>
          <bgColor theme="0"/>
        </patternFill>
      </fill>
    </dxf>
    <dxf>
      <font>
        <condense val="0"/>
        <extend val="0"/>
        <color auto="1"/>
      </font>
      <fill>
        <patternFill>
          <bgColor indexed="9"/>
        </patternFill>
      </fill>
    </dxf>
    <dxf>
      <font>
        <b val="0"/>
        <i val="0"/>
        <condense val="0"/>
        <extend val="0"/>
      </font>
      <fill>
        <patternFill>
          <bgColor indexed="13"/>
        </patternFill>
      </fill>
    </dxf>
    <dxf>
      <font>
        <b val="0"/>
        <i val="0"/>
        <condense val="0"/>
        <extend val="0"/>
      </font>
      <fill>
        <patternFill>
          <bgColor indexed="43"/>
        </patternFill>
      </fill>
    </dxf>
    <dxf>
      <font>
        <color theme="0"/>
      </font>
      <fill>
        <patternFill>
          <bgColor theme="0"/>
        </patternFill>
      </fill>
    </dxf>
    <dxf>
      <font>
        <color theme="0"/>
      </font>
      <fill>
        <patternFill>
          <bgColor theme="0"/>
        </patternFill>
      </fill>
    </dxf>
    <dxf>
      <font>
        <b/>
        <i val="0"/>
        <condense val="0"/>
        <extend val="0"/>
        <color indexed="10"/>
      </font>
    </dxf>
    <dxf>
      <font>
        <color theme="0"/>
      </font>
      <fill>
        <patternFill>
          <bgColor theme="0"/>
        </patternFill>
      </fill>
      <border>
        <left/>
        <right/>
        <top style="thin">
          <color auto="1"/>
        </top>
        <bottom/>
        <vertical/>
        <horizontal/>
      </border>
    </dxf>
    <dxf>
      <fill>
        <patternFill>
          <bgColor rgb="FFFFFF00"/>
        </patternFill>
      </fill>
    </dxf>
    <dxf>
      <font>
        <color theme="0"/>
      </font>
      <fill>
        <patternFill>
          <bgColor theme="0"/>
        </patternFill>
      </fill>
    </dxf>
    <dxf>
      <font>
        <color theme="0"/>
      </font>
      <fill>
        <patternFill>
          <bgColor theme="0"/>
        </patternFill>
      </fill>
    </dxf>
    <dxf>
      <font>
        <color theme="0"/>
      </font>
      <fill>
        <patternFill>
          <bgColor theme="0"/>
        </patternFill>
      </fill>
    </dxf>
    <dxf>
      <font>
        <b/>
        <i val="0"/>
        <condense val="0"/>
        <extend val="0"/>
        <color indexed="10"/>
      </font>
    </dxf>
    <dxf>
      <fill>
        <patternFill>
          <bgColor rgb="FFFFC000"/>
        </patternFill>
      </fill>
    </dxf>
    <dxf>
      <font>
        <color theme="0"/>
      </font>
      <fill>
        <patternFill>
          <bgColor theme="0"/>
        </patternFill>
      </fill>
    </dxf>
    <dxf>
      <font>
        <color theme="1"/>
      </font>
      <border>
        <bottom style="hair">
          <color auto="1"/>
        </bottom>
        <vertical/>
        <horizontal/>
      </border>
    </dxf>
    <dxf>
      <border>
        <top style="thin">
          <color auto="1"/>
        </top>
        <vertical/>
        <horizontal/>
      </border>
    </dxf>
    <dxf>
      <fill>
        <patternFill>
          <bgColor theme="0"/>
        </patternFill>
      </fill>
      <border>
        <bottom style="hair">
          <color auto="1"/>
        </bottom>
      </border>
    </dxf>
    <dxf>
      <fill>
        <patternFill>
          <bgColor theme="0"/>
        </patternFill>
      </fill>
    </dxf>
    <dxf>
      <font>
        <color theme="0"/>
      </font>
      <fill>
        <patternFill>
          <bgColor theme="0"/>
        </patternFill>
      </fill>
    </dxf>
    <dxf>
      <border>
        <right/>
        <top/>
        <bottom/>
        <vertical/>
        <horizontal/>
      </border>
    </dxf>
    <dxf>
      <font>
        <color theme="0"/>
      </font>
      <fill>
        <patternFill>
          <bgColor theme="0"/>
        </patternFill>
      </fill>
      <border>
        <left/>
        <right/>
        <vertical/>
        <horizontal/>
      </border>
    </dxf>
    <dxf>
      <border>
        <left style="thin">
          <color auto="1"/>
        </left>
        <right style="hair">
          <color auto="1"/>
        </right>
        <top style="hair">
          <color auto="1"/>
        </top>
        <bottom style="hair">
          <color auto="1"/>
        </bottom>
        <vertical/>
        <horizontal/>
      </border>
    </dxf>
    <dxf>
      <fill>
        <patternFill>
          <bgColor indexed="13"/>
        </patternFill>
      </fill>
    </dxf>
    <dxf>
      <fill>
        <patternFill>
          <bgColor indexed="34"/>
        </patternFill>
      </fill>
    </dxf>
    <dxf>
      <fill>
        <patternFill>
          <bgColor indexed="34"/>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border>
        <bottom style="thin">
          <color theme="1"/>
        </bottom>
        <vertical/>
        <horizontal/>
      </border>
    </dxf>
    <dxf>
      <font>
        <b val="0"/>
        <i val="0"/>
        <condense val="0"/>
        <extend val="0"/>
        <color auto="1"/>
      </font>
      <fill>
        <patternFill patternType="solid">
          <bgColor rgb="FFFFFF00"/>
        </patternFill>
      </fill>
    </dxf>
    <dxf>
      <fill>
        <patternFill patternType="solid">
          <fgColor indexed="9"/>
          <bgColor indexed="43"/>
        </patternFill>
      </fill>
    </dxf>
    <dxf>
      <fill>
        <patternFill>
          <bgColor indexed="13"/>
        </patternFill>
      </fill>
    </dxf>
    <dxf>
      <font>
        <b val="0"/>
        <i val="0"/>
        <condense val="0"/>
        <extend val="0"/>
        <color auto="1"/>
      </font>
      <fill>
        <patternFill patternType="solid">
          <bgColor indexed="43"/>
        </patternFill>
      </fill>
    </dxf>
    <dxf>
      <border>
        <left style="hair">
          <color auto="1"/>
        </left>
        <right style="hair">
          <color auto="1"/>
        </right>
        <top style="hair">
          <color auto="1"/>
        </top>
        <bottom style="thin">
          <color auto="1"/>
        </bottom>
        <vertical/>
        <horizontal/>
      </border>
    </dxf>
    <dxf>
      <border>
        <left style="thin">
          <color auto="1"/>
        </left>
        <right/>
        <top/>
        <bottom style="hair">
          <color auto="1"/>
        </bottom>
        <vertical/>
        <horizontal/>
      </border>
    </dxf>
    <dxf>
      <font>
        <color theme="0"/>
      </font>
    </dxf>
    <dxf>
      <font>
        <color theme="0"/>
      </font>
      <fill>
        <patternFill>
          <fgColor theme="0"/>
          <bgColor theme="0"/>
        </patternFill>
      </fill>
      <border>
        <top style="thin">
          <color auto="1"/>
        </top>
        <bottom style="hair">
          <color auto="1"/>
        </bottom>
      </border>
    </dxf>
    <dxf>
      <border>
        <bottom style="hair">
          <color auto="1"/>
        </bottom>
        <vertical/>
        <horizontal/>
      </border>
    </dxf>
    <dxf>
      <fill>
        <patternFill>
          <bgColor indexed="9"/>
        </patternFill>
      </fill>
    </dxf>
    <dxf>
      <font>
        <color theme="0"/>
      </font>
      <fill>
        <patternFill>
          <bgColor theme="0"/>
        </patternFill>
      </fill>
    </dxf>
    <dxf>
      <fill>
        <patternFill>
          <bgColor indexed="13"/>
        </patternFill>
      </fill>
    </dxf>
    <dxf>
      <fill>
        <patternFill>
          <bgColor indexed="9"/>
        </patternFill>
      </fill>
    </dxf>
    <dxf>
      <fill>
        <patternFill>
          <bgColor indexed="43"/>
        </patternFill>
      </fill>
    </dxf>
    <dxf>
      <fill>
        <patternFill>
          <bgColor indexed="13"/>
        </patternFill>
      </fill>
    </dxf>
    <dxf>
      <fill>
        <patternFill>
          <bgColor theme="0"/>
        </patternFill>
      </fill>
    </dxf>
    <dxf>
      <fill>
        <patternFill>
          <bgColor rgb="FFFFFF00"/>
        </patternFill>
      </fill>
    </dxf>
    <dxf>
      <fill>
        <patternFill>
          <bgColor indexed="13"/>
        </patternFill>
      </fill>
    </dxf>
    <dxf>
      <font>
        <color auto="1"/>
      </font>
      <fill>
        <patternFill>
          <bgColor theme="0"/>
        </patternFill>
      </fill>
    </dxf>
    <dxf>
      <fill>
        <patternFill>
          <bgColor rgb="FFFFFF99"/>
        </patternFill>
      </fill>
    </dxf>
    <dxf>
      <font>
        <color theme="0"/>
      </font>
      <fill>
        <patternFill>
          <bgColor theme="0"/>
        </patternFill>
      </fill>
    </dxf>
    <dxf>
      <font>
        <color theme="1"/>
      </font>
    </dxf>
    <dxf>
      <font>
        <b val="0"/>
        <i val="0"/>
        <color theme="1"/>
      </font>
      <fill>
        <patternFill patternType="solid">
          <bgColor rgb="FFEEFFDD"/>
        </patternFill>
      </fill>
    </dxf>
    <dxf>
      <font>
        <b val="0"/>
        <i val="0"/>
        <color theme="1"/>
      </font>
      <fill>
        <patternFill patternType="solid">
          <bgColor indexed="13"/>
        </patternFill>
      </fill>
    </dxf>
    <dxf>
      <font>
        <color theme="1"/>
      </font>
      <fill>
        <patternFill>
          <bgColor rgb="FFEEFFDD"/>
        </patternFill>
      </fill>
    </dxf>
    <dxf>
      <fill>
        <patternFill>
          <bgColor rgb="FFFFC000"/>
        </patternFill>
      </fill>
    </dxf>
    <dxf>
      <font>
        <color theme="0"/>
      </font>
      <fill>
        <patternFill>
          <bgColor theme="0"/>
        </patternFill>
      </fill>
    </dxf>
    <dxf>
      <font>
        <condense val="0"/>
        <extend val="0"/>
        <color auto="1"/>
      </font>
      <fill>
        <patternFill>
          <bgColor indexed="9"/>
        </patternFill>
      </fill>
    </dxf>
    <dxf>
      <font>
        <b val="0"/>
        <i val="0"/>
        <condense val="0"/>
        <extend val="0"/>
      </font>
      <fill>
        <patternFill>
          <bgColor indexed="13"/>
        </patternFill>
      </fill>
    </dxf>
    <dxf>
      <font>
        <b val="0"/>
        <i val="0"/>
        <condense val="0"/>
        <extend val="0"/>
      </font>
      <fill>
        <patternFill>
          <bgColor indexed="43"/>
        </patternFill>
      </fill>
    </dxf>
    <dxf>
      <font>
        <color theme="0"/>
      </font>
      <fill>
        <patternFill>
          <bgColor theme="0"/>
        </patternFill>
      </fill>
    </dxf>
    <dxf>
      <fill>
        <patternFill>
          <bgColor rgb="FFFFFF0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rgb="FFFFC000"/>
        </patternFill>
      </fill>
    </dxf>
    <dxf>
      <border>
        <right style="thin">
          <color auto="1"/>
        </right>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ill>
        <patternFill>
          <bgColor indexed="9"/>
        </patternFill>
      </fill>
    </dxf>
    <dxf>
      <font>
        <condense val="0"/>
        <extend val="0"/>
        <color indexed="9"/>
      </font>
    </dxf>
    <dxf>
      <font>
        <b val="0"/>
        <i val="0"/>
        <condense val="0"/>
        <extend val="0"/>
      </font>
      <fill>
        <patternFill patternType="solid">
          <bgColor indexed="43"/>
        </patternFill>
      </fill>
    </dxf>
    <dxf>
      <font>
        <b/>
        <i val="0"/>
        <condense val="0"/>
        <extend val="0"/>
        <color indexed="10"/>
      </font>
    </dxf>
    <dxf>
      <fill>
        <patternFill>
          <bgColor indexed="9"/>
        </patternFill>
      </fill>
    </dxf>
    <dxf>
      <font>
        <b/>
        <i val="0"/>
        <condense val="0"/>
        <extend val="0"/>
        <color indexed="10"/>
      </font>
    </dxf>
    <dxf>
      <fill>
        <patternFill>
          <bgColor indexed="9"/>
        </patternFill>
      </fill>
    </dxf>
    <dxf>
      <fill>
        <patternFill>
          <bgColor indexed="9"/>
        </patternFill>
      </fill>
    </dxf>
    <dxf>
      <fill>
        <patternFill>
          <bgColor indexed="13"/>
        </patternFill>
      </fill>
    </dxf>
    <dxf>
      <font>
        <color theme="1"/>
      </font>
    </dxf>
    <dxf>
      <font>
        <color theme="0"/>
      </font>
      <border>
        <right style="thin">
          <color auto="1"/>
        </right>
      </border>
    </dxf>
    <dxf>
      <border>
        <bottom style="thin">
          <color theme="1"/>
        </bottom>
        <vertical/>
        <horizontal/>
      </border>
    </dxf>
    <dxf>
      <border>
        <left/>
        <right/>
        <top/>
        <bottom style="hair">
          <color auto="1"/>
        </bottom>
        <vertical/>
        <horizontal/>
      </border>
    </dxf>
    <dxf>
      <font>
        <color theme="0"/>
      </font>
      <fill>
        <patternFill>
          <bgColor theme="0"/>
        </patternFill>
      </fill>
    </dxf>
    <dxf>
      <border>
        <right style="thin">
          <color auto="1"/>
        </right>
        <vertical/>
        <horizontal/>
      </border>
    </dxf>
    <dxf>
      <font>
        <color rgb="FFFFFF99"/>
      </font>
      <fill>
        <patternFill>
          <bgColor rgb="FFFFFF99"/>
        </patternFill>
      </fill>
      <border>
        <left/>
        <right style="thin">
          <color auto="1"/>
        </right>
        <top/>
        <bottom style="hair">
          <color auto="1"/>
        </bottom>
        <vertical/>
        <horizontal/>
      </border>
    </dxf>
    <dxf>
      <fill>
        <patternFill>
          <bgColor rgb="FFFFFF00"/>
        </patternFill>
      </fill>
      <border>
        <left style="hair">
          <color auto="1"/>
        </left>
        <right style="thin">
          <color auto="1"/>
        </right>
        <bottom style="hair">
          <color auto="1"/>
        </bottom>
        <vertical/>
        <horizontal/>
      </border>
    </dxf>
    <dxf>
      <fill>
        <patternFill>
          <bgColor indexed="9"/>
        </patternFill>
      </fill>
    </dxf>
    <dxf>
      <fill>
        <patternFill>
          <bgColor indexed="13"/>
        </patternFill>
      </fill>
    </dxf>
    <dxf>
      <fill>
        <patternFill>
          <bgColor indexed="13"/>
        </patternFill>
      </fill>
    </dxf>
    <dxf>
      <font>
        <color theme="0"/>
      </font>
      <fill>
        <patternFill>
          <bgColor theme="0"/>
        </patternFill>
      </fill>
    </dxf>
    <dxf>
      <fill>
        <patternFill>
          <bgColor indexed="9"/>
        </patternFill>
      </fill>
    </dxf>
    <dxf>
      <font>
        <color theme="1"/>
      </font>
      <fill>
        <patternFill>
          <bgColor rgb="FFFFFF00"/>
        </patternFill>
      </fill>
    </dxf>
    <dxf>
      <font>
        <color theme="1"/>
      </font>
      <fill>
        <patternFill>
          <bgColor indexed="13"/>
        </patternFill>
      </fill>
    </dxf>
    <dxf>
      <font>
        <color auto="1"/>
      </font>
      <fill>
        <patternFill>
          <bgColor rgb="FFFFFF99"/>
        </patternFill>
      </fill>
    </dxf>
    <dxf>
      <font>
        <color theme="0"/>
      </font>
      <fill>
        <patternFill>
          <bgColor theme="0"/>
        </patternFill>
      </fill>
    </dxf>
    <dxf>
      <font>
        <color auto="1"/>
      </font>
    </dxf>
    <dxf>
      <font>
        <b val="0"/>
        <i val="0"/>
        <color theme="1"/>
      </font>
      <fill>
        <patternFill patternType="solid">
          <bgColor rgb="FFEEFFDD"/>
        </patternFill>
      </fill>
    </dxf>
    <dxf>
      <font>
        <b val="0"/>
        <i val="0"/>
        <color theme="1"/>
      </font>
      <fill>
        <patternFill patternType="solid">
          <bgColor indexed="13"/>
        </patternFill>
      </fill>
    </dxf>
    <dxf>
      <font>
        <color theme="1"/>
      </font>
      <fill>
        <patternFill>
          <bgColor rgb="FFEEFFDD"/>
        </patternFill>
      </fill>
    </dxf>
    <dxf>
      <fill>
        <patternFill>
          <bgColor rgb="FFFFC000"/>
        </patternFill>
      </fill>
    </dxf>
    <dxf>
      <font>
        <condense val="0"/>
        <extend val="0"/>
        <color auto="1"/>
      </font>
      <fill>
        <patternFill>
          <bgColor indexed="9"/>
        </patternFill>
      </fill>
    </dxf>
    <dxf>
      <fill>
        <patternFill>
          <bgColor indexed="13"/>
        </patternFill>
      </fill>
    </dxf>
    <dxf>
      <fill>
        <patternFill>
          <bgColor indexed="9"/>
        </patternFill>
      </fill>
    </dxf>
    <dxf>
      <font>
        <color theme="0"/>
      </font>
      <fill>
        <patternFill>
          <bgColor theme="0"/>
        </patternFill>
      </fill>
    </dxf>
    <dxf>
      <fill>
        <patternFill>
          <bgColor rgb="FFFFFF00"/>
        </patternFill>
      </fill>
    </dxf>
    <dxf>
      <font>
        <color theme="0"/>
      </font>
      <fill>
        <patternFill>
          <bgColor theme="0"/>
        </patternFill>
      </fill>
    </dxf>
    <dxf>
      <font>
        <color theme="0"/>
      </font>
      <fill>
        <patternFill>
          <bgColor theme="0"/>
        </patternFill>
      </fill>
    </dxf>
    <dxf>
      <fill>
        <patternFill>
          <bgColor rgb="FFFFC000"/>
        </patternFill>
      </fill>
    </dxf>
    <dxf>
      <border>
        <left style="hair">
          <color auto="1"/>
        </left>
        <right style="hair">
          <color auto="1"/>
        </right>
        <top style="hair">
          <color auto="1"/>
        </top>
        <bottom style="thin">
          <color auto="1"/>
        </bottom>
        <vertical/>
        <horizontal/>
      </border>
    </dxf>
    <dxf>
      <border>
        <left/>
        <right/>
        <top/>
        <bottom/>
        <vertical/>
        <horizontal/>
      </border>
    </dxf>
    <dxf>
      <font>
        <color theme="0"/>
      </font>
      <fill>
        <patternFill>
          <fgColor theme="0"/>
          <bgColor theme="0"/>
        </patternFill>
      </fill>
      <border>
        <left/>
        <right/>
        <top style="thin">
          <color auto="1"/>
        </top>
        <bottom style="hair">
          <color auto="1"/>
        </bottom>
        <vertical/>
        <horizontal/>
      </border>
    </dxf>
    <dxf>
      <fill>
        <patternFill>
          <bgColor rgb="FFFFC000"/>
        </patternFill>
      </fill>
    </dxf>
    <dxf>
      <font>
        <color theme="0"/>
      </font>
      <fill>
        <patternFill>
          <bgColor theme="0"/>
        </patternFill>
      </fill>
      <border>
        <left/>
        <right/>
        <top/>
        <bottom/>
        <vertical/>
        <horizontal/>
      </border>
    </dxf>
    <dxf>
      <border>
        <right/>
        <vertical/>
        <horizontal/>
      </border>
    </dxf>
    <dxf>
      <fill>
        <patternFill>
          <fgColor theme="0"/>
          <bgColor theme="0"/>
        </patternFill>
      </fill>
      <border>
        <left/>
        <right/>
        <top style="thin">
          <color auto="1"/>
        </top>
        <bottom style="hair">
          <color auto="1"/>
        </bottom>
        <vertical/>
        <horizontal/>
      </border>
    </dxf>
    <dxf>
      <font>
        <color theme="0"/>
      </font>
    </dxf>
    <dxf>
      <font>
        <color theme="0"/>
      </font>
      <fill>
        <patternFill>
          <bgColor theme="0"/>
        </patternFill>
      </fill>
      <border>
        <left/>
        <right/>
        <top/>
        <bottom/>
        <vertical/>
        <horizontal/>
      </border>
    </dxf>
    <dxf>
      <border>
        <bottom style="hair">
          <color auto="1"/>
        </bottom>
        <vertical/>
        <horizontal/>
      </border>
    </dxf>
    <dxf>
      <fill>
        <patternFill>
          <bgColor theme="0"/>
        </patternFill>
      </fill>
    </dxf>
    <dxf>
      <border>
        <bottom/>
        <vertical/>
        <horizontal/>
      </border>
    </dxf>
    <dxf>
      <border>
        <bottom style="thin">
          <color auto="1"/>
        </bottom>
        <vertical/>
        <horizontal/>
      </border>
    </dxf>
    <dxf>
      <font>
        <color theme="0"/>
      </font>
      <fill>
        <patternFill>
          <bgColor theme="0"/>
        </patternFill>
      </fill>
      <border>
        <left/>
        <right/>
        <bottom/>
        <vertical/>
        <horizontal/>
      </border>
    </dxf>
    <dxf>
      <font>
        <color theme="0"/>
      </font>
      <fill>
        <patternFill>
          <bgColor theme="0"/>
        </patternFill>
      </fill>
      <border>
        <bottom style="thin">
          <color auto="1"/>
        </bottom>
        <vertical/>
        <horizontal/>
      </border>
    </dxf>
    <dxf>
      <border>
        <left style="thin">
          <color auto="1"/>
        </left>
        <right style="thin">
          <color auto="1"/>
        </right>
        <top/>
        <bottom/>
        <vertical/>
        <horizontal/>
      </border>
    </dxf>
    <dxf>
      <border>
        <left/>
        <right/>
        <top/>
        <vertical/>
        <horizontal/>
      </border>
    </dxf>
    <dxf>
      <border>
        <top style="thin">
          <color auto="1"/>
        </top>
        <bottom style="thin">
          <color auto="1"/>
        </bottom>
        <vertical/>
        <horizontal/>
      </border>
    </dxf>
    <dxf>
      <border>
        <left style="thin">
          <color auto="1"/>
        </left>
        <vertical/>
        <horizontal/>
      </border>
    </dxf>
    <dxf>
      <font>
        <color theme="0"/>
      </font>
      <fill>
        <patternFill>
          <fgColor theme="0"/>
          <bgColor theme="0"/>
        </patternFill>
      </fill>
      <border>
        <left/>
        <right/>
        <top style="thin">
          <color auto="1"/>
        </top>
        <bottom style="hair">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1"/>
      </font>
      <border>
        <left/>
        <right/>
        <top style="thin">
          <color auto="1"/>
        </top>
        <bottom/>
        <vertical/>
        <horizontal/>
      </border>
    </dxf>
    <dxf>
      <font>
        <color theme="0"/>
      </font>
      <fill>
        <patternFill>
          <bgColor theme="0"/>
        </patternFill>
      </fill>
      <border>
        <left/>
        <right/>
        <top/>
        <bottom/>
        <vertical/>
        <horizontal/>
      </border>
    </dxf>
    <dxf>
      <font>
        <color theme="0"/>
      </font>
    </dxf>
    <dxf>
      <font>
        <color theme="0"/>
      </font>
      <fill>
        <patternFill>
          <bgColor theme="0"/>
        </patternFill>
      </fill>
      <border>
        <left/>
        <right/>
        <top style="thin">
          <color auto="1"/>
        </top>
        <bottom/>
        <vertical/>
        <horizontal/>
      </border>
    </dxf>
    <dxf>
      <font>
        <color theme="0"/>
      </font>
    </dxf>
    <dxf>
      <font>
        <color theme="0"/>
      </font>
    </dxf>
    <dxf>
      <font>
        <color auto="1"/>
      </font>
    </dxf>
    <dxf>
      <font>
        <color theme="0"/>
      </font>
      <fill>
        <patternFill>
          <bgColor theme="0"/>
        </patternFill>
      </fill>
      <border>
        <left/>
        <right/>
        <top style="thin">
          <color auto="1"/>
        </top>
        <bottom/>
        <vertical/>
        <horizontal/>
      </border>
    </dxf>
    <dxf>
      <font>
        <color theme="0"/>
      </font>
      <fill>
        <patternFill>
          <bgColor theme="0"/>
        </patternFill>
      </fill>
    </dxf>
    <dxf>
      <font>
        <color theme="0"/>
      </font>
      <border>
        <left/>
        <right/>
        <top style="thin">
          <color auto="1"/>
        </top>
        <bottom/>
        <vertical/>
        <horizontal/>
      </border>
    </dxf>
    <dxf>
      <border>
        <left style="hair">
          <color auto="1"/>
        </left>
        <top style="hair">
          <color auto="1"/>
        </top>
        <bottom style="hair">
          <color auto="1"/>
        </bottom>
        <vertical/>
        <horizontal/>
      </border>
    </dxf>
    <dxf>
      <border>
        <bottom style="thin">
          <color auto="1"/>
        </bottom>
        <vertical/>
        <horizontal/>
      </border>
    </dxf>
    <dxf>
      <font>
        <color theme="0"/>
      </font>
      <fill>
        <patternFill>
          <bgColor theme="0"/>
        </patternFill>
      </fill>
    </dxf>
    <dxf>
      <font>
        <color theme="0"/>
      </font>
    </dxf>
    <dxf>
      <font>
        <color auto="1"/>
      </font>
    </dxf>
    <dxf>
      <font>
        <color theme="0"/>
      </font>
    </dxf>
    <dxf>
      <border>
        <left style="thin">
          <color auto="1"/>
        </left>
        <bottom style="thin">
          <color auto="1"/>
        </bottom>
        <vertical/>
        <horizontal/>
      </border>
    </dxf>
    <dxf>
      <font>
        <color theme="1"/>
      </font>
    </dxf>
    <dxf>
      <font>
        <b/>
        <i/>
      </font>
      <border>
        <left style="thin">
          <color auto="1"/>
        </left>
        <vertical/>
        <horizontal/>
      </border>
    </dxf>
    <dxf>
      <border>
        <left style="thin">
          <color auto="1"/>
        </left>
        <top style="thin">
          <color auto="1"/>
        </top>
        <bottom style="thin">
          <color auto="1"/>
        </bottom>
        <vertical/>
        <horizontal/>
      </border>
    </dxf>
    <dxf>
      <border>
        <left style="thin">
          <color auto="1"/>
        </left>
        <vertical/>
        <horizontal/>
      </border>
    </dxf>
    <dxf>
      <border>
        <left style="thin">
          <color auto="1"/>
        </left>
        <bottom style="hair">
          <color auto="1"/>
        </bottom>
        <vertical/>
        <horizontal/>
      </border>
    </dxf>
    <dxf>
      <font>
        <b/>
        <i val="0"/>
      </font>
    </dxf>
    <dxf>
      <border>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99"/>
      <color rgb="FFFFCCCC"/>
      <color rgb="FF99FF99"/>
      <color rgb="FFFFFF99"/>
      <color rgb="FF0000FF"/>
      <color rgb="FFEEFFDD"/>
      <color rgb="FFCCFFCC"/>
      <color rgb="FFCC99FF"/>
      <color rgb="FF9966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11/relationships/chartColorStyle" Target="colors1.xml"/><Relationship Id="rId1" Type="http://schemas.microsoft.com/office/2011/relationships/chartStyle" Target="style1.xml"/><Relationship Id="rId5" Type="http://schemas.openxmlformats.org/officeDocument/2006/relationships/image" Target="../media/image3.png"/><Relationship Id="rId4" Type="http://schemas.openxmlformats.org/officeDocument/2006/relationships/image" Target="../media/image2.png"/></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11/relationships/chartColorStyle" Target="colors2.xml"/><Relationship Id="rId1" Type="http://schemas.microsoft.com/office/2011/relationships/chartStyle" Target="style2.xml"/><Relationship Id="rId5" Type="http://schemas.openxmlformats.org/officeDocument/2006/relationships/image" Target="../media/image3.png"/><Relationship Id="rId4" Type="http://schemas.openxmlformats.org/officeDocument/2006/relationships/image" Target="../media/image2.png"/></Relationships>
</file>

<file path=xl/charts/_rels/chart3.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3.xml"/><Relationship Id="rId1" Type="http://schemas.microsoft.com/office/2011/relationships/chartStyle" Target="style3.xml"/><Relationship Id="rId5" Type="http://schemas.openxmlformats.org/officeDocument/2006/relationships/image" Target="../media/image3.png"/><Relationship Id="rId4" Type="http://schemas.openxmlformats.org/officeDocument/2006/relationships/image" Target="../media/image1.png"/></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11/relationships/chartColorStyle" Target="colors5.xml"/><Relationship Id="rId1" Type="http://schemas.microsoft.com/office/2011/relationships/chartStyle" Target="style5.xml"/><Relationship Id="rId5" Type="http://schemas.openxmlformats.org/officeDocument/2006/relationships/image" Target="../media/image3.png"/><Relationship Id="rId4" Type="http://schemas.openxmlformats.org/officeDocument/2006/relationships/image" Target="../media/image2.png"/></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11/relationships/chartColorStyle" Target="colors7.xml"/><Relationship Id="rId1" Type="http://schemas.microsoft.com/office/2011/relationships/chartStyle" Target="style7.xml"/><Relationship Id="rId5" Type="http://schemas.openxmlformats.org/officeDocument/2006/relationships/image" Target="../media/image3.png"/><Relationship Id="rId4" Type="http://schemas.openxmlformats.org/officeDocument/2006/relationships/image" Target="../media/image2.png"/></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77777777777779E-3"/>
          <c:y val="0"/>
          <c:w val="0.99722222222222223"/>
          <c:h val="1"/>
        </c:manualLayout>
      </c:layout>
      <c:barChart>
        <c:barDir val="col"/>
        <c:grouping val="percentStacked"/>
        <c:varyColors val="0"/>
        <c:ser>
          <c:idx val="1"/>
          <c:order val="1"/>
          <c:spPr>
            <a:blipFill>
              <a:blip xmlns:r="http://schemas.openxmlformats.org/officeDocument/2006/relationships" r:embed="rId3"/>
              <a:stretch>
                <a:fillRect/>
              </a:stretch>
            </a:blip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xmlns:c16r2="http://schemas.microsoft.com/office/drawing/2015/06/chart">
              <c:ext xmlns:c16="http://schemas.microsoft.com/office/drawing/2014/chart" uri="{C3380CC4-5D6E-409C-BE32-E72D297353CC}">
                <c16:uniqueId val="{00000001-9155-4317-8974-EB0FA66CDC60}"/>
              </c:ext>
            </c:extLst>
          </c:dPt>
          <c:val>
            <c:numRef>
              <c:f>Entrées!$C$3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2-9155-4317-8974-EB0FA66CDC60}"/>
            </c:ext>
          </c:extLst>
        </c:ser>
        <c:ser>
          <c:idx val="0"/>
          <c:order val="0"/>
          <c:spPr>
            <a:blipFill>
              <a:blip xmlns:r="http://schemas.openxmlformats.org/officeDocument/2006/relationships" r:embed="rId4"/>
              <a:stretch>
                <a:fillRect/>
              </a:stretch>
            </a:blipFill>
            <a:ln>
              <a:noFill/>
            </a:ln>
            <a:effectLst/>
          </c:spPr>
          <c:invertIfNegative val="0"/>
          <c:val>
            <c:numRef>
              <c:f>Entrées!$B$3</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9155-4317-8974-EB0FA66CDC60}"/>
            </c:ext>
          </c:extLst>
        </c:ser>
        <c:ser>
          <c:idx val="2"/>
          <c:order val="2"/>
          <c:spPr>
            <a:blipFill>
              <a:blip xmlns:r="http://schemas.openxmlformats.org/officeDocument/2006/relationships" r:embed="rId5"/>
              <a:stretch>
                <a:fillRect/>
              </a:stretch>
            </a:blipFill>
            <a:ln>
              <a:noFill/>
            </a:ln>
            <a:effectLst/>
          </c:spPr>
          <c:invertIfNegative val="0"/>
          <c:val>
            <c:numRef>
              <c:f>Entrées!$D$3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4-9155-4317-8974-EB0FA66CDC60}"/>
            </c:ext>
          </c:extLst>
        </c:ser>
        <c:dLbls>
          <c:showLegendKey val="0"/>
          <c:showVal val="0"/>
          <c:showCatName val="0"/>
          <c:showSerName val="0"/>
          <c:showPercent val="0"/>
          <c:showBubbleSize val="0"/>
        </c:dLbls>
        <c:gapWidth val="0"/>
        <c:overlap val="100"/>
        <c:axId val="405262160"/>
        <c:axId val="405262552"/>
      </c:barChart>
      <c:catAx>
        <c:axId val="405262160"/>
        <c:scaling>
          <c:orientation val="minMax"/>
        </c:scaling>
        <c:delete val="1"/>
        <c:axPos val="b"/>
        <c:numFmt formatCode="General" sourceLinked="1"/>
        <c:majorTickMark val="none"/>
        <c:minorTickMark val="none"/>
        <c:tickLblPos val="nextTo"/>
        <c:crossAx val="405262552"/>
        <c:crosses val="autoZero"/>
        <c:auto val="1"/>
        <c:lblAlgn val="ctr"/>
        <c:lblOffset val="100"/>
        <c:noMultiLvlLbl val="0"/>
      </c:catAx>
      <c:valAx>
        <c:axId val="405262552"/>
        <c:scaling>
          <c:orientation val="minMax"/>
        </c:scaling>
        <c:delete val="1"/>
        <c:axPos val="l"/>
        <c:numFmt formatCode="0%" sourceLinked="1"/>
        <c:majorTickMark val="none"/>
        <c:minorTickMark val="none"/>
        <c:tickLblPos val="nextTo"/>
        <c:crossAx val="405262160"/>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bg1"/>
          </a:solidFill>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Construction!$B$42</c:f>
          <c:strCache>
            <c:ptCount val="1"/>
            <c:pt idx="0">
              <c:v>Carbone stocké</c:v>
            </c:pt>
          </c:strCache>
        </c:strRef>
      </c:tx>
      <c:layout>
        <c:manualLayout>
          <c:xMode val="edge"/>
          <c:yMode val="edge"/>
          <c:x val="0.27700517698031096"/>
          <c:y val="2.767939700227726E-2"/>
        </c:manualLayout>
      </c:layout>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mn-cs"/>
            </a:defRPr>
          </a:pPr>
          <a:endParaRPr lang="de-DE"/>
        </a:p>
      </c:txPr>
    </c:title>
    <c:autoTitleDeleted val="0"/>
    <c:plotArea>
      <c:layout>
        <c:manualLayout>
          <c:layoutTarget val="inner"/>
          <c:xMode val="edge"/>
          <c:yMode val="edge"/>
          <c:x val="0.20922263393546395"/>
          <c:y val="0.15822394113087118"/>
          <c:w val="0.76735602902578359"/>
          <c:h val="0.73281195919890441"/>
        </c:manualLayout>
      </c:layout>
      <c:barChart>
        <c:barDir val="col"/>
        <c:grouping val="clustered"/>
        <c:varyColors val="0"/>
        <c:ser>
          <c:idx val="0"/>
          <c:order val="0"/>
          <c:tx>
            <c:strRef>
              <c:f>Construction!$B$39</c:f>
              <c:strCache>
                <c:ptCount val="1"/>
                <c:pt idx="0">
                  <c:v>Visualisation des GES pendant la construction</c:v>
                </c:pt>
              </c:strCache>
            </c:strRef>
          </c:tx>
          <c:spPr>
            <a:solidFill>
              <a:schemeClr val="accent2">
                <a:lumMod val="75000"/>
              </a:schemeClr>
            </a:solidFill>
            <a:ln>
              <a:noFill/>
            </a:ln>
            <a:effectLst/>
          </c:spPr>
          <c:invertIfNegative val="0"/>
          <c:dPt>
            <c:idx val="0"/>
            <c:invertIfNegative val="0"/>
            <c:bubble3D val="0"/>
            <c:spPr>
              <a:solidFill>
                <a:schemeClr val="accent2">
                  <a:lumMod val="75000"/>
                </a:schemeClr>
              </a:solidFill>
              <a:ln>
                <a:noFill/>
              </a:ln>
              <a:effectLst/>
            </c:spPr>
            <c:extLst xmlns:c16r2="http://schemas.microsoft.com/office/drawing/2015/06/chart">
              <c:ext xmlns:c16="http://schemas.microsoft.com/office/drawing/2014/chart" uri="{C3380CC4-5D6E-409C-BE32-E72D297353CC}">
                <c16:uniqueId val="{00000003-C881-4C70-9970-056B9DD6A2F5}"/>
              </c:ext>
            </c:extLst>
          </c:dPt>
          <c:dPt>
            <c:idx val="1"/>
            <c:invertIfNegative val="0"/>
            <c:bubble3D val="0"/>
            <c:spPr>
              <a:solidFill>
                <a:schemeClr val="accent2">
                  <a:lumMod val="75000"/>
                </a:schemeClr>
              </a:solidFill>
              <a:ln>
                <a:noFill/>
              </a:ln>
              <a:effectLst/>
            </c:spPr>
            <c:extLst xmlns:c16r2="http://schemas.microsoft.com/office/drawing/2015/06/chart">
              <c:ext xmlns:c16="http://schemas.microsoft.com/office/drawing/2014/chart" uri="{C3380CC4-5D6E-409C-BE32-E72D297353CC}">
                <c16:uniqueId val="{00000004-C881-4C70-9970-056B9DD6A2F5}"/>
              </c:ext>
            </c:extLst>
          </c:dPt>
          <c:cat>
            <c:strRef>
              <c:f>Construction!$B$42</c:f>
              <c:strCache>
                <c:ptCount val="1"/>
                <c:pt idx="0">
                  <c:v>Carbone stocké</c:v>
                </c:pt>
              </c:strCache>
            </c:strRef>
          </c:cat>
          <c:val>
            <c:numRef>
              <c:f>Construction!$C$42</c:f>
              <c:numCache>
                <c:formatCode>0.0</c:formatCode>
                <c:ptCount val="1"/>
                <c:pt idx="0">
                  <c:v>0</c:v>
                </c:pt>
              </c:numCache>
            </c:numRef>
          </c:val>
          <c:extLst xmlns:c16r2="http://schemas.microsoft.com/office/drawing/2015/06/chart">
            <c:ext xmlns:c16="http://schemas.microsoft.com/office/drawing/2014/chart" uri="{C3380CC4-5D6E-409C-BE32-E72D297353CC}">
              <c16:uniqueId val="{00000000-C881-4C70-9970-056B9DD6A2F5}"/>
            </c:ext>
          </c:extLst>
        </c:ser>
        <c:dLbls>
          <c:showLegendKey val="0"/>
          <c:showVal val="0"/>
          <c:showCatName val="0"/>
          <c:showSerName val="0"/>
          <c:showPercent val="0"/>
          <c:showBubbleSize val="0"/>
        </c:dLbls>
        <c:gapWidth val="100"/>
        <c:axId val="535861320"/>
        <c:axId val="535856224"/>
      </c:barChart>
      <c:catAx>
        <c:axId val="535861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Calibri" panose="020F0502020204030204" pitchFamily="34" charset="0"/>
                <a:ea typeface="+mn-ea"/>
                <a:cs typeface="Arial" panose="020B0604020202020204" pitchFamily="34" charset="0"/>
              </a:defRPr>
            </a:pPr>
            <a:endParaRPr lang="de-DE"/>
          </a:p>
        </c:txPr>
        <c:crossAx val="535856224"/>
        <c:crosses val="autoZero"/>
        <c:auto val="1"/>
        <c:lblAlgn val="ctr"/>
        <c:lblOffset val="100"/>
        <c:noMultiLvlLbl val="0"/>
      </c:catAx>
      <c:valAx>
        <c:axId val="535856224"/>
        <c:scaling>
          <c:orientation val="minMax"/>
          <c:max val="20"/>
        </c:scaling>
        <c:delete val="0"/>
        <c:axPos val="l"/>
        <c:majorGridlines>
          <c:spPr>
            <a:ln w="9525" cap="flat" cmpd="sng" algn="ctr">
              <a:solidFill>
                <a:schemeClr val="tx1">
                  <a:lumMod val="15000"/>
                  <a:lumOff val="85000"/>
                </a:schemeClr>
              </a:solidFill>
              <a:round/>
            </a:ln>
            <a:effectLst/>
          </c:spPr>
        </c:majorGridlines>
        <c:title>
          <c:tx>
            <c:strRef>
              <c:f>Construction!$C$44</c:f>
              <c:strCache>
                <c:ptCount val="1"/>
                <c:pt idx="0">
                  <c:v>Carbone  [kg C/m2]</c:v>
                </c:pt>
              </c:strCache>
            </c:strRef>
          </c:tx>
          <c:layout>
            <c:manualLayout>
              <c:xMode val="edge"/>
              <c:yMode val="edge"/>
              <c:x val="1.1710697598949748E-2"/>
              <c:y val="0.1249072129229053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535861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77777777777779E-3"/>
          <c:y val="0"/>
          <c:w val="0.99722222222222223"/>
          <c:h val="1"/>
        </c:manualLayout>
      </c:layout>
      <c:barChart>
        <c:barDir val="col"/>
        <c:grouping val="percentStacked"/>
        <c:varyColors val="0"/>
        <c:ser>
          <c:idx val="1"/>
          <c:order val="1"/>
          <c:spPr>
            <a:blipFill>
              <a:blip xmlns:r="http://schemas.openxmlformats.org/officeDocument/2006/relationships" r:embed="rId3"/>
              <a:stretch>
                <a:fillRect/>
              </a:stretch>
            </a:blip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xmlns:c16r2="http://schemas.microsoft.com/office/drawing/2015/06/chart">
              <c:ext xmlns:c16="http://schemas.microsoft.com/office/drawing/2014/chart" uri="{C3380CC4-5D6E-409C-BE32-E72D297353CC}">
                <c16:uniqueId val="{00000001-47B9-46F7-8E90-8FDDF9A8D903}"/>
              </c:ext>
            </c:extLst>
          </c:dPt>
          <c:val>
            <c:numRef>
              <c:f>Entrées!$C$3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2-47B9-46F7-8E90-8FDDF9A8D903}"/>
            </c:ext>
          </c:extLst>
        </c:ser>
        <c:ser>
          <c:idx val="0"/>
          <c:order val="0"/>
          <c:spPr>
            <a:blipFill>
              <a:blip xmlns:r="http://schemas.openxmlformats.org/officeDocument/2006/relationships" r:embed="rId4"/>
              <a:stretch>
                <a:fillRect/>
              </a:stretch>
            </a:blipFill>
            <a:ln>
              <a:noFill/>
            </a:ln>
            <a:effectLst/>
          </c:spPr>
          <c:invertIfNegative val="0"/>
          <c:val>
            <c:numRef>
              <c:f>Entrées!$B$3</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47B9-46F7-8E90-8FDDF9A8D903}"/>
            </c:ext>
          </c:extLst>
        </c:ser>
        <c:ser>
          <c:idx val="2"/>
          <c:order val="2"/>
          <c:spPr>
            <a:blipFill>
              <a:blip xmlns:r="http://schemas.openxmlformats.org/officeDocument/2006/relationships" r:embed="rId5"/>
              <a:stretch>
                <a:fillRect/>
              </a:stretch>
            </a:blipFill>
            <a:ln>
              <a:noFill/>
            </a:ln>
            <a:effectLst/>
          </c:spPr>
          <c:invertIfNegative val="0"/>
          <c:val>
            <c:numRef>
              <c:f>Entrées!$D$3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4-47B9-46F7-8E90-8FDDF9A8D903}"/>
            </c:ext>
          </c:extLst>
        </c:ser>
        <c:dLbls>
          <c:showLegendKey val="0"/>
          <c:showVal val="0"/>
          <c:showCatName val="0"/>
          <c:showSerName val="0"/>
          <c:showPercent val="0"/>
          <c:showBubbleSize val="0"/>
        </c:dLbls>
        <c:gapWidth val="0"/>
        <c:overlap val="100"/>
        <c:axId val="409151728"/>
        <c:axId val="409149376"/>
      </c:barChart>
      <c:catAx>
        <c:axId val="409151728"/>
        <c:scaling>
          <c:orientation val="minMax"/>
        </c:scaling>
        <c:delete val="1"/>
        <c:axPos val="b"/>
        <c:numFmt formatCode="General" sourceLinked="1"/>
        <c:majorTickMark val="none"/>
        <c:minorTickMark val="none"/>
        <c:tickLblPos val="nextTo"/>
        <c:crossAx val="409149376"/>
        <c:crosses val="autoZero"/>
        <c:auto val="1"/>
        <c:lblAlgn val="ctr"/>
        <c:lblOffset val="100"/>
        <c:noMultiLvlLbl val="0"/>
      </c:catAx>
      <c:valAx>
        <c:axId val="409149376"/>
        <c:scaling>
          <c:orientation val="minMax"/>
        </c:scaling>
        <c:delete val="1"/>
        <c:axPos val="l"/>
        <c:numFmt formatCode="0%" sourceLinked="1"/>
        <c:majorTickMark val="none"/>
        <c:minorTickMark val="none"/>
        <c:tickLblPos val="nextTo"/>
        <c:crossAx val="409151728"/>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bg1"/>
          </a:solidFill>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77777777777779E-3"/>
          <c:y val="0"/>
          <c:w val="0.99722222222222223"/>
          <c:h val="1"/>
        </c:manualLayout>
      </c:layout>
      <c:barChart>
        <c:barDir val="col"/>
        <c:grouping val="percentStacked"/>
        <c:varyColors val="0"/>
        <c:ser>
          <c:idx val="0"/>
          <c:order val="0"/>
          <c:spPr>
            <a:blipFill>
              <a:blip xmlns:r="http://schemas.openxmlformats.org/officeDocument/2006/relationships" r:embed="rId3"/>
              <a:stretch>
                <a:fillRect/>
              </a:stretch>
            </a:blipFill>
            <a:ln>
              <a:noFill/>
            </a:ln>
            <a:effectLst/>
          </c:spPr>
          <c:invertIfNegative val="0"/>
          <c:val>
            <c:numRef>
              <c:f>Entrées!$B$3</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0E67-4A8D-A1D1-E510EDCC3A05}"/>
            </c:ext>
          </c:extLst>
        </c:ser>
        <c:ser>
          <c:idx val="1"/>
          <c:order val="1"/>
          <c:spPr>
            <a:blipFill>
              <a:blip xmlns:r="http://schemas.openxmlformats.org/officeDocument/2006/relationships" r:embed="rId4"/>
              <a:stretch>
                <a:fillRect/>
              </a:stretch>
            </a:blipFill>
            <a:ln>
              <a:noFill/>
            </a:ln>
            <a:effectLst/>
          </c:spPr>
          <c:invertIfNegative val="0"/>
          <c:dPt>
            <c:idx val="0"/>
            <c:invertIfNegative val="0"/>
            <c:bubble3D val="0"/>
            <c:spPr>
              <a:blipFill>
                <a:blip xmlns:r="http://schemas.openxmlformats.org/officeDocument/2006/relationships" r:embed="rId4"/>
                <a:stretch>
                  <a:fillRect/>
                </a:stretch>
              </a:blipFill>
              <a:ln>
                <a:noFill/>
              </a:ln>
              <a:effectLst/>
            </c:spPr>
            <c:extLst xmlns:c16r2="http://schemas.microsoft.com/office/drawing/2015/06/chart">
              <c:ext xmlns:c16="http://schemas.microsoft.com/office/drawing/2014/chart" uri="{C3380CC4-5D6E-409C-BE32-E72D297353CC}">
                <c16:uniqueId val="{00000002-0E67-4A8D-A1D1-E510EDCC3A05}"/>
              </c:ext>
            </c:extLst>
          </c:dPt>
          <c:val>
            <c:numRef>
              <c:f>Entrées!$C$3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3-0E67-4A8D-A1D1-E510EDCC3A05}"/>
            </c:ext>
          </c:extLst>
        </c:ser>
        <c:ser>
          <c:idx val="2"/>
          <c:order val="2"/>
          <c:spPr>
            <a:blipFill>
              <a:blip xmlns:r="http://schemas.openxmlformats.org/officeDocument/2006/relationships" r:embed="rId5"/>
              <a:stretch>
                <a:fillRect/>
              </a:stretch>
            </a:blipFill>
            <a:ln>
              <a:noFill/>
            </a:ln>
            <a:effectLst/>
          </c:spPr>
          <c:invertIfNegative val="0"/>
          <c:val>
            <c:numRef>
              <c:f>Entrées!$D$3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4-0E67-4A8D-A1D1-E510EDCC3A05}"/>
            </c:ext>
          </c:extLst>
        </c:ser>
        <c:dLbls>
          <c:showLegendKey val="0"/>
          <c:showVal val="0"/>
          <c:showCatName val="0"/>
          <c:showSerName val="0"/>
          <c:showPercent val="0"/>
          <c:showBubbleSize val="0"/>
        </c:dLbls>
        <c:gapWidth val="0"/>
        <c:overlap val="100"/>
        <c:axId val="409154472"/>
        <c:axId val="409147808"/>
      </c:barChart>
      <c:catAx>
        <c:axId val="409154472"/>
        <c:scaling>
          <c:orientation val="minMax"/>
        </c:scaling>
        <c:delete val="1"/>
        <c:axPos val="b"/>
        <c:numFmt formatCode="General" sourceLinked="1"/>
        <c:majorTickMark val="none"/>
        <c:minorTickMark val="none"/>
        <c:tickLblPos val="nextTo"/>
        <c:crossAx val="409147808"/>
        <c:crosses val="autoZero"/>
        <c:auto val="1"/>
        <c:lblAlgn val="ctr"/>
        <c:lblOffset val="100"/>
        <c:noMultiLvlLbl val="0"/>
      </c:catAx>
      <c:valAx>
        <c:axId val="409147808"/>
        <c:scaling>
          <c:orientation val="minMax"/>
        </c:scaling>
        <c:delete val="1"/>
        <c:axPos val="l"/>
        <c:numFmt formatCode="0%" sourceLinked="1"/>
        <c:majorTickMark val="none"/>
        <c:minorTickMark val="none"/>
        <c:tickLblPos val="nextTo"/>
        <c:crossAx val="409154472"/>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bg1"/>
          </a:solidFill>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580927384076995E-2"/>
          <c:y val="3.7453703703703718E-2"/>
          <c:w val="0.90426640743069253"/>
          <c:h val="0.68645151115767178"/>
        </c:manualLayout>
      </c:layout>
      <c:barChart>
        <c:barDir val="col"/>
        <c:grouping val="stacked"/>
        <c:varyColors val="0"/>
        <c:ser>
          <c:idx val="5"/>
          <c:order val="0"/>
          <c:tx>
            <c:strRef>
              <c:f>Aperçu!$P$53</c:f>
              <c:strCache>
                <c:ptCount val="1"/>
                <c:pt idx="0">
                  <c:v>Grenzwert E hlwk,li</c:v>
                </c:pt>
              </c:strCache>
            </c:strRef>
          </c:tx>
          <c:spPr>
            <a:solidFill>
              <a:srgbClr val="92D050"/>
            </a:solidFill>
            <a:ln>
              <a:noFill/>
            </a:ln>
            <a:effectLst/>
          </c:spPr>
          <c:invertIfNegative val="0"/>
          <c:cat>
            <c:numRef>
              <c:f>Aperçu!$S$64:$T$64</c:f>
              <c:numCache>
                <c:formatCode>General</c:formatCode>
                <c:ptCount val="2"/>
                <c:pt idx="0">
                  <c:v>1</c:v>
                </c:pt>
                <c:pt idx="1">
                  <c:v>3</c:v>
                </c:pt>
              </c:numCache>
            </c:numRef>
          </c:cat>
          <c:val>
            <c:numRef>
              <c:f>Aperçu!$Q$53:$S$53</c:f>
              <c:numCache>
                <c:formatCode>General</c:formatCode>
                <c:ptCount val="3"/>
                <c:pt idx="0" formatCode="0.0">
                  <c:v>0</c:v>
                </c:pt>
                <c:pt idx="1">
                  <c:v>0</c:v>
                </c:pt>
                <c:pt idx="2">
                  <c:v>0</c:v>
                </c:pt>
              </c:numCache>
            </c:numRef>
          </c:val>
          <c:extLst xmlns:c16r2="http://schemas.microsoft.com/office/drawing/2015/06/chart">
            <c:ext xmlns:c16="http://schemas.microsoft.com/office/drawing/2014/chart" uri="{C3380CC4-5D6E-409C-BE32-E72D297353CC}">
              <c16:uniqueId val="{00000000-3070-4910-94DB-AAC2F143583E}"/>
            </c:ext>
          </c:extLst>
        </c:ser>
        <c:ser>
          <c:idx val="6"/>
          <c:order val="1"/>
          <c:tx>
            <c:v/>
          </c:tx>
          <c:spPr>
            <a:solidFill>
              <a:srgbClr val="81C7DC"/>
            </a:solidFill>
            <a:ln>
              <a:noFill/>
            </a:ln>
            <a:effectLst/>
          </c:spPr>
          <c:invertIfNegative val="0"/>
          <c:cat>
            <c:numRef>
              <c:f>Aperçu!$S$64:$T$64</c:f>
              <c:numCache>
                <c:formatCode>General</c:formatCode>
                <c:ptCount val="2"/>
                <c:pt idx="0">
                  <c:v>1</c:v>
                </c:pt>
                <c:pt idx="1">
                  <c:v>3</c:v>
                </c:pt>
              </c:numCache>
            </c:numRef>
          </c:cat>
          <c:val>
            <c:numRef>
              <c:f>Aperçu!$Q$54:$S$54</c:f>
              <c:numCache>
                <c:formatCode>General</c:formatCode>
                <c:ptCount val="3"/>
                <c:pt idx="0" formatCode="0.0">
                  <c:v>0</c:v>
                </c:pt>
              </c:numCache>
            </c:numRef>
          </c:val>
          <c:extLst xmlns:c16r2="http://schemas.microsoft.com/office/drawing/2015/06/chart">
            <c:ext xmlns:c16="http://schemas.microsoft.com/office/drawing/2014/chart" uri="{C3380CC4-5D6E-409C-BE32-E72D297353CC}">
              <c16:uniqueId val="{00000001-3070-4910-94DB-AAC2F143583E}"/>
            </c:ext>
          </c:extLst>
        </c:ser>
        <c:ser>
          <c:idx val="14"/>
          <c:order val="2"/>
          <c:tx>
            <c:v/>
          </c:tx>
          <c:spPr>
            <a:solidFill>
              <a:srgbClr val="AA8C8C"/>
            </a:solidFill>
            <a:ln>
              <a:noFill/>
            </a:ln>
            <a:effectLst/>
          </c:spPr>
          <c:invertIfNegative val="0"/>
          <c:cat>
            <c:numRef>
              <c:f>Aperçu!$S$64:$T$64</c:f>
              <c:numCache>
                <c:formatCode>General</c:formatCode>
                <c:ptCount val="2"/>
                <c:pt idx="0">
                  <c:v>1</c:v>
                </c:pt>
                <c:pt idx="1">
                  <c:v>3</c:v>
                </c:pt>
              </c:numCache>
            </c:numRef>
          </c:cat>
          <c:val>
            <c:numRef>
              <c:f>Aperçu!$Q$55:$S$55</c:f>
              <c:numCache>
                <c:formatCode>General</c:formatCode>
                <c:ptCount val="3"/>
                <c:pt idx="0" formatCode="0.0">
                  <c:v>0</c:v>
                </c:pt>
                <c:pt idx="1">
                  <c:v>0</c:v>
                </c:pt>
                <c:pt idx="2">
                  <c:v>0</c:v>
                </c:pt>
              </c:numCache>
            </c:numRef>
          </c:val>
          <c:extLst xmlns:c16r2="http://schemas.microsoft.com/office/drawing/2015/06/chart">
            <c:ext xmlns:c16="http://schemas.microsoft.com/office/drawing/2014/chart" uri="{C3380CC4-5D6E-409C-BE32-E72D297353CC}">
              <c16:uniqueId val="{00000002-3070-4910-94DB-AAC2F143583E}"/>
            </c:ext>
          </c:extLst>
        </c:ser>
        <c:ser>
          <c:idx val="7"/>
          <c:order val="3"/>
          <c:tx>
            <c:v/>
          </c:tx>
          <c:spPr>
            <a:solidFill>
              <a:srgbClr val="E1BA5E"/>
            </a:solidFill>
            <a:ln>
              <a:noFill/>
            </a:ln>
            <a:effectLst/>
          </c:spPr>
          <c:invertIfNegative val="0"/>
          <c:cat>
            <c:numRef>
              <c:f>Aperçu!$S$64:$T$64</c:f>
              <c:numCache>
                <c:formatCode>General</c:formatCode>
                <c:ptCount val="2"/>
                <c:pt idx="0">
                  <c:v>1</c:v>
                </c:pt>
                <c:pt idx="1">
                  <c:v>3</c:v>
                </c:pt>
              </c:numCache>
            </c:numRef>
          </c:cat>
          <c:val>
            <c:numRef>
              <c:f>Aperçu!$Q$56:$S$56</c:f>
              <c:numCache>
                <c:formatCode>General</c:formatCode>
                <c:ptCount val="3"/>
                <c:pt idx="1">
                  <c:v>0</c:v>
                </c:pt>
                <c:pt idx="2">
                  <c:v>0</c:v>
                </c:pt>
              </c:numCache>
            </c:numRef>
          </c:val>
          <c:extLst xmlns:c16r2="http://schemas.microsoft.com/office/drawing/2015/06/chart">
            <c:ext xmlns:c16="http://schemas.microsoft.com/office/drawing/2014/chart" uri="{C3380CC4-5D6E-409C-BE32-E72D297353CC}">
              <c16:uniqueId val="{00000003-3070-4910-94DB-AAC2F143583E}"/>
            </c:ext>
          </c:extLst>
        </c:ser>
        <c:ser>
          <c:idx val="8"/>
          <c:order val="4"/>
          <c:tx>
            <c:v/>
          </c:tx>
          <c:spPr>
            <a:solidFill>
              <a:srgbClr val="E1BA5E"/>
            </a:solidFill>
            <a:ln>
              <a:noFill/>
            </a:ln>
            <a:effectLst/>
          </c:spPr>
          <c:invertIfNegative val="0"/>
          <c:cat>
            <c:numRef>
              <c:f>Aperçu!$S$64:$T$64</c:f>
              <c:numCache>
                <c:formatCode>General</c:formatCode>
                <c:ptCount val="2"/>
                <c:pt idx="0">
                  <c:v>1</c:v>
                </c:pt>
                <c:pt idx="1">
                  <c:v>3</c:v>
                </c:pt>
              </c:numCache>
            </c:numRef>
          </c:cat>
          <c:val>
            <c:numRef>
              <c:f>Aperçu!$Q$57:$S$57</c:f>
              <c:numCache>
                <c:formatCode>General</c:formatCode>
                <c:ptCount val="3"/>
                <c:pt idx="1">
                  <c:v>0</c:v>
                </c:pt>
                <c:pt idx="2">
                  <c:v>0</c:v>
                </c:pt>
              </c:numCache>
            </c:numRef>
          </c:val>
          <c:extLst xmlns:c16r2="http://schemas.microsoft.com/office/drawing/2015/06/chart">
            <c:ext xmlns:c16="http://schemas.microsoft.com/office/drawing/2014/chart" uri="{C3380CC4-5D6E-409C-BE32-E72D297353CC}">
              <c16:uniqueId val="{00000004-3070-4910-94DB-AAC2F143583E}"/>
            </c:ext>
          </c:extLst>
        </c:ser>
        <c:ser>
          <c:idx val="9"/>
          <c:order val="5"/>
          <c:tx>
            <c:v/>
          </c:tx>
          <c:spPr>
            <a:solidFill>
              <a:srgbClr val="7F7F7F"/>
            </a:solidFill>
            <a:ln>
              <a:noFill/>
            </a:ln>
            <a:effectLst/>
          </c:spPr>
          <c:invertIfNegative val="0"/>
          <c:cat>
            <c:numRef>
              <c:f>Aperçu!$S$64:$T$64</c:f>
              <c:numCache>
                <c:formatCode>General</c:formatCode>
                <c:ptCount val="2"/>
                <c:pt idx="0">
                  <c:v>1</c:v>
                </c:pt>
                <c:pt idx="1">
                  <c:v>3</c:v>
                </c:pt>
              </c:numCache>
            </c:numRef>
          </c:cat>
          <c:val>
            <c:numRef>
              <c:f>Aperçu!$Q$58:$S$58</c:f>
              <c:numCache>
                <c:formatCode>General</c:formatCode>
                <c:ptCount val="3"/>
                <c:pt idx="1">
                  <c:v>0</c:v>
                </c:pt>
                <c:pt idx="2">
                  <c:v>0</c:v>
                </c:pt>
              </c:numCache>
            </c:numRef>
          </c:val>
          <c:extLst xmlns:c16r2="http://schemas.microsoft.com/office/drawing/2015/06/chart">
            <c:ext xmlns:c16="http://schemas.microsoft.com/office/drawing/2014/chart" uri="{C3380CC4-5D6E-409C-BE32-E72D297353CC}">
              <c16:uniqueId val="{00000005-3070-4910-94DB-AAC2F143583E}"/>
            </c:ext>
          </c:extLst>
        </c:ser>
        <c:ser>
          <c:idx val="10"/>
          <c:order val="6"/>
          <c:tx>
            <c:v/>
          </c:tx>
          <c:spPr>
            <a:solidFill>
              <a:srgbClr val="9CB4BB"/>
            </a:solidFill>
            <a:ln>
              <a:noFill/>
            </a:ln>
            <a:effectLst/>
          </c:spPr>
          <c:invertIfNegative val="0"/>
          <c:cat>
            <c:numRef>
              <c:f>Aperçu!$S$64:$T$64</c:f>
              <c:numCache>
                <c:formatCode>General</c:formatCode>
                <c:ptCount val="2"/>
                <c:pt idx="0">
                  <c:v>1</c:v>
                </c:pt>
                <c:pt idx="1">
                  <c:v>3</c:v>
                </c:pt>
              </c:numCache>
            </c:numRef>
          </c:cat>
          <c:val>
            <c:numRef>
              <c:f>Aperçu!$Q$59:$S$59</c:f>
              <c:numCache>
                <c:formatCode>General</c:formatCode>
                <c:ptCount val="3"/>
                <c:pt idx="1">
                  <c:v>0</c:v>
                </c:pt>
                <c:pt idx="2">
                  <c:v>0</c:v>
                </c:pt>
              </c:numCache>
            </c:numRef>
          </c:val>
          <c:extLst xmlns:c16r2="http://schemas.microsoft.com/office/drawing/2015/06/chart">
            <c:ext xmlns:c16="http://schemas.microsoft.com/office/drawing/2014/chart" uri="{C3380CC4-5D6E-409C-BE32-E72D297353CC}">
              <c16:uniqueId val="{00000006-3070-4910-94DB-AAC2F143583E}"/>
            </c:ext>
          </c:extLst>
        </c:ser>
        <c:ser>
          <c:idx val="4"/>
          <c:order val="9"/>
          <c:tx>
            <c:strRef>
              <c:f>Aperçu!$M$43</c:f>
              <c:strCache>
                <c:ptCount val="1"/>
                <c:pt idx="0">
                  <c:v>Chauffage</c:v>
                </c:pt>
              </c:strCache>
            </c:strRef>
          </c:tx>
          <c:spPr>
            <a:solidFill>
              <a:srgbClr val="EA6E76"/>
            </a:solidFill>
            <a:ln>
              <a:noFill/>
            </a:ln>
            <a:effectLst/>
          </c:spPr>
          <c:invertIfNegative val="0"/>
          <c:cat>
            <c:numRef>
              <c:f>Aperçu!$S$64:$T$64</c:f>
              <c:numCache>
                <c:formatCode>General</c:formatCode>
                <c:ptCount val="2"/>
                <c:pt idx="0">
                  <c:v>1</c:v>
                </c:pt>
                <c:pt idx="1">
                  <c:v>3</c:v>
                </c:pt>
              </c:numCache>
            </c:numRef>
          </c:cat>
          <c:val>
            <c:numRef>
              <c:f>Aperçu!$Q$41:$S$41</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7-3070-4910-94DB-AAC2F143583E}"/>
            </c:ext>
          </c:extLst>
        </c:ser>
        <c:ser>
          <c:idx val="3"/>
          <c:order val="10"/>
          <c:tx>
            <c:strRef>
              <c:f>Aperçu!$M$49</c:f>
              <c:strCache>
                <c:ptCount val="1"/>
                <c:pt idx="0">
                  <c:v>Eau chaude</c:v>
                </c:pt>
              </c:strCache>
            </c:strRef>
          </c:tx>
          <c:spPr>
            <a:solidFill>
              <a:srgbClr val="81C7DC"/>
            </a:solidFill>
            <a:ln>
              <a:noFill/>
            </a:ln>
            <a:effectLst/>
          </c:spPr>
          <c:invertIfNegative val="0"/>
          <c:cat>
            <c:numRef>
              <c:f>Aperçu!$S$64:$T$64</c:f>
              <c:numCache>
                <c:formatCode>General</c:formatCode>
                <c:ptCount val="2"/>
                <c:pt idx="0">
                  <c:v>1</c:v>
                </c:pt>
                <c:pt idx="1">
                  <c:v>3</c:v>
                </c:pt>
              </c:numCache>
            </c:numRef>
          </c:cat>
          <c:val>
            <c:numRef>
              <c:f>Aperçu!$Q$42:$S$42</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8-3070-4910-94DB-AAC2F143583E}"/>
            </c:ext>
          </c:extLst>
        </c:ser>
        <c:ser>
          <c:idx val="16"/>
          <c:order val="11"/>
          <c:tx>
            <c:strRef>
              <c:f>Aperçu!$M$50</c:f>
              <c:strCache>
                <c:ptCount val="1"/>
                <c:pt idx="0">
                  <c:v>ventilation et climatisation</c:v>
                </c:pt>
              </c:strCache>
            </c:strRef>
          </c:tx>
          <c:spPr>
            <a:solidFill>
              <a:srgbClr val="AA8C8C"/>
            </a:solidFill>
            <a:ln>
              <a:noFill/>
            </a:ln>
            <a:effectLst/>
          </c:spPr>
          <c:invertIfNegative val="0"/>
          <c:cat>
            <c:numRef>
              <c:f>Aperçu!$S$64:$T$64</c:f>
              <c:numCache>
                <c:formatCode>General</c:formatCode>
                <c:ptCount val="2"/>
                <c:pt idx="0">
                  <c:v>1</c:v>
                </c:pt>
                <c:pt idx="1">
                  <c:v>3</c:v>
                </c:pt>
              </c:numCache>
            </c:numRef>
          </c:cat>
          <c:val>
            <c:numRef>
              <c:f>Aperçu!$Q$43:$S$43</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9-3070-4910-94DB-AAC2F143583E}"/>
            </c:ext>
          </c:extLst>
        </c:ser>
        <c:ser>
          <c:idx val="17"/>
          <c:order val="12"/>
          <c:tx>
            <c:strRef>
              <c:f>Aperçu!$M$51</c:f>
              <c:strCache>
                <c:ptCount val="1"/>
                <c:pt idx="0">
                  <c:v>Electricité d'habitation</c:v>
                </c:pt>
              </c:strCache>
            </c:strRef>
          </c:tx>
          <c:spPr>
            <a:solidFill>
              <a:srgbClr val="E1BA5E"/>
            </a:solidFill>
            <a:ln>
              <a:noFill/>
            </a:ln>
            <a:effectLst/>
          </c:spPr>
          <c:invertIfNegative val="0"/>
          <c:cat>
            <c:numRef>
              <c:f>Aperçu!$S$64:$T$64</c:f>
              <c:numCache>
                <c:formatCode>General</c:formatCode>
                <c:ptCount val="2"/>
                <c:pt idx="0">
                  <c:v>1</c:v>
                </c:pt>
                <c:pt idx="1">
                  <c:v>3</c:v>
                </c:pt>
              </c:numCache>
            </c:numRef>
          </c:cat>
          <c:val>
            <c:numRef>
              <c:f>Aperçu!$Q$49:$S$49</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A-3070-4910-94DB-AAC2F143583E}"/>
            </c:ext>
          </c:extLst>
        </c:ser>
        <c:ser>
          <c:idx val="18"/>
          <c:order val="13"/>
          <c:tx>
            <c:strRef>
              <c:f>Aperçu!$M$52</c:f>
              <c:strCache>
                <c:ptCount val="1"/>
                <c:pt idx="0">
                  <c:v>Eclairage</c:v>
                </c:pt>
              </c:strCache>
            </c:strRef>
          </c:tx>
          <c:spPr>
            <a:solidFill>
              <a:srgbClr val="E1BA5E"/>
            </a:solidFill>
            <a:ln>
              <a:noFill/>
            </a:ln>
            <a:effectLst/>
          </c:spPr>
          <c:invertIfNegative val="0"/>
          <c:cat>
            <c:numRef>
              <c:f>Aperçu!$S$64:$T$64</c:f>
              <c:numCache>
                <c:formatCode>General</c:formatCode>
                <c:ptCount val="2"/>
                <c:pt idx="0">
                  <c:v>1</c:v>
                </c:pt>
                <c:pt idx="1">
                  <c:v>3</c:v>
                </c:pt>
              </c:numCache>
            </c:numRef>
          </c:cat>
          <c:val>
            <c:numRef>
              <c:f>Aperçu!$Q$50:$S$50</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B-3070-4910-94DB-AAC2F143583E}"/>
            </c:ext>
          </c:extLst>
        </c:ser>
        <c:ser>
          <c:idx val="19"/>
          <c:order val="14"/>
          <c:tx>
            <c:strRef>
              <c:f>Aperçu!$M$53</c:f>
              <c:strCache>
                <c:ptCount val="1"/>
                <c:pt idx="0">
                  <c:v>Appareils</c:v>
                </c:pt>
              </c:strCache>
            </c:strRef>
          </c:tx>
          <c:spPr>
            <a:solidFill>
              <a:srgbClr val="7F7F7F"/>
            </a:solidFill>
            <a:ln>
              <a:noFill/>
            </a:ln>
            <a:effectLst/>
          </c:spPr>
          <c:invertIfNegative val="0"/>
          <c:cat>
            <c:numRef>
              <c:f>Aperçu!$S$64:$T$64</c:f>
              <c:numCache>
                <c:formatCode>General</c:formatCode>
                <c:ptCount val="2"/>
                <c:pt idx="0">
                  <c:v>1</c:v>
                </c:pt>
                <c:pt idx="1">
                  <c:v>3</c:v>
                </c:pt>
              </c:numCache>
            </c:numRef>
          </c:cat>
          <c:val>
            <c:numRef>
              <c:f>Aperçu!$Q$51:$S$51</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C-3070-4910-94DB-AAC2F143583E}"/>
            </c:ext>
          </c:extLst>
        </c:ser>
        <c:ser>
          <c:idx val="20"/>
          <c:order val="15"/>
          <c:tx>
            <c:strRef>
              <c:f>Aperçu!$M$54</c:f>
              <c:strCache>
                <c:ptCount val="1"/>
                <c:pt idx="0">
                  <c:v>Installations techn. du bâtiment</c:v>
                </c:pt>
              </c:strCache>
            </c:strRef>
          </c:tx>
          <c:spPr>
            <a:solidFill>
              <a:srgbClr val="9CB4BB"/>
            </a:solidFill>
            <a:ln>
              <a:noFill/>
            </a:ln>
            <a:effectLst/>
          </c:spPr>
          <c:invertIfNegative val="0"/>
          <c:cat>
            <c:numRef>
              <c:f>Aperçu!$S$64:$T$64</c:f>
              <c:numCache>
                <c:formatCode>General</c:formatCode>
                <c:ptCount val="2"/>
                <c:pt idx="0">
                  <c:v>1</c:v>
                </c:pt>
                <c:pt idx="1">
                  <c:v>3</c:v>
                </c:pt>
              </c:numCache>
            </c:numRef>
          </c:cat>
          <c:val>
            <c:numRef>
              <c:f>Aperçu!$Q$52:$S$52</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D-3070-4910-94DB-AAC2F143583E}"/>
            </c:ext>
          </c:extLst>
        </c:ser>
        <c:ser>
          <c:idx val="0"/>
          <c:order val="16"/>
          <c:tx>
            <c:v/>
          </c:tx>
          <c:spPr>
            <a:noFill/>
            <a:ln>
              <a:noFill/>
            </a:ln>
            <a:effectLst/>
          </c:spPr>
          <c:invertIfNegative val="0"/>
          <c:cat>
            <c:numRef>
              <c:f>Aperçu!$S$64:$T$64</c:f>
              <c:numCache>
                <c:formatCode>General</c:formatCode>
                <c:ptCount val="2"/>
                <c:pt idx="0">
                  <c:v>1</c:v>
                </c:pt>
                <c:pt idx="1">
                  <c:v>3</c:v>
                </c:pt>
              </c:numCache>
            </c:numRef>
          </c:cat>
          <c:val>
            <c:numRef>
              <c:f>Aperçu!$Q$37:$S$37</c:f>
              <c:numCache>
                <c:formatCode>General</c:formatCode>
                <c:ptCount val="3"/>
                <c:pt idx="0">
                  <c:v>0</c:v>
                </c:pt>
                <c:pt idx="1">
                  <c:v>0</c:v>
                </c:pt>
                <c:pt idx="2" formatCode="0.0">
                  <c:v>0</c:v>
                </c:pt>
              </c:numCache>
            </c:numRef>
          </c:val>
          <c:extLst xmlns:c16r2="http://schemas.microsoft.com/office/drawing/2015/06/chart">
            <c:ext xmlns:c16="http://schemas.microsoft.com/office/drawing/2014/chart" uri="{C3380CC4-5D6E-409C-BE32-E72D297353CC}">
              <c16:uniqueId val="{0000000E-3070-4910-94DB-AAC2F143583E}"/>
            </c:ext>
          </c:extLst>
        </c:ser>
        <c:ser>
          <c:idx val="15"/>
          <c:order val="17"/>
          <c:tx>
            <c:strRef>
              <c:f>Aperçu!$M$61</c:f>
              <c:strCache>
                <c:ptCount val="1"/>
                <c:pt idx="0">
                  <c:v>PV non pris en compte</c:v>
                </c:pt>
              </c:strCache>
            </c:strRef>
          </c:tx>
          <c:spPr>
            <a:pattFill prst="wdUpDiag">
              <a:fgClr>
                <a:srgbClr val="F9EA85"/>
              </a:fgClr>
              <a:bgClr>
                <a:schemeClr val="bg1"/>
              </a:bgClr>
            </a:pattFill>
            <a:ln>
              <a:noFill/>
            </a:ln>
            <a:effectLst/>
          </c:spPr>
          <c:invertIfNegative val="0"/>
          <c:cat>
            <c:numRef>
              <c:f>Aperçu!$S$64:$T$64</c:f>
              <c:numCache>
                <c:formatCode>General</c:formatCode>
                <c:ptCount val="2"/>
                <c:pt idx="0">
                  <c:v>1</c:v>
                </c:pt>
                <c:pt idx="1">
                  <c:v>3</c:v>
                </c:pt>
              </c:numCache>
            </c:numRef>
          </c:cat>
          <c:val>
            <c:numRef>
              <c:f>Aperçu!$Q$38:$S$38</c:f>
              <c:numCache>
                <c:formatCode>General</c:formatCode>
                <c:ptCount val="3"/>
                <c:pt idx="0">
                  <c:v>0</c:v>
                </c:pt>
                <c:pt idx="1">
                  <c:v>0</c:v>
                </c:pt>
                <c:pt idx="2" formatCode="0.0">
                  <c:v>0</c:v>
                </c:pt>
              </c:numCache>
            </c:numRef>
          </c:val>
          <c:extLst xmlns:c16r2="http://schemas.microsoft.com/office/drawing/2015/06/chart">
            <c:ext xmlns:c16="http://schemas.microsoft.com/office/drawing/2014/chart" uri="{C3380CC4-5D6E-409C-BE32-E72D297353CC}">
              <c16:uniqueId val="{0000000F-3070-4910-94DB-AAC2F143583E}"/>
            </c:ext>
          </c:extLst>
        </c:ser>
        <c:ser>
          <c:idx val="1"/>
          <c:order val="18"/>
          <c:tx>
            <c:strRef>
              <c:f>Aperçu!$M$59</c:f>
              <c:strCache>
                <c:ptCount val="1"/>
                <c:pt idx="0">
                  <c:v>PV part injectée</c:v>
                </c:pt>
              </c:strCache>
            </c:strRef>
          </c:tx>
          <c:spPr>
            <a:solidFill>
              <a:srgbClr val="F9EA85"/>
            </a:solidFill>
            <a:ln>
              <a:noFill/>
            </a:ln>
            <a:effectLst/>
          </c:spPr>
          <c:invertIfNegative val="0"/>
          <c:cat>
            <c:numRef>
              <c:f>Aperçu!$S$64:$T$64</c:f>
              <c:numCache>
                <c:formatCode>General</c:formatCode>
                <c:ptCount val="2"/>
                <c:pt idx="0">
                  <c:v>1</c:v>
                </c:pt>
                <c:pt idx="1">
                  <c:v>3</c:v>
                </c:pt>
              </c:numCache>
            </c:numRef>
          </c:cat>
          <c:val>
            <c:numRef>
              <c:f>Aperçu!$Q$39:$S$39</c:f>
              <c:numCache>
                <c:formatCode>General</c:formatCode>
                <c:ptCount val="3"/>
                <c:pt idx="0">
                  <c:v>0</c:v>
                </c:pt>
                <c:pt idx="1">
                  <c:v>0</c:v>
                </c:pt>
                <c:pt idx="2" formatCode="0.0">
                  <c:v>0</c:v>
                </c:pt>
              </c:numCache>
            </c:numRef>
          </c:val>
          <c:extLst xmlns:c16r2="http://schemas.microsoft.com/office/drawing/2015/06/chart">
            <c:ext xmlns:c16="http://schemas.microsoft.com/office/drawing/2014/chart" uri="{C3380CC4-5D6E-409C-BE32-E72D297353CC}">
              <c16:uniqueId val="{00000010-3070-4910-94DB-AAC2F143583E}"/>
            </c:ext>
          </c:extLst>
        </c:ser>
        <c:ser>
          <c:idx val="2"/>
          <c:order val="19"/>
          <c:tx>
            <c:strRef>
              <c:f>Aperçu!$M$58</c:f>
              <c:strCache>
                <c:ptCount val="1"/>
                <c:pt idx="0">
                  <c:v>PV autoconsommation</c:v>
                </c:pt>
              </c:strCache>
            </c:strRef>
          </c:tx>
          <c:spPr>
            <a:solidFill>
              <a:srgbClr val="F4DC32"/>
            </a:solidFill>
            <a:ln>
              <a:noFill/>
            </a:ln>
            <a:effectLst/>
          </c:spPr>
          <c:invertIfNegative val="0"/>
          <c:cat>
            <c:numRef>
              <c:f>Aperçu!$S$64:$T$64</c:f>
              <c:numCache>
                <c:formatCode>General</c:formatCode>
                <c:ptCount val="2"/>
                <c:pt idx="0">
                  <c:v>1</c:v>
                </c:pt>
                <c:pt idx="1">
                  <c:v>3</c:v>
                </c:pt>
              </c:numCache>
            </c:numRef>
          </c:cat>
          <c:val>
            <c:numRef>
              <c:f>Aperçu!$Q$40:$S$40</c:f>
              <c:numCache>
                <c:formatCode>General</c:formatCode>
                <c:ptCount val="3"/>
                <c:pt idx="0">
                  <c:v>0</c:v>
                </c:pt>
                <c:pt idx="1">
                  <c:v>0</c:v>
                </c:pt>
                <c:pt idx="2" formatCode="0.0">
                  <c:v>0</c:v>
                </c:pt>
              </c:numCache>
            </c:numRef>
          </c:val>
          <c:extLst xmlns:c16r2="http://schemas.microsoft.com/office/drawing/2015/06/chart">
            <c:ext xmlns:c16="http://schemas.microsoft.com/office/drawing/2014/chart" uri="{C3380CC4-5D6E-409C-BE32-E72D297353CC}">
              <c16:uniqueId val="{00000011-3070-4910-94DB-AAC2F143583E}"/>
            </c:ext>
          </c:extLst>
        </c:ser>
        <c:dLbls>
          <c:showLegendKey val="0"/>
          <c:showVal val="0"/>
          <c:showCatName val="0"/>
          <c:showSerName val="0"/>
          <c:showPercent val="0"/>
          <c:showBubbleSize val="0"/>
        </c:dLbls>
        <c:gapWidth val="80"/>
        <c:overlap val="100"/>
        <c:axId val="409150552"/>
        <c:axId val="409153688"/>
      </c:barChart>
      <c:scatterChart>
        <c:scatterStyle val="lineMarker"/>
        <c:varyColors val="0"/>
        <c:ser>
          <c:idx val="12"/>
          <c:order val="7"/>
          <c:tx>
            <c:strRef>
              <c:f>Aperçu!$M$66</c:f>
              <c:strCache>
                <c:ptCount val="1"/>
                <c:pt idx="0">
                  <c:v>Indice Minergie max.</c:v>
                </c:pt>
              </c:strCache>
            </c:strRef>
          </c:tx>
          <c:spPr>
            <a:ln w="19050" cap="rnd">
              <a:solidFill>
                <a:srgbClr val="FF0000"/>
              </a:solidFill>
              <a:round/>
            </a:ln>
            <a:effectLst/>
          </c:spPr>
          <c:marker>
            <c:symbol val="none"/>
          </c:marker>
          <c:dPt>
            <c:idx val="1"/>
            <c:marker>
              <c:symbol val="none"/>
            </c:marker>
            <c:bubble3D val="0"/>
            <c:spPr>
              <a:ln w="19050" cap="rnd">
                <a:solidFill>
                  <a:srgbClr val="FF0000"/>
                </a:solidFill>
                <a:round/>
              </a:ln>
              <a:effectLst/>
            </c:spPr>
            <c:extLst xmlns:c16r2="http://schemas.microsoft.com/office/drawing/2015/06/chart">
              <c:ext xmlns:c16="http://schemas.microsoft.com/office/drawing/2014/chart" uri="{C3380CC4-5D6E-409C-BE32-E72D297353CC}">
                <c16:uniqueId val="{00000013-3070-4910-94DB-AAC2F143583E}"/>
              </c:ext>
            </c:extLst>
          </c:dPt>
          <c:xVal>
            <c:numRef>
              <c:f>Aperçu!$S$61:$T$61</c:f>
              <c:numCache>
                <c:formatCode>General</c:formatCode>
                <c:ptCount val="2"/>
                <c:pt idx="0">
                  <c:v>1</c:v>
                </c:pt>
                <c:pt idx="1">
                  <c:v>3</c:v>
                </c:pt>
              </c:numCache>
            </c:numRef>
          </c:xVal>
          <c:yVal>
            <c:numRef>
              <c:f>Aperçu!$S$66:$T$66</c:f>
              <c:numCache>
                <c:formatCode>0.0</c:formatCode>
                <c:ptCount val="2"/>
                <c:pt idx="0">
                  <c:v>0</c:v>
                </c:pt>
                <c:pt idx="1">
                  <c:v>0</c:v>
                </c:pt>
              </c:numCache>
            </c:numRef>
          </c:yVal>
          <c:smooth val="0"/>
          <c:extLst xmlns:c16r2="http://schemas.microsoft.com/office/drawing/2015/06/chart">
            <c:ext xmlns:c16="http://schemas.microsoft.com/office/drawing/2014/chart" uri="{C3380CC4-5D6E-409C-BE32-E72D297353CC}">
              <c16:uniqueId val="{00000014-3070-4910-94DB-AAC2F143583E}"/>
            </c:ext>
          </c:extLst>
        </c:ser>
        <c:ser>
          <c:idx val="11"/>
          <c:order val="8"/>
          <c:tx>
            <c:strRef>
              <c:f>Aperçu!$M$65</c:f>
              <c:strCache>
                <c:ptCount val="1"/>
                <c:pt idx="0">
                  <c:v>Indice Minergie calculé</c:v>
                </c:pt>
              </c:strCache>
            </c:strRef>
          </c:tx>
          <c:spPr>
            <a:ln w="19050" cap="rnd">
              <a:solidFill>
                <a:schemeClr val="tx1"/>
              </a:solidFill>
              <a:round/>
            </a:ln>
            <a:effectLst/>
          </c:spPr>
          <c:marker>
            <c:symbol val="none"/>
          </c:marker>
          <c:xVal>
            <c:numRef>
              <c:f>Aperçu!$S$64:$T$64</c:f>
              <c:numCache>
                <c:formatCode>General</c:formatCode>
                <c:ptCount val="2"/>
                <c:pt idx="0">
                  <c:v>1</c:v>
                </c:pt>
                <c:pt idx="1">
                  <c:v>3</c:v>
                </c:pt>
              </c:numCache>
            </c:numRef>
          </c:xVal>
          <c:yVal>
            <c:numRef>
              <c:f>Aperçu!$S$65:$T$65</c:f>
              <c:numCache>
                <c:formatCode>0.0</c:formatCode>
                <c:ptCount val="2"/>
                <c:pt idx="0">
                  <c:v>0</c:v>
                </c:pt>
                <c:pt idx="1">
                  <c:v>0</c:v>
                </c:pt>
              </c:numCache>
            </c:numRef>
          </c:yVal>
          <c:smooth val="0"/>
          <c:extLst xmlns:c16r2="http://schemas.microsoft.com/office/drawing/2015/06/chart">
            <c:ext xmlns:c16="http://schemas.microsoft.com/office/drawing/2014/chart" uri="{C3380CC4-5D6E-409C-BE32-E72D297353CC}">
              <c16:uniqueId val="{00000015-3070-4910-94DB-AAC2F143583E}"/>
            </c:ext>
          </c:extLst>
        </c:ser>
        <c:dLbls>
          <c:showLegendKey val="0"/>
          <c:showVal val="0"/>
          <c:showCatName val="0"/>
          <c:showSerName val="0"/>
          <c:showPercent val="0"/>
          <c:showBubbleSize val="0"/>
        </c:dLbls>
        <c:axId val="409150552"/>
        <c:axId val="409153688"/>
      </c:scatterChart>
      <c:catAx>
        <c:axId val="409150552"/>
        <c:scaling>
          <c:orientation val="minMax"/>
        </c:scaling>
        <c:delete val="1"/>
        <c:axPos val="b"/>
        <c:numFmt formatCode="General" sourceLinked="1"/>
        <c:majorTickMark val="none"/>
        <c:minorTickMark val="none"/>
        <c:tickLblPos val="nextTo"/>
        <c:crossAx val="409153688"/>
        <c:crosses val="autoZero"/>
        <c:auto val="1"/>
        <c:lblAlgn val="ctr"/>
        <c:lblOffset val="100"/>
        <c:noMultiLvlLbl val="0"/>
      </c:catAx>
      <c:valAx>
        <c:axId val="409153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kWh/m2</a:t>
                </a:r>
              </a:p>
            </c:rich>
          </c:tx>
          <c:layout>
            <c:manualLayout>
              <c:xMode val="edge"/>
              <c:yMode val="edge"/>
              <c:x val="1.9269411772406251E-3"/>
              <c:y val="3.1121624818356931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9150552"/>
        <c:crosses val="autoZero"/>
        <c:crossBetween val="between"/>
      </c:valAx>
      <c:spPr>
        <a:noFill/>
        <a:ln>
          <a:noFill/>
        </a:ln>
        <a:effectLst/>
      </c:spPr>
    </c:plotArea>
    <c:legend>
      <c:legendPos val="b"/>
      <c:layout>
        <c:manualLayout>
          <c:xMode val="edge"/>
          <c:yMode val="edge"/>
          <c:x val="0"/>
          <c:y val="0.72533810956033928"/>
          <c:w val="0.9987058272952789"/>
          <c:h val="0.274661890439660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77777777777779E-3"/>
          <c:y val="0"/>
          <c:w val="0.99722222222222223"/>
          <c:h val="1"/>
        </c:manualLayout>
      </c:layout>
      <c:barChart>
        <c:barDir val="col"/>
        <c:grouping val="percentStacked"/>
        <c:varyColors val="0"/>
        <c:ser>
          <c:idx val="1"/>
          <c:order val="1"/>
          <c:spPr>
            <a:blipFill>
              <a:blip xmlns:r="http://schemas.openxmlformats.org/officeDocument/2006/relationships" r:embed="rId3"/>
              <a:stretch>
                <a:fillRect/>
              </a:stretch>
            </a:blip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xmlns:c16r2="http://schemas.microsoft.com/office/drawing/2015/06/chart">
              <c:ext xmlns:c16="http://schemas.microsoft.com/office/drawing/2014/chart" uri="{C3380CC4-5D6E-409C-BE32-E72D297353CC}">
                <c16:uniqueId val="{00000001-4379-4342-8806-05ED07C59124}"/>
              </c:ext>
            </c:extLst>
          </c:dPt>
          <c:val>
            <c:numRef>
              <c:f>Entrées!$C$3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2-4379-4342-8806-05ED07C59124}"/>
            </c:ext>
          </c:extLst>
        </c:ser>
        <c:ser>
          <c:idx val="0"/>
          <c:order val="0"/>
          <c:spPr>
            <a:blipFill>
              <a:blip xmlns:r="http://schemas.openxmlformats.org/officeDocument/2006/relationships" r:embed="rId4"/>
              <a:stretch>
                <a:fillRect/>
              </a:stretch>
            </a:blipFill>
            <a:ln>
              <a:noFill/>
            </a:ln>
            <a:effectLst/>
          </c:spPr>
          <c:invertIfNegative val="0"/>
          <c:val>
            <c:numRef>
              <c:f>Entrées!$B$3</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4379-4342-8806-05ED07C59124}"/>
            </c:ext>
          </c:extLst>
        </c:ser>
        <c:ser>
          <c:idx val="2"/>
          <c:order val="2"/>
          <c:spPr>
            <a:blipFill>
              <a:blip xmlns:r="http://schemas.openxmlformats.org/officeDocument/2006/relationships" r:embed="rId5"/>
              <a:stretch>
                <a:fillRect/>
              </a:stretch>
            </a:blipFill>
            <a:ln>
              <a:noFill/>
            </a:ln>
            <a:effectLst/>
          </c:spPr>
          <c:invertIfNegative val="0"/>
          <c:val>
            <c:numRef>
              <c:f>Entrées!$D$3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4-4379-4342-8806-05ED07C59124}"/>
            </c:ext>
          </c:extLst>
        </c:ser>
        <c:dLbls>
          <c:showLegendKey val="0"/>
          <c:showVal val="0"/>
          <c:showCatName val="0"/>
          <c:showSerName val="0"/>
          <c:showPercent val="0"/>
          <c:showBubbleSize val="0"/>
        </c:dLbls>
        <c:gapWidth val="0"/>
        <c:overlap val="100"/>
        <c:axId val="409148200"/>
        <c:axId val="409148592"/>
      </c:barChart>
      <c:catAx>
        <c:axId val="409148200"/>
        <c:scaling>
          <c:orientation val="minMax"/>
        </c:scaling>
        <c:delete val="1"/>
        <c:axPos val="b"/>
        <c:numFmt formatCode="General" sourceLinked="1"/>
        <c:majorTickMark val="none"/>
        <c:minorTickMark val="none"/>
        <c:tickLblPos val="nextTo"/>
        <c:crossAx val="409148592"/>
        <c:crosses val="autoZero"/>
        <c:auto val="1"/>
        <c:lblAlgn val="ctr"/>
        <c:lblOffset val="100"/>
        <c:noMultiLvlLbl val="0"/>
      </c:catAx>
      <c:valAx>
        <c:axId val="409148592"/>
        <c:scaling>
          <c:orientation val="minMax"/>
        </c:scaling>
        <c:delete val="1"/>
        <c:axPos val="l"/>
        <c:numFmt formatCode="0%" sourceLinked="1"/>
        <c:majorTickMark val="none"/>
        <c:minorTickMark val="none"/>
        <c:tickLblPos val="nextTo"/>
        <c:crossAx val="409148200"/>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bg1"/>
          </a:solidFill>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580927384076995E-2"/>
          <c:y val="3.7453703703703718E-2"/>
          <c:w val="0.90426640743069253"/>
          <c:h val="0.68645151115767178"/>
        </c:manualLayout>
      </c:layout>
      <c:barChart>
        <c:barDir val="col"/>
        <c:grouping val="stacked"/>
        <c:varyColors val="0"/>
        <c:ser>
          <c:idx val="5"/>
          <c:order val="0"/>
          <c:tx>
            <c:strRef>
              <c:f>Aperçu!$P$53</c:f>
              <c:strCache>
                <c:ptCount val="1"/>
                <c:pt idx="0">
                  <c:v>Grenzwert E hlwk,li</c:v>
                </c:pt>
              </c:strCache>
            </c:strRef>
          </c:tx>
          <c:spPr>
            <a:solidFill>
              <a:srgbClr val="92D050"/>
            </a:solidFill>
            <a:ln>
              <a:noFill/>
            </a:ln>
            <a:effectLst/>
          </c:spPr>
          <c:invertIfNegative val="0"/>
          <c:cat>
            <c:numRef>
              <c:f>Aperçu_BE!$S$64:$T$64</c:f>
              <c:numCache>
                <c:formatCode>General</c:formatCode>
                <c:ptCount val="2"/>
                <c:pt idx="0">
                  <c:v>1</c:v>
                </c:pt>
                <c:pt idx="1">
                  <c:v>3</c:v>
                </c:pt>
              </c:numCache>
            </c:numRef>
          </c:cat>
          <c:val>
            <c:numRef>
              <c:f>Aperçu!$Q$53:$S$53</c:f>
              <c:numCache>
                <c:formatCode>General</c:formatCode>
                <c:ptCount val="3"/>
                <c:pt idx="0" formatCode="0.0">
                  <c:v>0</c:v>
                </c:pt>
                <c:pt idx="1">
                  <c:v>0</c:v>
                </c:pt>
                <c:pt idx="2">
                  <c:v>0</c:v>
                </c:pt>
              </c:numCache>
            </c:numRef>
          </c:val>
          <c:extLst xmlns:c16r2="http://schemas.microsoft.com/office/drawing/2015/06/chart">
            <c:ext xmlns:c16="http://schemas.microsoft.com/office/drawing/2014/chart" uri="{C3380CC4-5D6E-409C-BE32-E72D297353CC}">
              <c16:uniqueId val="{00000000-A1B2-486E-82B3-4C2B8B792E21}"/>
            </c:ext>
          </c:extLst>
        </c:ser>
        <c:ser>
          <c:idx val="6"/>
          <c:order val="1"/>
          <c:tx>
            <c:v/>
          </c:tx>
          <c:spPr>
            <a:solidFill>
              <a:srgbClr val="81C7DC"/>
            </a:solidFill>
            <a:ln>
              <a:noFill/>
            </a:ln>
            <a:effectLst/>
          </c:spPr>
          <c:invertIfNegative val="0"/>
          <c:cat>
            <c:numRef>
              <c:f>Aperçu_BE!$S$64:$T$64</c:f>
              <c:numCache>
                <c:formatCode>General</c:formatCode>
                <c:ptCount val="2"/>
                <c:pt idx="0">
                  <c:v>1</c:v>
                </c:pt>
                <c:pt idx="1">
                  <c:v>3</c:v>
                </c:pt>
              </c:numCache>
            </c:numRef>
          </c:cat>
          <c:val>
            <c:numRef>
              <c:f>Aperçu!$Q$54:$S$54</c:f>
              <c:numCache>
                <c:formatCode>General</c:formatCode>
                <c:ptCount val="3"/>
                <c:pt idx="0" formatCode="0.0">
                  <c:v>0</c:v>
                </c:pt>
              </c:numCache>
            </c:numRef>
          </c:val>
          <c:extLst xmlns:c16r2="http://schemas.microsoft.com/office/drawing/2015/06/chart">
            <c:ext xmlns:c16="http://schemas.microsoft.com/office/drawing/2014/chart" uri="{C3380CC4-5D6E-409C-BE32-E72D297353CC}">
              <c16:uniqueId val="{00000001-A1B2-486E-82B3-4C2B8B792E21}"/>
            </c:ext>
          </c:extLst>
        </c:ser>
        <c:ser>
          <c:idx val="14"/>
          <c:order val="2"/>
          <c:tx>
            <c:v/>
          </c:tx>
          <c:spPr>
            <a:solidFill>
              <a:srgbClr val="AA8C8C"/>
            </a:solidFill>
            <a:ln>
              <a:noFill/>
            </a:ln>
            <a:effectLst/>
          </c:spPr>
          <c:invertIfNegative val="0"/>
          <c:cat>
            <c:numRef>
              <c:f>Aperçu_BE!$S$64:$T$64</c:f>
              <c:numCache>
                <c:formatCode>General</c:formatCode>
                <c:ptCount val="2"/>
                <c:pt idx="0">
                  <c:v>1</c:v>
                </c:pt>
                <c:pt idx="1">
                  <c:v>3</c:v>
                </c:pt>
              </c:numCache>
            </c:numRef>
          </c:cat>
          <c:val>
            <c:numRef>
              <c:f>Aperçu!$Q$55:$S$55</c:f>
              <c:numCache>
                <c:formatCode>General</c:formatCode>
                <c:ptCount val="3"/>
                <c:pt idx="0" formatCode="0.0">
                  <c:v>0</c:v>
                </c:pt>
                <c:pt idx="1">
                  <c:v>0</c:v>
                </c:pt>
                <c:pt idx="2">
                  <c:v>0</c:v>
                </c:pt>
              </c:numCache>
            </c:numRef>
          </c:val>
          <c:extLst xmlns:c16r2="http://schemas.microsoft.com/office/drawing/2015/06/chart">
            <c:ext xmlns:c16="http://schemas.microsoft.com/office/drawing/2014/chart" uri="{C3380CC4-5D6E-409C-BE32-E72D297353CC}">
              <c16:uniqueId val="{00000002-A1B2-486E-82B3-4C2B8B792E21}"/>
            </c:ext>
          </c:extLst>
        </c:ser>
        <c:ser>
          <c:idx val="7"/>
          <c:order val="3"/>
          <c:tx>
            <c:v/>
          </c:tx>
          <c:spPr>
            <a:solidFill>
              <a:srgbClr val="E1BA5E"/>
            </a:solidFill>
            <a:ln>
              <a:noFill/>
            </a:ln>
            <a:effectLst/>
          </c:spPr>
          <c:invertIfNegative val="0"/>
          <c:cat>
            <c:numRef>
              <c:f>Aperçu_BE!$S$64:$T$64</c:f>
              <c:numCache>
                <c:formatCode>General</c:formatCode>
                <c:ptCount val="2"/>
                <c:pt idx="0">
                  <c:v>1</c:v>
                </c:pt>
                <c:pt idx="1">
                  <c:v>3</c:v>
                </c:pt>
              </c:numCache>
            </c:numRef>
          </c:cat>
          <c:val>
            <c:numRef>
              <c:f>Aperçu!$Q$56:$S$56</c:f>
              <c:numCache>
                <c:formatCode>General</c:formatCode>
                <c:ptCount val="3"/>
                <c:pt idx="1">
                  <c:v>0</c:v>
                </c:pt>
                <c:pt idx="2">
                  <c:v>0</c:v>
                </c:pt>
              </c:numCache>
            </c:numRef>
          </c:val>
          <c:extLst xmlns:c16r2="http://schemas.microsoft.com/office/drawing/2015/06/chart">
            <c:ext xmlns:c16="http://schemas.microsoft.com/office/drawing/2014/chart" uri="{C3380CC4-5D6E-409C-BE32-E72D297353CC}">
              <c16:uniqueId val="{00000003-A1B2-486E-82B3-4C2B8B792E21}"/>
            </c:ext>
          </c:extLst>
        </c:ser>
        <c:ser>
          <c:idx val="8"/>
          <c:order val="4"/>
          <c:tx>
            <c:v/>
          </c:tx>
          <c:spPr>
            <a:solidFill>
              <a:srgbClr val="E1BA5E"/>
            </a:solidFill>
            <a:ln>
              <a:noFill/>
            </a:ln>
            <a:effectLst/>
          </c:spPr>
          <c:invertIfNegative val="0"/>
          <c:cat>
            <c:numRef>
              <c:f>Aperçu_BE!$S$64:$T$64</c:f>
              <c:numCache>
                <c:formatCode>General</c:formatCode>
                <c:ptCount val="2"/>
                <c:pt idx="0">
                  <c:v>1</c:v>
                </c:pt>
                <c:pt idx="1">
                  <c:v>3</c:v>
                </c:pt>
              </c:numCache>
            </c:numRef>
          </c:cat>
          <c:val>
            <c:numRef>
              <c:f>Aperçu!$Q$57:$S$57</c:f>
              <c:numCache>
                <c:formatCode>General</c:formatCode>
                <c:ptCount val="3"/>
                <c:pt idx="1">
                  <c:v>0</c:v>
                </c:pt>
                <c:pt idx="2">
                  <c:v>0</c:v>
                </c:pt>
              </c:numCache>
            </c:numRef>
          </c:val>
          <c:extLst xmlns:c16r2="http://schemas.microsoft.com/office/drawing/2015/06/chart">
            <c:ext xmlns:c16="http://schemas.microsoft.com/office/drawing/2014/chart" uri="{C3380CC4-5D6E-409C-BE32-E72D297353CC}">
              <c16:uniqueId val="{00000004-A1B2-486E-82B3-4C2B8B792E21}"/>
            </c:ext>
          </c:extLst>
        </c:ser>
        <c:ser>
          <c:idx val="9"/>
          <c:order val="5"/>
          <c:tx>
            <c:v/>
          </c:tx>
          <c:spPr>
            <a:solidFill>
              <a:srgbClr val="7F7F7F"/>
            </a:solidFill>
            <a:ln>
              <a:noFill/>
            </a:ln>
            <a:effectLst/>
          </c:spPr>
          <c:invertIfNegative val="0"/>
          <c:cat>
            <c:numRef>
              <c:f>Aperçu_BE!$S$64:$T$64</c:f>
              <c:numCache>
                <c:formatCode>General</c:formatCode>
                <c:ptCount val="2"/>
                <c:pt idx="0">
                  <c:v>1</c:v>
                </c:pt>
                <c:pt idx="1">
                  <c:v>3</c:v>
                </c:pt>
              </c:numCache>
            </c:numRef>
          </c:cat>
          <c:val>
            <c:numRef>
              <c:f>Aperçu!$Q$58:$S$58</c:f>
              <c:numCache>
                <c:formatCode>General</c:formatCode>
                <c:ptCount val="3"/>
                <c:pt idx="1">
                  <c:v>0</c:v>
                </c:pt>
                <c:pt idx="2">
                  <c:v>0</c:v>
                </c:pt>
              </c:numCache>
            </c:numRef>
          </c:val>
          <c:extLst xmlns:c16r2="http://schemas.microsoft.com/office/drawing/2015/06/chart">
            <c:ext xmlns:c16="http://schemas.microsoft.com/office/drawing/2014/chart" uri="{C3380CC4-5D6E-409C-BE32-E72D297353CC}">
              <c16:uniqueId val="{00000005-A1B2-486E-82B3-4C2B8B792E21}"/>
            </c:ext>
          </c:extLst>
        </c:ser>
        <c:ser>
          <c:idx val="10"/>
          <c:order val="6"/>
          <c:tx>
            <c:v/>
          </c:tx>
          <c:spPr>
            <a:solidFill>
              <a:srgbClr val="9CB4BB"/>
            </a:solidFill>
            <a:ln>
              <a:noFill/>
            </a:ln>
            <a:effectLst/>
          </c:spPr>
          <c:invertIfNegative val="0"/>
          <c:cat>
            <c:numRef>
              <c:f>Aperçu_BE!$S$64:$T$64</c:f>
              <c:numCache>
                <c:formatCode>General</c:formatCode>
                <c:ptCount val="2"/>
                <c:pt idx="0">
                  <c:v>1</c:v>
                </c:pt>
                <c:pt idx="1">
                  <c:v>3</c:v>
                </c:pt>
              </c:numCache>
            </c:numRef>
          </c:cat>
          <c:val>
            <c:numRef>
              <c:f>Aperçu!$Q$59:$S$59</c:f>
              <c:numCache>
                <c:formatCode>General</c:formatCode>
                <c:ptCount val="3"/>
                <c:pt idx="1">
                  <c:v>0</c:v>
                </c:pt>
                <c:pt idx="2">
                  <c:v>0</c:v>
                </c:pt>
              </c:numCache>
            </c:numRef>
          </c:val>
          <c:extLst xmlns:c16r2="http://schemas.microsoft.com/office/drawing/2015/06/chart">
            <c:ext xmlns:c16="http://schemas.microsoft.com/office/drawing/2014/chart" uri="{C3380CC4-5D6E-409C-BE32-E72D297353CC}">
              <c16:uniqueId val="{00000006-A1B2-486E-82B3-4C2B8B792E21}"/>
            </c:ext>
          </c:extLst>
        </c:ser>
        <c:ser>
          <c:idx val="4"/>
          <c:order val="9"/>
          <c:tx>
            <c:strRef>
              <c:f>Aperçu_BE!$M$88</c:f>
              <c:strCache>
                <c:ptCount val="1"/>
                <c:pt idx="0">
                  <c:v>Chauffage</c:v>
                </c:pt>
              </c:strCache>
            </c:strRef>
          </c:tx>
          <c:spPr>
            <a:solidFill>
              <a:srgbClr val="EA6E76"/>
            </a:solidFill>
            <a:ln>
              <a:noFill/>
            </a:ln>
            <a:effectLst/>
          </c:spPr>
          <c:invertIfNegative val="0"/>
          <c:cat>
            <c:numRef>
              <c:f>Aperçu_BE!$S$64:$T$64</c:f>
              <c:numCache>
                <c:formatCode>General</c:formatCode>
                <c:ptCount val="2"/>
                <c:pt idx="0">
                  <c:v>1</c:v>
                </c:pt>
                <c:pt idx="1">
                  <c:v>3</c:v>
                </c:pt>
              </c:numCache>
            </c:numRef>
          </c:cat>
          <c:val>
            <c:numRef>
              <c:f>Aperçu_BE!$Q$86:$S$86</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7-A1B2-486E-82B3-4C2B8B792E21}"/>
            </c:ext>
          </c:extLst>
        </c:ser>
        <c:ser>
          <c:idx val="3"/>
          <c:order val="10"/>
          <c:tx>
            <c:strRef>
              <c:f>Aperçu_BE!$M$49</c:f>
              <c:strCache>
                <c:ptCount val="1"/>
                <c:pt idx="0">
                  <c:v>Eau chaude</c:v>
                </c:pt>
              </c:strCache>
            </c:strRef>
          </c:tx>
          <c:spPr>
            <a:solidFill>
              <a:srgbClr val="81C7DC"/>
            </a:solidFill>
            <a:ln>
              <a:noFill/>
            </a:ln>
            <a:effectLst/>
          </c:spPr>
          <c:invertIfNegative val="0"/>
          <c:cat>
            <c:numRef>
              <c:f>Aperçu_BE!$S$64:$T$64</c:f>
              <c:numCache>
                <c:formatCode>General</c:formatCode>
                <c:ptCount val="2"/>
                <c:pt idx="0">
                  <c:v>1</c:v>
                </c:pt>
                <c:pt idx="1">
                  <c:v>3</c:v>
                </c:pt>
              </c:numCache>
            </c:numRef>
          </c:cat>
          <c:val>
            <c:numRef>
              <c:f>Aperçu_BE!$Q$87:$S$87</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8-A1B2-486E-82B3-4C2B8B792E21}"/>
            </c:ext>
          </c:extLst>
        </c:ser>
        <c:ser>
          <c:idx val="16"/>
          <c:order val="11"/>
          <c:tx>
            <c:strRef>
              <c:f>Aperçu_BE!$M$50</c:f>
              <c:strCache>
                <c:ptCount val="1"/>
                <c:pt idx="0">
                  <c:v>ventilation et climatisation</c:v>
                </c:pt>
              </c:strCache>
            </c:strRef>
          </c:tx>
          <c:spPr>
            <a:solidFill>
              <a:srgbClr val="AA8C8C"/>
            </a:solidFill>
            <a:ln>
              <a:noFill/>
            </a:ln>
            <a:effectLst/>
          </c:spPr>
          <c:invertIfNegative val="0"/>
          <c:cat>
            <c:numRef>
              <c:f>Aperçu_BE!$S$64:$T$64</c:f>
              <c:numCache>
                <c:formatCode>General</c:formatCode>
                <c:ptCount val="2"/>
                <c:pt idx="0">
                  <c:v>1</c:v>
                </c:pt>
                <c:pt idx="1">
                  <c:v>3</c:v>
                </c:pt>
              </c:numCache>
            </c:numRef>
          </c:cat>
          <c:val>
            <c:numRef>
              <c:f>Aperçu_BE!$Q$88:$S$88</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9-A1B2-486E-82B3-4C2B8B792E21}"/>
            </c:ext>
          </c:extLst>
        </c:ser>
        <c:ser>
          <c:idx val="17"/>
          <c:order val="12"/>
          <c:tx>
            <c:strRef>
              <c:f>Aperçu_BE!$M$51</c:f>
              <c:strCache>
                <c:ptCount val="1"/>
                <c:pt idx="0">
                  <c:v>Electricité d'habitation</c:v>
                </c:pt>
              </c:strCache>
            </c:strRef>
          </c:tx>
          <c:spPr>
            <a:solidFill>
              <a:srgbClr val="E1BA5E"/>
            </a:solidFill>
            <a:ln>
              <a:noFill/>
            </a:ln>
            <a:effectLst/>
          </c:spPr>
          <c:invertIfNegative val="0"/>
          <c:cat>
            <c:numRef>
              <c:f>Aperçu_BE!$S$64:$T$64</c:f>
              <c:numCache>
                <c:formatCode>General</c:formatCode>
                <c:ptCount val="2"/>
                <c:pt idx="0">
                  <c:v>1</c:v>
                </c:pt>
                <c:pt idx="1">
                  <c:v>3</c:v>
                </c:pt>
              </c:numCache>
            </c:numRef>
          </c:cat>
          <c:val>
            <c:numRef>
              <c:f>Aperçu_BE!$Q$49:$S$49</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A-A1B2-486E-82B3-4C2B8B792E21}"/>
            </c:ext>
          </c:extLst>
        </c:ser>
        <c:ser>
          <c:idx val="18"/>
          <c:order val="13"/>
          <c:tx>
            <c:strRef>
              <c:f>Aperçu_BE!$M$52</c:f>
              <c:strCache>
                <c:ptCount val="1"/>
                <c:pt idx="0">
                  <c:v>Eclairage</c:v>
                </c:pt>
              </c:strCache>
            </c:strRef>
          </c:tx>
          <c:spPr>
            <a:solidFill>
              <a:srgbClr val="E1BA5E"/>
            </a:solidFill>
            <a:ln>
              <a:noFill/>
            </a:ln>
            <a:effectLst/>
          </c:spPr>
          <c:invertIfNegative val="0"/>
          <c:cat>
            <c:numRef>
              <c:f>Aperçu_BE!$S$64:$T$64</c:f>
              <c:numCache>
                <c:formatCode>General</c:formatCode>
                <c:ptCount val="2"/>
                <c:pt idx="0">
                  <c:v>1</c:v>
                </c:pt>
                <c:pt idx="1">
                  <c:v>3</c:v>
                </c:pt>
              </c:numCache>
            </c:numRef>
          </c:cat>
          <c:val>
            <c:numRef>
              <c:f>Aperçu_BE!$Q$50:$S$50</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B-A1B2-486E-82B3-4C2B8B792E21}"/>
            </c:ext>
          </c:extLst>
        </c:ser>
        <c:ser>
          <c:idx val="19"/>
          <c:order val="14"/>
          <c:tx>
            <c:strRef>
              <c:f>Aperçu_BE!$M$53</c:f>
              <c:strCache>
                <c:ptCount val="1"/>
                <c:pt idx="0">
                  <c:v>Appareils</c:v>
                </c:pt>
              </c:strCache>
            </c:strRef>
          </c:tx>
          <c:spPr>
            <a:solidFill>
              <a:srgbClr val="7F7F7F"/>
            </a:solidFill>
            <a:ln>
              <a:noFill/>
            </a:ln>
            <a:effectLst/>
          </c:spPr>
          <c:invertIfNegative val="0"/>
          <c:cat>
            <c:numRef>
              <c:f>Aperçu_BE!$S$64:$T$64</c:f>
              <c:numCache>
                <c:formatCode>General</c:formatCode>
                <c:ptCount val="2"/>
                <c:pt idx="0">
                  <c:v>1</c:v>
                </c:pt>
                <c:pt idx="1">
                  <c:v>3</c:v>
                </c:pt>
              </c:numCache>
            </c:numRef>
          </c:cat>
          <c:val>
            <c:numRef>
              <c:f>Aperçu_BE!$Q$51:$S$51</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C-A1B2-486E-82B3-4C2B8B792E21}"/>
            </c:ext>
          </c:extLst>
        </c:ser>
        <c:ser>
          <c:idx val="20"/>
          <c:order val="15"/>
          <c:tx>
            <c:strRef>
              <c:f>Aperçu_BE!$M$54</c:f>
              <c:strCache>
                <c:ptCount val="1"/>
                <c:pt idx="0">
                  <c:v>Installations techn. du bâtiment</c:v>
                </c:pt>
              </c:strCache>
            </c:strRef>
          </c:tx>
          <c:spPr>
            <a:solidFill>
              <a:srgbClr val="9CB4BB"/>
            </a:solidFill>
            <a:ln>
              <a:noFill/>
            </a:ln>
            <a:effectLst/>
          </c:spPr>
          <c:invertIfNegative val="0"/>
          <c:cat>
            <c:numRef>
              <c:f>Aperçu_BE!$S$64:$T$64</c:f>
              <c:numCache>
                <c:formatCode>General</c:formatCode>
                <c:ptCount val="2"/>
                <c:pt idx="0">
                  <c:v>1</c:v>
                </c:pt>
                <c:pt idx="1">
                  <c:v>3</c:v>
                </c:pt>
              </c:numCache>
            </c:numRef>
          </c:cat>
          <c:val>
            <c:numRef>
              <c:f>Aperçu_BE!$Q$52:$S$52</c:f>
              <c:numCache>
                <c:formatCode>0.0</c:formatCode>
                <c:ptCount val="3"/>
                <c:pt idx="0">
                  <c:v>0</c:v>
                </c:pt>
                <c:pt idx="1">
                  <c:v>0</c:v>
                </c:pt>
                <c:pt idx="2" formatCode="General">
                  <c:v>0</c:v>
                </c:pt>
              </c:numCache>
            </c:numRef>
          </c:val>
          <c:extLst xmlns:c16r2="http://schemas.microsoft.com/office/drawing/2015/06/chart">
            <c:ext xmlns:c16="http://schemas.microsoft.com/office/drawing/2014/chart" uri="{C3380CC4-5D6E-409C-BE32-E72D297353CC}">
              <c16:uniqueId val="{0000000D-A1B2-486E-82B3-4C2B8B792E21}"/>
            </c:ext>
          </c:extLst>
        </c:ser>
        <c:ser>
          <c:idx val="0"/>
          <c:order val="16"/>
          <c:tx>
            <c:v/>
          </c:tx>
          <c:spPr>
            <a:noFill/>
            <a:ln>
              <a:noFill/>
            </a:ln>
            <a:effectLst/>
          </c:spPr>
          <c:invertIfNegative val="0"/>
          <c:cat>
            <c:numRef>
              <c:f>Aperçu_BE!$S$64:$T$64</c:f>
              <c:numCache>
                <c:formatCode>General</c:formatCode>
                <c:ptCount val="2"/>
                <c:pt idx="0">
                  <c:v>1</c:v>
                </c:pt>
                <c:pt idx="1">
                  <c:v>3</c:v>
                </c:pt>
              </c:numCache>
            </c:numRef>
          </c:cat>
          <c:val>
            <c:numRef>
              <c:f>Aperçu_BE!$Q$82:$S$82</c:f>
              <c:numCache>
                <c:formatCode>General</c:formatCode>
                <c:ptCount val="3"/>
                <c:pt idx="0">
                  <c:v>0</c:v>
                </c:pt>
                <c:pt idx="1">
                  <c:v>0</c:v>
                </c:pt>
                <c:pt idx="2" formatCode="0.0">
                  <c:v>0</c:v>
                </c:pt>
              </c:numCache>
            </c:numRef>
          </c:val>
          <c:extLst xmlns:c16r2="http://schemas.microsoft.com/office/drawing/2015/06/chart">
            <c:ext xmlns:c16="http://schemas.microsoft.com/office/drawing/2014/chart" uri="{C3380CC4-5D6E-409C-BE32-E72D297353CC}">
              <c16:uniqueId val="{0000000E-A1B2-486E-82B3-4C2B8B792E21}"/>
            </c:ext>
          </c:extLst>
        </c:ser>
        <c:ser>
          <c:idx val="15"/>
          <c:order val="17"/>
          <c:tx>
            <c:strRef>
              <c:f>Aperçu_BE!$M$61</c:f>
              <c:strCache>
                <c:ptCount val="1"/>
                <c:pt idx="0">
                  <c:v>Électricité non pris en compte</c:v>
                </c:pt>
              </c:strCache>
            </c:strRef>
          </c:tx>
          <c:spPr>
            <a:pattFill prst="wdUpDiag">
              <a:fgClr>
                <a:srgbClr val="F9EA85"/>
              </a:fgClr>
              <a:bgClr>
                <a:schemeClr val="bg1"/>
              </a:bgClr>
            </a:pattFill>
            <a:ln>
              <a:noFill/>
            </a:ln>
            <a:effectLst/>
          </c:spPr>
          <c:invertIfNegative val="0"/>
          <c:cat>
            <c:numRef>
              <c:f>Aperçu_BE!$S$64:$T$64</c:f>
              <c:numCache>
                <c:formatCode>General</c:formatCode>
                <c:ptCount val="2"/>
                <c:pt idx="0">
                  <c:v>1</c:v>
                </c:pt>
                <c:pt idx="1">
                  <c:v>3</c:v>
                </c:pt>
              </c:numCache>
            </c:numRef>
          </c:cat>
          <c:val>
            <c:numRef>
              <c:f>Aperçu_BE!$Q$83:$S$83</c:f>
              <c:numCache>
                <c:formatCode>General</c:formatCode>
                <c:ptCount val="3"/>
                <c:pt idx="0">
                  <c:v>0</c:v>
                </c:pt>
                <c:pt idx="1">
                  <c:v>0</c:v>
                </c:pt>
                <c:pt idx="2" formatCode="0.0">
                  <c:v>0</c:v>
                </c:pt>
              </c:numCache>
            </c:numRef>
          </c:val>
          <c:extLst xmlns:c16r2="http://schemas.microsoft.com/office/drawing/2015/06/chart">
            <c:ext xmlns:c16="http://schemas.microsoft.com/office/drawing/2014/chart" uri="{C3380CC4-5D6E-409C-BE32-E72D297353CC}">
              <c16:uniqueId val="{0000000F-A1B2-486E-82B3-4C2B8B792E21}"/>
            </c:ext>
          </c:extLst>
        </c:ser>
        <c:ser>
          <c:idx val="1"/>
          <c:order val="18"/>
          <c:tx>
            <c:strRef>
              <c:f>Aperçu_BE!$M$59</c:f>
              <c:strCache>
                <c:ptCount val="1"/>
                <c:pt idx="0">
                  <c:v>Électricité part injectée</c:v>
                </c:pt>
              </c:strCache>
            </c:strRef>
          </c:tx>
          <c:spPr>
            <a:solidFill>
              <a:srgbClr val="F9EA85"/>
            </a:solidFill>
            <a:ln>
              <a:noFill/>
            </a:ln>
            <a:effectLst/>
          </c:spPr>
          <c:invertIfNegative val="0"/>
          <c:cat>
            <c:numRef>
              <c:f>Aperçu_BE!$S$64:$T$64</c:f>
              <c:numCache>
                <c:formatCode>General</c:formatCode>
                <c:ptCount val="2"/>
                <c:pt idx="0">
                  <c:v>1</c:v>
                </c:pt>
                <c:pt idx="1">
                  <c:v>3</c:v>
                </c:pt>
              </c:numCache>
            </c:numRef>
          </c:cat>
          <c:val>
            <c:numRef>
              <c:f>Aperçu_BE!$Q$84:$S$84</c:f>
              <c:numCache>
                <c:formatCode>General</c:formatCode>
                <c:ptCount val="3"/>
                <c:pt idx="0">
                  <c:v>0</c:v>
                </c:pt>
                <c:pt idx="1">
                  <c:v>0</c:v>
                </c:pt>
                <c:pt idx="2" formatCode="0.0">
                  <c:v>0</c:v>
                </c:pt>
              </c:numCache>
            </c:numRef>
          </c:val>
          <c:extLst xmlns:c16r2="http://schemas.microsoft.com/office/drawing/2015/06/chart">
            <c:ext xmlns:c16="http://schemas.microsoft.com/office/drawing/2014/chart" uri="{C3380CC4-5D6E-409C-BE32-E72D297353CC}">
              <c16:uniqueId val="{00000010-A1B2-486E-82B3-4C2B8B792E21}"/>
            </c:ext>
          </c:extLst>
        </c:ser>
        <c:ser>
          <c:idx val="2"/>
          <c:order val="19"/>
          <c:tx>
            <c:strRef>
              <c:f>Aperçu_BE!$M$58</c:f>
              <c:strCache>
                <c:ptCount val="1"/>
                <c:pt idx="0">
                  <c:v>Électricité autoconsommation</c:v>
                </c:pt>
              </c:strCache>
            </c:strRef>
          </c:tx>
          <c:spPr>
            <a:solidFill>
              <a:srgbClr val="F4DC32"/>
            </a:solidFill>
            <a:ln>
              <a:noFill/>
            </a:ln>
            <a:effectLst/>
          </c:spPr>
          <c:invertIfNegative val="0"/>
          <c:cat>
            <c:numRef>
              <c:f>Aperçu_BE!$S$64:$T$64</c:f>
              <c:numCache>
                <c:formatCode>General</c:formatCode>
                <c:ptCount val="2"/>
                <c:pt idx="0">
                  <c:v>1</c:v>
                </c:pt>
                <c:pt idx="1">
                  <c:v>3</c:v>
                </c:pt>
              </c:numCache>
            </c:numRef>
          </c:cat>
          <c:val>
            <c:numRef>
              <c:f>Aperçu_BE!$Q$85:$S$85</c:f>
              <c:numCache>
                <c:formatCode>General</c:formatCode>
                <c:ptCount val="3"/>
                <c:pt idx="0">
                  <c:v>0</c:v>
                </c:pt>
                <c:pt idx="1">
                  <c:v>0</c:v>
                </c:pt>
                <c:pt idx="2" formatCode="0.0">
                  <c:v>0</c:v>
                </c:pt>
              </c:numCache>
            </c:numRef>
          </c:val>
          <c:extLst xmlns:c16r2="http://schemas.microsoft.com/office/drawing/2015/06/chart">
            <c:ext xmlns:c16="http://schemas.microsoft.com/office/drawing/2014/chart" uri="{C3380CC4-5D6E-409C-BE32-E72D297353CC}">
              <c16:uniqueId val="{00000011-A1B2-486E-82B3-4C2B8B792E21}"/>
            </c:ext>
          </c:extLst>
        </c:ser>
        <c:dLbls>
          <c:showLegendKey val="0"/>
          <c:showVal val="0"/>
          <c:showCatName val="0"/>
          <c:showSerName val="0"/>
          <c:showPercent val="0"/>
          <c:showBubbleSize val="0"/>
        </c:dLbls>
        <c:gapWidth val="80"/>
        <c:overlap val="100"/>
        <c:axId val="409149768"/>
        <c:axId val="409150944"/>
      </c:barChart>
      <c:scatterChart>
        <c:scatterStyle val="lineMarker"/>
        <c:varyColors val="0"/>
        <c:ser>
          <c:idx val="12"/>
          <c:order val="7"/>
          <c:tx>
            <c:strRef>
              <c:f>Aperçu_BE!$M$66</c:f>
              <c:strCache>
                <c:ptCount val="1"/>
                <c:pt idx="0">
                  <c:v>Exigences</c:v>
                </c:pt>
              </c:strCache>
            </c:strRef>
          </c:tx>
          <c:spPr>
            <a:ln w="19050" cap="rnd">
              <a:solidFill>
                <a:srgbClr val="FF0000"/>
              </a:solidFill>
              <a:round/>
            </a:ln>
            <a:effectLst/>
          </c:spPr>
          <c:marker>
            <c:symbol val="none"/>
          </c:marker>
          <c:dPt>
            <c:idx val="1"/>
            <c:marker>
              <c:symbol val="none"/>
            </c:marker>
            <c:bubble3D val="0"/>
            <c:spPr>
              <a:ln w="19050" cap="rnd">
                <a:solidFill>
                  <a:srgbClr val="FF0000"/>
                </a:solidFill>
                <a:round/>
              </a:ln>
              <a:effectLst/>
            </c:spPr>
            <c:extLst xmlns:c16r2="http://schemas.microsoft.com/office/drawing/2015/06/chart">
              <c:ext xmlns:c16="http://schemas.microsoft.com/office/drawing/2014/chart" uri="{C3380CC4-5D6E-409C-BE32-E72D297353CC}">
                <c16:uniqueId val="{00000013-A1B2-486E-82B3-4C2B8B792E21}"/>
              </c:ext>
            </c:extLst>
          </c:dPt>
          <c:xVal>
            <c:numRef>
              <c:f>Aperçu_BE!$S$61:$T$61</c:f>
              <c:numCache>
                <c:formatCode>General</c:formatCode>
                <c:ptCount val="2"/>
                <c:pt idx="0">
                  <c:v>1</c:v>
                </c:pt>
                <c:pt idx="1">
                  <c:v>3</c:v>
                </c:pt>
              </c:numCache>
            </c:numRef>
          </c:xVal>
          <c:yVal>
            <c:numRef>
              <c:f>Aperçu_BE!$S$66:$T$66</c:f>
              <c:numCache>
                <c:formatCode>0.0</c:formatCode>
                <c:ptCount val="2"/>
                <c:pt idx="0">
                  <c:v>0</c:v>
                </c:pt>
                <c:pt idx="1">
                  <c:v>0</c:v>
                </c:pt>
              </c:numCache>
            </c:numRef>
          </c:yVal>
          <c:smooth val="0"/>
          <c:extLst xmlns:c16r2="http://schemas.microsoft.com/office/drawing/2015/06/chart">
            <c:ext xmlns:c16="http://schemas.microsoft.com/office/drawing/2014/chart" uri="{C3380CC4-5D6E-409C-BE32-E72D297353CC}">
              <c16:uniqueId val="{00000014-A1B2-486E-82B3-4C2B8B792E21}"/>
            </c:ext>
          </c:extLst>
        </c:ser>
        <c:ser>
          <c:idx val="11"/>
          <c:order val="8"/>
          <c:tx>
            <c:strRef>
              <c:f>Aperçu_BE!$M$65</c:f>
              <c:strCache>
                <c:ptCount val="1"/>
                <c:pt idx="0">
                  <c:v>Indice Minergie calculé</c:v>
                </c:pt>
              </c:strCache>
            </c:strRef>
          </c:tx>
          <c:spPr>
            <a:ln w="19050" cap="rnd">
              <a:solidFill>
                <a:schemeClr val="tx1"/>
              </a:solidFill>
              <a:round/>
            </a:ln>
            <a:effectLst/>
          </c:spPr>
          <c:marker>
            <c:symbol val="none"/>
          </c:marker>
          <c:xVal>
            <c:numRef>
              <c:f>Aperçu_BE!$S$64:$T$64</c:f>
              <c:numCache>
                <c:formatCode>General</c:formatCode>
                <c:ptCount val="2"/>
                <c:pt idx="0">
                  <c:v>1</c:v>
                </c:pt>
                <c:pt idx="1">
                  <c:v>3</c:v>
                </c:pt>
              </c:numCache>
            </c:numRef>
          </c:xVal>
          <c:yVal>
            <c:numRef>
              <c:f>Aperçu_BE!$S$65:$T$65</c:f>
              <c:numCache>
                <c:formatCode>0.0</c:formatCode>
                <c:ptCount val="2"/>
                <c:pt idx="0">
                  <c:v>0</c:v>
                </c:pt>
                <c:pt idx="1">
                  <c:v>0</c:v>
                </c:pt>
              </c:numCache>
            </c:numRef>
          </c:yVal>
          <c:smooth val="0"/>
          <c:extLst xmlns:c16r2="http://schemas.microsoft.com/office/drawing/2015/06/chart">
            <c:ext xmlns:c16="http://schemas.microsoft.com/office/drawing/2014/chart" uri="{C3380CC4-5D6E-409C-BE32-E72D297353CC}">
              <c16:uniqueId val="{00000015-A1B2-486E-82B3-4C2B8B792E21}"/>
            </c:ext>
          </c:extLst>
        </c:ser>
        <c:dLbls>
          <c:showLegendKey val="0"/>
          <c:showVal val="0"/>
          <c:showCatName val="0"/>
          <c:showSerName val="0"/>
          <c:showPercent val="0"/>
          <c:showBubbleSize val="0"/>
        </c:dLbls>
        <c:axId val="409149768"/>
        <c:axId val="409150944"/>
      </c:scatterChart>
      <c:catAx>
        <c:axId val="409149768"/>
        <c:scaling>
          <c:orientation val="minMax"/>
        </c:scaling>
        <c:delete val="1"/>
        <c:axPos val="b"/>
        <c:numFmt formatCode="General" sourceLinked="1"/>
        <c:majorTickMark val="none"/>
        <c:minorTickMark val="none"/>
        <c:tickLblPos val="nextTo"/>
        <c:crossAx val="409150944"/>
        <c:crosses val="autoZero"/>
        <c:auto val="1"/>
        <c:lblAlgn val="ctr"/>
        <c:lblOffset val="100"/>
        <c:noMultiLvlLbl val="0"/>
      </c:catAx>
      <c:valAx>
        <c:axId val="409150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kWh/m2</a:t>
                </a:r>
              </a:p>
            </c:rich>
          </c:tx>
          <c:layout>
            <c:manualLayout>
              <c:xMode val="edge"/>
              <c:yMode val="edge"/>
              <c:x val="1.9269411772406251E-3"/>
              <c:y val="3.1121624818356931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9149768"/>
        <c:crosses val="autoZero"/>
        <c:crossBetween val="between"/>
      </c:valAx>
      <c:spPr>
        <a:noFill/>
        <a:ln>
          <a:noFill/>
        </a:ln>
        <a:effectLst/>
      </c:spPr>
    </c:plotArea>
    <c:legend>
      <c:legendPos val="b"/>
      <c:layout>
        <c:manualLayout>
          <c:xMode val="edge"/>
          <c:yMode val="edge"/>
          <c:x val="0"/>
          <c:y val="0.72816295208861603"/>
          <c:w val="0.9987058272952789"/>
          <c:h val="0.271837047911383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77777777777779E-3"/>
          <c:y val="0"/>
          <c:w val="0.99722222222222223"/>
          <c:h val="1"/>
        </c:manualLayout>
      </c:layout>
      <c:barChart>
        <c:barDir val="col"/>
        <c:grouping val="percentStacked"/>
        <c:varyColors val="0"/>
        <c:ser>
          <c:idx val="1"/>
          <c:order val="1"/>
          <c:spPr>
            <a:blipFill>
              <a:blip xmlns:r="http://schemas.openxmlformats.org/officeDocument/2006/relationships" r:embed="rId3"/>
              <a:stretch>
                <a:fillRect/>
              </a:stretch>
            </a:blip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xmlns:c16r2="http://schemas.microsoft.com/office/drawing/2015/06/chart">
              <c:ext xmlns:c16="http://schemas.microsoft.com/office/drawing/2014/chart" uri="{C3380CC4-5D6E-409C-BE32-E72D297353CC}">
                <c16:uniqueId val="{00000001-B3B6-4171-B185-556418DA4ED2}"/>
              </c:ext>
            </c:extLst>
          </c:dPt>
          <c:val>
            <c:numRef>
              <c:f>Entrées!$C$3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2-B3B6-4171-B185-556418DA4ED2}"/>
            </c:ext>
          </c:extLst>
        </c:ser>
        <c:ser>
          <c:idx val="0"/>
          <c:order val="0"/>
          <c:spPr>
            <a:blipFill>
              <a:blip xmlns:r="http://schemas.openxmlformats.org/officeDocument/2006/relationships" r:embed="rId4"/>
              <a:stretch>
                <a:fillRect/>
              </a:stretch>
            </a:blipFill>
            <a:ln>
              <a:noFill/>
            </a:ln>
            <a:effectLst/>
          </c:spPr>
          <c:invertIfNegative val="0"/>
          <c:val>
            <c:numRef>
              <c:f>Entrées!$B$3</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B3B6-4171-B185-556418DA4ED2}"/>
            </c:ext>
          </c:extLst>
        </c:ser>
        <c:ser>
          <c:idx val="2"/>
          <c:order val="2"/>
          <c:spPr>
            <a:blipFill>
              <a:blip xmlns:r="http://schemas.openxmlformats.org/officeDocument/2006/relationships" r:embed="rId5"/>
              <a:stretch>
                <a:fillRect/>
              </a:stretch>
            </a:blipFill>
            <a:ln>
              <a:noFill/>
            </a:ln>
            <a:effectLst/>
          </c:spPr>
          <c:invertIfNegative val="0"/>
          <c:val>
            <c:numRef>
              <c:f>Entrées!$D$3</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4-B3B6-4171-B185-556418DA4ED2}"/>
            </c:ext>
          </c:extLst>
        </c:ser>
        <c:dLbls>
          <c:showLegendKey val="0"/>
          <c:showVal val="0"/>
          <c:showCatName val="0"/>
          <c:showSerName val="0"/>
          <c:showPercent val="0"/>
          <c:showBubbleSize val="0"/>
        </c:dLbls>
        <c:gapWidth val="0"/>
        <c:overlap val="100"/>
        <c:axId val="409151336"/>
        <c:axId val="535857792"/>
      </c:barChart>
      <c:catAx>
        <c:axId val="409151336"/>
        <c:scaling>
          <c:orientation val="minMax"/>
        </c:scaling>
        <c:delete val="1"/>
        <c:axPos val="b"/>
        <c:numFmt formatCode="General" sourceLinked="1"/>
        <c:majorTickMark val="none"/>
        <c:minorTickMark val="none"/>
        <c:tickLblPos val="nextTo"/>
        <c:crossAx val="535857792"/>
        <c:crosses val="autoZero"/>
        <c:auto val="1"/>
        <c:lblAlgn val="ctr"/>
        <c:lblOffset val="100"/>
        <c:noMultiLvlLbl val="0"/>
      </c:catAx>
      <c:valAx>
        <c:axId val="535857792"/>
        <c:scaling>
          <c:orientation val="minMax"/>
        </c:scaling>
        <c:delete val="1"/>
        <c:axPos val="l"/>
        <c:numFmt formatCode="0%" sourceLinked="1"/>
        <c:majorTickMark val="none"/>
        <c:minorTickMark val="none"/>
        <c:tickLblPos val="nextTo"/>
        <c:crossAx val="409151336"/>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bg1"/>
          </a:solidFill>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Construction!$B$39</c:f>
          <c:strCache>
            <c:ptCount val="1"/>
            <c:pt idx="0">
              <c:v>Visualisation des GES pendant la construction</c:v>
            </c:pt>
          </c:strCache>
        </c:strRef>
      </c:tx>
      <c:layout>
        <c:manualLayout>
          <c:xMode val="edge"/>
          <c:yMode val="edge"/>
          <c:x val="0.27700517698031096"/>
          <c:y val="2.767939700227726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mn-cs"/>
            </a:defRPr>
          </a:pPr>
          <a:endParaRPr lang="de-DE"/>
        </a:p>
      </c:txPr>
    </c:title>
    <c:autoTitleDeleted val="0"/>
    <c:plotArea>
      <c:layout>
        <c:manualLayout>
          <c:layoutTarget val="inner"/>
          <c:xMode val="edge"/>
          <c:yMode val="edge"/>
          <c:x val="0.11118351308660586"/>
          <c:y val="0.13501586914508129"/>
          <c:w val="0.86539513087835307"/>
          <c:h val="0.7560200169533724"/>
        </c:manualLayout>
      </c:layout>
      <c:barChart>
        <c:barDir val="col"/>
        <c:grouping val="clustered"/>
        <c:varyColors val="0"/>
        <c:ser>
          <c:idx val="0"/>
          <c:order val="0"/>
          <c:tx>
            <c:strRef>
              <c:f>Construction!$B$39</c:f>
              <c:strCache>
                <c:ptCount val="1"/>
                <c:pt idx="0">
                  <c:v>Visualisation des GES pendant la construction</c:v>
                </c:pt>
              </c:strCache>
            </c:strRef>
          </c:tx>
          <c:spPr>
            <a:solidFill>
              <a:schemeClr val="accent1"/>
            </a:solidFill>
            <a:ln>
              <a:noFill/>
            </a:ln>
            <a:effectLst/>
          </c:spPr>
          <c:invertIfNegative val="0"/>
          <c:dPt>
            <c:idx val="0"/>
            <c:invertIfNegative val="0"/>
            <c:bubble3D val="0"/>
            <c:spPr>
              <a:solidFill>
                <a:srgbClr val="9CB4BB"/>
              </a:solidFill>
              <a:ln>
                <a:noFill/>
              </a:ln>
              <a:effectLst/>
            </c:spPr>
            <c:extLst xmlns:c16r2="http://schemas.microsoft.com/office/drawing/2015/06/chart">
              <c:ext xmlns:c16="http://schemas.microsoft.com/office/drawing/2014/chart" uri="{C3380CC4-5D6E-409C-BE32-E72D297353CC}">
                <c16:uniqueId val="{00000003-C881-4C70-9970-056B9DD6A2F5}"/>
              </c:ext>
            </c:extLst>
          </c:dPt>
          <c:dPt>
            <c:idx val="1"/>
            <c:invertIfNegative val="0"/>
            <c:bubble3D val="0"/>
            <c:spPr>
              <a:solidFill>
                <a:srgbClr val="AA8C8C"/>
              </a:solidFill>
              <a:ln>
                <a:noFill/>
              </a:ln>
              <a:effectLst/>
            </c:spPr>
            <c:extLst xmlns:c16r2="http://schemas.microsoft.com/office/drawing/2015/06/chart">
              <c:ext xmlns:c16="http://schemas.microsoft.com/office/drawing/2014/chart" uri="{C3380CC4-5D6E-409C-BE32-E72D297353CC}">
                <c16:uniqueId val="{00000004-C881-4C70-9970-056B9DD6A2F5}"/>
              </c:ext>
            </c:extLst>
          </c:dPt>
          <c:cat>
            <c:strRef>
              <c:f>Construction!$B$41:$B$42</c:f>
              <c:strCache>
                <c:ptCount val="2"/>
                <c:pt idx="0">
                  <c:v>Emissions de gaz à effet de serre</c:v>
                </c:pt>
                <c:pt idx="1">
                  <c:v>Carbone stocké</c:v>
                </c:pt>
              </c:strCache>
            </c:strRef>
          </c:cat>
          <c:val>
            <c:numRef>
              <c:f>Construction!$C$41:$C$42</c:f>
              <c:numCache>
                <c:formatCode>0.0</c:formatCode>
                <c:ptCount val="2"/>
                <c:pt idx="0">
                  <c:v>0</c:v>
                </c:pt>
                <c:pt idx="1">
                  <c:v>0</c:v>
                </c:pt>
              </c:numCache>
            </c:numRef>
          </c:val>
          <c:extLst xmlns:c16r2="http://schemas.microsoft.com/office/drawing/2015/06/chart">
            <c:ext xmlns:c16="http://schemas.microsoft.com/office/drawing/2014/chart" uri="{C3380CC4-5D6E-409C-BE32-E72D297353CC}">
              <c16:uniqueId val="{00000000-C881-4C70-9970-056B9DD6A2F5}"/>
            </c:ext>
          </c:extLst>
        </c:ser>
        <c:dLbls>
          <c:showLegendKey val="0"/>
          <c:showVal val="0"/>
          <c:showCatName val="0"/>
          <c:showSerName val="0"/>
          <c:showPercent val="0"/>
          <c:showBubbleSize val="0"/>
        </c:dLbls>
        <c:gapWidth val="219"/>
        <c:axId val="535860536"/>
        <c:axId val="535862104"/>
      </c:barChart>
      <c:scatterChart>
        <c:scatterStyle val="lineMarker"/>
        <c:varyColors val="0"/>
        <c:ser>
          <c:idx val="1"/>
          <c:order val="1"/>
          <c:tx>
            <c:strRef>
              <c:f>Construction!$F$33</c:f>
              <c:strCache>
                <c:ptCount val="1"/>
                <c:pt idx="0">
                  <c:v>Valeur indidactive GES Construction</c:v>
                </c:pt>
              </c:strCache>
            </c:strRef>
          </c:tx>
          <c:spPr>
            <a:ln w="28575" cap="rnd">
              <a:solidFill>
                <a:srgbClr val="EA6E76"/>
              </a:solidFill>
              <a:round/>
            </a:ln>
            <a:effectLst/>
          </c:spPr>
          <c:marker>
            <c:symbol val="none"/>
          </c:marker>
          <c:xVal>
            <c:numRef>
              <c:f>Construction!$F$40:$F$42</c:f>
              <c:numCache>
                <c:formatCode>General</c:formatCode>
                <c:ptCount val="3"/>
                <c:pt idx="0">
                  <c:v>0.7</c:v>
                </c:pt>
                <c:pt idx="1">
                  <c:v>1</c:v>
                </c:pt>
                <c:pt idx="2">
                  <c:v>1.3</c:v>
                </c:pt>
              </c:numCache>
            </c:numRef>
          </c:xVal>
          <c:yVal>
            <c:numRef>
              <c:f>Construction!$E$40:$E$42</c:f>
              <c:numCache>
                <c:formatCode>0.0</c:formatCode>
                <c:ptCount val="3"/>
                <c:pt idx="0">
                  <c:v>0</c:v>
                </c:pt>
                <c:pt idx="1">
                  <c:v>0</c:v>
                </c:pt>
                <c:pt idx="2">
                  <c:v>0</c:v>
                </c:pt>
              </c:numCache>
            </c:numRef>
          </c:yVal>
          <c:smooth val="0"/>
          <c:extLst xmlns:c16r2="http://schemas.microsoft.com/office/drawing/2015/06/chart">
            <c:ext xmlns:c16="http://schemas.microsoft.com/office/drawing/2014/chart" uri="{C3380CC4-5D6E-409C-BE32-E72D297353CC}">
              <c16:uniqueId val="{00000006-C881-4C70-9970-056B9DD6A2F5}"/>
            </c:ext>
          </c:extLst>
        </c:ser>
        <c:dLbls>
          <c:showLegendKey val="0"/>
          <c:showVal val="0"/>
          <c:showCatName val="0"/>
          <c:showSerName val="0"/>
          <c:showPercent val="0"/>
          <c:showBubbleSize val="0"/>
        </c:dLbls>
        <c:axId val="535860536"/>
        <c:axId val="535862104"/>
      </c:scatterChart>
      <c:catAx>
        <c:axId val="535860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10" b="1" i="0" u="none" strike="noStrike" kern="1200" baseline="0">
                <a:solidFill>
                  <a:schemeClr val="tx1"/>
                </a:solidFill>
                <a:latin typeface="Calibri" panose="020F0502020204030204" pitchFamily="34" charset="0"/>
                <a:ea typeface="+mn-ea"/>
                <a:cs typeface="Arial" panose="020B0604020202020204" pitchFamily="34" charset="0"/>
              </a:defRPr>
            </a:pPr>
            <a:endParaRPr lang="de-DE"/>
          </a:p>
        </c:txPr>
        <c:crossAx val="535862104"/>
        <c:crosses val="autoZero"/>
        <c:auto val="1"/>
        <c:lblAlgn val="ctr"/>
        <c:lblOffset val="100"/>
        <c:noMultiLvlLbl val="0"/>
      </c:catAx>
      <c:valAx>
        <c:axId val="535862104"/>
        <c:scaling>
          <c:orientation val="minMax"/>
        </c:scaling>
        <c:delete val="0"/>
        <c:axPos val="l"/>
        <c:majorGridlines>
          <c:spPr>
            <a:ln w="9525" cap="flat" cmpd="sng" algn="ctr">
              <a:solidFill>
                <a:schemeClr val="tx1">
                  <a:lumMod val="15000"/>
                  <a:lumOff val="85000"/>
                </a:schemeClr>
              </a:solidFill>
              <a:round/>
            </a:ln>
            <a:effectLst/>
          </c:spPr>
        </c:majorGridlines>
        <c:title>
          <c:tx>
            <c:strRef>
              <c:f>Construction!$B$44</c:f>
              <c:strCache>
                <c:ptCount val="1"/>
                <c:pt idx="0">
                  <c:v>kg CO2-e/m2</c:v>
                </c:pt>
              </c:strCache>
            </c:strRef>
          </c:tx>
          <c:layout>
            <c:manualLayout>
              <c:xMode val="edge"/>
              <c:yMode val="edge"/>
              <c:x val="1.1710697598949748E-2"/>
              <c:y val="0.1249072129229053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535860536"/>
        <c:crosses val="autoZero"/>
        <c:crossBetween val="between"/>
      </c:valAx>
      <c:spPr>
        <a:noFill/>
        <a:ln>
          <a:noFill/>
        </a:ln>
        <a:effectLst/>
      </c:spPr>
    </c:plotArea>
    <c:legend>
      <c:legendPos val="b"/>
      <c:legendEntry>
        <c:idx val="0"/>
        <c:delete val="1"/>
      </c:legendEntry>
      <c:layout>
        <c:manualLayout>
          <c:xMode val="edge"/>
          <c:yMode val="edge"/>
          <c:x val="0.57803842945644657"/>
          <c:y val="0.22081548495625489"/>
          <c:w val="0.34522344343049299"/>
          <c:h val="7.9109531781732273E-2"/>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Construction!$B$39</c:f>
          <c:strCache>
            <c:ptCount val="1"/>
            <c:pt idx="0">
              <c:v>Visualisation des GES pendant la construction</c:v>
            </c:pt>
          </c:strCache>
        </c:strRef>
      </c:tx>
      <c:layout>
        <c:manualLayout>
          <c:xMode val="edge"/>
          <c:yMode val="edge"/>
          <c:x val="0.16608085753986634"/>
          <c:y val="2.7679513527085788E-2"/>
        </c:manualLayout>
      </c:layout>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mn-cs"/>
            </a:defRPr>
          </a:pPr>
          <a:endParaRPr lang="de-DE"/>
        </a:p>
      </c:txPr>
    </c:title>
    <c:autoTitleDeleted val="0"/>
    <c:plotArea>
      <c:layout>
        <c:manualLayout>
          <c:layoutTarget val="inner"/>
          <c:xMode val="edge"/>
          <c:yMode val="edge"/>
          <c:x val="0.16496499702243103"/>
          <c:y val="0.17214885550726708"/>
          <c:w val="0.81161357771455034"/>
          <c:h val="0.71888704482250854"/>
        </c:manualLayout>
      </c:layout>
      <c:barChart>
        <c:barDir val="col"/>
        <c:grouping val="clustered"/>
        <c:varyColors val="0"/>
        <c:ser>
          <c:idx val="0"/>
          <c:order val="0"/>
          <c:tx>
            <c:strRef>
              <c:f>Construction!$B$39</c:f>
              <c:strCache>
                <c:ptCount val="1"/>
                <c:pt idx="0">
                  <c:v>Visualisation des GES pendant la construction</c:v>
                </c:pt>
              </c:strCache>
            </c:strRef>
          </c:tx>
          <c:spPr>
            <a:solidFill>
              <a:schemeClr val="accent1"/>
            </a:solidFill>
            <a:ln>
              <a:noFill/>
            </a:ln>
            <a:effectLst/>
          </c:spPr>
          <c:invertIfNegative val="0"/>
          <c:dPt>
            <c:idx val="0"/>
            <c:invertIfNegative val="0"/>
            <c:bubble3D val="0"/>
            <c:spPr>
              <a:solidFill>
                <a:srgbClr val="9CB4BB"/>
              </a:solidFill>
              <a:ln>
                <a:noFill/>
              </a:ln>
              <a:effectLst/>
            </c:spPr>
            <c:extLst xmlns:c16r2="http://schemas.microsoft.com/office/drawing/2015/06/chart">
              <c:ext xmlns:c16="http://schemas.microsoft.com/office/drawing/2014/chart" uri="{C3380CC4-5D6E-409C-BE32-E72D297353CC}">
                <c16:uniqueId val="{00000003-C881-4C70-9970-056B9DD6A2F5}"/>
              </c:ext>
            </c:extLst>
          </c:dPt>
          <c:dPt>
            <c:idx val="1"/>
            <c:invertIfNegative val="0"/>
            <c:bubble3D val="0"/>
            <c:spPr>
              <a:solidFill>
                <a:srgbClr val="AA8C8C"/>
              </a:solidFill>
              <a:ln>
                <a:noFill/>
              </a:ln>
              <a:effectLst/>
            </c:spPr>
            <c:extLst xmlns:c16r2="http://schemas.microsoft.com/office/drawing/2015/06/chart">
              <c:ext xmlns:c16="http://schemas.microsoft.com/office/drawing/2014/chart" uri="{C3380CC4-5D6E-409C-BE32-E72D297353CC}">
                <c16:uniqueId val="{00000004-C881-4C70-9970-056B9DD6A2F5}"/>
              </c:ext>
            </c:extLst>
          </c:dPt>
          <c:cat>
            <c:strRef>
              <c:f>Construction!$B$41</c:f>
              <c:strCache>
                <c:ptCount val="1"/>
                <c:pt idx="0">
                  <c:v>Emissions de gaz à effet de serre</c:v>
                </c:pt>
              </c:strCache>
            </c:strRef>
          </c:cat>
          <c:val>
            <c:numRef>
              <c:f>Construction!$C$41</c:f>
              <c:numCache>
                <c:formatCode>0.0</c:formatCode>
                <c:ptCount val="1"/>
                <c:pt idx="0">
                  <c:v>0</c:v>
                </c:pt>
              </c:numCache>
            </c:numRef>
          </c:val>
          <c:extLst xmlns:c16r2="http://schemas.microsoft.com/office/drawing/2015/06/chart">
            <c:ext xmlns:c16="http://schemas.microsoft.com/office/drawing/2014/chart" uri="{C3380CC4-5D6E-409C-BE32-E72D297353CC}">
              <c16:uniqueId val="{00000000-C881-4C70-9970-056B9DD6A2F5}"/>
            </c:ext>
          </c:extLst>
        </c:ser>
        <c:dLbls>
          <c:showLegendKey val="0"/>
          <c:showVal val="0"/>
          <c:showCatName val="0"/>
          <c:showSerName val="0"/>
          <c:showPercent val="0"/>
          <c:showBubbleSize val="0"/>
        </c:dLbls>
        <c:gapWidth val="219"/>
        <c:axId val="535856616"/>
        <c:axId val="535855832"/>
      </c:barChart>
      <c:scatterChart>
        <c:scatterStyle val="lineMarker"/>
        <c:varyColors val="0"/>
        <c:ser>
          <c:idx val="1"/>
          <c:order val="1"/>
          <c:tx>
            <c:strRef>
              <c:f>Construction!$F$33</c:f>
              <c:strCache>
                <c:ptCount val="1"/>
                <c:pt idx="0">
                  <c:v>Valeur indidactive GES Construction</c:v>
                </c:pt>
              </c:strCache>
            </c:strRef>
          </c:tx>
          <c:spPr>
            <a:ln w="19050" cap="rnd">
              <a:solidFill>
                <a:srgbClr val="EA6E76"/>
              </a:solidFill>
              <a:round/>
            </a:ln>
            <a:effectLst/>
          </c:spPr>
          <c:marker>
            <c:symbol val="none"/>
          </c:marker>
          <c:xVal>
            <c:numRef>
              <c:f>Construction!$F$40:$F$42</c:f>
              <c:numCache>
                <c:formatCode>General</c:formatCode>
                <c:ptCount val="3"/>
                <c:pt idx="0">
                  <c:v>0.7</c:v>
                </c:pt>
                <c:pt idx="1">
                  <c:v>1</c:v>
                </c:pt>
                <c:pt idx="2">
                  <c:v>1.3</c:v>
                </c:pt>
              </c:numCache>
            </c:numRef>
          </c:xVal>
          <c:yVal>
            <c:numRef>
              <c:f>Construction!$E$40:$E$42</c:f>
              <c:numCache>
                <c:formatCode>0.0</c:formatCode>
                <c:ptCount val="3"/>
                <c:pt idx="0">
                  <c:v>0</c:v>
                </c:pt>
                <c:pt idx="1">
                  <c:v>0</c:v>
                </c:pt>
                <c:pt idx="2">
                  <c:v>0</c:v>
                </c:pt>
              </c:numCache>
            </c:numRef>
          </c:yVal>
          <c:smooth val="0"/>
          <c:extLst xmlns:c16r2="http://schemas.microsoft.com/office/drawing/2015/06/chart">
            <c:ext xmlns:c16="http://schemas.microsoft.com/office/drawing/2014/chart" uri="{C3380CC4-5D6E-409C-BE32-E72D297353CC}">
              <c16:uniqueId val="{00000006-C881-4C70-9970-056B9DD6A2F5}"/>
            </c:ext>
          </c:extLst>
        </c:ser>
        <c:dLbls>
          <c:showLegendKey val="0"/>
          <c:showVal val="0"/>
          <c:showCatName val="0"/>
          <c:showSerName val="0"/>
          <c:showPercent val="0"/>
          <c:showBubbleSize val="0"/>
        </c:dLbls>
        <c:axId val="535856616"/>
        <c:axId val="535855832"/>
      </c:scatterChart>
      <c:catAx>
        <c:axId val="535856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Calibri" panose="020F0502020204030204" pitchFamily="34" charset="0"/>
                <a:ea typeface="+mn-ea"/>
                <a:cs typeface="Arial" panose="020B0604020202020204" pitchFamily="34" charset="0"/>
              </a:defRPr>
            </a:pPr>
            <a:endParaRPr lang="de-DE"/>
          </a:p>
        </c:txPr>
        <c:crossAx val="535855832"/>
        <c:crosses val="autoZero"/>
        <c:auto val="1"/>
        <c:lblAlgn val="ctr"/>
        <c:lblOffset val="100"/>
        <c:noMultiLvlLbl val="0"/>
      </c:catAx>
      <c:valAx>
        <c:axId val="535855832"/>
        <c:scaling>
          <c:orientation val="minMax"/>
          <c:max val="20"/>
          <c:min val="0"/>
        </c:scaling>
        <c:delete val="0"/>
        <c:axPos val="l"/>
        <c:majorGridlines>
          <c:spPr>
            <a:ln w="9525" cap="flat" cmpd="sng" algn="ctr">
              <a:solidFill>
                <a:schemeClr val="tx1">
                  <a:lumMod val="15000"/>
                  <a:lumOff val="85000"/>
                </a:schemeClr>
              </a:solidFill>
              <a:round/>
            </a:ln>
            <a:effectLst/>
          </c:spPr>
        </c:majorGridlines>
        <c:title>
          <c:tx>
            <c:strRef>
              <c:f>Construction!$B$44</c:f>
              <c:strCache>
                <c:ptCount val="1"/>
                <c:pt idx="0">
                  <c:v>kg CO2-e/m2</c:v>
                </c:pt>
              </c:strCache>
            </c:strRef>
          </c:tx>
          <c:layout>
            <c:manualLayout>
              <c:xMode val="edge"/>
              <c:yMode val="edge"/>
              <c:x val="1.1710697598949748E-2"/>
              <c:y val="0.1249072129229053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535856616"/>
        <c:crosses val="autoZero"/>
        <c:crossBetween val="between"/>
      </c:valAx>
      <c:spPr>
        <a:noFill/>
        <a:ln>
          <a:noFill/>
        </a:ln>
        <a:effectLst/>
      </c:spPr>
    </c:plotArea>
    <c:legend>
      <c:legendPos val="b"/>
      <c:legendEntry>
        <c:idx val="0"/>
        <c:delete val="1"/>
      </c:legendEntry>
      <c:layout>
        <c:manualLayout>
          <c:xMode val="edge"/>
          <c:yMode val="edge"/>
          <c:x val="0.22845867795937272"/>
          <c:y val="9.0849650031449833E-2"/>
          <c:w val="0.55698802355587906"/>
          <c:h val="7.9109531781732273E-2"/>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3" dropStyle="combo" dx="22" fmlaLink="Standardwerte!$BN$28" fmlaRange="Standardwerte!$BL$29:$BL$31" noThreeD="1" sel="1"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4.png"/><Relationship Id="rId4"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76200</xdr:colOff>
      <xdr:row>1</xdr:row>
      <xdr:rowOff>85725</xdr:rowOff>
    </xdr:from>
    <xdr:to>
      <xdr:col>3</xdr:col>
      <xdr:colOff>361950</xdr:colOff>
      <xdr:row>3</xdr:row>
      <xdr:rowOff>161925</xdr:rowOff>
    </xdr:to>
    <xdr:graphicFrame macro="">
      <xdr:nvGraphicFramePr>
        <xdr:cNvPr id="5" name="Diagramm 4">
          <a:extLst>
            <a:ext uri="{FF2B5EF4-FFF2-40B4-BE49-F238E27FC236}">
              <a16:creationId xmlns:a16="http://schemas.microsoft.com/office/drawing/2014/main" xmlns=""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63</xdr:col>
          <xdr:colOff>0</xdr:colOff>
          <xdr:row>26</xdr:row>
          <xdr:rowOff>0</xdr:rowOff>
        </xdr:from>
        <xdr:to>
          <xdr:col>66</xdr:col>
          <xdr:colOff>0</xdr:colOff>
          <xdr:row>27</xdr:row>
          <xdr:rowOff>0</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xmlns="" id="{00000000-0008-0000-08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1</xdr:col>
      <xdr:colOff>22412</xdr:colOff>
      <xdr:row>1</xdr:row>
      <xdr:rowOff>36696</xdr:rowOff>
    </xdr:from>
    <xdr:to>
      <xdr:col>3</xdr:col>
      <xdr:colOff>366502</xdr:colOff>
      <xdr:row>3</xdr:row>
      <xdr:rowOff>96762</xdr:rowOff>
    </xdr:to>
    <xdr:pic>
      <xdr:nvPicPr>
        <xdr:cNvPr id="4" name="Grafik 3">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222437" y="141471"/>
          <a:ext cx="2391965" cy="498216"/>
        </a:xfrm>
        <a:prstGeom prst="rect">
          <a:avLst/>
        </a:prstGeom>
      </xdr:spPr>
    </xdr:pic>
    <xdr:clientData/>
  </xdr:twoCellAnchor>
  <xdr:twoCellAnchor>
    <xdr:from>
      <xdr:col>1</xdr:col>
      <xdr:colOff>194170</xdr:colOff>
      <xdr:row>70</xdr:row>
      <xdr:rowOff>5554</xdr:rowOff>
    </xdr:from>
    <xdr:to>
      <xdr:col>10</xdr:col>
      <xdr:colOff>3072</xdr:colOff>
      <xdr:row>86</xdr:row>
      <xdr:rowOff>100057</xdr:rowOff>
    </xdr:to>
    <xdr:graphicFrame macro="">
      <xdr:nvGraphicFramePr>
        <xdr:cNvPr id="5" name="Diagramm 4">
          <a:extLst>
            <a:ext uri="{FF2B5EF4-FFF2-40B4-BE49-F238E27FC236}">
              <a16:creationId xmlns:a16="http://schemas.microsoft.com/office/drawing/2014/main" xmlns=""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6350</xdr:colOff>
      <xdr:row>36</xdr:row>
      <xdr:rowOff>127000</xdr:rowOff>
    </xdr:from>
    <xdr:to>
      <xdr:col>5</xdr:col>
      <xdr:colOff>768350</xdr:colOff>
      <xdr:row>48</xdr:row>
      <xdr:rowOff>113553</xdr:rowOff>
    </xdr:to>
    <xdr:graphicFrame macro="">
      <xdr:nvGraphicFramePr>
        <xdr:cNvPr id="9" name="Diagramm 8">
          <a:extLst>
            <a:ext uri="{FF2B5EF4-FFF2-40B4-BE49-F238E27FC236}">
              <a16:creationId xmlns:a16="http://schemas.microsoft.com/office/drawing/2014/main" xmlns="" id="{00000000-0008-0000-0B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19050</xdr:colOff>
      <xdr:row>36</xdr:row>
      <xdr:rowOff>133350</xdr:rowOff>
    </xdr:from>
    <xdr:to>
      <xdr:col>9</xdr:col>
      <xdr:colOff>0</xdr:colOff>
      <xdr:row>48</xdr:row>
      <xdr:rowOff>119903</xdr:rowOff>
    </xdr:to>
    <xdr:graphicFrame macro="">
      <xdr:nvGraphicFramePr>
        <xdr:cNvPr id="10" name="Diagramm 9">
          <a:extLst>
            <a:ext uri="{FF2B5EF4-FFF2-40B4-BE49-F238E27FC236}">
              <a16:creationId xmlns:a16="http://schemas.microsoft.com/office/drawing/2014/main" xmlns="" id="{00000000-0008-0000-0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xdr:row>
      <xdr:rowOff>37367</xdr:rowOff>
    </xdr:from>
    <xdr:to>
      <xdr:col>2</xdr:col>
      <xdr:colOff>962025</xdr:colOff>
      <xdr:row>3</xdr:row>
      <xdr:rowOff>95249</xdr:rowOff>
    </xdr:to>
    <xdr:pic>
      <xdr:nvPicPr>
        <xdr:cNvPr id="2" name="Grafik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8150" y="161192"/>
          <a:ext cx="2400300" cy="4769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xdr:row>
      <xdr:rowOff>76200</xdr:rowOff>
    </xdr:from>
    <xdr:to>
      <xdr:col>4</xdr:col>
      <xdr:colOff>533400</xdr:colOff>
      <xdr:row>3</xdr:row>
      <xdr:rowOff>152400</xdr:rowOff>
    </xdr:to>
    <xdr:graphicFrame macro="">
      <xdr:nvGraphicFramePr>
        <xdr:cNvPr id="4" name="Diagramm 3">
          <a:extLst>
            <a:ext uri="{FF2B5EF4-FFF2-40B4-BE49-F238E27FC236}">
              <a16:creationId xmlns:a16="http://schemas.microsoft.com/office/drawing/2014/main" xmlns=""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390525</xdr:colOff>
      <xdr:row>1</xdr:row>
      <xdr:rowOff>66675</xdr:rowOff>
    </xdr:from>
    <xdr:to>
      <xdr:col>6</xdr:col>
      <xdr:colOff>152400</xdr:colOff>
      <xdr:row>3</xdr:row>
      <xdr:rowOff>142875</xdr:rowOff>
    </xdr:to>
    <xdr:graphicFrame macro="">
      <xdr:nvGraphicFramePr>
        <xdr:cNvPr id="5" name="Diagramm 4">
          <a:extLst>
            <a:ext uri="{FF2B5EF4-FFF2-40B4-BE49-F238E27FC236}">
              <a16:creationId xmlns:a16="http://schemas.microsoft.com/office/drawing/2014/main" xmlns=""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85725</xdr:colOff>
      <xdr:row>49</xdr:row>
      <xdr:rowOff>28575</xdr:rowOff>
    </xdr:from>
    <xdr:to>
      <xdr:col>9</xdr:col>
      <xdr:colOff>15240</xdr:colOff>
      <xdr:row>67</xdr:row>
      <xdr:rowOff>180975</xdr:rowOff>
    </xdr:to>
    <xdr:graphicFrame macro="">
      <xdr:nvGraphicFramePr>
        <xdr:cNvPr id="4" name="Diagramm 3">
          <a:extLst>
            <a:ext uri="{FF2B5EF4-FFF2-40B4-BE49-F238E27FC236}">
              <a16:creationId xmlns:a16="http://schemas.microsoft.com/office/drawing/2014/main" xmlns=""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104775</xdr:colOff>
      <xdr:row>1</xdr:row>
      <xdr:rowOff>29857</xdr:rowOff>
    </xdr:from>
    <xdr:to>
      <xdr:col>3</xdr:col>
      <xdr:colOff>295275</xdr:colOff>
      <xdr:row>3</xdr:row>
      <xdr:rowOff>104774</xdr:rowOff>
    </xdr:to>
    <xdr:pic>
      <xdr:nvPicPr>
        <xdr:cNvPr id="3" name="Grafik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3375" y="153682"/>
          <a:ext cx="2486025" cy="494017"/>
        </a:xfrm>
        <a:prstGeom prst="rect">
          <a:avLst/>
        </a:prstGeom>
      </xdr:spPr>
    </xdr:pic>
    <xdr:clientData/>
  </xdr:twoCellAnchor>
  <xdr:twoCellAnchor>
    <xdr:from>
      <xdr:col>1</xdr:col>
      <xdr:colOff>238125</xdr:colOff>
      <xdr:row>62</xdr:row>
      <xdr:rowOff>53341</xdr:rowOff>
    </xdr:from>
    <xdr:to>
      <xdr:col>7</xdr:col>
      <xdr:colOff>209550</xdr:colOff>
      <xdr:row>63</xdr:row>
      <xdr:rowOff>180977</xdr:rowOff>
    </xdr:to>
    <xdr:sp macro="" textlink="">
      <xdr:nvSpPr>
        <xdr:cNvPr id="2" name="Rechteck 1">
          <a:extLst>
            <a:ext uri="{FF2B5EF4-FFF2-40B4-BE49-F238E27FC236}">
              <a16:creationId xmlns:a16="http://schemas.microsoft.com/office/drawing/2014/main" xmlns="" id="{00000000-0008-0000-0400-000002000000}"/>
            </a:ext>
          </a:extLst>
        </xdr:cNvPr>
        <xdr:cNvSpPr/>
      </xdr:nvSpPr>
      <xdr:spPr bwMode="auto">
        <a:xfrm>
          <a:off x="474345" y="10736581"/>
          <a:ext cx="4772025" cy="340996"/>
        </a:xfrm>
        <a:prstGeom prst="rect">
          <a:avLst/>
        </a:prstGeom>
        <a:solidFill>
          <a:srgbClr val="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lang="de-CH" sz="1100"/>
        </a:p>
      </xdr:txBody>
    </xdr:sp>
    <xdr:clientData/>
  </xdr:twoCellAnchor>
  <xdr:twoCellAnchor>
    <xdr:from>
      <xdr:col>1</xdr:col>
      <xdr:colOff>180975</xdr:colOff>
      <xdr:row>63</xdr:row>
      <xdr:rowOff>85725</xdr:rowOff>
    </xdr:from>
    <xdr:to>
      <xdr:col>3</xdr:col>
      <xdr:colOff>28575</xdr:colOff>
      <xdr:row>64</xdr:row>
      <xdr:rowOff>85725</xdr:rowOff>
    </xdr:to>
    <xdr:sp macro="" textlink="">
      <xdr:nvSpPr>
        <xdr:cNvPr id="5" name="Rechteck 4">
          <a:extLst>
            <a:ext uri="{FF2B5EF4-FFF2-40B4-BE49-F238E27FC236}">
              <a16:creationId xmlns:a16="http://schemas.microsoft.com/office/drawing/2014/main" xmlns="" id="{00000000-0008-0000-0400-000005000000}"/>
            </a:ext>
          </a:extLst>
        </xdr:cNvPr>
        <xdr:cNvSpPr/>
      </xdr:nvSpPr>
      <xdr:spPr bwMode="auto">
        <a:xfrm>
          <a:off x="409575" y="10715625"/>
          <a:ext cx="1943100" cy="219075"/>
        </a:xfrm>
        <a:prstGeom prst="rect">
          <a:avLst/>
        </a:prstGeom>
        <a:solidFill>
          <a:srgbClr val="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lang="de-CH" sz="1100"/>
        </a:p>
      </xdr:txBody>
    </xdr:sp>
    <xdr:clientData/>
  </xdr:twoCellAnchor>
</xdr:wsDr>
</file>

<file path=xl/drawings/drawing6.xml><?xml version="1.0" encoding="utf-8"?>
<c:userShapes xmlns:c="http://schemas.openxmlformats.org/drawingml/2006/chart">
  <cdr:relSizeAnchor xmlns:cdr="http://schemas.openxmlformats.org/drawingml/2006/chartDrawing">
    <cdr:from>
      <cdr:x>0.00364</cdr:x>
      <cdr:y>0.73462</cdr:y>
    </cdr:from>
    <cdr:to>
      <cdr:x>0.3538</cdr:x>
      <cdr:y>0.80043</cdr:y>
    </cdr:to>
    <cdr:sp macro="" textlink="">
      <cdr:nvSpPr>
        <cdr:cNvPr id="2" name="Rechteck 1"/>
        <cdr:cNvSpPr/>
      </cdr:nvSpPr>
      <cdr:spPr bwMode="auto">
        <a:xfrm xmlns:a="http://schemas.openxmlformats.org/drawingml/2006/main">
          <a:off x="22225" y="3260726"/>
          <a:ext cx="2139950" cy="292100"/>
        </a:xfrm>
        <a:prstGeom xmlns:a="http://schemas.openxmlformats.org/drawingml/2006/main" prst="rect">
          <a:avLst/>
        </a:prstGeom>
        <a:solidFill xmlns:a="http://schemas.openxmlformats.org/drawingml/2006/main">
          <a:srgbClr val="FFFFFF"/>
        </a:solidFill>
        <a:ln xmlns:a="http://schemas.openxmlformats.org/drawingml/2006/main" w="9525" cap="flat" cmpd="sng" algn="ctr">
          <a:solidFill>
            <a:schemeClr val="bg1"/>
          </a:solidFill>
          <a:prstDash val="solid"/>
          <a:round/>
          <a:headEnd type="none" w="med" len="med"/>
          <a:tailEnd type="none" w="med" len="med"/>
        </a:ln>
        <a:effectLst xmlns:a="http://schemas.openxmlformats.org/drawingml/2006/main"/>
      </cdr:spPr>
      <cdr:txBody>
        <a:bodyPr xmlns:a="http://schemas.openxmlformats.org/drawingml/2006/main" rot="0" spcFirstLastPara="0" vert="horz" wrap="square" lIns="18288" tIns="0" rIns="0" bIns="0" numCol="1" spcCol="0" rtlCol="0" fromWordArt="0" anchor="t" anchorCtr="0" forceAA="0" upright="1"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de-CH" sz="1100"/>
        </a:p>
      </cdr:txBody>
    </cdr:sp>
  </cdr:relSizeAnchor>
  <cdr:relSizeAnchor xmlns:cdr="http://schemas.openxmlformats.org/drawingml/2006/chartDrawing">
    <cdr:from>
      <cdr:x>0.3351</cdr:x>
      <cdr:y>0.05794</cdr:y>
    </cdr:from>
    <cdr:to>
      <cdr:x>0.48473</cdr:x>
      <cdr:y>0.26395</cdr:y>
    </cdr:to>
    <cdr:sp macro="" textlink="">
      <cdr:nvSpPr>
        <cdr:cNvPr id="3" name="Textfeld 2"/>
        <cdr:cNvSpPr txBox="1"/>
      </cdr:nvSpPr>
      <cdr:spPr>
        <a:xfrm xmlns:a="http://schemas.openxmlformats.org/drawingml/2006/main">
          <a:off x="2047875" y="25717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95250</xdr:colOff>
      <xdr:row>1</xdr:row>
      <xdr:rowOff>114300</xdr:rowOff>
    </xdr:from>
    <xdr:to>
      <xdr:col>3</xdr:col>
      <xdr:colOff>504825</xdr:colOff>
      <xdr:row>3</xdr:row>
      <xdr:rowOff>123825</xdr:rowOff>
    </xdr:to>
    <xdr:graphicFrame macro="">
      <xdr:nvGraphicFramePr>
        <xdr:cNvPr id="5" name="Diagramm 4">
          <a:extLst>
            <a:ext uri="{FF2B5EF4-FFF2-40B4-BE49-F238E27FC236}">
              <a16:creationId xmlns:a16="http://schemas.microsoft.com/office/drawing/2014/main" xmlns=""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49</xdr:row>
      <xdr:rowOff>28575</xdr:rowOff>
    </xdr:from>
    <xdr:to>
      <xdr:col>9</xdr:col>
      <xdr:colOff>15240</xdr:colOff>
      <xdr:row>67</xdr:row>
      <xdr:rowOff>180975</xdr:rowOff>
    </xdr:to>
    <xdr:graphicFrame macro="">
      <xdr:nvGraphicFramePr>
        <xdr:cNvPr id="2" name="Diagramm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1343025</xdr:colOff>
      <xdr:row>62</xdr:row>
      <xdr:rowOff>215266</xdr:rowOff>
    </xdr:from>
    <xdr:to>
      <xdr:col>8</xdr:col>
      <xdr:colOff>533400</xdr:colOff>
      <xdr:row>64</xdr:row>
      <xdr:rowOff>28575</xdr:rowOff>
    </xdr:to>
    <xdr:sp macro="" textlink="">
      <xdr:nvSpPr>
        <xdr:cNvPr id="4" name="Rechteck 3">
          <a:extLst>
            <a:ext uri="{FF2B5EF4-FFF2-40B4-BE49-F238E27FC236}">
              <a16:creationId xmlns:a16="http://schemas.microsoft.com/office/drawing/2014/main" xmlns="" id="{00000000-0008-0000-0700-000004000000}"/>
            </a:ext>
          </a:extLst>
        </xdr:cNvPr>
        <xdr:cNvSpPr/>
      </xdr:nvSpPr>
      <xdr:spPr bwMode="auto">
        <a:xfrm>
          <a:off x="1571625" y="8254366"/>
          <a:ext cx="4857750" cy="365759"/>
        </a:xfrm>
        <a:prstGeom prst="rect">
          <a:avLst/>
        </a:prstGeom>
        <a:solidFill>
          <a:srgbClr val="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lang="de-CH" sz="1100"/>
        </a:p>
      </xdr:txBody>
    </xdr:sp>
    <xdr:clientData/>
  </xdr:twoCellAnchor>
  <xdr:twoCellAnchor>
    <xdr:from>
      <xdr:col>1</xdr:col>
      <xdr:colOff>209550</xdr:colOff>
      <xdr:row>62</xdr:row>
      <xdr:rowOff>200025</xdr:rowOff>
    </xdr:from>
    <xdr:to>
      <xdr:col>3</xdr:col>
      <xdr:colOff>57150</xdr:colOff>
      <xdr:row>64</xdr:row>
      <xdr:rowOff>152400</xdr:rowOff>
    </xdr:to>
    <xdr:sp macro="" textlink="">
      <xdr:nvSpPr>
        <xdr:cNvPr id="5" name="Rechteck 4">
          <a:extLst>
            <a:ext uri="{FF2B5EF4-FFF2-40B4-BE49-F238E27FC236}">
              <a16:creationId xmlns:a16="http://schemas.microsoft.com/office/drawing/2014/main" xmlns="" id="{00000000-0008-0000-0700-000005000000}"/>
            </a:ext>
          </a:extLst>
        </xdr:cNvPr>
        <xdr:cNvSpPr/>
      </xdr:nvSpPr>
      <xdr:spPr bwMode="auto">
        <a:xfrm>
          <a:off x="438150" y="8772525"/>
          <a:ext cx="2143125" cy="504825"/>
        </a:xfrm>
        <a:prstGeom prst="rect">
          <a:avLst/>
        </a:prstGeom>
        <a:solidFill>
          <a:srgbClr val="FFFFFF"/>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lang="de-CH" sz="1100"/>
        </a:p>
      </xdr:txBody>
    </xdr:sp>
    <xdr:clientData/>
  </xdr:twoCellAnchor>
  <xdr:twoCellAnchor>
    <xdr:from>
      <xdr:col>1</xdr:col>
      <xdr:colOff>95250</xdr:colOff>
      <xdr:row>1</xdr:row>
      <xdr:rowOff>114300</xdr:rowOff>
    </xdr:from>
    <xdr:to>
      <xdr:col>3</xdr:col>
      <xdr:colOff>504825</xdr:colOff>
      <xdr:row>3</xdr:row>
      <xdr:rowOff>123825</xdr:rowOff>
    </xdr:to>
    <xdr:graphicFrame macro="">
      <xdr:nvGraphicFramePr>
        <xdr:cNvPr id="6" name="Diagramm 5">
          <a:extLst>
            <a:ext uri="{FF2B5EF4-FFF2-40B4-BE49-F238E27FC236}">
              <a16:creationId xmlns:a16="http://schemas.microsoft.com/office/drawing/2014/main" xmlns=""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0.3351</cdr:x>
      <cdr:y>0.05794</cdr:y>
    </cdr:from>
    <cdr:to>
      <cdr:x>0.48473</cdr:x>
      <cdr:y>0.26395</cdr:y>
    </cdr:to>
    <cdr:sp macro="" textlink="">
      <cdr:nvSpPr>
        <cdr:cNvPr id="3" name="Textfeld 2"/>
        <cdr:cNvSpPr txBox="1"/>
      </cdr:nvSpPr>
      <cdr:spPr>
        <a:xfrm xmlns:a="http://schemas.openxmlformats.org/drawingml/2006/main">
          <a:off x="2047875" y="25717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pageSetUpPr fitToPage="1"/>
  </sheetPr>
  <dimension ref="A1:AJ856"/>
  <sheetViews>
    <sheetView showZeros="0" tabSelected="1" zoomScaleNormal="100" workbookViewId="0">
      <selection activeCell="C8" sqref="C8:H8"/>
    </sheetView>
  </sheetViews>
  <sheetFormatPr baseColWidth="10" defaultColWidth="11.42578125" defaultRowHeight="12"/>
  <cols>
    <col min="1" max="1" width="3.42578125" style="1517" customWidth="1"/>
    <col min="2" max="2" width="22.5703125" style="5" customWidth="1"/>
    <col min="3" max="3" width="13.7109375" style="5" customWidth="1"/>
    <col min="4" max="4" width="6" style="5" customWidth="1"/>
    <col min="5" max="5" width="6.28515625" style="5" customWidth="1"/>
    <col min="6" max="9" width="11.7109375" style="5" customWidth="1"/>
    <col min="10" max="10" width="0.7109375" style="5" customWidth="1"/>
    <col min="11" max="11" width="8.28515625" style="5" customWidth="1"/>
    <col min="12" max="12" width="2.7109375" style="298" customWidth="1"/>
    <col min="13" max="13" width="3.140625" style="298" customWidth="1"/>
    <col min="14" max="16384" width="11.42578125" style="5"/>
  </cols>
  <sheetData>
    <row r="1" spans="1:20" ht="9.9499999999999993" customHeight="1">
      <c r="B1" s="2524" t="str">
        <f>IF(OR(MUKEN,bern),Uebersetzung!D4,Uebersetzung!H4)</f>
        <v>v2.97</v>
      </c>
      <c r="C1" s="3"/>
      <c r="D1" s="3"/>
      <c r="E1" s="340"/>
      <c r="F1" s="3"/>
      <c r="G1" s="3"/>
      <c r="H1" s="3"/>
      <c r="I1" s="158"/>
      <c r="J1" s="3"/>
      <c r="K1" s="7" t="str">
        <f>Uebersetzung!D5</f>
        <v>Formulaire EN101b, v2.97, à utiliser jusqu'au 31 décembre 2026</v>
      </c>
    </row>
    <row r="2" spans="1:20" ht="17.100000000000001" customHeight="1">
      <c r="B2" s="36"/>
      <c r="C2" s="820"/>
      <c r="D2" s="115"/>
      <c r="E2" s="36"/>
      <c r="F2" s="115"/>
      <c r="G2" s="2654" t="str">
        <f>Uebersetzung!D6</f>
        <v>Justificatif énergétique</v>
      </c>
      <c r="H2" s="2655"/>
      <c r="I2" s="2655"/>
      <c r="J2" s="2655"/>
      <c r="K2" s="2656"/>
      <c r="N2" s="2559" t="s">
        <v>265</v>
      </c>
      <c r="O2" s="2560">
        <f>IF(AND(Kategorie1&gt;1,F19&gt;0),F19,0)</f>
        <v>0</v>
      </c>
      <c r="P2" s="2560">
        <f>IF(AND(Kategorie2&gt;1,G19&gt;0),G19,0)</f>
        <v>0</v>
      </c>
      <c r="Q2" s="2560">
        <f>IF(AND(Kategorie3&gt;1,H19&gt;0),H19,0)</f>
        <v>0</v>
      </c>
      <c r="R2" s="2560">
        <f>IF(AND(Kategorie4&gt;1,I19&gt;0),I19,0)</f>
        <v>0</v>
      </c>
    </row>
    <row r="3" spans="1:20" ht="17.100000000000001" customHeight="1">
      <c r="B3" s="2456">
        <f>IF(MUKEN,1,0)</f>
        <v>1</v>
      </c>
      <c r="C3" s="143">
        <f>IF(OR(MUKEN,bern),0,1)</f>
        <v>0</v>
      </c>
      <c r="D3" s="2455">
        <f>IF(bern,1,0)</f>
        <v>0</v>
      </c>
      <c r="E3" s="2657" t="str">
        <f>IF(bern,"EN-101 BE","EN-101b")</f>
        <v>EN-101b</v>
      </c>
      <c r="F3" s="2658"/>
      <c r="G3" s="2659" t="str">
        <f>Uebersetzung!D7</f>
        <v>Besoin d'énergie</v>
      </c>
      <c r="H3" s="2660"/>
      <c r="I3" s="2660"/>
      <c r="J3" s="2660"/>
      <c r="K3" s="2661"/>
    </row>
    <row r="4" spans="1:20" ht="17.100000000000001" customHeight="1">
      <c r="B4" s="94"/>
      <c r="C4" s="60"/>
      <c r="D4" s="116"/>
      <c r="E4" s="94"/>
      <c r="F4" s="116"/>
      <c r="G4" s="2662" t="str">
        <f>IF(MUKEN,Uebersetzung!D8,)</f>
        <v>Preuve calculée</v>
      </c>
      <c r="H4" s="2663"/>
      <c r="I4" s="2663"/>
      <c r="J4" s="2663"/>
      <c r="K4" s="2664"/>
    </row>
    <row r="5" spans="1:20" ht="9.9499999999999993" customHeight="1">
      <c r="B5" s="3"/>
      <c r="C5" s="3"/>
      <c r="D5" s="3"/>
      <c r="E5" s="340"/>
      <c r="F5" s="3"/>
      <c r="G5" s="3"/>
      <c r="H5" s="3"/>
      <c r="I5" s="158"/>
      <c r="J5" s="3"/>
      <c r="K5" s="4"/>
    </row>
    <row r="6" spans="1:20" ht="9.9499999999999993" hidden="1" customHeight="1">
      <c r="B6" s="6"/>
      <c r="C6" s="6"/>
      <c r="D6" s="3"/>
      <c r="E6" s="3"/>
      <c r="F6" s="3"/>
      <c r="G6" s="3"/>
      <c r="H6" s="3"/>
      <c r="I6" s="3"/>
      <c r="J6" s="3"/>
    </row>
    <row r="7" spans="1:20" ht="20.100000000000001" customHeight="1">
      <c r="A7" s="1518" t="s">
        <v>384</v>
      </c>
      <c r="B7" s="777" t="str">
        <f>IF(MUKEN,Uebersetzung!D9,Uebersetzung!D356)</f>
        <v>Commune:</v>
      </c>
      <c r="C7" s="2671"/>
      <c r="D7" s="2671"/>
      <c r="E7" s="2671"/>
      <c r="F7" s="2671"/>
      <c r="G7" s="864" t="str">
        <f>Uebersetzung!D10</f>
        <v>N° cadastre:</v>
      </c>
      <c r="H7" s="966"/>
      <c r="I7" s="864" t="str">
        <f>IF(OR(MUKEN,bern),Uebersetzung!D11,Uebersetzung!D358)</f>
        <v>N° bâtiment:</v>
      </c>
      <c r="J7" s="2667"/>
      <c r="K7" s="2668"/>
      <c r="N7" s="2450"/>
      <c r="O7" s="2450"/>
      <c r="P7" s="2450"/>
      <c r="Q7" s="2450"/>
      <c r="R7" s="2450"/>
      <c r="S7" s="2450"/>
      <c r="T7" s="2450"/>
    </row>
    <row r="8" spans="1:20" ht="20.100000000000001" customHeight="1">
      <c r="A8" s="1518" t="s">
        <v>385</v>
      </c>
      <c r="B8" s="778" t="str">
        <f>IF(MUKEN,Uebersetzung!D13,Uebersetzung!D359)</f>
        <v>Objet:</v>
      </c>
      <c r="C8" s="2672"/>
      <c r="D8" s="2672"/>
      <c r="E8" s="2672"/>
      <c r="F8" s="2672"/>
      <c r="G8" s="2672"/>
      <c r="H8" s="2672"/>
      <c r="I8" s="1013" t="str">
        <f>Uebersetzung!D117</f>
        <v>EGID:</v>
      </c>
      <c r="J8" s="2669"/>
      <c r="K8" s="2670"/>
      <c r="N8" s="2450"/>
      <c r="O8" s="2450"/>
      <c r="P8" s="2450"/>
      <c r="Q8" s="2450"/>
      <c r="R8" s="2450"/>
      <c r="S8" s="2450"/>
      <c r="T8" s="2450"/>
    </row>
    <row r="9" spans="1:20" ht="20.100000000000001" hidden="1" customHeight="1">
      <c r="N9" s="2450"/>
      <c r="O9" s="2450"/>
      <c r="P9" s="2450"/>
      <c r="Q9" s="2450"/>
      <c r="R9" s="2450"/>
      <c r="S9" s="2450"/>
      <c r="T9" s="2450"/>
    </row>
    <row r="10" spans="1:20" ht="1.1499999999999999" customHeight="1">
      <c r="B10" s="8"/>
      <c r="C10" s="8"/>
      <c r="D10" s="9"/>
      <c r="E10" s="9"/>
      <c r="F10" s="9"/>
      <c r="G10" s="9"/>
      <c r="N10" s="2450"/>
      <c r="O10" s="2450"/>
      <c r="P10" s="2450"/>
      <c r="Q10" s="2450"/>
      <c r="R10" s="2450"/>
      <c r="S10" s="2450"/>
      <c r="T10" s="2450"/>
    </row>
    <row r="11" spans="1:20" ht="9.9499999999999993" customHeight="1">
      <c r="A11" s="1518"/>
      <c r="F11" s="9"/>
      <c r="G11" s="9"/>
      <c r="N11" s="2450"/>
      <c r="O11" s="2450"/>
      <c r="P11" s="2450"/>
      <c r="Q11" s="2450"/>
      <c r="R11" s="2450"/>
      <c r="S11" s="2450"/>
      <c r="T11" s="2450"/>
    </row>
    <row r="12" spans="1:20" ht="1.1499999999999999" customHeight="1">
      <c r="A12" s="1518"/>
      <c r="B12" s="3"/>
      <c r="C12" s="3"/>
      <c r="D12" s="3"/>
      <c r="E12" s="3"/>
      <c r="F12" s="3"/>
      <c r="G12" s="3"/>
      <c r="H12" s="9"/>
      <c r="I12" s="9"/>
      <c r="J12" s="9"/>
      <c r="K12" s="9"/>
      <c r="N12" s="2450"/>
      <c r="O12" s="2450"/>
      <c r="P12" s="2450"/>
      <c r="Q12" s="2450"/>
      <c r="R12" s="2450"/>
      <c r="S12" s="2450"/>
      <c r="T12" s="2450"/>
    </row>
    <row r="13" spans="1:20" ht="20.100000000000001" customHeight="1">
      <c r="A13" s="1518" t="s">
        <v>389</v>
      </c>
      <c r="B13" s="799" t="str">
        <f>Uebersetzung!D14</f>
        <v>Données sur le bâtiment</v>
      </c>
      <c r="C13" s="800"/>
      <c r="D13" s="772" t="str">
        <f>Uebersetzung!D15</f>
        <v xml:space="preserve">Altitude: </v>
      </c>
      <c r="E13" s="2677"/>
      <c r="F13" s="2677"/>
      <c r="G13" s="12" t="str">
        <f>Uebersetzung!D16</f>
        <v>m</v>
      </c>
      <c r="H13" s="776" t="str">
        <f>Uebersetzung!D12</f>
        <v>Canton:</v>
      </c>
      <c r="I13" s="2673"/>
      <c r="J13" s="2673"/>
      <c r="K13" s="2674"/>
      <c r="N13" s="2450"/>
      <c r="O13" s="2450"/>
      <c r="P13" s="2450"/>
      <c r="Q13" s="2450"/>
      <c r="R13" s="2450"/>
      <c r="S13" s="2450"/>
      <c r="T13" s="2450"/>
    </row>
    <row r="14" spans="1:20" ht="20.100000000000001" customHeight="1">
      <c r="A14" s="1518" t="s">
        <v>850</v>
      </c>
      <c r="B14" s="10" t="str">
        <f>Uebersetzung!D17</f>
        <v>(Selon la norme SIA 380/1)</v>
      </c>
      <c r="C14" s="17"/>
      <c r="D14" s="856" t="str">
        <f>Uebersetzung!D18</f>
        <v>Justificatif pour:</v>
      </c>
      <c r="E14" s="2675" t="s">
        <v>1499</v>
      </c>
      <c r="F14" s="2675"/>
      <c r="G14" s="2675"/>
      <c r="H14" s="15" t="str">
        <f>Uebersetzung!D28</f>
        <v>Station climat.</v>
      </c>
      <c r="I14" s="2675" t="s">
        <v>199</v>
      </c>
      <c r="J14" s="2675"/>
      <c r="K14" s="2676"/>
      <c r="N14" s="2450"/>
      <c r="O14" s="2450"/>
      <c r="P14" s="2450"/>
      <c r="Q14" s="2450"/>
      <c r="R14" s="2450"/>
      <c r="S14" s="2450"/>
      <c r="T14" s="2450"/>
    </row>
    <row r="15" spans="1:20" ht="20.100000000000001" customHeight="1">
      <c r="A15" s="1518"/>
      <c r="B15" s="775" t="str">
        <f>Uebersetzung!D29</f>
        <v>Zone</v>
      </c>
      <c r="C15" s="11"/>
      <c r="D15" s="11"/>
      <c r="E15" s="11"/>
      <c r="F15" s="180">
        <v>1</v>
      </c>
      <c r="G15" s="180">
        <v>2</v>
      </c>
      <c r="H15" s="180">
        <v>3</v>
      </c>
      <c r="I15" s="180">
        <v>4</v>
      </c>
      <c r="J15" s="773"/>
      <c r="K15" s="774" t="str">
        <f>Uebersetzung!D30</f>
        <v>Somme</v>
      </c>
      <c r="N15" s="2450"/>
      <c r="O15" s="2450"/>
      <c r="P15" s="2450"/>
      <c r="Q15" s="2450"/>
      <c r="R15" s="2450"/>
      <c r="S15" s="2450"/>
      <c r="T15" s="2450"/>
    </row>
    <row r="16" spans="1:20" ht="21.95" customHeight="1">
      <c r="A16" s="1518" t="s">
        <v>390</v>
      </c>
      <c r="B16" s="2622" t="str">
        <f>Uebersetzung!D31</f>
        <v>Catégorie d'ouvrage</v>
      </c>
      <c r="C16" s="2623"/>
      <c r="D16" s="2665"/>
      <c r="E16" s="2666"/>
      <c r="F16" s="1294" t="s">
        <v>199</v>
      </c>
      <c r="G16" s="1294"/>
      <c r="H16" s="1294"/>
      <c r="I16" s="1294"/>
      <c r="J16" s="196"/>
      <c r="K16" s="197" t="str">
        <f>Uebersetzung!D35</f>
        <v>(moyenne)</v>
      </c>
      <c r="N16" s="2450"/>
      <c r="O16" s="2450"/>
      <c r="P16" s="2450"/>
      <c r="Q16" s="2450"/>
      <c r="R16" s="2450"/>
      <c r="S16" s="2450"/>
      <c r="T16" s="2450"/>
    </row>
    <row r="17" spans="1:21" ht="20.100000000000001" customHeight="1">
      <c r="A17" s="1518" t="s">
        <v>391</v>
      </c>
      <c r="B17" s="2626" t="str">
        <f>Uebersetzung!D32</f>
        <v>Avec eau chaude?</v>
      </c>
      <c r="C17" s="2627"/>
      <c r="D17" s="247"/>
      <c r="E17" s="248"/>
      <c r="F17" s="833"/>
      <c r="G17" s="833"/>
      <c r="H17" s="833"/>
      <c r="I17" s="833"/>
      <c r="J17" s="200"/>
      <c r="K17" s="857" t="str">
        <f>IF(OR(AND(F17="",Kategorie1&gt;1),AND(G17="",Kategorie2&gt;1,Zonen&gt;1),AND(H17="",Kategorie3&gt;1,Zonen&gt;2),AND(I17="",Kategorie4&gt;1,Zonen&gt;3)),Fehler1,IF(OR(ISERROR(_WW1),AND(ISERROR(_WW2),Zonen&gt;1),AND(ISERROR(_WW3),Zonen&gt;2),AND(ISERROR(_WW4),Zonen&gt;3)),Fehler2,""))</f>
        <v/>
      </c>
      <c r="N17" s="2450"/>
      <c r="O17" s="2450"/>
      <c r="P17" s="2450"/>
      <c r="Q17" s="2450"/>
      <c r="R17" s="2450"/>
      <c r="S17" s="2450"/>
      <c r="T17" s="2450"/>
    </row>
    <row r="18" spans="1:21" ht="20.100000000000001" hidden="1" customHeight="1">
      <c r="A18" s="1518"/>
      <c r="F18" s="967"/>
      <c r="G18" s="967"/>
      <c r="H18" s="967"/>
      <c r="I18" s="967"/>
      <c r="L18" s="299"/>
      <c r="N18" s="2450"/>
      <c r="O18" s="2450"/>
      <c r="P18" s="2450"/>
      <c r="Q18" s="2450"/>
      <c r="R18" s="2450"/>
      <c r="S18" s="2450"/>
      <c r="T18" s="2450"/>
    </row>
    <row r="19" spans="1:21" ht="20.100000000000001" customHeight="1">
      <c r="A19" s="1518" t="s">
        <v>393</v>
      </c>
      <c r="B19" s="2626" t="str">
        <f>Uebersetzung!D33</f>
        <v>Surface de référence énergétique SRE</v>
      </c>
      <c r="C19" s="2627"/>
      <c r="D19" s="194" t="s">
        <v>138</v>
      </c>
      <c r="E19" s="194" t="s">
        <v>321</v>
      </c>
      <c r="F19" s="249"/>
      <c r="G19" s="249"/>
      <c r="H19" s="249"/>
      <c r="I19" s="249"/>
      <c r="J19" s="185"/>
      <c r="K19" s="187">
        <f>IF(OR(O2&lt;F91,P2&lt;G91,Q2&lt;H91,R2&lt;I91),0,_EBF1+_EBF2+_EBF3+_EBF4)</f>
        <v>0</v>
      </c>
      <c r="N19" s="2450"/>
      <c r="O19" s="2450"/>
      <c r="P19" s="2450"/>
      <c r="Q19" s="2450"/>
      <c r="R19" s="2450"/>
      <c r="S19" s="2450"/>
      <c r="T19" s="2450"/>
    </row>
    <row r="20" spans="1:21" ht="20.100000000000001" customHeight="1">
      <c r="A20" s="1518" t="s">
        <v>5246</v>
      </c>
      <c r="B20" s="2626" t="str">
        <f>Uebersetzung!D745</f>
        <v>Surface déterminante de construction</v>
      </c>
      <c r="C20" s="2627"/>
      <c r="D20" s="194"/>
      <c r="E20" s="194" t="s">
        <v>321</v>
      </c>
      <c r="F20" s="249"/>
      <c r="G20" s="249"/>
      <c r="H20" s="249"/>
      <c r="I20" s="249"/>
      <c r="J20" s="2583"/>
      <c r="K20" s="187">
        <f>IF(EBF_wohnen_neu1&gt;0,F20,0)+IF(EBF_wohnen_neu2&gt;0,G20,0)+IF(EBF_wohnen_neu3&gt;0,H20,0)+IF(EBF_wohnen_neu4&gt;0,I20,0)</f>
        <v>0</v>
      </c>
      <c r="N20" s="2450"/>
      <c r="O20" s="2450"/>
      <c r="P20" s="2450"/>
      <c r="Q20" s="2450"/>
      <c r="R20" s="2450"/>
      <c r="S20" s="2450"/>
      <c r="T20" s="2450"/>
    </row>
    <row r="21" spans="1:21" ht="20.100000000000001" customHeight="1">
      <c r="A21" s="1518" t="s">
        <v>394</v>
      </c>
      <c r="B21" s="2626" t="str">
        <f>Uebersetzung!D36</f>
        <v>Nouvelle construction</v>
      </c>
      <c r="C21" s="2627"/>
      <c r="D21" s="194"/>
      <c r="E21" s="199"/>
      <c r="F21" s="833" t="s">
        <v>199</v>
      </c>
      <c r="G21" s="833"/>
      <c r="H21" s="833"/>
      <c r="I21" s="833"/>
      <c r="J21" s="200"/>
      <c r="K21" s="857" t="str">
        <f>IF(OR(AND(F21="",Kategorie1&gt;1),AND(G21="",Kategorie2&gt;1),AND(H21="",Kategorie3&gt;1),AND(I21="",Kategorie4&gt;1)),Fehler1,"")</f>
        <v/>
      </c>
      <c r="N21" s="2450"/>
      <c r="O21" s="2450"/>
      <c r="P21" s="2450"/>
      <c r="Q21" s="2450"/>
      <c r="R21" s="2450"/>
      <c r="S21" s="2450"/>
      <c r="T21" s="2450"/>
    </row>
    <row r="22" spans="1:21" ht="20.100000000000001" hidden="1" customHeight="1">
      <c r="A22" s="1518" t="s">
        <v>387</v>
      </c>
      <c r="B22" s="1078"/>
      <c r="C22" s="1003"/>
      <c r="D22" s="1080"/>
      <c r="E22" s="1080"/>
      <c r="F22" s="1288"/>
      <c r="G22" s="1288"/>
      <c r="H22" s="1288"/>
      <c r="I22" s="1288"/>
      <c r="J22" s="1003"/>
      <c r="K22" s="1079"/>
      <c r="N22" s="2450"/>
      <c r="O22" s="2450"/>
      <c r="P22" s="2450"/>
      <c r="Q22" s="2450"/>
      <c r="R22" s="2450"/>
      <c r="S22" s="2450"/>
      <c r="T22" s="2450"/>
    </row>
    <row r="23" spans="1:21" ht="20.100000000000001" customHeight="1">
      <c r="A23" s="1518" t="s">
        <v>395</v>
      </c>
      <c r="B23" s="2646" t="str">
        <f>IF(bern,Uebersetzung!D410,Uebersetzung!D357)</f>
        <v>Facteur d'enveloppe</v>
      </c>
      <c r="C23" s="2647"/>
      <c r="D23" s="205" t="s">
        <v>532</v>
      </c>
      <c r="E23" s="2457"/>
      <c r="F23" s="1077"/>
      <c r="G23" s="1077"/>
      <c r="H23" s="1077"/>
      <c r="I23" s="1077"/>
      <c r="J23" s="269"/>
      <c r="K23" s="188" t="str">
        <f>IF(OR(bern,MUKEN),"",IF(EBF&gt;0,(F23*_EBF1+G23*_EBF2+H23*_EBF3+I23*_EBF4)/(_EBF1+_EBF2+_EBF3+_EBF4),""))</f>
        <v/>
      </c>
      <c r="L23" s="1265"/>
      <c r="N23" s="2450"/>
      <c r="O23" s="2450"/>
      <c r="P23" s="2450"/>
      <c r="Q23" s="2450"/>
      <c r="R23" s="2450"/>
      <c r="S23" s="2450"/>
      <c r="T23" s="2450"/>
    </row>
    <row r="24" spans="1:21" ht="21.95" customHeight="1">
      <c r="A24" s="1518" t="s">
        <v>396</v>
      </c>
      <c r="B24" s="2648" t="str">
        <f>IF(bern,Uebersetzung!D407,Uebersetzung!D37)</f>
        <v>Besoins pour chauffage avec renouvellement d'air normal</v>
      </c>
      <c r="C24" s="2649"/>
      <c r="D24" s="1333" t="str">
        <f>"Qh"</f>
        <v>Qh</v>
      </c>
      <c r="E24" s="1086" t="str">
        <f>E46</f>
        <v>kWh/m2</v>
      </c>
      <c r="F24" s="2529"/>
      <c r="G24" s="2529"/>
      <c r="H24" s="2529"/>
      <c r="I24" s="2529"/>
      <c r="J24" s="1242">
        <f>IF(OR(AND(Zonen&gt;0,_qhs1=0,,Kategorie1&lt;13),AND(Zonen&gt;1,_qhs2=0,Kategorie2&lt;13),AND(Zonen&gt;2,_qhs3=0,Kategorie3&lt;13),AND(Zonen&gt;3,_qhs4=0,Kategorie4&lt;13)),0,1)</f>
        <v>1</v>
      </c>
      <c r="K24" s="1243">
        <f>IF(EBF=0,0,(F24*_EBF1+G24*_EBF2+H24*_EBF3+I24*_EBF4)/EBF)</f>
        <v>0</v>
      </c>
      <c r="N24" s="2451"/>
      <c r="O24" s="2450"/>
      <c r="P24" s="2450"/>
      <c r="Q24" s="2450"/>
      <c r="R24" s="2450"/>
      <c r="S24" s="2450"/>
      <c r="T24" s="2450"/>
    </row>
    <row r="25" spans="1:21" ht="20.100000000000001" hidden="1" customHeight="1">
      <c r="A25" s="1518" t="s">
        <v>389</v>
      </c>
      <c r="B25" s="1322"/>
      <c r="C25" s="9"/>
      <c r="D25" s="405" t="str">
        <f>IF(minergiea,"",IF(minergiep,IF(Luftheizung,"qh,max",""),IF(Hoehe&gt;=800,"FS1","")))</f>
        <v/>
      </c>
      <c r="E25" s="1081" t="str">
        <f>IF(minergiea,"MJ/m2",IF(minergiep,IF(Luftheizung,"W/m2",""),IF(Hoehe&gt;=800,"-","")))</f>
        <v/>
      </c>
      <c r="F25" s="1082"/>
      <c r="G25" s="1083"/>
      <c r="H25" s="1083"/>
      <c r="I25" s="1083"/>
      <c r="J25" s="1084"/>
      <c r="K25" s="1085">
        <f>IF(minergiea,"",IF(minergiep,IF(EBF&gt;0,IF(OR(F_s1&gt;qhmax,F_s2&gt;qhmax,F_s3&gt;qhmax,F_s4&gt;qhmax),"Anforderung 1   nicht erfüllt",""),""),IF(OR(F_s1&gt;1,F_s2&gt;1,F_s3&gt;1,F_s4&gt;1),"Fs &gt; 1:                  nicht möglich",)))</f>
        <v>0</v>
      </c>
      <c r="N25" s="2450"/>
      <c r="O25" s="2450"/>
      <c r="P25" s="2450"/>
      <c r="Q25" s="2450"/>
      <c r="R25" s="2450"/>
      <c r="S25" s="2450"/>
      <c r="T25" s="2450"/>
    </row>
    <row r="26" spans="1:21" ht="4.5" customHeight="1">
      <c r="A26" s="1519"/>
      <c r="B26" s="1266"/>
      <c r="C26" s="1266"/>
      <c r="D26" s="456"/>
      <c r="E26" s="456"/>
      <c r="F26" s="155">
        <v>3</v>
      </c>
      <c r="G26" s="155">
        <v>3</v>
      </c>
      <c r="H26" s="155">
        <v>3</v>
      </c>
      <c r="I26" s="155">
        <v>3</v>
      </c>
      <c r="J26" s="456"/>
      <c r="K26" s="456"/>
      <c r="M26" s="456"/>
      <c r="N26" s="2450"/>
      <c r="O26" s="2450"/>
      <c r="P26" s="2450"/>
      <c r="Q26" s="2450"/>
      <c r="R26" s="2450"/>
      <c r="S26" s="2450"/>
      <c r="T26" s="2450"/>
    </row>
    <row r="27" spans="1:21" ht="21.95" customHeight="1">
      <c r="A27" s="1517" t="s">
        <v>678</v>
      </c>
      <c r="B27" s="2650" t="str">
        <f>Uebersetzung!D38</f>
        <v>Installations de ventilation et de climatisation</v>
      </c>
      <c r="C27" s="2651"/>
      <c r="D27" s="2651"/>
      <c r="E27" s="2651"/>
      <c r="F27" s="1853" t="str">
        <f>IF(Kategorie1=1,"",IF(Standardwerte!AG50,"1)",IF(OR(minergiea,minergiep),IF(AND(F37&gt;1000,Lüftung1=6),IF(MUKEN,"",Uebersetzung!D572),""),IF(Standardwerte!AG49,"1)",IF(AND(F37&gt;1000,Lüftung1=6),IF(MUKEN,"",Uebersetzung!D572),"")))))</f>
        <v/>
      </c>
      <c r="G27" s="1853" t="str">
        <f>IF(Zonen&gt;1,IF(Standardwerte!AI50,"1)",IF(OR(minergiea,minergiep),IF(AND(G37&gt;1000,Lüftung2=6),IF(MUKEN,"",Uebersetzung!D572),""),IF(Standardwerte!AI49,"1)",IF(AND(G37&gt;1000,Lüftung2=6),IF(MUKEN,"",Uebersetzung!D572),"")))),"")</f>
        <v/>
      </c>
      <c r="H27" s="1853" t="str">
        <f>IF(Zonen&gt;2,IF(Standardwerte!AK50,"1)",IF(OR(minergiea,minergiep),IF(AND(H37&gt;1000,Lüftung3=6),IF(MUKEN,"",Uebersetzung!D572),""),IF(Standardwerte!AK49,"1)",IF(AND(H37&gt;1000,Lüftung3=6),IF(MUKEN,"",Uebersetzung!D572),"")))),"")</f>
        <v/>
      </c>
      <c r="I27" s="1853" t="str">
        <f>IF(Zonen&gt;3,IF(Standardwerte!AM50,"1)",IF(OR(minergiea,minergiep),IF(AND(I37&gt;1000,Lüftung4=6),IF(MUKEN,"",Uebersetzung!D572),""),IF(Standardwerte!AM49,"1)",IF(AND(I37&gt;1000,Lüftung4=6),IF(MUKEN,"",Uebersetzung!D572),"")))),"")</f>
        <v/>
      </c>
      <c r="J27" s="12"/>
      <c r="K27" s="13"/>
      <c r="N27" s="2450"/>
      <c r="O27" s="2450"/>
      <c r="P27" s="2450"/>
      <c r="Q27" s="2450"/>
      <c r="R27" s="2450"/>
      <c r="S27" s="2450"/>
      <c r="T27" s="2450"/>
    </row>
    <row r="28" spans="1:21" ht="20.100000000000001" customHeight="1">
      <c r="B28" s="10" t="str">
        <f>Uebersetzung!D39</f>
        <v>Le débit d'air neuf thermiquement actif calculé en F45-I45 est à introduire dans le calcul des besoins de chaleur pour le chauffage (SIA 380/1)</v>
      </c>
      <c r="C28" s="17"/>
      <c r="D28" s="14"/>
      <c r="E28" s="14"/>
      <c r="F28" s="11"/>
      <c r="G28" s="11"/>
      <c r="H28" s="15"/>
      <c r="I28" s="16"/>
      <c r="J28" s="17"/>
      <c r="K28" s="18"/>
      <c r="N28" s="2450"/>
      <c r="O28" s="2450"/>
      <c r="P28" s="2450"/>
      <c r="Q28" s="2450"/>
      <c r="R28" s="2450"/>
      <c r="S28" s="2450"/>
      <c r="T28" s="2452"/>
      <c r="U28" s="143"/>
    </row>
    <row r="29" spans="1:21" ht="20.100000000000001" customHeight="1">
      <c r="B29" s="2652" t="str">
        <f>Uebersetzung!D40</f>
        <v>Données pour installation de ventilation standard</v>
      </c>
      <c r="C29" s="2653"/>
      <c r="D29" s="2653"/>
      <c r="E29" s="414" t="str">
        <f>B15</f>
        <v>Zone</v>
      </c>
      <c r="F29" s="180">
        <v>1</v>
      </c>
      <c r="G29" s="180">
        <v>2</v>
      </c>
      <c r="H29" s="180">
        <v>3</v>
      </c>
      <c r="I29" s="180">
        <v>4</v>
      </c>
      <c r="J29" s="19"/>
      <c r="K29" s="20" t="str">
        <f>K15</f>
        <v>Somme</v>
      </c>
      <c r="N29" s="2450"/>
      <c r="O29" s="2450"/>
      <c r="P29" s="2450"/>
      <c r="Q29" s="2450"/>
      <c r="R29" s="2450"/>
      <c r="S29" s="2450"/>
      <c r="T29" s="2452"/>
      <c r="U29" s="143"/>
    </row>
    <row r="30" spans="1:21" ht="20.100000000000001" customHeight="1">
      <c r="A30" s="1518" t="s">
        <v>397</v>
      </c>
      <c r="B30" s="2622" t="str">
        <f>Uebersetzung!D48</f>
        <v>Petite installation avec valeurs standard</v>
      </c>
      <c r="C30" s="2623"/>
      <c r="D30" s="201"/>
      <c r="E30" s="202"/>
      <c r="F30" s="833"/>
      <c r="G30" s="833"/>
      <c r="H30" s="833"/>
      <c r="I30" s="833"/>
      <c r="J30" s="181"/>
      <c r="K30" s="857" t="str">
        <f>IF(OR(AND(F30="",Kategorie1&gt;1),AND(G30="",Kategorie2&gt;1,Zonen&gt;1),AND(H30="",Kategorie3&gt;1,Zonen&gt;2),AND(I30="",Kategorie4&gt;1,Zonen&gt;3)),Fehler1,IF(OR(ISERROR(Standardlüftung1),AND(ISERROR(Standardlüftung2),Zonen&gt;1),AND(ISERROR(Standardlüftung3),Zonen&gt;2),AND(ISERROR(Standardlüftung4),Zonen&gt;3)),Fehler2,""))</f>
        <v/>
      </c>
      <c r="L30" s="298" t="s">
        <v>199</v>
      </c>
      <c r="N30" s="2450"/>
      <c r="O30" s="2450"/>
      <c r="P30" s="2450"/>
      <c r="Q30" s="2450"/>
      <c r="R30" s="2450"/>
      <c r="S30" s="2450"/>
      <c r="T30" s="2452"/>
      <c r="U30" s="143"/>
    </row>
    <row r="31" spans="1:21" ht="21.95" customHeight="1">
      <c r="A31" s="1518" t="s">
        <v>398</v>
      </c>
      <c r="B31" s="2626" t="str">
        <f>Uebersetzung!D41</f>
        <v>Type d'installation de ventilation standard</v>
      </c>
      <c r="C31" s="2627"/>
      <c r="D31" s="199"/>
      <c r="E31" s="194"/>
      <c r="F31" s="1836"/>
      <c r="G31" s="1836"/>
      <c r="H31" s="1836"/>
      <c r="I31" s="1836"/>
      <c r="J31" s="184"/>
      <c r="K31" s="1832" t="str">
        <f>IF(OR(ISERROR(F37),ISERROR(G37),ISERROR(H37),ISERROR(I37)),Fehler2,IF(OR(AND(Standardlüftung1=3,Lüftung1=1),AND(Standardlüftung2=3,Lüftung2=1,Zonen&gt;1),AND(Standardlüftung3=3,Lüftung3=1,Zonen&gt;2),AND(Standardlüftung4=3,Lüftung4=1,Zonen&gt;3)),Fehler1,""))</f>
        <v/>
      </c>
      <c r="L31" s="298" t="s">
        <v>199</v>
      </c>
      <c r="N31" s="2450"/>
      <c r="O31" s="2450"/>
      <c r="P31" s="2450"/>
      <c r="Q31" s="2450"/>
      <c r="R31" s="2450"/>
      <c r="S31" s="2450"/>
      <c r="T31" s="2452"/>
      <c r="U31" s="143"/>
    </row>
    <row r="32" spans="1:21" ht="20.100000000000001" customHeight="1">
      <c r="A32" s="1518" t="s">
        <v>399</v>
      </c>
      <c r="B32" s="2644">
        <f>IF(OR(Kategorie1=2,Kategorie1=3,Kategorie2=2,Kategorie2=3,Kategorie3=2,Kategorie3=3,Kategorie4=2,Kategorie4=3),IF(OR(Kategorie1=4,Kategorie1=5,Kategorie2=4,Kategorie2=5,Kategorie3=4,Kategorie3=5,Kategorie4=4,Kategorie4=5),Uebersetzung!D42,Uebersetzung!D43),IF(OR(Kategorie1=4,Kategorie1=5,Kategorie2=4,Kategorie2=5,Kategorie3=4,Kategorie3=5,Kategorie4=4,Kategorie4=5),Uebersetzung!D44,))</f>
        <v>0</v>
      </c>
      <c r="C32" s="2645"/>
      <c r="D32" s="194"/>
      <c r="E32" s="194"/>
      <c r="F32" s="860"/>
      <c r="G32" s="860"/>
      <c r="H32" s="860"/>
      <c r="I32" s="860"/>
      <c r="J32" s="182"/>
      <c r="K32" s="186"/>
      <c r="N32" s="2453"/>
      <c r="O32" s="2450"/>
      <c r="P32" s="2450"/>
      <c r="Q32" s="2450"/>
      <c r="R32" s="2450"/>
      <c r="S32" s="2450"/>
      <c r="T32" s="2450"/>
    </row>
    <row r="33" spans="1:24" ht="20.100000000000001" hidden="1" customHeight="1">
      <c r="A33" s="1518" t="s">
        <v>392</v>
      </c>
      <c r="B33" s="2626"/>
      <c r="C33" s="2627"/>
      <c r="D33" s="194"/>
      <c r="E33" s="194"/>
      <c r="F33" s="862"/>
      <c r="G33" s="862"/>
      <c r="H33" s="862"/>
      <c r="I33" s="862"/>
      <c r="J33" s="182"/>
      <c r="K33" s="187"/>
      <c r="N33" s="2450"/>
      <c r="O33" s="2450"/>
      <c r="P33" s="2450"/>
      <c r="Q33" s="2450"/>
      <c r="R33" s="2450"/>
      <c r="S33" s="2450"/>
      <c r="T33" s="2450"/>
    </row>
    <row r="34" spans="1:24" ht="21.95" customHeight="1">
      <c r="A34" s="1518" t="s">
        <v>401</v>
      </c>
      <c r="B34" s="2626" t="str">
        <f>Uebersetzung!D45</f>
        <v>Récupération de chaleur-Echangeur de chaleur</v>
      </c>
      <c r="C34" s="2643"/>
      <c r="D34" s="2627"/>
      <c r="E34" s="194"/>
      <c r="F34" s="1835"/>
      <c r="G34" s="1835"/>
      <c r="H34" s="1835"/>
      <c r="I34" s="1835"/>
      <c r="J34" s="182"/>
      <c r="K34" s="223"/>
      <c r="N34" s="2454"/>
      <c r="O34" s="2450"/>
      <c r="P34" s="2450"/>
      <c r="Q34" s="2450"/>
      <c r="R34" s="2450"/>
      <c r="S34" s="2450"/>
      <c r="T34" s="2450"/>
    </row>
    <row r="35" spans="1:24" ht="20.100000000000001" customHeight="1">
      <c r="A35" s="1518" t="s">
        <v>402</v>
      </c>
      <c r="B35" s="2626" t="str">
        <f>Uebersetzung!D47</f>
        <v>Entrainement de ventilateur avec</v>
      </c>
      <c r="C35" s="2627"/>
      <c r="D35" s="194"/>
      <c r="E35" s="194"/>
      <c r="F35" s="860"/>
      <c r="G35" s="860"/>
      <c r="H35" s="860"/>
      <c r="I35" s="860"/>
      <c r="J35" s="182"/>
      <c r="K35" s="187"/>
      <c r="N35" s="2454"/>
      <c r="O35" s="2450"/>
      <c r="P35" s="2450"/>
      <c r="Q35" s="2450"/>
      <c r="R35" s="2450"/>
      <c r="S35" s="2450"/>
      <c r="T35" s="2450"/>
    </row>
    <row r="36" spans="1:24" ht="17.25" hidden="1" customHeight="1">
      <c r="A36" s="1518" t="s">
        <v>394</v>
      </c>
      <c r="F36" s="967"/>
      <c r="G36" s="967"/>
      <c r="H36" s="967"/>
      <c r="I36" s="967"/>
    </row>
    <row r="37" spans="1:24" ht="20.100000000000001" customHeight="1">
      <c r="A37" s="1518" t="s">
        <v>116</v>
      </c>
      <c r="B37" s="2639" t="str">
        <f>Uebersetzung!D46</f>
        <v>Débit d'air nominal</v>
      </c>
      <c r="C37" s="2640"/>
      <c r="D37" s="410"/>
      <c r="E37" s="201" t="s">
        <v>582</v>
      </c>
      <c r="F37" s="861" t="str">
        <f>VSup1</f>
        <v/>
      </c>
      <c r="G37" s="861" t="str">
        <f>VSup2</f>
        <v/>
      </c>
      <c r="H37" s="861" t="str">
        <f>VSup3</f>
        <v/>
      </c>
      <c r="I37" s="861" t="str">
        <f>VSup4</f>
        <v/>
      </c>
      <c r="J37" s="411"/>
      <c r="K37" s="187">
        <f>IF(AND(Lüftung1&gt;1,Standardlüftung1=3),F37,0)+IF(AND(Lüftung2&gt;1,Standardlüftung2=3,Zonen&gt;1),G37,0)+IF(AND(Lüftung3&gt;1,Standardlüftung3=3,Zonen&gt;2),H37,0)+IF(AND(Lüftung4&gt;1,Standardlüftung4=3,Zonen&gt;3),I37,0)</f>
        <v>0</v>
      </c>
      <c r="L37" s="155"/>
    </row>
    <row r="38" spans="1:24" ht="20.100000000000001" customHeight="1">
      <c r="A38" s="1518" t="s">
        <v>2811</v>
      </c>
      <c r="B38" s="2641" t="str">
        <f>Uebersetzung!D53</f>
        <v>Calcul externe</v>
      </c>
      <c r="C38" s="2642"/>
      <c r="D38" s="918" t="str">
        <f>IF(OR(F27&lt;&gt;"",G27&lt;&gt;"",H27&lt;&gt;""),Uebersetzung!D116,"")</f>
        <v/>
      </c>
      <c r="E38" s="416"/>
      <c r="F38" s="416"/>
      <c r="G38" s="416"/>
      <c r="H38" s="416"/>
      <c r="I38" s="416"/>
      <c r="J38" s="416"/>
      <c r="K38" s="413"/>
      <c r="L38" s="155"/>
    </row>
    <row r="39" spans="1:24" ht="20.100000000000001" customHeight="1">
      <c r="A39" s="1518" t="s">
        <v>2812</v>
      </c>
      <c r="B39" s="2622" t="str">
        <f>Uebersetzung!D54</f>
        <v>Rafraîchissement et/ou humidification ?</v>
      </c>
      <c r="C39" s="2623"/>
      <c r="D39" s="268"/>
      <c r="E39" s="268"/>
      <c r="F39" s="834"/>
      <c r="G39" s="834"/>
      <c r="H39" s="834"/>
      <c r="I39" s="834"/>
      <c r="J39" s="269"/>
      <c r="K39" s="859">
        <f>IF(OR(AND(Zonen&gt;3,Standardwerte!$M$118=1),AND(Zonen&gt;2,Standardwerte!$L$118=1),AND(Zonen&gt;1,Standardwerte!$K$118=1),AND(Zonen&gt;0,Standardwerte!$J$118=1)),Fehler1,)</f>
        <v>0</v>
      </c>
      <c r="L39" s="155"/>
    </row>
    <row r="40" spans="1:24" ht="20.100000000000001" customHeight="1">
      <c r="A40" s="1518" t="s">
        <v>2813</v>
      </c>
      <c r="B40" s="2624" t="str">
        <f>Uebersetzung!D49</f>
        <v>Débit d'air neuf thermiquement actif</v>
      </c>
      <c r="C40" s="2625"/>
      <c r="D40" s="203" t="s">
        <v>142</v>
      </c>
      <c r="E40" s="194" t="s">
        <v>582</v>
      </c>
      <c r="F40" s="894"/>
      <c r="G40" s="855"/>
      <c r="H40" s="418"/>
      <c r="I40" s="418"/>
      <c r="J40" s="191"/>
      <c r="K40" s="187">
        <f>IF(Standardlüftung1&lt;3,F40,0)+IF(Standardlüftung2&lt;3,G40,0)+IF(Standardlüftung3&lt;3,H40,0)+IF(Standardlüftung4&lt;3,I40,0)</f>
        <v>0</v>
      </c>
    </row>
    <row r="41" spans="1:24" ht="24" customHeight="1">
      <c r="A41" s="1518" t="s">
        <v>2814</v>
      </c>
      <c r="B41" s="2629" t="str">
        <f>Uebersetzung!D50</f>
        <v>Besoins d'électricité pour la ventilation et la protection antigel</v>
      </c>
      <c r="C41" s="2630"/>
      <c r="D41" s="203" t="s">
        <v>703</v>
      </c>
      <c r="E41" s="194" t="s">
        <v>672</v>
      </c>
      <c r="F41" s="894"/>
      <c r="G41" s="855"/>
      <c r="H41" s="418"/>
      <c r="I41" s="418"/>
      <c r="J41" s="183"/>
      <c r="K41" s="417">
        <f>IF(Standardlüftung1&lt;3,F41,0)+IF(Standardlüftung2&lt;3,G41,0)+IF(Standardlüftung3&lt;3,H41,0)+IF(Standardlüftung4&lt;3,I41,0)</f>
        <v>0</v>
      </c>
      <c r="M41" s="456"/>
    </row>
    <row r="42" spans="1:24" ht="24" customHeight="1">
      <c r="A42" s="1518" t="s">
        <v>2815</v>
      </c>
      <c r="B42" s="2629" t="str">
        <f>Uebersetzung!D51</f>
        <v>Besoins d'électricité pour la climatisation et l'humidification</v>
      </c>
      <c r="C42" s="2630"/>
      <c r="D42" s="203" t="s">
        <v>704</v>
      </c>
      <c r="E42" s="201" t="s">
        <v>672</v>
      </c>
      <c r="F42" s="420"/>
      <c r="G42" s="421"/>
      <c r="H42" s="421"/>
      <c r="I42" s="421"/>
      <c r="J42" s="415"/>
      <c r="K42" s="991">
        <f>F42+IF(Zonen&gt;1,G42,0)+IF(Zonen&gt;2,H42,0)+IF(Zonen&gt;3,I42,0)</f>
        <v>0</v>
      </c>
      <c r="M42" s="456"/>
    </row>
    <row r="43" spans="1:24" ht="24" customHeight="1">
      <c r="A43" s="1518" t="s">
        <v>2816</v>
      </c>
      <c r="B43" s="2631" t="str">
        <f>Uebersetzung!D56</f>
        <v>Besoins d'électricité pour le transport du froid et pour les auxiliaires</v>
      </c>
      <c r="C43" s="2632"/>
      <c r="D43" s="203" t="s">
        <v>155</v>
      </c>
      <c r="E43" s="201" t="s">
        <v>672</v>
      </c>
      <c r="F43" s="420"/>
      <c r="G43" s="1339"/>
      <c r="H43" s="1339"/>
      <c r="I43" s="1339"/>
      <c r="J43" s="415"/>
      <c r="K43" s="991">
        <f>F43+IF(Zonen&gt;1,G43,0)+IF(Zonen&gt;2,H43,0)+IF(Zonen&gt;3,I43,0)</f>
        <v>0</v>
      </c>
      <c r="M43" s="456"/>
    </row>
    <row r="44" spans="1:24" ht="20.100000000000001" customHeight="1">
      <c r="A44" s="1518" t="s">
        <v>2818</v>
      </c>
      <c r="B44" s="796" t="str">
        <f>Uebersetzung!D57</f>
        <v>Qh avec débit d'air thermiquement actif</v>
      </c>
      <c r="C44" s="797"/>
      <c r="D44" s="412"/>
      <c r="E44" s="416"/>
      <c r="F44" s="416"/>
      <c r="G44" s="416"/>
      <c r="H44" s="416"/>
      <c r="I44" s="416"/>
      <c r="J44" s="416"/>
      <c r="K44" s="413"/>
      <c r="M44" s="456"/>
      <c r="N44" s="121"/>
    </row>
    <row r="45" spans="1:24" ht="20.100000000000001" customHeight="1">
      <c r="A45" s="1518" t="s">
        <v>2817</v>
      </c>
      <c r="B45" s="2622" t="str">
        <f>Uebersetzung!D58</f>
        <v>Débit d'air neuf thermiquement actif</v>
      </c>
      <c r="C45" s="2628"/>
      <c r="D45" s="203" t="s">
        <v>533</v>
      </c>
      <c r="E45" s="205" t="s">
        <v>581</v>
      </c>
      <c r="F45" s="558">
        <f>IF(F88,VEBFo1,IF(AND(F40&gt;0,O2&gt;0,F86),F40/O2+_vo,INDEX(Standardwerte!$O$9:$O$21,Kategorie1,1)))</f>
        <v>0</v>
      </c>
      <c r="G45" s="558">
        <f>IF(Zonen&gt;1,IF(G88,VEBFo2,IF(AND(G40&gt;0,P2&gt;0,G86),G40/P2+_vo,INDEX(Standardwerte!$O$9:$O$21,Kategorie2,1))),)</f>
        <v>0</v>
      </c>
      <c r="H45" s="558">
        <f>IF(Zonen&gt;2,IF(H88,VEBFo3,IF(AND(H40&gt;0,Q2&gt;0,H86),H40/Q2+_vo,INDEX(Standardwerte!$O$9:$O$21,Kategorie3,1))),)</f>
        <v>0</v>
      </c>
      <c r="I45" s="558">
        <f>IF(Zonen&gt;3,IF(I88,VEBFo4,IF(AND(I40&gt;0,R2&gt;0,I86),I40/R2+_vo,INDEX(Standardwerte!$O$9:$O$21,Kategorie4,1))),)</f>
        <v>0</v>
      </c>
      <c r="J45" s="714"/>
      <c r="K45" s="715">
        <f>IF(ISERROR(F45*EBFo1+G45*EBFo2+H45*EBFo3+I45*EBFo4),"",IF(AND(EBFo&gt;0,EBF&gt;0),(F45*EBFo1+G45*EBFo2+H45*EBFo3+I45*EBFo4)/EBFo,))</f>
        <v>0</v>
      </c>
      <c r="M45" s="456"/>
      <c r="N45" s="478"/>
    </row>
    <row r="46" spans="1:24" ht="24" customHeight="1">
      <c r="A46" s="1518" t="s">
        <v>1054</v>
      </c>
      <c r="B46" s="2631" t="str">
        <f>Uebersetzung!D60</f>
        <v>Besoins pour le chauffage effectif avec l'installation de ventilation</v>
      </c>
      <c r="C46" s="2632"/>
      <c r="D46" s="380" t="s">
        <v>836</v>
      </c>
      <c r="E46" s="1813" t="s">
        <v>524</v>
      </c>
      <c r="F46" s="1239"/>
      <c r="G46" s="1239"/>
      <c r="H46" s="1239"/>
      <c r="I46" s="1239"/>
      <c r="J46" s="1240">
        <f>IF(OR(AND(Zonen&gt;0,_qh1=0,Kategorie1&lt;13),AND(Zonen&gt;1,_qh2=0,Kategorie2&lt;13),AND(Zonen&gt;2,_qh3=0,Kategorie3&lt;13),AND(Zonen&gt;3,_qh4=0,Kategorie4&lt;13)),0,1)</f>
        <v>1</v>
      </c>
      <c r="K46" s="1241">
        <f>IF(EBF=0,0,(F46*_EBF1+G46*_EBF2+H46*_EBF3+I46*_EBF4)/EBF)</f>
        <v>0</v>
      </c>
      <c r="M46" s="456"/>
      <c r="N46" s="121"/>
    </row>
    <row r="47" spans="1:24" ht="10.5" customHeight="1">
      <c r="A47" s="1520"/>
      <c r="B47" s="1014">
        <f ca="1">NOW()</f>
        <v>46034.719198842591</v>
      </c>
      <c r="D47" s="1642">
        <f>IF(AND(EBF&gt;0,Einheiten=1,K46&lt;30,K46&gt;0),1,)</f>
        <v>0</v>
      </c>
      <c r="E47" s="1642">
        <f>IF(AND(EBF&gt;0,Einheiten=1,K46&lt;30,K46&gt;0),Uebersetzung!D527,)</f>
        <v>0</v>
      </c>
      <c r="K47" s="779" t="str">
        <f>K62</f>
        <v xml:space="preserve"> /  /  /  /  /  / </v>
      </c>
      <c r="M47" s="456"/>
      <c r="N47" s="121"/>
    </row>
    <row r="48" spans="1:24" ht="15.95" customHeight="1">
      <c r="A48" s="1520"/>
      <c r="B48" s="868" t="str">
        <f>IF(MUKEN,Uebersetzung!D146,)</f>
        <v>Signature</v>
      </c>
      <c r="C48" s="869" t="str">
        <f>Uebersetzung!D147</f>
        <v>Justificatif établi par:</v>
      </c>
      <c r="D48" s="870"/>
      <c r="E48" s="870"/>
      <c r="F48" s="870"/>
      <c r="G48" s="869" t="str">
        <f>Uebersetzung!D148</f>
        <v>Contrôle du justificatif/Contrôle privé:</v>
      </c>
      <c r="H48" s="96"/>
      <c r="I48" s="871"/>
      <c r="J48" s="870"/>
      <c r="K48" s="870"/>
      <c r="M48" s="456"/>
      <c r="N48" s="96"/>
      <c r="O48" s="96"/>
      <c r="P48" s="96"/>
      <c r="Q48" s="605"/>
      <c r="R48" s="605"/>
      <c r="S48" s="605"/>
      <c r="T48" s="704"/>
      <c r="U48" s="605"/>
      <c r="V48" s="605"/>
      <c r="W48" s="605"/>
      <c r="X48" s="605"/>
    </row>
    <row r="49" spans="1:24" ht="6" customHeight="1">
      <c r="A49" s="1520"/>
      <c r="B49" s="2426"/>
      <c r="C49" s="2686"/>
      <c r="D49" s="2686"/>
      <c r="E49" s="2686"/>
      <c r="F49" s="2686"/>
      <c r="G49" s="2692"/>
      <c r="H49" s="2692"/>
      <c r="I49" s="2692"/>
      <c r="J49" s="2692"/>
      <c r="K49" s="2693"/>
      <c r="M49" s="609"/>
      <c r="N49" s="609"/>
      <c r="O49" s="609"/>
      <c r="P49" s="609"/>
    </row>
    <row r="50" spans="1:24" ht="20.100000000000001" customHeight="1">
      <c r="A50" s="1518" t="s">
        <v>5012</v>
      </c>
      <c r="B50" s="2430" t="str">
        <f>IF(MUKEN,Uebersetzung!D150,Uebersetzung!D463)</f>
        <v>Nom et adresse</v>
      </c>
      <c r="C50" s="2684"/>
      <c r="D50" s="2685"/>
      <c r="E50" s="2685"/>
      <c r="F50" s="2685"/>
      <c r="G50" s="2699"/>
      <c r="H50" s="2699"/>
      <c r="I50" s="2699"/>
      <c r="J50" s="2699"/>
      <c r="K50" s="2700"/>
      <c r="M50" s="456"/>
      <c r="O50" s="605"/>
    </row>
    <row r="51" spans="1:24" ht="20.100000000000001" customHeight="1">
      <c r="A51" s="1518" t="s">
        <v>5016</v>
      </c>
      <c r="B51" s="3" t="str">
        <f>IF(MUKEN,Uebersetzung!D151,Uebersetzung!D382)&amp;IF(bern,", [kW]",)</f>
        <v>ou tampon de l'entreprise</v>
      </c>
      <c r="C51" s="2431"/>
      <c r="D51" s="2432"/>
      <c r="E51" s="2433"/>
      <c r="F51" s="2416"/>
      <c r="G51" s="2434"/>
      <c r="H51" s="2435"/>
      <c r="I51" s="2435"/>
      <c r="J51" s="2435"/>
      <c r="K51" s="2435"/>
      <c r="M51" s="456"/>
      <c r="O51" s="605"/>
    </row>
    <row r="52" spans="1:24" ht="20.100000000000001" customHeight="1">
      <c r="A52" s="1518" t="s">
        <v>5015</v>
      </c>
      <c r="B52" s="3">
        <f>IF(MUKEN,,Uebersetzung!D414)</f>
        <v>0</v>
      </c>
      <c r="C52" s="2417"/>
      <c r="D52" s="2418"/>
      <c r="E52" s="2411"/>
      <c r="F52" s="2419">
        <f>IF(MUKEN,,IF(bern,IF(EBF_neu&gt;0,F51*1000/EBF_neu,0),IF(EBF&gt;0,F51*1000/EBF,0)))</f>
        <v>0</v>
      </c>
      <c r="G52" s="2696" t="str">
        <f>IF(MUKEN,IF(bern,Uebersetzung!D704,""),Uebersetzung!D475)</f>
        <v/>
      </c>
      <c r="H52" s="2697"/>
      <c r="I52" s="2698"/>
      <c r="J52" s="2694"/>
      <c r="K52" s="2695"/>
      <c r="M52" s="456"/>
      <c r="O52" s="609"/>
    </row>
    <row r="53" spans="1:24" ht="20.100000000000001" customHeight="1">
      <c r="A53" s="1518" t="s">
        <v>5014</v>
      </c>
      <c r="B53" s="2420" t="str">
        <f>IF(MUKEN,"",Uebersetzung!D413)&amp;IF(bern,", [kWh/kW]","")</f>
        <v/>
      </c>
      <c r="C53" s="2421"/>
      <c r="D53" s="2421"/>
      <c r="E53" s="2415">
        <f>IF(MUKEN,,IF(OR(F53="",F53=0),800,F53))</f>
        <v>0</v>
      </c>
      <c r="F53" s="2414"/>
      <c r="G53" s="3">
        <f>IF(MUKEN,,Uebersetzung!D381)</f>
        <v>0</v>
      </c>
      <c r="H53" s="3"/>
      <c r="I53" s="2413">
        <f>MINERGIE!AI71</f>
        <v>0.2</v>
      </c>
      <c r="J53" s="2704"/>
      <c r="K53" s="2704"/>
      <c r="M53" s="456"/>
      <c r="O53" s="609"/>
    </row>
    <row r="54" spans="1:24" ht="20.100000000000001" customHeight="1">
      <c r="A54" s="1518" t="s">
        <v>5013</v>
      </c>
      <c r="B54" s="2441">
        <f>IF(MUKEN,,Uebersetzung!D452)</f>
        <v>0</v>
      </c>
      <c r="C54" s="2422"/>
      <c r="D54" s="2423"/>
      <c r="E54" s="2412"/>
      <c r="F54" s="2424">
        <f>IF(MUKEN,,IF(MINERGIE!Z73,"0",MIN(30,MAX(MINERGIE!Z67*0.01+Justificatif!Q24*EBF/E53,0))))</f>
        <v>0</v>
      </c>
      <c r="G54" s="2425"/>
      <c r="H54" s="1336">
        <f>IF(MUKEN,,IF(bern,Uebersetzung!D705,Uebersetzung!D386))</f>
        <v>0</v>
      </c>
      <c r="I54" s="2701" t="str">
        <f>IF(wkk,Uebersetzung!D21,IF(EBF=0,"",IF(F54="0",Uebersetzung!$D$25,IF(ROUND(F51,2)&gt;=ROUND(F54,2),Uebersetzung!$D$25,Uebersetzung!$D$26))))</f>
        <v/>
      </c>
      <c r="J54" s="2702"/>
      <c r="K54" s="2703"/>
      <c r="M54" s="456"/>
      <c r="O54" s="605"/>
    </row>
    <row r="55" spans="1:24" ht="20.100000000000001" customHeight="1">
      <c r="A55" s="1518" t="s">
        <v>5021</v>
      </c>
      <c r="B55" s="3" t="str">
        <f>IF(OR(MUKEN,bern),IF(bern,Uebersetzung!D150,Uebersetzung!D152),"Minergie -A")</f>
        <v>Responsable, tél.:</v>
      </c>
      <c r="C55" s="2634"/>
      <c r="D55" s="2635"/>
      <c r="E55" s="2635"/>
      <c r="F55" s="2636"/>
      <c r="G55" s="2687"/>
      <c r="H55" s="2688"/>
      <c r="I55" s="2688"/>
      <c r="J55" s="2436"/>
      <c r="K55" s="2436"/>
      <c r="M55" s="456"/>
      <c r="O55" s="605"/>
    </row>
    <row r="56" spans="1:24" ht="20.100000000000001" customHeight="1">
      <c r="A56" s="1518" t="s">
        <v>5022</v>
      </c>
      <c r="B56" s="1342" t="str">
        <f>IF(minergiea,Uebersetzung!D455,"")</f>
        <v/>
      </c>
      <c r="C56" s="2438"/>
      <c r="D56" s="2438"/>
      <c r="E56" s="2438"/>
      <c r="F56" s="2437" t="str">
        <f>Uebersetzung!D701</f>
        <v xml:space="preserve">Besoins / Production PV [kWh] </v>
      </c>
      <c r="G56" s="2439" t="str">
        <f>IF(minergiea,MINERGIE!S15+MINERGIE!S18+MINERGIE!S44+MINERGIE!S56+MINERGIE!S59+MINERGIE!S68+MINERGIE!S94+MINERGIE!S100+MINERGIE!S19,"")</f>
        <v/>
      </c>
      <c r="H56" s="2440">
        <f>IF(EBF&gt;0,F51*E53/EBF-Justificatif!Q28,0)*2</f>
        <v>0</v>
      </c>
      <c r="I56" s="2689" t="str">
        <f>IF(EBF=0,"",IF(J52="0",Uebersetzung!$D$25,IF(ROUND(H56,1)&gt;=ROUND(G56,1),Uebersetzung!$D$25,Uebersetzung!$D$26)))</f>
        <v/>
      </c>
      <c r="J56" s="2690"/>
      <c r="K56" s="2691"/>
      <c r="M56" s="456"/>
      <c r="O56" s="605"/>
    </row>
    <row r="57" spans="1:24" ht="3.95" customHeight="1">
      <c r="A57" s="1520"/>
      <c r="B57" s="2633" t="str">
        <f>Uebersetzung!D153</f>
        <v>Lieu, date, signature:</v>
      </c>
      <c r="C57" s="2612"/>
      <c r="D57" s="2613"/>
      <c r="E57" s="2613"/>
      <c r="F57" s="2637"/>
      <c r="G57" s="2612"/>
      <c r="H57" s="2613"/>
      <c r="I57" s="2613"/>
      <c r="J57" s="2613"/>
      <c r="K57" s="2613"/>
      <c r="M57" s="456"/>
      <c r="O57" s="609"/>
    </row>
    <row r="58" spans="1:24" ht="20.100000000000001" customHeight="1">
      <c r="A58" s="1520"/>
      <c r="B58" s="2633"/>
      <c r="C58" s="2614"/>
      <c r="D58" s="2615"/>
      <c r="E58" s="2615"/>
      <c r="F58" s="2638"/>
      <c r="G58" s="2614"/>
      <c r="H58" s="2615"/>
      <c r="I58" s="2615"/>
      <c r="J58" s="2615"/>
      <c r="K58" s="2615"/>
      <c r="M58" s="456"/>
      <c r="O58" s="609"/>
    </row>
    <row r="59" spans="1:24" ht="4.5" customHeight="1">
      <c r="A59" s="1520"/>
      <c r="B59" s="2407"/>
      <c r="C59" s="870"/>
      <c r="D59" s="870"/>
      <c r="E59" s="870"/>
      <c r="F59" s="876"/>
      <c r="G59" s="876"/>
      <c r="H59" s="876"/>
      <c r="I59" s="870"/>
      <c r="J59" s="870"/>
      <c r="K59" s="779"/>
      <c r="M59" s="456"/>
      <c r="O59" s="605"/>
    </row>
    <row r="60" spans="1:24" ht="20.100000000000001" customHeight="1">
      <c r="A60" s="1520"/>
      <c r="B60" s="872" t="str">
        <f>Uebersetzung!D154</f>
        <v>Contrôle d'exécution</v>
      </c>
      <c r="C60" s="680" t="str">
        <f>Uebersetzung!D155</f>
        <v>même personne</v>
      </c>
      <c r="D60" s="835"/>
      <c r="E60" s="870"/>
      <c r="F60" s="802" t="str">
        <f>IF(bern,Uebersetzung!D706,Uebersetzung!D156)</f>
        <v>ou:</v>
      </c>
      <c r="G60" s="2608"/>
      <c r="H60" s="2609"/>
      <c r="I60" s="2609"/>
      <c r="J60" s="2609"/>
      <c r="K60" s="2609"/>
      <c r="M60" s="456"/>
      <c r="O60" s="605"/>
    </row>
    <row r="61" spans="1:24" ht="3.95" customHeight="1">
      <c r="A61" s="1520"/>
      <c r="B61" s="151"/>
      <c r="C61" s="151"/>
      <c r="D61" s="151"/>
      <c r="E61" s="151"/>
      <c r="F61" s="151"/>
      <c r="G61" s="151"/>
      <c r="H61" s="151"/>
      <c r="I61" s="151"/>
      <c r="J61" s="151"/>
      <c r="K61" s="151"/>
      <c r="M61" s="456"/>
      <c r="O61" s="605"/>
    </row>
    <row r="62" spans="1:24" ht="9.9499999999999993" customHeight="1">
      <c r="A62" s="1520"/>
      <c r="B62" s="801">
        <f ca="1">NOW()</f>
        <v>46034.719198842591</v>
      </c>
      <c r="K62" s="779" t="str">
        <f>Entrées!C8&amp;" / "&amp;Entrées!C7&amp;" / "&amp;Entrées!H7&amp;" / "&amp;Entrées!J7&amp;" / "&amp;Entrées!J8&amp;" / "&amp;Entrées!G55&amp;" / "&amp;Entrées!G57</f>
        <v xml:space="preserve"> /  /  /  /  /  / </v>
      </c>
      <c r="M62" s="870"/>
      <c r="N62" s="870"/>
      <c r="O62" s="605"/>
      <c r="P62" s="605"/>
      <c r="Q62" s="605"/>
      <c r="R62" s="605"/>
      <c r="S62" s="605"/>
      <c r="T62" s="605"/>
      <c r="U62" s="605"/>
      <c r="V62" s="605"/>
      <c r="W62" s="605"/>
      <c r="X62" s="605"/>
    </row>
    <row r="63" spans="1:24" ht="17.25" customHeight="1">
      <c r="A63" s="1518"/>
      <c r="B63" s="302"/>
      <c r="C63" s="302"/>
      <c r="D63" s="157"/>
      <c r="E63" s="157"/>
      <c r="F63" s="121"/>
      <c r="G63" s="121"/>
      <c r="H63" s="121"/>
      <c r="I63" s="121"/>
      <c r="J63" s="121"/>
      <c r="K63" s="121"/>
      <c r="M63" s="870"/>
      <c r="N63" s="870"/>
      <c r="O63" s="605"/>
      <c r="P63" s="605"/>
      <c r="Q63" s="605"/>
      <c r="R63" s="605"/>
      <c r="S63" s="605"/>
      <c r="T63" s="605"/>
      <c r="U63" s="605"/>
      <c r="V63" s="605"/>
      <c r="W63" s="605"/>
      <c r="X63" s="605"/>
    </row>
    <row r="64" spans="1:24" ht="11.45" hidden="1" customHeight="1">
      <c r="D64" s="98"/>
      <c r="E64" s="98"/>
      <c r="F64" s="179"/>
      <c r="G64" s="179"/>
      <c r="H64" s="179"/>
      <c r="I64" s="70" t="s">
        <v>314</v>
      </c>
      <c r="J64" s="9"/>
      <c r="K64" s="8">
        <f>IF(Standardwerte!$R$28&gt;1,4,IF(Standardwerte!$N$28&gt;1,3,IF(Standardwerte!$R$24&gt;1,2,IF(Standardwerte!$N$24&gt;1,1,))))</f>
        <v>0</v>
      </c>
      <c r="M64" s="456"/>
      <c r="N64" s="121"/>
    </row>
    <row r="65" spans="1:14" ht="17.25" hidden="1" customHeight="1">
      <c r="B65" s="369" t="s">
        <v>323</v>
      </c>
      <c r="C65" s="770"/>
      <c r="D65" s="371" t="s">
        <v>84</v>
      </c>
      <c r="E65" s="371"/>
      <c r="F65" s="370"/>
      <c r="G65" s="372" t="s">
        <v>700</v>
      </c>
      <c r="H65" s="144"/>
      <c r="I65" s="304" t="s">
        <v>494</v>
      </c>
      <c r="J65" s="114"/>
      <c r="K65" s="305" t="s">
        <v>166</v>
      </c>
      <c r="N65" s="121"/>
    </row>
    <row r="66" spans="1:14" ht="17.25" hidden="1" customHeight="1">
      <c r="A66" s="1518" t="s">
        <v>397</v>
      </c>
      <c r="B66" s="2622" t="str">
        <f>IF(auswahl1&gt;0,INDEX(Standardwerte!$AF$5:$AF$13,2),"")</f>
        <v/>
      </c>
      <c r="C66" s="2623"/>
      <c r="D66" s="391" t="str">
        <f>IF(minergiea,"Bestgeräte",IF(auswahl1&gt;0,INDEX(Standardwerte!$BA$5:$BA$13,2),""))</f>
        <v/>
      </c>
      <c r="E66" s="392"/>
      <c r="F66" s="393"/>
      <c r="G66" s="145" t="s">
        <v>310</v>
      </c>
      <c r="H66" s="145" t="s">
        <v>311</v>
      </c>
      <c r="I66" s="877"/>
      <c r="J66" s="2620"/>
      <c r="K66" s="2621"/>
      <c r="M66" s="155"/>
      <c r="N66" s="122"/>
    </row>
    <row r="67" spans="1:14" ht="17.25" hidden="1" customHeight="1">
      <c r="A67" s="1518" t="s">
        <v>398</v>
      </c>
      <c r="B67" s="2626" t="str">
        <f>IF(auswahl2&gt;0,INDEX(Standardwerte!$AF$5:$AF$13,3),"")</f>
        <v/>
      </c>
      <c r="C67" s="2627"/>
      <c r="D67" s="387" t="str">
        <f>IF(auswahl2&gt;0,INDEX(Standardwerte!$BA$5:$BA$13,3),"")</f>
        <v/>
      </c>
      <c r="E67" s="388"/>
      <c r="F67" s="389"/>
      <c r="G67" s="146" t="s">
        <v>310</v>
      </c>
      <c r="H67" s="146" t="s">
        <v>311</v>
      </c>
      <c r="I67" s="878"/>
      <c r="J67" s="2618"/>
      <c r="K67" s="2619"/>
      <c r="M67" s="155"/>
      <c r="N67" s="121"/>
    </row>
    <row r="68" spans="1:14" ht="17.25" hidden="1" customHeight="1">
      <c r="A68" s="1518" t="s">
        <v>399</v>
      </c>
      <c r="B68" s="2626" t="str">
        <f>IF(auswahl3&gt;0,INDEX(Standardwerte!$AF$5:$AF$13,4),"")</f>
        <v/>
      </c>
      <c r="C68" s="2627"/>
      <c r="D68" s="387" t="str">
        <f>IF(auswahl3&gt;0,INDEX(Standardwerte!$BA$5:$BA$13,4),"")</f>
        <v/>
      </c>
      <c r="E68" s="388"/>
      <c r="F68" s="389"/>
      <c r="G68" s="146" t="s">
        <v>310</v>
      </c>
      <c r="H68" s="146" t="s">
        <v>311</v>
      </c>
      <c r="I68" s="879"/>
      <c r="J68" s="2610"/>
      <c r="K68" s="2611"/>
      <c r="M68" s="155"/>
      <c r="N68" s="121"/>
    </row>
    <row r="69" spans="1:14" ht="17.25" hidden="1" customHeight="1">
      <c r="A69" s="1518" t="s">
        <v>400</v>
      </c>
      <c r="B69" s="2626" t="str">
        <f>IF(auswahl4&gt;0,INDEX(Standardwerte!$AF$5:$AF$13,5),"")</f>
        <v/>
      </c>
      <c r="C69" s="2627"/>
      <c r="D69" s="387" t="str">
        <f>IF(auswahl4&gt;0,INDEX(Standardwerte!$BA$5:$BA$13,5),"")</f>
        <v/>
      </c>
      <c r="E69" s="388"/>
      <c r="F69" s="389"/>
      <c r="G69" s="146" t="s">
        <v>310</v>
      </c>
      <c r="H69" s="146" t="s">
        <v>311</v>
      </c>
      <c r="I69" s="879"/>
      <c r="J69" s="2610"/>
      <c r="K69" s="2611"/>
      <c r="M69" s="155" t="b">
        <v>0</v>
      </c>
      <c r="N69" s="121"/>
    </row>
    <row r="70" spans="1:14" ht="17.25" hidden="1" customHeight="1">
      <c r="A70" s="1518" t="s">
        <v>401</v>
      </c>
      <c r="B70" s="2626" t="str">
        <f>IF(auswahl5&gt;0,INDEX(Standardwerte!$AF$5:$AF$13,6),"")</f>
        <v/>
      </c>
      <c r="C70" s="2627"/>
      <c r="D70" s="387" t="str">
        <f>IF(auswahl5&gt;0,INDEX(Standardwerte!$BA$5:$BA$13,6),"")</f>
        <v/>
      </c>
      <c r="E70" s="388"/>
      <c r="F70" s="389"/>
      <c r="G70" s="146" t="s">
        <v>310</v>
      </c>
      <c r="H70" s="146" t="s">
        <v>311</v>
      </c>
      <c r="I70" s="879"/>
      <c r="J70" s="2610"/>
      <c r="K70" s="2611"/>
      <c r="M70" s="155" t="b">
        <v>0</v>
      </c>
      <c r="N70" s="121"/>
    </row>
    <row r="71" spans="1:14" ht="17.25" hidden="1" customHeight="1">
      <c r="A71" s="1518" t="s">
        <v>402</v>
      </c>
      <c r="B71" s="2626" t="str">
        <f>IF(auswahl6&gt;0,INDEX(Standardwerte!$AF$5:$AF$13,7),"")</f>
        <v/>
      </c>
      <c r="C71" s="2627"/>
      <c r="D71" s="387" t="str">
        <f>IF(auswahl6&gt;0,INDEX(Standardwerte!$BA$5:$BA$13,7),"")</f>
        <v/>
      </c>
      <c r="E71" s="388"/>
      <c r="F71" s="389"/>
      <c r="G71" s="146" t="s">
        <v>310</v>
      </c>
      <c r="H71" s="146" t="s">
        <v>311</v>
      </c>
      <c r="I71" s="879"/>
      <c r="J71" s="2610"/>
      <c r="K71" s="2611"/>
      <c r="M71" s="155" t="b">
        <v>1</v>
      </c>
      <c r="N71" s="121"/>
    </row>
    <row r="72" spans="1:14" ht="17.25" hidden="1" customHeight="1">
      <c r="A72" s="1518" t="s">
        <v>430</v>
      </c>
      <c r="B72" s="2626" t="str">
        <f>IF(auswahl7&gt;0,INDEX(Standardwerte!$AF$5:$AF$13,8),"")</f>
        <v/>
      </c>
      <c r="C72" s="2627"/>
      <c r="D72" s="387" t="str">
        <f>IF(auswahl7&gt;0,INDEX(Standardwerte!$BA$5:$BA$13,8),"")</f>
        <v/>
      </c>
      <c r="E72" s="388"/>
      <c r="F72" s="389"/>
      <c r="G72" s="146" t="s">
        <v>310</v>
      </c>
      <c r="H72" s="146" t="s">
        <v>311</v>
      </c>
      <c r="I72" s="879"/>
      <c r="J72" s="2610"/>
      <c r="K72" s="2611"/>
      <c r="M72" s="155"/>
      <c r="N72" s="121"/>
    </row>
    <row r="73" spans="1:14" ht="17.25" hidden="1" customHeight="1">
      <c r="A73" s="1518" t="s">
        <v>116</v>
      </c>
      <c r="B73" s="2678" t="str">
        <f>IF(auswahl8&gt;0,INDEX(Standardwerte!$AF$5:$AF$13,9),"")</f>
        <v/>
      </c>
      <c r="C73" s="2679"/>
      <c r="D73" s="390" t="str">
        <f>IF(auswahl8&gt;0,INDEX(Standardwerte!$BA$5:$BA$13,9),"")</f>
        <v/>
      </c>
      <c r="E73" s="385"/>
      <c r="F73" s="386"/>
      <c r="G73" s="147" t="s">
        <v>310</v>
      </c>
      <c r="H73" s="147" t="s">
        <v>311</v>
      </c>
      <c r="I73" s="880">
        <f>IF(OR(minergiep,minergiea),IF(Neubau=2,"0.6 1/h",IF(Neubau=3,"1.5 1/h","0.6 (bzw. 1.5)")),)</f>
        <v>0</v>
      </c>
      <c r="J73" s="2616"/>
      <c r="K73" s="2617"/>
      <c r="M73" s="155" t="b">
        <v>0</v>
      </c>
    </row>
    <row r="74" spans="1:14" ht="17.25" hidden="1" customHeight="1">
      <c r="A74" s="1518"/>
      <c r="B74" s="751" t="s">
        <v>40</v>
      </c>
      <c r="C74" s="673"/>
      <c r="D74" s="494"/>
      <c r="E74" s="494"/>
      <c r="F74" s="881" t="b">
        <f>AND(Zonen&gt;0,OR(Lüftung1=2,Lüftung1=6,AND(Lüftung1=3,WRGtyp1&gt;1)))</f>
        <v>0</v>
      </c>
      <c r="G74" s="881"/>
      <c r="H74" s="881"/>
      <c r="I74" s="881"/>
      <c r="J74" s="673"/>
      <c r="K74" s="882" t="b">
        <f>OR(F74,G74,H74,I74)</f>
        <v>0</v>
      </c>
    </row>
    <row r="75" spans="1:14" s="27" customFormat="1" ht="12.75" hidden="1">
      <c r="A75" s="1520"/>
      <c r="B75" s="751" t="s">
        <v>23</v>
      </c>
      <c r="C75" s="673"/>
      <c r="D75" s="494"/>
      <c r="E75" s="494"/>
      <c r="F75" s="881" t="b">
        <f>AND(Zonen&gt;0,OR(Lüftung1=3))</f>
        <v>0</v>
      </c>
      <c r="G75" s="881"/>
      <c r="H75" s="881"/>
      <c r="I75" s="881"/>
      <c r="J75" s="673"/>
      <c r="K75" s="882" t="b">
        <f>OR(F75,G75,H75,I75)</f>
        <v>0</v>
      </c>
      <c r="L75" s="883"/>
      <c r="M75" s="883"/>
      <c r="N75" s="495"/>
    </row>
    <row r="76" spans="1:14" s="27" customFormat="1" ht="12.75" hidden="1">
      <c r="A76" s="1520"/>
      <c r="B76" s="751" t="s">
        <v>108</v>
      </c>
      <c r="C76" s="673"/>
      <c r="D76" s="494"/>
      <c r="E76" s="494"/>
      <c r="F76" s="881" t="b">
        <f>IF(OR(Standardwerte!J118=3,Standardwerte!J118=4),TRUE,FALSE)</f>
        <v>0</v>
      </c>
      <c r="G76" s="881" t="b">
        <f>IF(OR(Standardwerte!K118=3,Standardwerte!K118=4),TRUE,FALSE)</f>
        <v>0</v>
      </c>
      <c r="H76" s="881" t="b">
        <f>IF(OR(Standardwerte!L118=3,Standardwerte!L118=4),TRUE,FALSE)</f>
        <v>0</v>
      </c>
      <c r="I76" s="881" t="b">
        <f>IF(OR(Standardwerte!M118=3,Standardwerte!M118=4),TRUE,FALSE)</f>
        <v>0</v>
      </c>
      <c r="J76" s="673"/>
      <c r="K76" s="882"/>
      <c r="L76" s="883"/>
      <c r="M76" s="883"/>
      <c r="N76" s="495"/>
    </row>
    <row r="77" spans="1:14" s="27" customFormat="1" ht="12.75" hidden="1">
      <c r="A77" s="1520"/>
      <c r="B77" s="2682" t="s">
        <v>369</v>
      </c>
      <c r="C77" s="2683"/>
      <c r="D77" s="2683"/>
      <c r="E77" s="2683"/>
      <c r="F77" s="884" t="b">
        <f>IF(OR(Standardwerte!J118=2,Standardwerte!J118=4),TRUE,FALSE)</f>
        <v>0</v>
      </c>
      <c r="G77" s="884" t="b">
        <f>IF(OR(Standardwerte!K118=2,Standardwerte!K118=4),TRUE,FALSE)</f>
        <v>0</v>
      </c>
      <c r="H77" s="884" t="b">
        <f>IF(OR(Standardwerte!L118=2,Standardwerte!L118=4),TRUE,FALSE)</f>
        <v>0</v>
      </c>
      <c r="I77" s="884" t="b">
        <f>IF(OR(Standardwerte!M118=2,Standardwerte!M118=4),TRUE,FALSE)</f>
        <v>0</v>
      </c>
      <c r="J77" s="151"/>
      <c r="K77" s="603"/>
      <c r="L77" s="883"/>
      <c r="M77" s="883"/>
      <c r="N77" s="495"/>
    </row>
    <row r="78" spans="1:14" s="27" customFormat="1" ht="12.75" hidden="1">
      <c r="A78" s="1520"/>
      <c r="B78" s="751" t="s">
        <v>117</v>
      </c>
      <c r="C78" s="494"/>
      <c r="D78" s="494"/>
      <c r="E78" s="494"/>
      <c r="F78" s="881" t="b">
        <f>IF(OR(Standardwerte!J118=2,Standardwerte!J118=3,Standardwerte!J118=4),TRUE,FALSE)</f>
        <v>0</v>
      </c>
      <c r="G78" s="881" t="b">
        <f>IF(OR(Standardwerte!K118=2,Standardwerte!K118=3,Standardwerte!K118=4)*2,TRUE,FALSE)</f>
        <v>0</v>
      </c>
      <c r="H78" s="881" t="b">
        <f>IF(OR(Standardwerte!L118=2,Standardwerte!L118=3,Standardwerte!L118=4),TRUE,FALSE)</f>
        <v>0</v>
      </c>
      <c r="I78" s="881" t="b">
        <f>IF(OR(Standardwerte!M118=2,Standardwerte!M118=3,Standardwerte!M118=4),TRUE,FALSE)</f>
        <v>0</v>
      </c>
      <c r="J78" s="673"/>
      <c r="K78" s="882"/>
      <c r="L78" s="883"/>
      <c r="M78" s="883"/>
      <c r="N78" s="495"/>
    </row>
    <row r="79" spans="1:14" s="27" customFormat="1" ht="12.75" hidden="1">
      <c r="A79" s="1520"/>
      <c r="B79" s="751" t="s">
        <v>140</v>
      </c>
      <c r="C79" s="494"/>
      <c r="D79" s="885"/>
      <c r="E79" s="405" t="s">
        <v>524</v>
      </c>
      <c r="F79" s="886">
        <f>IF(O2&gt;0,(F42+F43)/O2,)</f>
        <v>0</v>
      </c>
      <c r="G79" s="887">
        <f>IF(P2&gt;0,(G42+G43)/P2,)</f>
        <v>0</v>
      </c>
      <c r="H79" s="887">
        <f>IF(Q2&gt;0,(H42+H43)/Q2,)</f>
        <v>0</v>
      </c>
      <c r="I79" s="887">
        <f>IF(R2&gt;0,(I42+I43)/R2,)</f>
        <v>0</v>
      </c>
      <c r="J79" s="406"/>
      <c r="K79" s="407">
        <f>IF(EBF&gt;0,(E_Qk11*_EBF1+E_Qk22*_EBF2+E_Qk33*_EBF3+E_Qk44*_EBF4)/EBF,0)</f>
        <v>0</v>
      </c>
      <c r="L79" s="883"/>
      <c r="M79" s="883"/>
      <c r="N79" s="495"/>
    </row>
    <row r="80" spans="1:14" s="27" customFormat="1" ht="12.75" hidden="1">
      <c r="A80" s="1520"/>
      <c r="B80" s="2680" t="str">
        <f>"- Eingabe (Berechnung beilegen)"</f>
        <v>- Eingabe (Berechnung beilegen)</v>
      </c>
      <c r="C80" s="2681"/>
      <c r="D80" s="206" t="s">
        <v>159</v>
      </c>
      <c r="E80" s="380" t="s">
        <v>524</v>
      </c>
      <c r="F80" s="888">
        <f>IF(AND(O2&gt;0,F88=FALSE),F41/O2,)</f>
        <v>0</v>
      </c>
      <c r="G80" s="867">
        <f>IF(AND(P2&gt;0,G88=FALSE),G41/P2,)</f>
        <v>0</v>
      </c>
      <c r="H80" s="867">
        <f>IF(AND(Q2&gt;0,H88=FALSE),H41/Q2,)</f>
        <v>0</v>
      </c>
      <c r="I80" s="867">
        <f>IF(AND(R2&gt;0,I88=FALSE),I41/R2,)</f>
        <v>0</v>
      </c>
      <c r="J80" s="193"/>
      <c r="K80" s="346" t="str">
        <f>IF(J83=0,"Strombedarf Lüftung  fehlt","")</f>
        <v/>
      </c>
      <c r="L80" s="883"/>
      <c r="M80" s="883"/>
      <c r="N80" s="495"/>
    </row>
    <row r="81" spans="1:14" s="27" customFormat="1" ht="12.75" hidden="1">
      <c r="A81" s="1520"/>
      <c r="B81" s="793" t="s">
        <v>821</v>
      </c>
      <c r="C81" s="795"/>
      <c r="D81" s="410"/>
      <c r="E81" s="201" t="s">
        <v>815</v>
      </c>
      <c r="F81" s="419">
        <f>IF(Kategorie1=1,0,IF(Kategorie1 &lt; 4,8736,IF(OR(Kategorie1=4,Kategorie1=5),INDEX(Standardwerte!$T$35:$X$45,Lüftung1,Kategorie1)/INDEX(Standardwerte!$Y$35:$AC$45,Lüftung1,Kategorie1)*8760,0)))</f>
        <v>0</v>
      </c>
      <c r="G81" s="419">
        <f>IF(Kategorie2=1,0,IF(Kategorie2 &lt; 4,8736,IF(OR(Kategorie2=4,Kategorie2=5),INDEX(Standardwerte!$T$35:$X$45,Lüftung2,Kategorie2)/INDEX(Standardwerte!$Y$35:$AC$45,Lüftung2,Kategorie2)*8760,0)))</f>
        <v>0</v>
      </c>
      <c r="H81" s="419">
        <f>IF(Kategorie3=1,0,IF(Kategorie3 &lt; 4,8736,IF(OR(Kategorie3=4,Kategorie3=5),INDEX(Standardwerte!$T$35:$X$45,Lüftung3,Kategorie3)/INDEX(Standardwerte!$Y$35:$AC$45,Lüftung3,Kategorie3)*8760,0)))</f>
        <v>0</v>
      </c>
      <c r="I81" s="419">
        <f>IF(Kategorie4=1,0,IF(Kategorie4 &lt; 4,8736,IF(OR(Kategorie4=4,Kategorie4=5),INDEX(Standardwerte!$T$35:$X$45,Lüftung4,Kategorie4)/INDEX(Standardwerte!$Y$35:$AC$45,Lüftung4,Kategorie4)*8760,0)))</f>
        <v>0</v>
      </c>
      <c r="J81" s="849"/>
      <c r="K81" s="850"/>
      <c r="L81" s="883"/>
      <c r="M81" s="883"/>
      <c r="N81" s="495"/>
    </row>
    <row r="82" spans="1:14" s="27" customFormat="1" ht="12.75" hidden="1">
      <c r="A82" s="1520"/>
      <c r="B82" s="851" t="s">
        <v>820</v>
      </c>
      <c r="C82" s="848"/>
      <c r="D82" s="194" t="s">
        <v>822</v>
      </c>
      <c r="E82" s="194" t="s">
        <v>524</v>
      </c>
      <c r="F82" s="854">
        <f>IF(EBFo1&gt;0,IF(F88,F81/1000*INDEX(Standardwerte!$T$24:$X$34,Lüftung1,Kategorie1)*VSup1*IF(Standardwerte!AB50,0.5,1),)/EBFo1,0)</f>
        <v>0</v>
      </c>
      <c r="G82" s="854">
        <f>IF(EBFo2&gt;0,IF(G88,G81/1000*INDEX(Standardwerte!$T$24:$X$34,Lüftung2,Kategorie2)*VSup2*IF(Standardwerte!AB51,0.5,1),)/EBFo2,0)</f>
        <v>0</v>
      </c>
      <c r="H82" s="854">
        <f>IF(EBFo3&gt;0,IF(H88,H81/1000*INDEX(Standardwerte!$T$24:$X$34,Lüftung3,Kategorie3)*VSup3*IF(Standardwerte!AB52,0.5,1),)/EBFo3,0)</f>
        <v>0</v>
      </c>
      <c r="I82" s="854">
        <f>IF(EBFo4&gt;0,IF(I88,I81/1000*INDEX(Standardwerte!$T$24:$X$34,Lüftung4,Kategorie4)*VSup4*IF(Standardwerte!AB53,0.5,1),)/EBFo4,0)</f>
        <v>0</v>
      </c>
      <c r="J82" s="849"/>
      <c r="K82" s="850"/>
      <c r="L82" s="883"/>
      <c r="M82" s="883"/>
      <c r="N82" s="495"/>
    </row>
    <row r="83" spans="1:14" s="27" customFormat="1" ht="12.75" hidden="1">
      <c r="A83" s="1520"/>
      <c r="B83" s="22" t="s">
        <v>495</v>
      </c>
      <c r="C83" s="798"/>
      <c r="D83" s="203" t="s">
        <v>159</v>
      </c>
      <c r="E83" s="194" t="s">
        <v>524</v>
      </c>
      <c r="F83" s="854">
        <f>IF(AND(OR(MUKEN,bern),Justificatif!G43=0),0,IF(OR(F80&gt;0,_Qel1&gt;0),IF(F80&gt;0,F80,_Qel1),))</f>
        <v>0</v>
      </c>
      <c r="G83" s="854">
        <f>IF(AND(OR(MUKEN,bern),Justificatif!H43=0),0,IF(OR(G80&gt;0,_Qel2&gt;0),IF(G80&gt;0,G80,_Qel2),))</f>
        <v>0</v>
      </c>
      <c r="H83" s="854">
        <f>IF(AND(OR(MUKEN,bern),Justificatif!I43=0),0,IF(OR(H80&gt;0,_Qel3&gt;0),IF(H80&gt;0,H80,_Qel3),))</f>
        <v>0</v>
      </c>
      <c r="I83" s="419">
        <f>IF(AND(OR(MUKEN,bern),Justificatif!J43=0),0,IF(OR(I80&gt;0,_Qel4&gt;0),IF(I80&gt;0,I80,_Qel4),))</f>
        <v>0</v>
      </c>
      <c r="J83" s="183">
        <f>IF(OR(AND(Zonen&gt;0,_Qe1=0,Kategorie1&lt;13),AND(Zonen&gt;1,_Qe2=0,Kategorie2&lt;13),AND(Zonen&gt;2,_Qe3=0,Kategorie3&lt;13),AND(Zonen&gt;3,_Qe4=0,Kategorie4&lt;13)),0,1)</f>
        <v>1</v>
      </c>
      <c r="K83" s="190">
        <f>IF(OR(MUKEN,bern),IF(EBF_MUKEN&gt;0,(_Qe1*_EBF1+_Qe2*_EBF2+_Qe3*_EBF3+_Qe4*_EBF4)/EBF_MUKEN,),IF(EBF&gt;0,(_Qe1*_EBF1+_Qe2*_EBF2+_Qe3*_EBF3+_Qe4*_EBF4)/EBF,))</f>
        <v>0</v>
      </c>
      <c r="L83" s="883"/>
      <c r="M83" s="883"/>
      <c r="N83" s="495"/>
    </row>
    <row r="84" spans="1:14" s="27" customFormat="1" ht="12.75" hidden="1">
      <c r="A84" s="1520"/>
      <c r="B84" s="451" t="str">
        <f>IF(minergiep,"","Strombedarf Klima")</f>
        <v>Strombedarf Klima</v>
      </c>
      <c r="C84" s="771"/>
      <c r="D84" s="380"/>
      <c r="E84" s="452" t="str">
        <f>IF(minergiep,,"kWh/m2")</f>
        <v>kWh/m2</v>
      </c>
      <c r="F84" s="453">
        <f>IF(AND(OR(MUKEN,bern),Justificatif!G43=0),0,IF(E_Qk11&gt;0,E_Qk11,0))</f>
        <v>0</v>
      </c>
      <c r="G84" s="453">
        <f>IF(AND(OR(MUKEN,bern),Justificatif!H43=0),0,IF(E_Qk22&gt;0,E_Qk22,0))</f>
        <v>0</v>
      </c>
      <c r="H84" s="453">
        <f>IF(AND(OR(MUKEN,bern),Justificatif!I43=0),0,IF(E_Qk33&gt;0,E_Qk33,0))</f>
        <v>0</v>
      </c>
      <c r="I84" s="453">
        <f>IF(AND(OR(MUKEN,bern),Justificatif!J43=0),0,IF(E_Qk44&gt;0,E_Qk44,0))</f>
        <v>0</v>
      </c>
      <c r="J84" s="454"/>
      <c r="K84" s="455">
        <f>IF(OR(MUKEN,bern),IF(EBF_MUKEN&gt;0,(E_Qk1*_EBF1+E_Qk2*_EBF2+E_Qk3*_EBF3+E_Qk4*_EBF4)/EBF_MUKEN,0),IF(EBF&gt;0,(E_Qk1*_EBF1+E_Qk2*_EBF2+E_Qk3*_EBF3+E_Qk4*_EBF4)/EBF,0))</f>
        <v>0</v>
      </c>
      <c r="L84" s="883"/>
      <c r="M84" s="883"/>
      <c r="N84" s="495"/>
    </row>
    <row r="85" spans="1:14" s="27" customFormat="1" ht="12.75" hidden="1">
      <c r="A85" s="1520"/>
      <c r="B85" s="751" t="s">
        <v>41</v>
      </c>
      <c r="C85" s="673"/>
      <c r="D85" s="494"/>
      <c r="E85" s="494"/>
      <c r="F85" s="881" t="b">
        <f>AND(Zonen&gt;0,Lüftung1=5)</f>
        <v>0</v>
      </c>
      <c r="G85" s="881"/>
      <c r="H85" s="881"/>
      <c r="I85" s="881"/>
      <c r="J85" s="673"/>
      <c r="K85" s="882" t="b">
        <f>OR(F85,G85,H85,I85)</f>
        <v>0</v>
      </c>
      <c r="L85" s="883"/>
      <c r="M85" s="883"/>
      <c r="N85" s="495"/>
    </row>
    <row r="86" spans="1:14" s="27" customFormat="1" ht="12.75" hidden="1">
      <c r="A86" s="1520"/>
      <c r="B86" s="751" t="s">
        <v>463</v>
      </c>
      <c r="C86" s="673"/>
      <c r="D86" s="494"/>
      <c r="E86" s="889"/>
      <c r="F86" s="881" t="b">
        <f>IF(Standardlüftung1=3,IF(AND(F40&gt;0,F40/(1-_WRG1)&lt;F37),FALSE,TRUE),TRUE)</f>
        <v>1</v>
      </c>
      <c r="G86" s="881" t="b">
        <f>IF(Standardlüftung2=3,IF(AND(G40&gt;0,G40/(1-_WRG2)&lt;G37),FALSE,TRUE),TRUE)</f>
        <v>1</v>
      </c>
      <c r="H86" s="881" t="b">
        <f>IF(Standardlüftung3=3,IF(AND(H40&gt;0,H40/(1-_WRG3)&lt;H37),FALSE,TRUE),TRUE)</f>
        <v>1</v>
      </c>
      <c r="I86" s="881" t="b">
        <f>IF(Standardlüftung4=3,IF(AND(I40&gt;0,I40/(1-_WRG4)&lt;I37),FALSE,TRUE),TRUE)</f>
        <v>1</v>
      </c>
      <c r="J86" s="673"/>
      <c r="K86" s="882"/>
      <c r="L86" s="883"/>
      <c r="M86" s="883"/>
      <c r="N86" s="495"/>
    </row>
    <row r="87" spans="1:14" s="27" customFormat="1" ht="12.75" hidden="1">
      <c r="A87" s="1520"/>
      <c r="B87" s="890" t="s">
        <v>464</v>
      </c>
      <c r="C87" s="151"/>
      <c r="D87" s="891"/>
      <c r="E87" s="892"/>
      <c r="F87" s="884" t="b">
        <f>IF(Standardlüftung1=3,IF(AND(F41&gt;0,F41/_EBF1&lt;_Qel1),FALSE,TRUE),TRUE)</f>
        <v>1</v>
      </c>
      <c r="G87" s="884" t="b">
        <f>IF(Standardlüftung2=3,IF(AND(G41&gt;0,G41/_EBF2&lt;_Qel2),FALSE,TRUE),TRUE)</f>
        <v>1</v>
      </c>
      <c r="H87" s="884" t="b">
        <f>IF(Standardlüftung3=3,IF(AND(H41&gt;0,H41/_EBF3&lt;_Qel3),FALSE,TRUE),TRUE)</f>
        <v>1</v>
      </c>
      <c r="I87" s="884" t="b">
        <f>IF(Standardlüftung4=3,IF(AND(I41&gt;0,I41/_EBF4&lt;_Qel4),FALSE,TRUE),TRUE)</f>
        <v>1</v>
      </c>
      <c r="J87" s="151"/>
      <c r="K87" s="603"/>
      <c r="L87" s="883"/>
      <c r="M87" s="883"/>
      <c r="N87" s="495"/>
    </row>
    <row r="88" spans="1:14" s="27" customFormat="1" ht="12.75" hidden="1">
      <c r="A88" s="1520"/>
      <c r="B88" s="499" t="s">
        <v>153</v>
      </c>
      <c r="C88" s="494"/>
      <c r="D88" s="494"/>
      <c r="E88" s="494"/>
      <c r="F88" s="881" t="b">
        <f>IF(Standardlüftung1=3,TRUE,FALSE)</f>
        <v>0</v>
      </c>
      <c r="G88" s="881" t="b">
        <f>IF(Standardlüftung2=3,TRUE,FALSE)</f>
        <v>0</v>
      </c>
      <c r="H88" s="881" t="b">
        <f>IF(Standardlüftung3=3,TRUE,FALSE)</f>
        <v>0</v>
      </c>
      <c r="I88" s="881" t="b">
        <f>IF(Standardlüftung4=3,TRUE,FALSE)</f>
        <v>0</v>
      </c>
      <c r="J88" s="673"/>
      <c r="K88" s="882"/>
      <c r="L88" s="883"/>
      <c r="M88" s="883"/>
      <c r="N88" s="495"/>
    </row>
    <row r="89" spans="1:14" s="27" customFormat="1" ht="12.75" hidden="1">
      <c r="A89" s="1520"/>
      <c r="B89" s="2678" t="s">
        <v>190</v>
      </c>
      <c r="C89" s="2679"/>
      <c r="D89" s="380" t="s">
        <v>711</v>
      </c>
      <c r="E89" s="380" t="s">
        <v>191</v>
      </c>
      <c r="F89" s="866">
        <f>IF(Einheiten=2,F46*3.6,F46)</f>
        <v>0</v>
      </c>
      <c r="G89" s="866">
        <f>IF(Einheiten=2,G46*3.6,G46)</f>
        <v>0</v>
      </c>
      <c r="H89" s="866">
        <f>IF(Einheiten=2,H46*3.6,H46)</f>
        <v>0</v>
      </c>
      <c r="I89" s="866">
        <f>IF(Einheiten=2,I46*3.6,I46)</f>
        <v>0</v>
      </c>
      <c r="J89" s="408">
        <f>IF(OR(AND(Zonen&gt;0,_qh1=0,Kategorie1&lt;13),AND(Zonen&gt;1,_qh2=0,Kategorie2&lt;13),AND(Zonen&gt;2,_qh3=0,Kategorie3&lt;13),AND(Zonen&gt;3,_qh4=0,Kategorie4&lt;13)),0,1)</f>
        <v>1</v>
      </c>
      <c r="K89" s="409">
        <f>IF(EBF=0,0,(F89*_EBF1+G89*_EBF2+H89*_EBF3+I89*_EBF4)/EBF)</f>
        <v>0</v>
      </c>
      <c r="L89" s="883"/>
      <c r="M89" s="883"/>
      <c r="N89" s="495"/>
    </row>
    <row r="90" spans="1:14" s="27" customFormat="1" ht="12.75" hidden="1">
      <c r="A90" s="1520"/>
      <c r="B90" s="21" t="str">
        <f>Uebersetzung!D37</f>
        <v>Besoins pour chauffage avec renouvellement d'air normal</v>
      </c>
      <c r="C90" s="794"/>
      <c r="D90" s="194" t="str">
        <f>"Qh"</f>
        <v>Qh</v>
      </c>
      <c r="E90" s="194" t="s">
        <v>191</v>
      </c>
      <c r="F90" s="865">
        <f>IF(Einheiten=1,F24,F24*3.6)</f>
        <v>0</v>
      </c>
      <c r="G90" s="865">
        <f>IF(Einheiten=1,G24,G24*3.6)</f>
        <v>0</v>
      </c>
      <c r="H90" s="865">
        <f>IF(Einheiten=1,H24,H24*3.6)</f>
        <v>0</v>
      </c>
      <c r="I90" s="865">
        <f>IF(Einheiten=1,I24,I24*3.6)</f>
        <v>0</v>
      </c>
      <c r="J90" s="339">
        <f>IF(OR(AND(Zonen&gt;0,_qhs1=0,,Kategorie1&lt;13),AND(Zonen&gt;1,_qhs2=0,Kategorie2&lt;13),AND(Zonen&gt;2,_qhs3=0,Kategorie3&lt;13),AND(Zonen&gt;3,_qhs4=0,Kategorie4&lt;13)),0,1)</f>
        <v>1</v>
      </c>
      <c r="K90" s="437">
        <f>IF(Primaeranforderung="",IF(EBF&gt;0,(_qhs1*_EBF1+_qhs2*_EBF2+_qhs3*_EBF3+_qhs4*_EBF4)/EBF,0),IF(Justificatif!I57="","",IF(minergiep,IF(Primaeranforderung&gt;0,IF((IF(EBF=0,0,(_qhs1*_EBF1+_qhs2*_EBF2+_qhs3*_EBF3+_qhs4*_EBF4)/EBF))&gt;0,IF((qhs_vollständig*IF(EBF=0,0,(_qhs1*_EBF1+_qhs2*_EBF2+_qhs3*_EBF3+_qhs4*_EBF4)/EBF)/3.6)&gt;Primaeranforderung,Uebersetzung!D75,IF(EBF=0,0,(_qhs1*_EBF1+_qhs2*_EBF2+_qhs3*_EBF3+_qhs4*_EBF4)/EBF)),),IF(EBF=0,0,(_qhs1*_EBF1+_qhs2*_EBF2+_qhs3*_EBF3+_qhs4*_EBF4)/EBF)),IF(Primaeranforderung&gt;0,IF((IF(EBF=0,0,(_qhs1*_EBF1+_qhs2*_EBF2+_qhs3*_EBF3+_qhs4*_EBF4)/EBF))&gt;0,IF(Justificatif!I57&gt;Primaeranforderung,Uebersetzung!D74,IF(EBF=0,0,Justificatif!I57*3.6)),),IF(EBF=0,0,Justificatif!I57*3.6)))))</f>
        <v>0</v>
      </c>
      <c r="L90" s="883"/>
      <c r="M90" s="883"/>
      <c r="N90" s="495"/>
    </row>
    <row r="91" spans="1:14" s="27" customFormat="1" ht="12.75" hidden="1">
      <c r="A91" s="1520"/>
      <c r="B91" s="21" t="s">
        <v>36</v>
      </c>
      <c r="C91" s="767"/>
      <c r="D91" s="194" t="s">
        <v>722</v>
      </c>
      <c r="E91" s="194" t="s">
        <v>321</v>
      </c>
      <c r="F91" s="865">
        <f>O2</f>
        <v>0</v>
      </c>
      <c r="G91" s="865">
        <f>P2</f>
        <v>0</v>
      </c>
      <c r="H91" s="865">
        <f>Q2</f>
        <v>0</v>
      </c>
      <c r="I91" s="865">
        <f>R2</f>
        <v>0</v>
      </c>
      <c r="J91" s="338"/>
      <c r="K91" s="375">
        <f>IF(OR(O2&lt;F91,P2&lt;G91,Q2&lt;H91,R2&lt;I91),"EBFo muss &lt;= EBF sein",EBFo1+EBFo2+EBFo3+EBFo4)</f>
        <v>0</v>
      </c>
      <c r="L91" s="883"/>
      <c r="M91" s="883"/>
      <c r="N91" s="495"/>
    </row>
    <row r="92" spans="1:14" s="27" customFormat="1" ht="12.75" hidden="1">
      <c r="A92" s="1520"/>
      <c r="B92" s="21" t="s">
        <v>176</v>
      </c>
      <c r="C92" s="767"/>
      <c r="D92" s="194" t="s">
        <v>532</v>
      </c>
      <c r="E92" s="194" t="str">
        <f>"-"</f>
        <v>-</v>
      </c>
      <c r="F92" s="198">
        <f>F23</f>
        <v>0</v>
      </c>
      <c r="G92" s="208">
        <f>G23</f>
        <v>0</v>
      </c>
      <c r="H92" s="208">
        <f>H23</f>
        <v>0</v>
      </c>
      <c r="I92" s="208">
        <f>I23</f>
        <v>0</v>
      </c>
      <c r="J92" s="185"/>
      <c r="K92" s="188">
        <f>IF(EBF=0,0,(AEBF1*_EBF1+AEBF2*_EBF2+AEBF3*_EBF3+AEBF4*_EBF4)/EBF)</f>
        <v>0</v>
      </c>
      <c r="L92" s="883"/>
      <c r="M92" s="883"/>
      <c r="N92" s="495"/>
    </row>
    <row r="93" spans="1:14" s="27" customFormat="1" ht="12.75" hidden="1">
      <c r="A93" s="1520"/>
      <c r="B93" s="23" t="s">
        <v>344</v>
      </c>
      <c r="C93" s="768"/>
      <c r="D93" s="204" t="s">
        <v>345</v>
      </c>
      <c r="E93" s="205" t="s">
        <v>51</v>
      </c>
      <c r="F93" s="195">
        <f>Standardwerte!N61</f>
        <v>0</v>
      </c>
      <c r="G93" s="863">
        <f>Standardwerte!N62</f>
        <v>0</v>
      </c>
      <c r="H93" s="863">
        <f>Standardwerte!N63</f>
        <v>0</v>
      </c>
      <c r="I93" s="863">
        <f>Standardwerte!N64</f>
        <v>0</v>
      </c>
      <c r="J93" s="192"/>
      <c r="K93" s="189">
        <f>IF(EBF=0,0,(_WRG1*_EBF1+_WRG2*_EBF2+_WRG3*_EBF3+_WRG4*_EBF4)/EBF)</f>
        <v>0</v>
      </c>
      <c r="L93" s="883"/>
      <c r="M93" s="883"/>
      <c r="N93" s="495"/>
    </row>
    <row r="94" spans="1:14" s="27" customFormat="1" ht="12.75" hidden="1">
      <c r="A94" s="1520"/>
      <c r="B94" s="1557" t="s">
        <v>2926</v>
      </c>
      <c r="C94" s="1554"/>
      <c r="D94" s="1554"/>
      <c r="E94" s="1554"/>
      <c r="F94" s="1555" t="b">
        <f>IF(AND(MUKEN,OR(Standardlüftung1=1,Standardlüftung1=2)),TRUE,FALSE)</f>
        <v>1</v>
      </c>
      <c r="G94" s="1555" t="b">
        <f>IF(AND(Zonen&gt;1,MUKEN,OR(Standardlüftung2=1,Standardlüftung2=2)),TRUE,FALSE)</f>
        <v>0</v>
      </c>
      <c r="H94" s="1555" t="b">
        <f>IF(AND(Zonen&gt;2,MUKEN,OR(Standardlüftung3=1,Standardlüftung3=2)),TRUE,FALSE)</f>
        <v>0</v>
      </c>
      <c r="I94" s="1555" t="b">
        <f>IF(AND(Zonen&gt;3,MUKEN,OR(Standardlüftung4=1,Standardlüftung4=2)),TRUE,FALSE)</f>
        <v>0</v>
      </c>
      <c r="J94" s="1555" t="b">
        <f>IF(AND(Zonen&gt;1,MUKEN,OR(Standardlüftung2=1,Standardlüftung2=2)),TRUE,FALSE)</f>
        <v>0</v>
      </c>
      <c r="K94" s="1556"/>
      <c r="L94" s="883"/>
      <c r="M94" s="883"/>
      <c r="N94" s="495"/>
    </row>
    <row r="95" spans="1:14" s="27" customFormat="1" ht="12.75">
      <c r="A95" s="1520"/>
      <c r="B95" s="495"/>
      <c r="C95" s="495"/>
      <c r="D95" s="495"/>
      <c r="E95" s="495"/>
      <c r="F95" s="893"/>
      <c r="G95" s="893"/>
      <c r="H95" s="893"/>
      <c r="I95" s="893"/>
      <c r="J95" s="495"/>
      <c r="K95" s="495"/>
      <c r="L95" s="883"/>
      <c r="M95" s="883"/>
      <c r="N95" s="495"/>
    </row>
    <row r="96" spans="1:14" s="27" customFormat="1" ht="12.75">
      <c r="A96" s="1522"/>
      <c r="F96" s="33"/>
      <c r="G96" s="33"/>
      <c r="H96" s="33"/>
      <c r="I96" s="33"/>
      <c r="L96" s="300"/>
      <c r="M96" s="300"/>
    </row>
    <row r="97" spans="1:36" s="27" customFormat="1" ht="12.75">
      <c r="A97" s="1522"/>
      <c r="F97" s="33"/>
      <c r="G97" s="33"/>
      <c r="H97" s="33"/>
      <c r="I97" s="33"/>
      <c r="L97" s="300"/>
      <c r="M97" s="300"/>
    </row>
    <row r="98" spans="1:36" s="27" customFormat="1" ht="12.75">
      <c r="A98" s="1522"/>
      <c r="F98" s="33"/>
      <c r="G98" s="33"/>
      <c r="H98" s="33"/>
      <c r="I98" s="33"/>
      <c r="L98" s="300"/>
      <c r="M98" s="300"/>
    </row>
    <row r="99" spans="1:36" s="27" customFormat="1" ht="12.75">
      <c r="A99" s="1522"/>
      <c r="F99" s="33"/>
      <c r="G99" s="33"/>
      <c r="H99" s="33"/>
      <c r="I99" s="33"/>
      <c r="L99" s="300"/>
      <c r="M99" s="300"/>
      <c r="O99" s="2333"/>
      <c r="P99" s="2333"/>
      <c r="Q99" s="2333"/>
      <c r="R99" s="2333"/>
      <c r="S99" s="2333"/>
      <c r="T99" s="2333"/>
      <c r="U99" s="2333"/>
      <c r="V99" s="2333"/>
      <c r="W99" s="2333"/>
      <c r="X99" s="2333"/>
      <c r="Y99" s="2333"/>
      <c r="Z99" s="2333"/>
      <c r="AA99" s="2333"/>
      <c r="AB99" s="2333"/>
      <c r="AC99" s="2333"/>
      <c r="AD99" s="2333"/>
      <c r="AE99" s="2333"/>
      <c r="AF99" s="2333"/>
      <c r="AG99" s="2333"/>
      <c r="AH99" s="2333"/>
      <c r="AI99" s="2333"/>
      <c r="AJ99" s="2333"/>
    </row>
    <row r="100" spans="1:36" ht="22.15" customHeight="1">
      <c r="A100" s="605"/>
      <c r="B100" s="605"/>
      <c r="C100" s="605"/>
      <c r="D100" s="605"/>
      <c r="E100" s="605"/>
      <c r="F100" s="605"/>
      <c r="G100" s="605"/>
      <c r="H100" s="605"/>
      <c r="I100" s="605"/>
      <c r="J100" s="605"/>
      <c r="K100" s="605"/>
      <c r="L100" s="605"/>
      <c r="M100" s="456"/>
      <c r="N100" s="2333"/>
      <c r="O100" s="2333"/>
      <c r="P100" s="2333"/>
      <c r="Q100" s="2333"/>
      <c r="R100" s="2333"/>
      <c r="S100" s="2333"/>
      <c r="T100" s="2333"/>
      <c r="U100" s="2333"/>
      <c r="V100" s="2333"/>
      <c r="W100" s="2333"/>
      <c r="X100" s="2333"/>
      <c r="Y100" s="2333"/>
      <c r="Z100" s="2333"/>
      <c r="AA100" s="2333"/>
      <c r="AB100" s="2333"/>
      <c r="AC100" s="2333"/>
      <c r="AD100" s="2333"/>
      <c r="AE100" s="2333"/>
      <c r="AF100" s="2333"/>
      <c r="AG100" s="2333"/>
      <c r="AH100" s="2333"/>
      <c r="AI100" s="2333"/>
      <c r="AJ100" s="2333"/>
    </row>
    <row r="101" spans="1:36" ht="13.9" customHeight="1">
      <c r="A101" s="605"/>
      <c r="B101" s="605"/>
      <c r="C101" s="605"/>
      <c r="D101" s="605"/>
      <c r="E101" s="605"/>
      <c r="F101" s="605"/>
      <c r="G101" s="605"/>
      <c r="H101" s="605"/>
      <c r="I101" s="605"/>
      <c r="J101" s="605"/>
      <c r="K101" s="605"/>
      <c r="L101" s="605"/>
      <c r="M101" s="121"/>
      <c r="N101" s="2333"/>
      <c r="O101" s="2333"/>
      <c r="P101" s="2333"/>
      <c r="Q101" s="2333"/>
      <c r="R101" s="2333"/>
      <c r="S101" s="2333"/>
      <c r="T101" s="2333"/>
      <c r="U101" s="2333"/>
      <c r="V101" s="2333"/>
      <c r="W101" s="2333"/>
      <c r="X101" s="2333"/>
      <c r="Y101" s="2333"/>
      <c r="Z101" s="2333"/>
      <c r="AA101" s="2333"/>
      <c r="AB101" s="2333"/>
      <c r="AC101" s="2333"/>
      <c r="AD101" s="2333"/>
      <c r="AE101" s="2333"/>
      <c r="AF101" s="2333"/>
      <c r="AG101" s="2333"/>
      <c r="AH101" s="2333"/>
      <c r="AI101" s="2333"/>
      <c r="AJ101" s="2333"/>
    </row>
    <row r="102" spans="1:36" ht="18.95" customHeight="1">
      <c r="A102" s="605"/>
      <c r="B102" s="605"/>
      <c r="C102" s="605"/>
      <c r="D102" s="605"/>
      <c r="E102" s="605"/>
      <c r="F102" s="605"/>
      <c r="G102" s="605"/>
      <c r="H102" s="605"/>
      <c r="I102" s="605"/>
      <c r="J102" s="605"/>
      <c r="K102" s="605"/>
      <c r="L102" s="605"/>
      <c r="M102" s="478"/>
      <c r="N102" s="2333"/>
      <c r="O102" s="2333"/>
      <c r="P102" s="2333"/>
      <c r="Q102" s="2333"/>
      <c r="R102" s="2333"/>
      <c r="S102" s="2333"/>
      <c r="T102" s="2333"/>
      <c r="U102" s="2333"/>
      <c r="V102" s="2333"/>
      <c r="W102" s="2333"/>
      <c r="X102" s="2333"/>
      <c r="Y102" s="2333"/>
      <c r="Z102" s="2333"/>
      <c r="AA102" s="2333"/>
      <c r="AB102" s="2333"/>
      <c r="AC102" s="2333"/>
      <c r="AD102" s="2333"/>
      <c r="AE102" s="2333"/>
      <c r="AF102" s="2333"/>
      <c r="AG102" s="2333"/>
      <c r="AH102" s="2333"/>
      <c r="AI102" s="2333"/>
      <c r="AJ102" s="2333"/>
    </row>
    <row r="103" spans="1:36" ht="24" customHeight="1">
      <c r="A103" s="605"/>
      <c r="B103" s="605"/>
      <c r="C103" s="605"/>
      <c r="D103" s="605"/>
      <c r="E103" s="605"/>
      <c r="F103" s="605"/>
      <c r="G103" s="605"/>
      <c r="H103" s="605"/>
      <c r="I103" s="605"/>
      <c r="J103" s="605"/>
      <c r="K103" s="605"/>
      <c r="L103" s="605"/>
      <c r="M103" s="121"/>
      <c r="N103" s="2333"/>
      <c r="O103" s="2333"/>
      <c r="P103" s="2333"/>
      <c r="Q103" s="2333"/>
      <c r="R103" s="2333"/>
      <c r="S103" s="2333"/>
      <c r="T103" s="2333"/>
      <c r="U103" s="2333"/>
      <c r="V103" s="2333"/>
      <c r="W103" s="2333"/>
      <c r="X103" s="2333"/>
      <c r="Y103" s="2333"/>
      <c r="Z103" s="2333"/>
      <c r="AA103" s="2333"/>
      <c r="AB103" s="2333"/>
      <c r="AC103" s="2333"/>
      <c r="AD103" s="2333"/>
      <c r="AE103" s="2333"/>
      <c r="AF103" s="2333"/>
      <c r="AG103" s="2333"/>
      <c r="AH103" s="2333"/>
      <c r="AI103" s="2333"/>
      <c r="AJ103" s="2333"/>
    </row>
    <row r="104" spans="1:36" ht="20.100000000000001" customHeight="1">
      <c r="A104" s="605"/>
      <c r="B104" s="605"/>
      <c r="C104" s="605"/>
      <c r="D104" s="605"/>
      <c r="E104" s="605"/>
      <c r="F104" s="605"/>
      <c r="G104" s="605"/>
      <c r="H104" s="605"/>
      <c r="I104" s="605"/>
      <c r="J104" s="605"/>
      <c r="K104" s="605"/>
      <c r="L104" s="605"/>
      <c r="M104" s="121"/>
      <c r="N104" s="2333"/>
      <c r="O104" s="2333"/>
      <c r="P104" s="2333"/>
      <c r="Q104" s="2333"/>
      <c r="R104" s="2333"/>
      <c r="S104" s="2333"/>
      <c r="T104" s="2333"/>
      <c r="U104" s="2333"/>
      <c r="V104" s="2333"/>
      <c r="W104" s="2333"/>
      <c r="X104" s="2333"/>
      <c r="Y104" s="2333"/>
      <c r="Z104" s="2333"/>
      <c r="AA104" s="2333"/>
      <c r="AB104" s="2333"/>
      <c r="AC104" s="2333"/>
      <c r="AD104" s="2333"/>
      <c r="AE104" s="2333"/>
      <c r="AF104" s="2333"/>
      <c r="AG104" s="2333"/>
      <c r="AH104" s="2333"/>
      <c r="AI104" s="2333"/>
      <c r="AJ104" s="2333"/>
    </row>
    <row r="105" spans="1:36" ht="6" customHeight="1">
      <c r="A105" s="605"/>
      <c r="B105" s="605"/>
      <c r="C105" s="605"/>
      <c r="D105" s="605"/>
      <c r="E105" s="605"/>
      <c r="F105" s="605"/>
      <c r="G105" s="605"/>
      <c r="H105" s="605"/>
      <c r="I105" s="605"/>
      <c r="J105" s="605"/>
      <c r="K105" s="605"/>
      <c r="L105" s="605"/>
      <c r="M105" s="456"/>
      <c r="O105" s="605"/>
    </row>
    <row r="106" spans="1:36" ht="20.100000000000001" customHeight="1">
      <c r="A106" s="605"/>
      <c r="B106" s="605"/>
      <c r="C106" s="605"/>
      <c r="D106" s="605"/>
      <c r="E106" s="605"/>
      <c r="F106" s="605"/>
      <c r="G106" s="605"/>
      <c r="H106" s="605"/>
      <c r="I106" s="605"/>
      <c r="J106" s="605"/>
      <c r="K106" s="605"/>
      <c r="L106" s="605"/>
      <c r="M106" s="456"/>
      <c r="O106" s="605"/>
    </row>
    <row r="107" spans="1:36" ht="2.1" customHeight="1">
      <c r="A107" s="1521"/>
      <c r="B107" s="874"/>
      <c r="C107" s="875"/>
      <c r="D107" s="875"/>
      <c r="E107" s="875"/>
      <c r="F107" s="875"/>
      <c r="G107" s="875"/>
      <c r="H107" s="875"/>
      <c r="I107" s="875"/>
      <c r="J107" s="875"/>
      <c r="K107" s="875"/>
      <c r="M107" s="456"/>
      <c r="O107" s="605"/>
    </row>
    <row r="108" spans="1:36" ht="20.100000000000001" customHeight="1">
      <c r="A108" s="1520"/>
      <c r="M108" s="456"/>
      <c r="O108" s="609"/>
    </row>
    <row r="109" spans="1:36" ht="20.100000000000001" customHeight="1">
      <c r="A109" s="1520"/>
      <c r="M109" s="456"/>
      <c r="O109" s="609"/>
    </row>
    <row r="110" spans="1:36" ht="6" customHeight="1">
      <c r="A110" s="1520"/>
      <c r="M110" s="456"/>
      <c r="O110" s="605"/>
    </row>
    <row r="111" spans="1:36" ht="20.100000000000001" customHeight="1">
      <c r="A111" s="1520"/>
      <c r="M111" s="456"/>
      <c r="O111" s="605"/>
    </row>
    <row r="112" spans="1:36" ht="3.95" customHeight="1">
      <c r="A112" s="1520"/>
      <c r="M112" s="456"/>
      <c r="O112" s="605"/>
    </row>
    <row r="113" spans="1:24" ht="9.9499999999999993" customHeight="1">
      <c r="A113" s="1520"/>
      <c r="M113" s="870"/>
      <c r="N113" s="870"/>
      <c r="O113" s="605"/>
      <c r="P113" s="605"/>
      <c r="Q113" s="605"/>
      <c r="R113" s="605"/>
      <c r="S113" s="605"/>
      <c r="T113" s="605"/>
      <c r="U113" s="605"/>
      <c r="V113" s="605"/>
      <c r="W113" s="605"/>
      <c r="X113" s="605"/>
    </row>
    <row r="114" spans="1:24" s="593" customFormat="1" ht="12.75">
      <c r="A114" s="1523"/>
      <c r="F114" s="599"/>
      <c r="G114" s="599"/>
      <c r="H114" s="599"/>
      <c r="I114" s="599"/>
      <c r="L114" s="600"/>
      <c r="M114" s="600"/>
    </row>
    <row r="115" spans="1:24" s="593" customFormat="1" ht="12.75">
      <c r="A115" s="1523"/>
      <c r="F115" s="599"/>
      <c r="G115" s="599"/>
      <c r="H115" s="599"/>
      <c r="I115" s="599"/>
      <c r="L115" s="600"/>
      <c r="M115" s="600"/>
    </row>
    <row r="116" spans="1:24" s="593" customFormat="1" ht="12.75">
      <c r="A116" s="1523"/>
      <c r="F116" s="599"/>
      <c r="G116" s="599"/>
      <c r="H116" s="599"/>
      <c r="I116" s="599"/>
      <c r="L116" s="600"/>
      <c r="M116" s="600"/>
    </row>
    <row r="117" spans="1:24" s="593" customFormat="1" ht="12.75">
      <c r="A117" s="1523"/>
      <c r="F117" s="599"/>
      <c r="G117" s="599"/>
      <c r="H117" s="599"/>
      <c r="I117" s="599"/>
      <c r="L117" s="600"/>
      <c r="M117" s="600"/>
    </row>
    <row r="118" spans="1:24" s="593" customFormat="1" ht="12.75">
      <c r="A118" s="1523"/>
      <c r="F118" s="599"/>
      <c r="G118" s="599"/>
      <c r="H118" s="599"/>
      <c r="I118" s="599"/>
      <c r="L118" s="600"/>
      <c r="M118" s="600"/>
    </row>
    <row r="119" spans="1:24" s="593" customFormat="1" ht="12.75">
      <c r="A119" s="1523"/>
      <c r="F119" s="599"/>
      <c r="G119" s="599"/>
      <c r="H119" s="599"/>
      <c r="I119" s="599"/>
      <c r="L119" s="600"/>
      <c r="M119" s="600"/>
    </row>
    <row r="120" spans="1:24" s="593" customFormat="1" ht="12.75">
      <c r="A120" s="1523"/>
      <c r="F120" s="599"/>
      <c r="G120" s="599"/>
      <c r="H120" s="599"/>
      <c r="I120" s="599"/>
      <c r="L120" s="600"/>
      <c r="M120" s="600"/>
    </row>
    <row r="121" spans="1:24" s="593" customFormat="1" ht="12.75">
      <c r="A121" s="1523"/>
      <c r="F121" s="599"/>
      <c r="G121" s="599"/>
      <c r="H121" s="599"/>
      <c r="I121" s="599"/>
      <c r="L121" s="600"/>
      <c r="M121" s="600"/>
    </row>
    <row r="122" spans="1:24" s="593" customFormat="1" ht="12.75">
      <c r="A122" s="1523"/>
      <c r="F122" s="599"/>
      <c r="G122" s="599"/>
      <c r="H122" s="599"/>
      <c r="I122" s="599"/>
      <c r="L122" s="600"/>
      <c r="M122" s="600"/>
    </row>
    <row r="123" spans="1:24" s="593" customFormat="1" ht="12.75">
      <c r="A123" s="1523"/>
      <c r="F123" s="599"/>
      <c r="G123" s="599"/>
      <c r="H123" s="599"/>
      <c r="I123" s="599"/>
      <c r="L123" s="600"/>
      <c r="M123" s="600"/>
    </row>
    <row r="124" spans="1:24" s="593" customFormat="1" ht="12.75">
      <c r="A124" s="1523"/>
      <c r="F124" s="599"/>
      <c r="G124" s="599"/>
      <c r="H124" s="599"/>
      <c r="I124" s="599"/>
      <c r="L124" s="600"/>
      <c r="M124" s="600"/>
    </row>
    <row r="125" spans="1:24" s="593" customFormat="1" ht="12.75">
      <c r="A125" s="1523"/>
      <c r="F125" s="599"/>
      <c r="G125" s="599"/>
      <c r="H125" s="599"/>
      <c r="I125" s="599"/>
      <c r="L125" s="600"/>
      <c r="M125" s="600"/>
    </row>
    <row r="126" spans="1:24" s="593" customFormat="1" ht="12.75">
      <c r="A126" s="1523"/>
      <c r="F126" s="599"/>
      <c r="G126" s="599"/>
      <c r="H126" s="599"/>
      <c r="I126" s="599"/>
      <c r="L126" s="600"/>
      <c r="M126" s="600"/>
    </row>
    <row r="127" spans="1:24" s="593" customFormat="1" ht="12.75">
      <c r="A127" s="1523"/>
      <c r="F127" s="599"/>
      <c r="G127" s="599"/>
      <c r="H127" s="599"/>
      <c r="I127" s="599"/>
      <c r="L127" s="600"/>
      <c r="M127" s="600"/>
    </row>
    <row r="128" spans="1:24" s="593" customFormat="1" ht="12.75">
      <c r="A128" s="1523"/>
      <c r="F128" s="599"/>
      <c r="G128" s="599"/>
      <c r="H128" s="599"/>
      <c r="I128" s="599"/>
      <c r="L128" s="600"/>
      <c r="M128" s="600"/>
    </row>
    <row r="129" spans="1:13" s="593" customFormat="1" ht="12.75">
      <c r="A129" s="1523"/>
      <c r="F129" s="599"/>
      <c r="G129" s="599"/>
      <c r="H129" s="599"/>
      <c r="I129" s="599"/>
      <c r="L129" s="600"/>
      <c r="M129" s="600"/>
    </row>
    <row r="130" spans="1:13" s="593" customFormat="1" ht="12.75">
      <c r="A130" s="1523"/>
      <c r="F130" s="599"/>
      <c r="G130" s="599"/>
      <c r="H130" s="599"/>
      <c r="I130" s="599"/>
      <c r="L130" s="600"/>
      <c r="M130" s="600"/>
    </row>
    <row r="131" spans="1:13" s="593" customFormat="1" ht="12.75">
      <c r="A131" s="1523"/>
      <c r="F131" s="599"/>
      <c r="G131" s="599"/>
      <c r="H131" s="599"/>
      <c r="I131" s="599"/>
      <c r="L131" s="600"/>
      <c r="M131" s="600"/>
    </row>
    <row r="132" spans="1:13" s="593" customFormat="1" ht="12.75">
      <c r="A132" s="1523"/>
      <c r="F132" s="599"/>
      <c r="G132" s="599"/>
      <c r="H132" s="599"/>
      <c r="I132" s="599"/>
      <c r="L132" s="600"/>
      <c r="M132" s="600"/>
    </row>
    <row r="133" spans="1:13" s="593" customFormat="1" ht="12.75">
      <c r="A133" s="1523"/>
      <c r="F133" s="599"/>
      <c r="G133" s="599"/>
      <c r="H133" s="599"/>
      <c r="I133" s="599"/>
      <c r="L133" s="600"/>
      <c r="M133" s="600"/>
    </row>
    <row r="134" spans="1:13" s="593" customFormat="1" ht="12.75">
      <c r="A134" s="1523"/>
      <c r="F134" s="599"/>
      <c r="G134" s="599"/>
      <c r="H134" s="599"/>
      <c r="I134" s="599"/>
      <c r="L134" s="600"/>
      <c r="M134" s="600"/>
    </row>
    <row r="135" spans="1:13" s="593" customFormat="1" ht="12.75">
      <c r="A135" s="1523"/>
      <c r="F135" s="599"/>
      <c r="G135" s="599"/>
      <c r="H135" s="599"/>
      <c r="I135" s="599"/>
      <c r="L135" s="600"/>
      <c r="M135" s="600"/>
    </row>
    <row r="136" spans="1:13" s="593" customFormat="1" ht="12.75">
      <c r="A136" s="1523"/>
      <c r="F136" s="599"/>
      <c r="G136" s="599"/>
      <c r="H136" s="599"/>
      <c r="I136" s="599"/>
      <c r="L136" s="600"/>
      <c r="M136" s="600"/>
    </row>
    <row r="137" spans="1:13" s="593" customFormat="1" ht="12.75">
      <c r="A137" s="1523"/>
      <c r="F137" s="599"/>
      <c r="G137" s="599"/>
      <c r="H137" s="599"/>
      <c r="I137" s="599"/>
      <c r="L137" s="600"/>
      <c r="M137" s="600"/>
    </row>
    <row r="138" spans="1:13" s="593" customFormat="1" ht="12.75">
      <c r="A138" s="1523"/>
      <c r="F138" s="599"/>
      <c r="G138" s="599"/>
      <c r="H138" s="599"/>
      <c r="I138" s="599"/>
      <c r="L138" s="600"/>
      <c r="M138" s="600"/>
    </row>
    <row r="139" spans="1:13" s="593" customFormat="1" ht="12.75">
      <c r="A139" s="1523"/>
      <c r="F139" s="599"/>
      <c r="G139" s="599"/>
      <c r="H139" s="599"/>
      <c r="I139" s="599"/>
      <c r="L139" s="600"/>
      <c r="M139" s="600"/>
    </row>
    <row r="140" spans="1:13" s="593" customFormat="1" ht="12.75">
      <c r="A140" s="1523"/>
      <c r="F140" s="599"/>
      <c r="G140" s="599"/>
      <c r="H140" s="599"/>
      <c r="I140" s="599"/>
      <c r="L140" s="600"/>
      <c r="M140" s="600"/>
    </row>
    <row r="141" spans="1:13" s="593" customFormat="1" ht="12.75">
      <c r="A141" s="1523"/>
      <c r="F141" s="599"/>
      <c r="G141" s="599"/>
      <c r="H141" s="599"/>
      <c r="I141" s="599"/>
      <c r="L141" s="600"/>
      <c r="M141" s="600"/>
    </row>
    <row r="142" spans="1:13" s="593" customFormat="1" ht="12.75">
      <c r="A142" s="1523"/>
      <c r="F142" s="599"/>
      <c r="G142" s="599"/>
      <c r="H142" s="599"/>
      <c r="I142" s="599"/>
      <c r="L142" s="600"/>
      <c r="M142" s="600"/>
    </row>
    <row r="143" spans="1:13" s="593" customFormat="1" ht="12.75">
      <c r="A143" s="1523"/>
      <c r="F143" s="599"/>
      <c r="G143" s="599"/>
      <c r="H143" s="599"/>
      <c r="I143" s="599"/>
      <c r="L143" s="600"/>
      <c r="M143" s="600"/>
    </row>
    <row r="144" spans="1:13" s="593" customFormat="1" ht="12.75">
      <c r="A144" s="1523"/>
      <c r="F144" s="599"/>
      <c r="G144" s="599"/>
      <c r="H144" s="599"/>
      <c r="I144" s="599"/>
      <c r="L144" s="600"/>
      <c r="M144" s="600"/>
    </row>
    <row r="145" spans="1:13" s="593" customFormat="1" ht="12.75">
      <c r="A145" s="1523"/>
      <c r="F145" s="599"/>
      <c r="G145" s="599"/>
      <c r="H145" s="599"/>
      <c r="I145" s="599"/>
      <c r="L145" s="600"/>
      <c r="M145" s="600"/>
    </row>
    <row r="146" spans="1:13" s="593" customFormat="1" ht="12.75">
      <c r="A146" s="1523"/>
      <c r="F146" s="599"/>
      <c r="G146" s="599"/>
      <c r="H146" s="599"/>
      <c r="I146" s="599"/>
      <c r="L146" s="600"/>
      <c r="M146" s="600"/>
    </row>
    <row r="147" spans="1:13" s="593" customFormat="1" ht="12.75">
      <c r="A147" s="1523"/>
      <c r="F147" s="599"/>
      <c r="G147" s="599"/>
      <c r="H147" s="599"/>
      <c r="I147" s="599"/>
      <c r="L147" s="600"/>
      <c r="M147" s="600"/>
    </row>
    <row r="148" spans="1:13" s="593" customFormat="1" ht="12.75">
      <c r="A148" s="1523"/>
      <c r="F148" s="599"/>
      <c r="G148" s="599"/>
      <c r="H148" s="599"/>
      <c r="I148" s="599"/>
      <c r="L148" s="600"/>
      <c r="M148" s="600"/>
    </row>
    <row r="149" spans="1:13" s="593" customFormat="1" ht="12.75">
      <c r="A149" s="1523"/>
      <c r="F149" s="599"/>
      <c r="G149" s="599"/>
      <c r="H149" s="599"/>
      <c r="I149" s="599"/>
      <c r="L149" s="600"/>
      <c r="M149" s="600"/>
    </row>
    <row r="150" spans="1:13" s="593" customFormat="1" ht="12.75">
      <c r="A150" s="1523"/>
      <c r="F150" s="599"/>
      <c r="G150" s="599"/>
      <c r="H150" s="599"/>
      <c r="I150" s="599"/>
      <c r="L150" s="600"/>
      <c r="M150" s="600"/>
    </row>
    <row r="151" spans="1:13" s="593" customFormat="1" ht="12.75">
      <c r="A151" s="1523"/>
      <c r="F151" s="599"/>
      <c r="G151" s="599"/>
      <c r="H151" s="599"/>
      <c r="I151" s="599"/>
      <c r="L151" s="600"/>
      <c r="M151" s="600"/>
    </row>
    <row r="152" spans="1:13" s="593" customFormat="1" ht="12.75">
      <c r="A152" s="1523"/>
      <c r="F152" s="599"/>
      <c r="G152" s="599"/>
      <c r="H152" s="599"/>
      <c r="I152" s="599"/>
      <c r="L152" s="600"/>
      <c r="M152" s="600"/>
    </row>
    <row r="153" spans="1:13" s="593" customFormat="1" ht="12.75">
      <c r="A153" s="1523"/>
      <c r="F153" s="599"/>
      <c r="G153" s="599"/>
      <c r="H153" s="599"/>
      <c r="I153" s="599"/>
      <c r="L153" s="600"/>
      <c r="M153" s="600"/>
    </row>
    <row r="154" spans="1:13" s="593" customFormat="1" ht="12.75">
      <c r="A154" s="1523"/>
      <c r="F154" s="599"/>
      <c r="G154" s="599"/>
      <c r="H154" s="599"/>
      <c r="I154" s="599"/>
      <c r="L154" s="600"/>
      <c r="M154" s="600"/>
    </row>
    <row r="155" spans="1:13" s="593" customFormat="1" ht="12.75">
      <c r="A155" s="1523"/>
      <c r="F155" s="599"/>
      <c r="G155" s="599"/>
      <c r="H155" s="599"/>
      <c r="I155" s="599"/>
      <c r="L155" s="600"/>
      <c r="M155" s="600"/>
    </row>
    <row r="156" spans="1:13" customFormat="1" ht="12.75">
      <c r="A156" s="1524"/>
      <c r="F156" s="1"/>
      <c r="G156" s="1"/>
      <c r="H156" s="1"/>
      <c r="I156" s="1"/>
      <c r="L156" s="301"/>
      <c r="M156" s="301"/>
    </row>
    <row r="157" spans="1:13" customFormat="1" ht="12.75">
      <c r="A157" s="1524"/>
      <c r="F157" s="1"/>
      <c r="G157" s="1"/>
      <c r="H157" s="1"/>
      <c r="I157" s="1"/>
      <c r="L157" s="301"/>
      <c r="M157" s="301"/>
    </row>
    <row r="158" spans="1:13" customFormat="1" ht="12.75">
      <c r="A158" s="1524"/>
      <c r="F158" s="1"/>
      <c r="G158" s="1"/>
      <c r="H158" s="1"/>
      <c r="I158" s="1"/>
      <c r="L158" s="301"/>
      <c r="M158" s="301"/>
    </row>
    <row r="159" spans="1:13" customFormat="1" ht="12.75">
      <c r="A159" s="1524"/>
      <c r="F159" s="1"/>
      <c r="G159" s="1"/>
      <c r="H159" s="1"/>
      <c r="I159" s="1"/>
      <c r="L159" s="301"/>
      <c r="M159" s="301"/>
    </row>
    <row r="160" spans="1:13" customFormat="1" ht="12.75">
      <c r="A160" s="1524"/>
      <c r="F160" s="1"/>
      <c r="G160" s="1"/>
      <c r="H160" s="1"/>
      <c r="I160" s="1"/>
      <c r="L160" s="301"/>
      <c r="M160" s="301"/>
    </row>
    <row r="161" spans="1:13" customFormat="1" ht="12.75">
      <c r="A161" s="1524"/>
      <c r="F161" s="1"/>
      <c r="G161" s="1"/>
      <c r="H161" s="1"/>
      <c r="I161" s="1"/>
      <c r="L161" s="301"/>
      <c r="M161" s="301"/>
    </row>
    <row r="162" spans="1:13" customFormat="1" ht="12.75">
      <c r="A162" s="1524"/>
      <c r="F162" s="1"/>
      <c r="G162" s="1"/>
      <c r="H162" s="1"/>
      <c r="I162" s="1"/>
      <c r="L162" s="301"/>
      <c r="M162" s="301"/>
    </row>
    <row r="163" spans="1:13" customFormat="1" ht="12.75">
      <c r="A163" s="1524"/>
      <c r="F163" s="1"/>
      <c r="G163" s="1"/>
      <c r="H163" s="1"/>
      <c r="I163" s="1"/>
      <c r="L163" s="301"/>
      <c r="M163" s="301"/>
    </row>
    <row r="164" spans="1:13" customFormat="1" ht="12.75">
      <c r="A164" s="1524"/>
      <c r="F164" s="1"/>
      <c r="G164" s="1"/>
      <c r="H164" s="1"/>
      <c r="I164" s="1"/>
      <c r="L164" s="301"/>
      <c r="M164" s="301"/>
    </row>
    <row r="165" spans="1:13" customFormat="1" ht="12.75">
      <c r="A165" s="1524"/>
      <c r="F165" s="1"/>
      <c r="G165" s="1"/>
      <c r="H165" s="1"/>
      <c r="I165" s="1"/>
      <c r="L165" s="301"/>
      <c r="M165" s="301"/>
    </row>
    <row r="166" spans="1:13" customFormat="1" ht="12.75">
      <c r="A166" s="1524"/>
      <c r="F166" s="1"/>
      <c r="G166" s="1"/>
      <c r="H166" s="1"/>
      <c r="I166" s="1"/>
      <c r="L166" s="301"/>
      <c r="M166" s="301"/>
    </row>
    <row r="167" spans="1:13" customFormat="1" ht="12.75">
      <c r="A167" s="1524"/>
      <c r="F167" s="1"/>
      <c r="G167" s="1"/>
      <c r="H167" s="1"/>
      <c r="I167" s="1"/>
      <c r="L167" s="301"/>
      <c r="M167" s="301"/>
    </row>
    <row r="168" spans="1:13" customFormat="1" ht="12.75">
      <c r="A168" s="1524"/>
      <c r="F168" s="1"/>
      <c r="G168" s="1"/>
      <c r="H168" s="1"/>
      <c r="I168" s="1"/>
      <c r="L168" s="301"/>
      <c r="M168" s="301"/>
    </row>
    <row r="169" spans="1:13" customFormat="1" ht="12.75">
      <c r="A169" s="1524"/>
      <c r="F169" s="1"/>
      <c r="G169" s="1"/>
      <c r="H169" s="1"/>
      <c r="I169" s="1"/>
      <c r="L169" s="301"/>
      <c r="M169" s="301"/>
    </row>
    <row r="170" spans="1:13" customFormat="1" ht="12.75">
      <c r="A170" s="1524"/>
      <c r="F170" s="1"/>
      <c r="G170" s="1"/>
      <c r="H170" s="1"/>
      <c r="I170" s="1"/>
      <c r="L170" s="301"/>
      <c r="M170" s="301"/>
    </row>
    <row r="171" spans="1:13" customFormat="1" ht="12.75">
      <c r="A171" s="1524"/>
      <c r="F171" s="1"/>
      <c r="G171" s="1"/>
      <c r="H171" s="1"/>
      <c r="I171" s="1"/>
      <c r="L171" s="301"/>
      <c r="M171" s="301"/>
    </row>
    <row r="172" spans="1:13" customFormat="1" ht="12.75">
      <c r="A172" s="1524"/>
      <c r="F172" s="1"/>
      <c r="G172" s="1"/>
      <c r="H172" s="1"/>
      <c r="I172" s="1"/>
      <c r="L172" s="301"/>
      <c r="M172" s="301"/>
    </row>
    <row r="173" spans="1:13" customFormat="1" ht="12.75">
      <c r="A173" s="1524"/>
      <c r="F173" s="1"/>
      <c r="G173" s="1"/>
      <c r="H173" s="1"/>
      <c r="I173" s="1"/>
      <c r="L173" s="301"/>
      <c r="M173" s="301"/>
    </row>
    <row r="174" spans="1:13" customFormat="1" ht="12.75">
      <c r="A174" s="1524"/>
      <c r="F174" s="1"/>
      <c r="G174" s="1"/>
      <c r="H174" s="1"/>
      <c r="I174" s="1"/>
      <c r="L174" s="301"/>
      <c r="M174" s="301"/>
    </row>
    <row r="175" spans="1:13" customFormat="1" ht="12.75">
      <c r="A175" s="1524"/>
      <c r="F175" s="1"/>
      <c r="G175" s="1"/>
      <c r="H175" s="1"/>
      <c r="I175" s="1"/>
      <c r="L175" s="301"/>
      <c r="M175" s="301"/>
    </row>
    <row r="176" spans="1:13" customFormat="1" ht="12.75">
      <c r="A176" s="1524"/>
      <c r="F176" s="1"/>
      <c r="G176" s="1"/>
      <c r="H176" s="1"/>
      <c r="I176" s="1"/>
      <c r="L176" s="301"/>
      <c r="M176" s="301"/>
    </row>
    <row r="177" spans="1:13" customFormat="1" ht="12.75">
      <c r="A177" s="1524"/>
      <c r="F177" s="1"/>
      <c r="G177" s="1"/>
      <c r="H177" s="1"/>
      <c r="I177" s="1"/>
      <c r="L177" s="301"/>
      <c r="M177" s="301"/>
    </row>
    <row r="178" spans="1:13" customFormat="1" ht="12.75">
      <c r="A178" s="1524"/>
      <c r="F178" s="1"/>
      <c r="G178" s="1"/>
      <c r="H178" s="1"/>
      <c r="I178" s="1"/>
      <c r="L178" s="301"/>
      <c r="M178" s="301"/>
    </row>
    <row r="179" spans="1:13" customFormat="1" ht="12.75">
      <c r="A179" s="1524"/>
      <c r="F179" s="1"/>
      <c r="G179" s="1"/>
      <c r="H179" s="1"/>
      <c r="I179" s="1"/>
      <c r="L179" s="301"/>
      <c r="M179" s="301"/>
    </row>
    <row r="180" spans="1:13" customFormat="1" ht="12.75">
      <c r="A180" s="1524"/>
      <c r="F180" s="1"/>
      <c r="G180" s="1"/>
      <c r="H180" s="1"/>
      <c r="I180" s="1"/>
      <c r="L180" s="301"/>
      <c r="M180" s="301"/>
    </row>
    <row r="181" spans="1:13" customFormat="1" ht="12.75">
      <c r="A181" s="1524"/>
      <c r="F181" s="1"/>
      <c r="G181" s="1"/>
      <c r="H181" s="1"/>
      <c r="I181" s="1"/>
      <c r="L181" s="301"/>
      <c r="M181" s="301"/>
    </row>
    <row r="182" spans="1:13" customFormat="1" ht="12.75">
      <c r="A182" s="1524"/>
      <c r="F182" s="1"/>
      <c r="G182" s="1"/>
      <c r="H182" s="1"/>
      <c r="I182" s="1"/>
      <c r="L182" s="301"/>
      <c r="M182" s="301"/>
    </row>
    <row r="183" spans="1:13" customFormat="1" ht="12.75">
      <c r="A183" s="1524"/>
      <c r="F183" s="1"/>
      <c r="G183" s="1"/>
      <c r="H183" s="1"/>
      <c r="I183" s="1"/>
      <c r="L183" s="301"/>
      <c r="M183" s="301"/>
    </row>
    <row r="184" spans="1:13" customFormat="1" ht="12.75">
      <c r="A184" s="1524"/>
      <c r="F184" s="1"/>
      <c r="G184" s="1"/>
      <c r="H184" s="1"/>
      <c r="I184" s="1"/>
      <c r="L184" s="301"/>
      <c r="M184" s="301"/>
    </row>
    <row r="185" spans="1:13" customFormat="1" ht="12.75">
      <c r="A185" s="1524"/>
      <c r="F185" s="1"/>
      <c r="G185" s="1"/>
      <c r="H185" s="1"/>
      <c r="I185" s="1"/>
      <c r="L185" s="301"/>
      <c r="M185" s="301"/>
    </row>
    <row r="186" spans="1:13" customFormat="1" ht="12.75">
      <c r="A186" s="1524"/>
      <c r="F186" s="1"/>
      <c r="G186" s="1"/>
      <c r="H186" s="1"/>
      <c r="I186" s="1"/>
      <c r="L186" s="301"/>
      <c r="M186" s="301"/>
    </row>
    <row r="187" spans="1:13" customFormat="1" ht="12.75">
      <c r="A187" s="1524"/>
      <c r="F187" s="1"/>
      <c r="G187" s="1"/>
      <c r="H187" s="1"/>
      <c r="I187" s="1"/>
      <c r="L187" s="301"/>
      <c r="M187" s="301"/>
    </row>
    <row r="188" spans="1:13" customFormat="1" ht="12.75">
      <c r="A188" s="1524"/>
      <c r="F188" s="1"/>
      <c r="G188" s="1"/>
      <c r="H188" s="1"/>
      <c r="I188" s="1"/>
      <c r="L188" s="301"/>
      <c r="M188" s="301"/>
    </row>
    <row r="189" spans="1:13" customFormat="1" ht="12.75">
      <c r="A189" s="1524"/>
      <c r="F189" s="1"/>
      <c r="G189" s="1"/>
      <c r="H189" s="1"/>
      <c r="I189" s="1"/>
      <c r="L189" s="301"/>
      <c r="M189" s="301"/>
    </row>
    <row r="190" spans="1:13" customFormat="1" ht="12.75">
      <c r="A190" s="1524"/>
      <c r="F190" s="1"/>
      <c r="G190" s="1"/>
      <c r="H190" s="1"/>
      <c r="I190" s="1"/>
      <c r="L190" s="301"/>
      <c r="M190" s="301"/>
    </row>
    <row r="191" spans="1:13" customFormat="1" ht="12.75">
      <c r="A191" s="1524"/>
      <c r="F191" s="1"/>
      <c r="G191" s="1"/>
      <c r="H191" s="1"/>
      <c r="I191" s="1"/>
      <c r="L191" s="301"/>
      <c r="M191" s="301"/>
    </row>
    <row r="192" spans="1:13" customFormat="1" ht="12.75">
      <c r="A192" s="1524"/>
      <c r="F192" s="1"/>
      <c r="G192" s="1"/>
      <c r="H192" s="1"/>
      <c r="I192" s="1"/>
      <c r="L192" s="301"/>
      <c r="M192" s="301"/>
    </row>
    <row r="193" spans="1:13" customFormat="1" ht="12.75">
      <c r="A193" s="1524"/>
      <c r="F193" s="1"/>
      <c r="G193" s="1"/>
      <c r="H193" s="1"/>
      <c r="I193" s="1"/>
      <c r="L193" s="301"/>
      <c r="M193" s="301"/>
    </row>
    <row r="194" spans="1:13" customFormat="1" ht="12.75">
      <c r="A194" s="1524"/>
      <c r="F194" s="1"/>
      <c r="G194" s="1"/>
      <c r="H194" s="1"/>
      <c r="I194" s="1"/>
      <c r="L194" s="301"/>
      <c r="M194" s="301"/>
    </row>
    <row r="195" spans="1:13" customFormat="1" ht="12.75">
      <c r="A195" s="1524"/>
      <c r="F195" s="1"/>
      <c r="G195" s="1"/>
      <c r="H195" s="1"/>
      <c r="I195" s="1"/>
      <c r="L195" s="301"/>
      <c r="M195" s="301"/>
    </row>
    <row r="196" spans="1:13" customFormat="1" ht="12.75">
      <c r="A196" s="1524"/>
      <c r="F196" s="1"/>
      <c r="G196" s="1"/>
      <c r="H196" s="1"/>
      <c r="I196" s="1"/>
      <c r="L196" s="301"/>
      <c r="M196" s="301"/>
    </row>
    <row r="197" spans="1:13" customFormat="1" ht="12.75">
      <c r="A197" s="1524"/>
      <c r="F197" s="1"/>
      <c r="G197" s="1"/>
      <c r="H197" s="1"/>
      <c r="I197" s="1"/>
      <c r="L197" s="301"/>
      <c r="M197" s="301"/>
    </row>
    <row r="198" spans="1:13" customFormat="1" ht="12.75">
      <c r="A198" s="1524"/>
      <c r="F198" s="1"/>
      <c r="G198" s="1"/>
      <c r="H198" s="1"/>
      <c r="I198" s="1"/>
      <c r="L198" s="301"/>
      <c r="M198" s="301"/>
    </row>
    <row r="199" spans="1:13" customFormat="1" ht="12.75">
      <c r="A199" s="1524"/>
      <c r="F199" s="1"/>
      <c r="G199" s="1"/>
      <c r="H199" s="1"/>
      <c r="I199" s="1"/>
      <c r="L199" s="301"/>
      <c r="M199" s="301"/>
    </row>
    <row r="200" spans="1:13" customFormat="1" ht="12.75">
      <c r="A200" s="1524"/>
      <c r="F200" s="1"/>
      <c r="G200" s="1"/>
      <c r="H200" s="1"/>
      <c r="I200" s="1"/>
      <c r="L200" s="301"/>
      <c r="M200" s="301"/>
    </row>
    <row r="201" spans="1:13" customFormat="1" ht="12.75">
      <c r="A201" s="1524"/>
      <c r="F201" s="1"/>
      <c r="G201" s="1"/>
      <c r="H201" s="1"/>
      <c r="I201" s="1"/>
      <c r="L201" s="301"/>
      <c r="M201" s="301"/>
    </row>
    <row r="202" spans="1:13" customFormat="1" ht="12.75">
      <c r="A202" s="1524"/>
      <c r="F202" s="1"/>
      <c r="G202" s="1"/>
      <c r="H202" s="1"/>
      <c r="I202" s="1"/>
      <c r="L202" s="301"/>
      <c r="M202" s="301"/>
    </row>
    <row r="203" spans="1:13" customFormat="1" ht="12.75">
      <c r="A203" s="1524"/>
      <c r="F203" s="1"/>
      <c r="G203" s="1"/>
      <c r="H203" s="1"/>
      <c r="I203" s="1"/>
      <c r="L203" s="301"/>
      <c r="M203" s="301"/>
    </row>
    <row r="204" spans="1:13" customFormat="1" ht="12.75">
      <c r="A204" s="1524"/>
      <c r="F204" s="1"/>
      <c r="G204" s="1"/>
      <c r="H204" s="1"/>
      <c r="I204" s="1"/>
      <c r="L204" s="301"/>
      <c r="M204" s="301"/>
    </row>
    <row r="205" spans="1:13" customFormat="1" ht="12.75">
      <c r="A205" s="1524"/>
      <c r="F205" s="1"/>
      <c r="G205" s="1"/>
      <c r="H205" s="1"/>
      <c r="I205" s="1"/>
      <c r="L205" s="301"/>
      <c r="M205" s="301"/>
    </row>
    <row r="206" spans="1:13" customFormat="1" ht="12.75">
      <c r="A206" s="1524"/>
      <c r="F206" s="1"/>
      <c r="G206" s="1"/>
      <c r="H206" s="1"/>
      <c r="I206" s="1"/>
      <c r="L206" s="301"/>
      <c r="M206" s="301"/>
    </row>
    <row r="207" spans="1:13" customFormat="1" ht="12.75">
      <c r="A207" s="1524"/>
      <c r="F207" s="1"/>
      <c r="G207" s="1"/>
      <c r="H207" s="1"/>
      <c r="I207" s="1"/>
      <c r="L207" s="301"/>
      <c r="M207" s="301"/>
    </row>
    <row r="208" spans="1:13" customFormat="1" ht="12.75">
      <c r="A208" s="1524"/>
      <c r="F208" s="1"/>
      <c r="G208" s="1"/>
      <c r="H208" s="1"/>
      <c r="I208" s="1"/>
      <c r="L208" s="301"/>
      <c r="M208" s="301"/>
    </row>
    <row r="209" spans="1:13" customFormat="1" ht="12.75">
      <c r="A209" s="1524"/>
      <c r="F209" s="1"/>
      <c r="G209" s="1"/>
      <c r="H209" s="1"/>
      <c r="I209" s="1"/>
      <c r="L209" s="301"/>
      <c r="M209" s="301"/>
    </row>
    <row r="210" spans="1:13" customFormat="1" ht="12.75">
      <c r="A210" s="1524"/>
      <c r="F210" s="1"/>
      <c r="G210" s="1"/>
      <c r="H210" s="1"/>
      <c r="I210" s="1"/>
      <c r="L210" s="301"/>
      <c r="M210" s="301"/>
    </row>
    <row r="211" spans="1:13" customFormat="1" ht="12.75">
      <c r="A211" s="1524"/>
      <c r="F211" s="1"/>
      <c r="G211" s="1"/>
      <c r="H211" s="1"/>
      <c r="I211" s="1"/>
      <c r="L211" s="301"/>
      <c r="M211" s="301"/>
    </row>
    <row r="212" spans="1:13" customFormat="1" ht="12.75">
      <c r="A212" s="1524"/>
      <c r="F212" s="1"/>
      <c r="G212" s="1"/>
      <c r="H212" s="1"/>
      <c r="I212" s="1"/>
      <c r="L212" s="301"/>
      <c r="M212" s="301"/>
    </row>
    <row r="213" spans="1:13" customFormat="1" ht="12.75">
      <c r="A213" s="1524"/>
      <c r="F213" s="1"/>
      <c r="G213" s="1"/>
      <c r="H213" s="1"/>
      <c r="I213" s="1"/>
      <c r="L213" s="301"/>
      <c r="M213" s="301"/>
    </row>
    <row r="214" spans="1:13" customFormat="1" ht="12.75">
      <c r="A214" s="1524"/>
      <c r="F214" s="1"/>
      <c r="G214" s="1"/>
      <c r="H214" s="1"/>
      <c r="I214" s="1"/>
      <c r="L214" s="301"/>
      <c r="M214" s="301"/>
    </row>
    <row r="215" spans="1:13" customFormat="1" ht="12.75">
      <c r="A215" s="1524"/>
      <c r="F215" s="1"/>
      <c r="G215" s="1"/>
      <c r="H215" s="1"/>
      <c r="I215" s="1"/>
      <c r="L215" s="301"/>
      <c r="M215" s="301"/>
    </row>
    <row r="216" spans="1:13" customFormat="1" ht="12.75">
      <c r="A216" s="1524"/>
      <c r="F216" s="1"/>
      <c r="G216" s="1"/>
      <c r="H216" s="1"/>
      <c r="I216" s="1"/>
      <c r="L216" s="301"/>
      <c r="M216" s="301"/>
    </row>
    <row r="217" spans="1:13" customFormat="1" ht="12.75">
      <c r="A217" s="1524"/>
      <c r="F217" s="1"/>
      <c r="G217" s="1"/>
      <c r="H217" s="1"/>
      <c r="I217" s="1"/>
      <c r="L217" s="301"/>
      <c r="M217" s="301"/>
    </row>
    <row r="218" spans="1:13" customFormat="1" ht="12.75">
      <c r="A218" s="1524"/>
      <c r="F218" s="1"/>
      <c r="G218" s="1"/>
      <c r="H218" s="1"/>
      <c r="I218" s="1"/>
      <c r="L218" s="301"/>
      <c r="M218" s="301"/>
    </row>
    <row r="219" spans="1:13" customFormat="1" ht="12.75">
      <c r="A219" s="1524"/>
      <c r="F219" s="1"/>
      <c r="G219" s="1"/>
      <c r="H219" s="1"/>
      <c r="I219" s="1"/>
      <c r="L219" s="301"/>
      <c r="M219" s="301"/>
    </row>
    <row r="220" spans="1:13" customFormat="1" ht="12.75">
      <c r="A220" s="1524"/>
      <c r="F220" s="1"/>
      <c r="G220" s="1"/>
      <c r="H220" s="1"/>
      <c r="I220" s="1"/>
      <c r="L220" s="301"/>
      <c r="M220" s="301"/>
    </row>
    <row r="221" spans="1:13" customFormat="1" ht="12.75">
      <c r="A221" s="1524"/>
      <c r="F221" s="1"/>
      <c r="G221" s="1"/>
      <c r="H221" s="1"/>
      <c r="I221" s="1"/>
      <c r="L221" s="301"/>
      <c r="M221" s="301"/>
    </row>
    <row r="222" spans="1:13" customFormat="1" ht="12.75">
      <c r="A222" s="1524"/>
      <c r="F222" s="1"/>
      <c r="G222" s="1"/>
      <c r="H222" s="1"/>
      <c r="I222" s="1"/>
      <c r="L222" s="301"/>
      <c r="M222" s="301"/>
    </row>
    <row r="223" spans="1:13" customFormat="1" ht="12.75">
      <c r="A223" s="1524"/>
      <c r="F223" s="1"/>
      <c r="G223" s="1"/>
      <c r="H223" s="1"/>
      <c r="I223" s="1"/>
      <c r="L223" s="301"/>
      <c r="M223" s="301"/>
    </row>
    <row r="224" spans="1:13" customFormat="1" ht="12.75">
      <c r="A224" s="1524"/>
      <c r="F224" s="1"/>
      <c r="G224" s="1"/>
      <c r="H224" s="1"/>
      <c r="I224" s="1"/>
      <c r="L224" s="301"/>
      <c r="M224" s="301"/>
    </row>
    <row r="225" spans="1:13" customFormat="1" ht="12.75">
      <c r="A225" s="1524"/>
      <c r="F225" s="1"/>
      <c r="G225" s="1"/>
      <c r="H225" s="1"/>
      <c r="I225" s="1"/>
      <c r="L225" s="301"/>
      <c r="M225" s="301"/>
    </row>
    <row r="226" spans="1:13" customFormat="1" ht="12.75">
      <c r="A226" s="1524"/>
      <c r="F226" s="1"/>
      <c r="G226" s="1"/>
      <c r="H226" s="1"/>
      <c r="I226" s="1"/>
      <c r="L226" s="301"/>
      <c r="M226" s="301"/>
    </row>
    <row r="227" spans="1:13" customFormat="1" ht="12.75">
      <c r="A227" s="1524"/>
      <c r="F227" s="1"/>
      <c r="G227" s="1"/>
      <c r="H227" s="1"/>
      <c r="I227" s="1"/>
      <c r="L227" s="301"/>
      <c r="M227" s="301"/>
    </row>
    <row r="228" spans="1:13" customFormat="1" ht="12.75">
      <c r="A228" s="1524"/>
      <c r="F228" s="1"/>
      <c r="G228" s="1"/>
      <c r="H228" s="1"/>
      <c r="I228" s="1"/>
      <c r="L228" s="301"/>
      <c r="M228" s="301"/>
    </row>
    <row r="229" spans="1:13" customFormat="1" ht="12.75">
      <c r="A229" s="1524"/>
      <c r="F229" s="1"/>
      <c r="G229" s="1"/>
      <c r="H229" s="1"/>
      <c r="I229" s="1"/>
      <c r="L229" s="301"/>
      <c r="M229" s="301"/>
    </row>
    <row r="230" spans="1:13" customFormat="1" ht="12.75">
      <c r="A230" s="1524"/>
      <c r="F230" s="1"/>
      <c r="G230" s="1"/>
      <c r="H230" s="1"/>
      <c r="I230" s="1"/>
      <c r="L230" s="301"/>
      <c r="M230" s="301"/>
    </row>
    <row r="231" spans="1:13" customFormat="1" ht="12.75">
      <c r="A231" s="1524"/>
      <c r="F231" s="1"/>
      <c r="G231" s="1"/>
      <c r="H231" s="1"/>
      <c r="I231" s="1"/>
      <c r="L231" s="301"/>
      <c r="M231" s="301"/>
    </row>
    <row r="232" spans="1:13" customFormat="1" ht="12.75">
      <c r="A232" s="1524"/>
      <c r="F232" s="1"/>
      <c r="G232" s="1"/>
      <c r="H232" s="1"/>
      <c r="I232" s="1"/>
      <c r="L232" s="301"/>
      <c r="M232" s="301"/>
    </row>
    <row r="233" spans="1:13" customFormat="1" ht="12.75">
      <c r="A233" s="1524"/>
      <c r="F233" s="1"/>
      <c r="G233" s="1"/>
      <c r="H233" s="1"/>
      <c r="I233" s="1"/>
      <c r="L233" s="301"/>
      <c r="M233" s="301"/>
    </row>
    <row r="234" spans="1:13" customFormat="1" ht="12.75">
      <c r="A234" s="1524"/>
      <c r="F234" s="1"/>
      <c r="G234" s="1"/>
      <c r="H234" s="1"/>
      <c r="I234" s="1"/>
      <c r="L234" s="301"/>
      <c r="M234" s="301"/>
    </row>
    <row r="235" spans="1:13" customFormat="1" ht="12.75">
      <c r="A235" s="1524"/>
      <c r="F235" s="1"/>
      <c r="G235" s="1"/>
      <c r="H235" s="1"/>
      <c r="I235" s="1"/>
      <c r="L235" s="301"/>
      <c r="M235" s="301"/>
    </row>
    <row r="236" spans="1:13" customFormat="1" ht="12.75">
      <c r="A236" s="1524"/>
      <c r="F236" s="1"/>
      <c r="G236" s="1"/>
      <c r="H236" s="1"/>
      <c r="I236" s="1"/>
      <c r="L236" s="301"/>
      <c r="M236" s="301"/>
    </row>
    <row r="237" spans="1:13" customFormat="1" ht="12.75">
      <c r="A237" s="1524"/>
      <c r="F237" s="1"/>
      <c r="G237" s="1"/>
      <c r="H237" s="1"/>
      <c r="I237" s="1"/>
      <c r="L237" s="301"/>
      <c r="M237" s="301"/>
    </row>
    <row r="238" spans="1:13" customFormat="1" ht="12.75">
      <c r="A238" s="1524"/>
      <c r="F238" s="1"/>
      <c r="G238" s="1"/>
      <c r="H238" s="1"/>
      <c r="I238" s="1"/>
      <c r="L238" s="301"/>
      <c r="M238" s="301"/>
    </row>
    <row r="239" spans="1:13" customFormat="1" ht="12.75">
      <c r="A239" s="1524"/>
      <c r="F239" s="1"/>
      <c r="G239" s="1"/>
      <c r="H239" s="1"/>
      <c r="I239" s="1"/>
      <c r="L239" s="301"/>
      <c r="M239" s="301"/>
    </row>
    <row r="240" spans="1:13" customFormat="1" ht="12.75">
      <c r="A240" s="1524"/>
      <c r="F240" s="1"/>
      <c r="G240" s="1"/>
      <c r="H240" s="1"/>
      <c r="I240" s="1"/>
      <c r="L240" s="301"/>
      <c r="M240" s="301"/>
    </row>
    <row r="241" spans="1:13" customFormat="1" ht="12.75">
      <c r="A241" s="1524"/>
      <c r="F241" s="1"/>
      <c r="G241" s="1"/>
      <c r="H241" s="1"/>
      <c r="I241" s="1"/>
      <c r="L241" s="301"/>
      <c r="M241" s="301"/>
    </row>
    <row r="242" spans="1:13" customFormat="1" ht="12.75">
      <c r="A242" s="1524"/>
      <c r="F242" s="1"/>
      <c r="G242" s="1"/>
      <c r="H242" s="1"/>
      <c r="I242" s="1"/>
      <c r="L242" s="301"/>
      <c r="M242" s="301"/>
    </row>
    <row r="243" spans="1:13" customFormat="1" ht="12.75">
      <c r="A243" s="1524"/>
      <c r="F243" s="1"/>
      <c r="G243" s="1"/>
      <c r="H243" s="1"/>
      <c r="I243" s="1"/>
      <c r="L243" s="301"/>
      <c r="M243" s="301"/>
    </row>
    <row r="244" spans="1:13" customFormat="1" ht="12.75">
      <c r="A244" s="1524"/>
      <c r="F244" s="1"/>
      <c r="G244" s="1"/>
      <c r="H244" s="1"/>
      <c r="I244" s="1"/>
      <c r="L244" s="301"/>
      <c r="M244" s="301"/>
    </row>
    <row r="245" spans="1:13" customFormat="1" ht="12.75">
      <c r="A245" s="1524"/>
      <c r="F245" s="1"/>
      <c r="G245" s="1"/>
      <c r="H245" s="1"/>
      <c r="I245" s="1"/>
      <c r="L245" s="301"/>
      <c r="M245" s="301"/>
    </row>
    <row r="246" spans="1:13" customFormat="1" ht="12.75">
      <c r="A246" s="1524"/>
      <c r="F246" s="1"/>
      <c r="G246" s="1"/>
      <c r="H246" s="1"/>
      <c r="I246" s="1"/>
      <c r="L246" s="301"/>
      <c r="M246" s="301"/>
    </row>
    <row r="247" spans="1:13" customFormat="1" ht="12.75">
      <c r="A247" s="1524"/>
      <c r="F247" s="1"/>
      <c r="G247" s="1"/>
      <c r="H247" s="1"/>
      <c r="I247" s="1"/>
      <c r="L247" s="301"/>
      <c r="M247" s="301"/>
    </row>
    <row r="248" spans="1:13" customFormat="1" ht="12.75">
      <c r="A248" s="1524"/>
      <c r="F248" s="1"/>
      <c r="G248" s="1"/>
      <c r="H248" s="1"/>
      <c r="I248" s="1"/>
      <c r="L248" s="301"/>
      <c r="M248" s="301"/>
    </row>
    <row r="249" spans="1:13" customFormat="1" ht="12.75">
      <c r="A249" s="1524"/>
      <c r="F249" s="1"/>
      <c r="G249" s="1"/>
      <c r="H249" s="1"/>
      <c r="I249" s="1"/>
      <c r="L249" s="301"/>
      <c r="M249" s="301"/>
    </row>
    <row r="250" spans="1:13" customFormat="1" ht="12.75">
      <c r="A250" s="1524"/>
      <c r="F250" s="1"/>
      <c r="G250" s="1"/>
      <c r="H250" s="1"/>
      <c r="I250" s="1"/>
      <c r="L250" s="301"/>
      <c r="M250" s="301"/>
    </row>
    <row r="251" spans="1:13" customFormat="1" ht="12.75">
      <c r="A251" s="1524"/>
      <c r="F251" s="1"/>
      <c r="G251" s="1"/>
      <c r="H251" s="1"/>
      <c r="I251" s="1"/>
      <c r="L251" s="301"/>
      <c r="M251" s="301"/>
    </row>
    <row r="252" spans="1:13" customFormat="1" ht="12.75">
      <c r="A252" s="1524"/>
      <c r="F252" s="1"/>
      <c r="G252" s="1"/>
      <c r="H252" s="1"/>
      <c r="I252" s="1"/>
      <c r="L252" s="301"/>
      <c r="M252" s="301"/>
    </row>
    <row r="253" spans="1:13" customFormat="1" ht="12.75">
      <c r="A253" s="1524"/>
      <c r="F253" s="1"/>
      <c r="G253" s="1"/>
      <c r="H253" s="1"/>
      <c r="I253" s="1"/>
      <c r="L253" s="301"/>
      <c r="M253" s="301"/>
    </row>
    <row r="254" spans="1:13" customFormat="1" ht="12.75">
      <c r="A254" s="1524"/>
      <c r="F254" s="1"/>
      <c r="G254" s="1"/>
      <c r="H254" s="1"/>
      <c r="I254" s="1"/>
      <c r="L254" s="301"/>
      <c r="M254" s="301"/>
    </row>
    <row r="255" spans="1:13" customFormat="1" ht="12.75">
      <c r="A255" s="1524"/>
      <c r="F255" s="1"/>
      <c r="G255" s="1"/>
      <c r="H255" s="1"/>
      <c r="I255" s="1"/>
      <c r="L255" s="301"/>
      <c r="M255" s="301"/>
    </row>
    <row r="256" spans="1:13" customFormat="1" ht="12.75">
      <c r="A256" s="1524"/>
      <c r="F256" s="1"/>
      <c r="G256" s="1"/>
      <c r="H256" s="1"/>
      <c r="I256" s="1"/>
      <c r="L256" s="301"/>
      <c r="M256" s="301"/>
    </row>
    <row r="257" spans="1:13" customFormat="1" ht="12.75">
      <c r="A257" s="1524"/>
      <c r="F257" s="1"/>
      <c r="G257" s="1"/>
      <c r="H257" s="1"/>
      <c r="I257" s="1"/>
      <c r="L257" s="301"/>
      <c r="M257" s="301"/>
    </row>
    <row r="258" spans="1:13" customFormat="1" ht="12.75">
      <c r="A258" s="1524"/>
      <c r="F258" s="1"/>
      <c r="G258" s="1"/>
      <c r="H258" s="1"/>
      <c r="I258" s="1"/>
      <c r="L258" s="301"/>
      <c r="M258" s="301"/>
    </row>
    <row r="259" spans="1:13" customFormat="1" ht="12.75">
      <c r="A259" s="1524"/>
      <c r="F259" s="1"/>
      <c r="G259" s="1"/>
      <c r="H259" s="1"/>
      <c r="I259" s="1"/>
      <c r="L259" s="301"/>
      <c r="M259" s="301"/>
    </row>
    <row r="260" spans="1:13" customFormat="1" ht="12.75">
      <c r="A260" s="1524"/>
      <c r="F260" s="1"/>
      <c r="G260" s="1"/>
      <c r="H260" s="1"/>
      <c r="I260" s="1"/>
      <c r="L260" s="301"/>
      <c r="M260" s="301"/>
    </row>
    <row r="261" spans="1:13" customFormat="1" ht="12.75">
      <c r="A261" s="1524"/>
      <c r="F261" s="1"/>
      <c r="G261" s="1"/>
      <c r="H261" s="1"/>
      <c r="I261" s="1"/>
      <c r="L261" s="301"/>
      <c r="M261" s="301"/>
    </row>
    <row r="262" spans="1:13" customFormat="1" ht="12.75">
      <c r="A262" s="1524"/>
      <c r="F262" s="1"/>
      <c r="G262" s="1"/>
      <c r="H262" s="1"/>
      <c r="I262" s="1"/>
      <c r="L262" s="301"/>
      <c r="M262" s="301"/>
    </row>
    <row r="263" spans="1:13" customFormat="1" ht="12.75">
      <c r="A263" s="1524"/>
      <c r="F263" s="1"/>
      <c r="G263" s="1"/>
      <c r="H263" s="1"/>
      <c r="I263" s="1"/>
      <c r="L263" s="301"/>
      <c r="M263" s="301"/>
    </row>
    <row r="264" spans="1:13" customFormat="1" ht="12.75">
      <c r="A264" s="1524"/>
      <c r="F264" s="1"/>
      <c r="G264" s="1"/>
      <c r="H264" s="1"/>
      <c r="I264" s="1"/>
      <c r="L264" s="301"/>
      <c r="M264" s="301"/>
    </row>
    <row r="265" spans="1:13" customFormat="1" ht="12.75">
      <c r="A265" s="1524"/>
      <c r="F265" s="1"/>
      <c r="G265" s="1"/>
      <c r="H265" s="1"/>
      <c r="I265" s="1"/>
      <c r="L265" s="301"/>
      <c r="M265" s="301"/>
    </row>
    <row r="266" spans="1:13" customFormat="1" ht="12.75">
      <c r="A266" s="1524"/>
      <c r="F266" s="1"/>
      <c r="G266" s="1"/>
      <c r="H266" s="1"/>
      <c r="I266" s="1"/>
      <c r="L266" s="301"/>
      <c r="M266" s="301"/>
    </row>
    <row r="267" spans="1:13" customFormat="1" ht="12.75">
      <c r="A267" s="1524"/>
      <c r="F267" s="1"/>
      <c r="G267" s="1"/>
      <c r="H267" s="1"/>
      <c r="I267" s="1"/>
      <c r="L267" s="301"/>
      <c r="M267" s="301"/>
    </row>
    <row r="268" spans="1:13" customFormat="1" ht="12.75">
      <c r="A268" s="1524"/>
      <c r="F268" s="1"/>
      <c r="G268" s="1"/>
      <c r="H268" s="1"/>
      <c r="I268" s="1"/>
      <c r="L268" s="301"/>
      <c r="M268" s="301"/>
    </row>
    <row r="269" spans="1:13" customFormat="1" ht="12.75">
      <c r="A269" s="1524"/>
      <c r="F269" s="1"/>
      <c r="G269" s="1"/>
      <c r="H269" s="1"/>
      <c r="I269" s="1"/>
      <c r="L269" s="301"/>
      <c r="M269" s="301"/>
    </row>
    <row r="270" spans="1:13" customFormat="1" ht="12.75">
      <c r="A270" s="1524"/>
      <c r="F270" s="1"/>
      <c r="G270" s="1"/>
      <c r="H270" s="1"/>
      <c r="I270" s="1"/>
      <c r="L270" s="301"/>
      <c r="M270" s="301"/>
    </row>
    <row r="271" spans="1:13" customFormat="1" ht="12.75">
      <c r="A271" s="1524"/>
      <c r="F271" s="1"/>
      <c r="G271" s="1"/>
      <c r="H271" s="1"/>
      <c r="I271" s="1"/>
      <c r="L271" s="301"/>
      <c r="M271" s="301"/>
    </row>
    <row r="272" spans="1:13" customFormat="1" ht="12.75">
      <c r="A272" s="1524"/>
      <c r="F272" s="1"/>
      <c r="G272" s="1"/>
      <c r="H272" s="1"/>
      <c r="I272" s="1"/>
      <c r="L272" s="301"/>
      <c r="M272" s="301"/>
    </row>
    <row r="273" spans="1:13" customFormat="1" ht="12.75">
      <c r="A273" s="1524"/>
      <c r="F273" s="1"/>
      <c r="G273" s="1"/>
      <c r="H273" s="1"/>
      <c r="I273" s="1"/>
      <c r="L273" s="301"/>
      <c r="M273" s="301"/>
    </row>
    <row r="274" spans="1:13" customFormat="1" ht="12.75">
      <c r="A274" s="1524"/>
      <c r="F274" s="1"/>
      <c r="G274" s="1"/>
      <c r="H274" s="1"/>
      <c r="I274" s="1"/>
      <c r="L274" s="301"/>
      <c r="M274" s="301"/>
    </row>
    <row r="275" spans="1:13" customFormat="1" ht="12.75">
      <c r="A275" s="1524"/>
      <c r="F275" s="1"/>
      <c r="G275" s="1"/>
      <c r="H275" s="1"/>
      <c r="I275" s="1"/>
      <c r="L275" s="301"/>
      <c r="M275" s="301"/>
    </row>
    <row r="276" spans="1:13" customFormat="1" ht="12.75">
      <c r="A276" s="1524"/>
      <c r="F276" s="1"/>
      <c r="G276" s="1"/>
      <c r="H276" s="1"/>
      <c r="I276" s="1"/>
      <c r="L276" s="301"/>
      <c r="M276" s="301"/>
    </row>
    <row r="277" spans="1:13" customFormat="1" ht="12.75">
      <c r="A277" s="1524"/>
      <c r="F277" s="1"/>
      <c r="G277" s="1"/>
      <c r="H277" s="1"/>
      <c r="I277" s="1"/>
      <c r="L277" s="301"/>
      <c r="M277" s="301"/>
    </row>
    <row r="278" spans="1:13" customFormat="1" ht="12.75">
      <c r="A278" s="1524"/>
      <c r="F278" s="1"/>
      <c r="G278" s="1"/>
      <c r="H278" s="1"/>
      <c r="I278" s="1"/>
      <c r="L278" s="301"/>
      <c r="M278" s="301"/>
    </row>
    <row r="279" spans="1:13" customFormat="1" ht="12.75">
      <c r="A279" s="1524"/>
      <c r="F279" s="1"/>
      <c r="G279" s="1"/>
      <c r="H279" s="1"/>
      <c r="I279" s="1"/>
      <c r="L279" s="301"/>
      <c r="M279" s="301"/>
    </row>
    <row r="280" spans="1:13" customFormat="1" ht="12.75">
      <c r="A280" s="1524"/>
      <c r="F280" s="1"/>
      <c r="G280" s="1"/>
      <c r="H280" s="1"/>
      <c r="I280" s="1"/>
      <c r="L280" s="301"/>
      <c r="M280" s="301"/>
    </row>
    <row r="281" spans="1:13" customFormat="1" ht="12.75">
      <c r="A281" s="1524"/>
      <c r="F281" s="1"/>
      <c r="G281" s="1"/>
      <c r="H281" s="1"/>
      <c r="I281" s="1"/>
      <c r="L281" s="301"/>
      <c r="M281" s="301"/>
    </row>
    <row r="282" spans="1:13" customFormat="1" ht="12.75">
      <c r="A282" s="1524"/>
      <c r="F282" s="1"/>
      <c r="G282" s="1"/>
      <c r="H282" s="1"/>
      <c r="I282" s="1"/>
      <c r="L282" s="301"/>
      <c r="M282" s="301"/>
    </row>
    <row r="283" spans="1:13" customFormat="1" ht="12.75">
      <c r="A283" s="1524"/>
      <c r="F283" s="1"/>
      <c r="G283" s="1"/>
      <c r="H283" s="1"/>
      <c r="I283" s="1"/>
      <c r="L283" s="301"/>
      <c r="M283" s="301"/>
    </row>
    <row r="284" spans="1:13" customFormat="1" ht="12.75">
      <c r="A284" s="1524"/>
      <c r="F284" s="1"/>
      <c r="G284" s="1"/>
      <c r="H284" s="1"/>
      <c r="I284" s="1"/>
      <c r="L284" s="301"/>
      <c r="M284" s="301"/>
    </row>
    <row r="285" spans="1:13" customFormat="1" ht="12.75">
      <c r="A285" s="1524"/>
      <c r="F285" s="1"/>
      <c r="G285" s="1"/>
      <c r="H285" s="1"/>
      <c r="I285" s="1"/>
      <c r="L285" s="301"/>
      <c r="M285" s="301"/>
    </row>
    <row r="286" spans="1:13" customFormat="1" ht="12.75">
      <c r="A286" s="1524"/>
      <c r="F286" s="1"/>
      <c r="G286" s="1"/>
      <c r="H286" s="1"/>
      <c r="I286" s="1"/>
      <c r="L286" s="301"/>
      <c r="M286" s="301"/>
    </row>
    <row r="287" spans="1:13" customFormat="1" ht="12.75">
      <c r="A287" s="1524"/>
      <c r="F287" s="1"/>
      <c r="G287" s="1"/>
      <c r="H287" s="1"/>
      <c r="I287" s="1"/>
      <c r="L287" s="301"/>
      <c r="M287" s="301"/>
    </row>
    <row r="288" spans="1:13" customFormat="1" ht="12.75">
      <c r="A288" s="1524"/>
      <c r="F288" s="1"/>
      <c r="G288" s="1"/>
      <c r="H288" s="1"/>
      <c r="I288" s="1"/>
      <c r="L288" s="301"/>
      <c r="M288" s="301"/>
    </row>
    <row r="289" spans="1:13" customFormat="1" ht="12.75">
      <c r="A289" s="1524"/>
      <c r="F289" s="1"/>
      <c r="G289" s="1"/>
      <c r="H289" s="1"/>
      <c r="I289" s="1"/>
      <c r="L289" s="301"/>
      <c r="M289" s="301"/>
    </row>
    <row r="290" spans="1:13" customFormat="1" ht="12.75">
      <c r="A290" s="1524"/>
      <c r="F290" s="1"/>
      <c r="G290" s="1"/>
      <c r="H290" s="1"/>
      <c r="I290" s="1"/>
      <c r="L290" s="301"/>
      <c r="M290" s="301"/>
    </row>
    <row r="291" spans="1:13" customFormat="1" ht="12.75">
      <c r="A291" s="1524"/>
      <c r="F291" s="1"/>
      <c r="G291" s="1"/>
      <c r="H291" s="1"/>
      <c r="I291" s="1"/>
      <c r="L291" s="301"/>
      <c r="M291" s="301"/>
    </row>
    <row r="292" spans="1:13" customFormat="1" ht="12.75">
      <c r="A292" s="1524"/>
      <c r="F292" s="1"/>
      <c r="G292" s="1"/>
      <c r="H292" s="1"/>
      <c r="I292" s="1"/>
      <c r="L292" s="301"/>
      <c r="M292" s="301"/>
    </row>
    <row r="293" spans="1:13" customFormat="1" ht="12.75">
      <c r="A293" s="1524"/>
      <c r="F293" s="1"/>
      <c r="G293" s="1"/>
      <c r="H293" s="1"/>
      <c r="I293" s="1"/>
      <c r="L293" s="301"/>
      <c r="M293" s="301"/>
    </row>
    <row r="294" spans="1:13" customFormat="1" ht="12.75">
      <c r="A294" s="1524"/>
      <c r="F294" s="1"/>
      <c r="G294" s="1"/>
      <c r="H294" s="1"/>
      <c r="I294" s="1"/>
      <c r="L294" s="301"/>
      <c r="M294" s="301"/>
    </row>
    <row r="295" spans="1:13" customFormat="1" ht="12.75">
      <c r="A295" s="1524"/>
      <c r="F295" s="1"/>
      <c r="G295" s="1"/>
      <c r="H295" s="1"/>
      <c r="I295" s="1"/>
      <c r="L295" s="301"/>
      <c r="M295" s="301"/>
    </row>
    <row r="296" spans="1:13" customFormat="1" ht="12.75">
      <c r="A296" s="1524"/>
      <c r="F296" s="1"/>
      <c r="G296" s="1"/>
      <c r="H296" s="1"/>
      <c r="I296" s="1"/>
      <c r="L296" s="301"/>
      <c r="M296" s="301"/>
    </row>
    <row r="297" spans="1:13" customFormat="1" ht="12.75">
      <c r="A297" s="1524"/>
      <c r="F297" s="1"/>
      <c r="G297" s="1"/>
      <c r="H297" s="1"/>
      <c r="I297" s="1"/>
      <c r="L297" s="301"/>
      <c r="M297" s="301"/>
    </row>
    <row r="298" spans="1:13" customFormat="1" ht="12.75">
      <c r="A298" s="1524"/>
      <c r="F298" s="1"/>
      <c r="G298" s="1"/>
      <c r="H298" s="1"/>
      <c r="I298" s="1"/>
      <c r="L298" s="301"/>
      <c r="M298" s="301"/>
    </row>
    <row r="299" spans="1:13" customFormat="1" ht="12.75">
      <c r="A299" s="1524"/>
      <c r="F299" s="1"/>
      <c r="G299" s="1"/>
      <c r="H299" s="1"/>
      <c r="I299" s="1"/>
      <c r="L299" s="301"/>
      <c r="M299" s="301"/>
    </row>
    <row r="300" spans="1:13" customFormat="1" ht="12.75">
      <c r="A300" s="1524"/>
      <c r="F300" s="1"/>
      <c r="G300" s="1"/>
      <c r="H300" s="1"/>
      <c r="I300" s="1"/>
      <c r="L300" s="301"/>
      <c r="M300" s="301"/>
    </row>
    <row r="301" spans="1:13" customFormat="1" ht="12.75">
      <c r="A301" s="1524"/>
      <c r="F301" s="1"/>
      <c r="G301" s="1"/>
      <c r="H301" s="1"/>
      <c r="I301" s="1"/>
      <c r="L301" s="301"/>
      <c r="M301" s="301"/>
    </row>
    <row r="302" spans="1:13" customFormat="1" ht="12.75">
      <c r="A302" s="1524"/>
      <c r="F302" s="1"/>
      <c r="G302" s="1"/>
      <c r="H302" s="1"/>
      <c r="I302" s="1"/>
      <c r="L302" s="301"/>
      <c r="M302" s="301"/>
    </row>
    <row r="303" spans="1:13" customFormat="1" ht="12.75">
      <c r="A303" s="1524"/>
      <c r="F303" s="1"/>
      <c r="G303" s="1"/>
      <c r="H303" s="1"/>
      <c r="I303" s="1"/>
      <c r="L303" s="301"/>
      <c r="M303" s="301"/>
    </row>
    <row r="304" spans="1:13" customFormat="1" ht="12.75">
      <c r="A304" s="1524"/>
      <c r="F304" s="1"/>
      <c r="G304" s="1"/>
      <c r="H304" s="1"/>
      <c r="I304" s="1"/>
      <c r="L304" s="301"/>
      <c r="M304" s="301"/>
    </row>
    <row r="305" spans="1:13" customFormat="1" ht="12.75">
      <c r="A305" s="1524"/>
      <c r="F305" s="1"/>
      <c r="G305" s="1"/>
      <c r="H305" s="1"/>
      <c r="I305" s="1"/>
      <c r="L305" s="301"/>
      <c r="M305" s="301"/>
    </row>
    <row r="306" spans="1:13" customFormat="1" ht="12.75">
      <c r="A306" s="1524"/>
      <c r="F306" s="1"/>
      <c r="G306" s="1"/>
      <c r="H306" s="1"/>
      <c r="I306" s="1"/>
      <c r="L306" s="301"/>
      <c r="M306" s="301"/>
    </row>
    <row r="307" spans="1:13" customFormat="1" ht="12.75">
      <c r="A307" s="1524"/>
      <c r="F307" s="1"/>
      <c r="G307" s="1"/>
      <c r="H307" s="1"/>
      <c r="I307" s="1"/>
      <c r="L307" s="301"/>
      <c r="M307" s="301"/>
    </row>
    <row r="308" spans="1:13" customFormat="1" ht="12.75">
      <c r="A308" s="1524"/>
      <c r="F308" s="1"/>
      <c r="G308" s="1"/>
      <c r="H308" s="1"/>
      <c r="I308" s="1"/>
      <c r="L308" s="301"/>
      <c r="M308" s="301"/>
    </row>
    <row r="309" spans="1:13" customFormat="1" ht="12.75">
      <c r="A309" s="1524"/>
      <c r="F309" s="1"/>
      <c r="G309" s="1"/>
      <c r="H309" s="1"/>
      <c r="I309" s="1"/>
      <c r="L309" s="301"/>
      <c r="M309" s="301"/>
    </row>
    <row r="310" spans="1:13" customFormat="1" ht="12.75">
      <c r="A310" s="1524"/>
      <c r="F310" s="1"/>
      <c r="G310" s="1"/>
      <c r="H310" s="1"/>
      <c r="I310" s="1"/>
      <c r="L310" s="301"/>
      <c r="M310" s="301"/>
    </row>
    <row r="311" spans="1:13" customFormat="1" ht="12.75">
      <c r="A311" s="1524"/>
      <c r="F311" s="1"/>
      <c r="G311" s="1"/>
      <c r="H311" s="1"/>
      <c r="I311" s="1"/>
      <c r="L311" s="301"/>
      <c r="M311" s="301"/>
    </row>
    <row r="312" spans="1:13" customFormat="1" ht="12.75">
      <c r="A312" s="1524"/>
      <c r="F312" s="1"/>
      <c r="G312" s="1"/>
      <c r="H312" s="1"/>
      <c r="I312" s="1"/>
      <c r="L312" s="301"/>
      <c r="M312" s="301"/>
    </row>
    <row r="313" spans="1:13" customFormat="1" ht="12.75">
      <c r="A313" s="1524"/>
      <c r="F313" s="1"/>
      <c r="G313" s="1"/>
      <c r="H313" s="1"/>
      <c r="I313" s="1"/>
      <c r="L313" s="301"/>
      <c r="M313" s="301"/>
    </row>
    <row r="314" spans="1:13" customFormat="1" ht="12.75">
      <c r="A314" s="1524"/>
      <c r="F314" s="1"/>
      <c r="G314" s="1"/>
      <c r="H314" s="1"/>
      <c r="I314" s="1"/>
      <c r="L314" s="301"/>
      <c r="M314" s="301"/>
    </row>
    <row r="315" spans="1:13" customFormat="1" ht="12.75">
      <c r="A315" s="1524"/>
      <c r="F315" s="1"/>
      <c r="G315" s="1"/>
      <c r="H315" s="1"/>
      <c r="I315" s="1"/>
      <c r="L315" s="301"/>
      <c r="M315" s="301"/>
    </row>
    <row r="316" spans="1:13" customFormat="1" ht="12.75">
      <c r="A316" s="1524"/>
      <c r="F316" s="1"/>
      <c r="G316" s="1"/>
      <c r="H316" s="1"/>
      <c r="I316" s="1"/>
      <c r="L316" s="301"/>
      <c r="M316" s="301"/>
    </row>
    <row r="317" spans="1:13" customFormat="1" ht="12.75">
      <c r="A317" s="1524"/>
      <c r="F317" s="1"/>
      <c r="G317" s="1"/>
      <c r="H317" s="1"/>
      <c r="I317" s="1"/>
      <c r="L317" s="301"/>
      <c r="M317" s="301"/>
    </row>
    <row r="318" spans="1:13" customFormat="1" ht="12.75">
      <c r="A318" s="1524"/>
      <c r="F318" s="1"/>
      <c r="G318" s="1"/>
      <c r="H318" s="1"/>
      <c r="I318" s="1"/>
      <c r="L318" s="301"/>
      <c r="M318" s="301"/>
    </row>
    <row r="319" spans="1:13" customFormat="1" ht="12.75">
      <c r="A319" s="1524"/>
      <c r="F319" s="1"/>
      <c r="G319" s="1"/>
      <c r="H319" s="1"/>
      <c r="I319" s="1"/>
      <c r="L319" s="301"/>
      <c r="M319" s="301"/>
    </row>
    <row r="320" spans="1:13" customFormat="1" ht="12.75">
      <c r="A320" s="1524"/>
      <c r="F320" s="1"/>
      <c r="G320" s="1"/>
      <c r="H320" s="1"/>
      <c r="I320" s="1"/>
      <c r="L320" s="301"/>
      <c r="M320" s="301"/>
    </row>
    <row r="321" spans="1:13" customFormat="1" ht="12.75">
      <c r="A321" s="1524"/>
      <c r="F321" s="1"/>
      <c r="G321" s="1"/>
      <c r="H321" s="1"/>
      <c r="I321" s="1"/>
      <c r="L321" s="301"/>
      <c r="M321" s="301"/>
    </row>
    <row r="322" spans="1:13" customFormat="1" ht="12.75">
      <c r="A322" s="1524"/>
      <c r="F322" s="1"/>
      <c r="G322" s="1"/>
      <c r="H322" s="1"/>
      <c r="I322" s="1"/>
      <c r="L322" s="301"/>
      <c r="M322" s="301"/>
    </row>
    <row r="323" spans="1:13" customFormat="1" ht="12.75">
      <c r="A323" s="1524"/>
      <c r="F323" s="1"/>
      <c r="G323" s="1"/>
      <c r="H323" s="1"/>
      <c r="I323" s="1"/>
      <c r="L323" s="301"/>
      <c r="M323" s="301"/>
    </row>
    <row r="324" spans="1:13" customFormat="1" ht="12.75">
      <c r="A324" s="1524"/>
      <c r="F324" s="1"/>
      <c r="G324" s="1"/>
      <c r="H324" s="1"/>
      <c r="I324" s="1"/>
      <c r="L324" s="301"/>
      <c r="M324" s="301"/>
    </row>
    <row r="325" spans="1:13" customFormat="1" ht="12.75">
      <c r="A325" s="1524"/>
      <c r="F325" s="1"/>
      <c r="G325" s="1"/>
      <c r="H325" s="1"/>
      <c r="I325" s="1"/>
      <c r="L325" s="301"/>
      <c r="M325" s="301"/>
    </row>
    <row r="326" spans="1:13" customFormat="1" ht="12.75">
      <c r="A326" s="1524"/>
      <c r="F326" s="1"/>
      <c r="G326" s="1"/>
      <c r="H326" s="1"/>
      <c r="I326" s="1"/>
      <c r="L326" s="301"/>
      <c r="M326" s="301"/>
    </row>
    <row r="327" spans="1:13" customFormat="1" ht="12.75">
      <c r="A327" s="1524"/>
      <c r="F327" s="1"/>
      <c r="G327" s="1"/>
      <c r="H327" s="1"/>
      <c r="I327" s="1"/>
      <c r="L327" s="301"/>
      <c r="M327" s="301"/>
    </row>
    <row r="328" spans="1:13" customFormat="1" ht="12.75">
      <c r="A328" s="1524"/>
      <c r="F328" s="1"/>
      <c r="G328" s="1"/>
      <c r="H328" s="1"/>
      <c r="I328" s="1"/>
      <c r="L328" s="301"/>
      <c r="M328" s="301"/>
    </row>
    <row r="329" spans="1:13" customFormat="1" ht="12.75">
      <c r="A329" s="1524"/>
      <c r="F329" s="1"/>
      <c r="G329" s="1"/>
      <c r="H329" s="1"/>
      <c r="I329" s="1"/>
      <c r="L329" s="301"/>
      <c r="M329" s="301"/>
    </row>
    <row r="330" spans="1:13" customFormat="1" ht="12.75">
      <c r="A330" s="1524"/>
      <c r="F330" s="1"/>
      <c r="G330" s="1"/>
      <c r="H330" s="1"/>
      <c r="I330" s="1"/>
      <c r="L330" s="301"/>
      <c r="M330" s="301"/>
    </row>
    <row r="331" spans="1:13" customFormat="1" ht="12.75">
      <c r="A331" s="1524"/>
      <c r="F331" s="1"/>
      <c r="G331" s="1"/>
      <c r="H331" s="1"/>
      <c r="I331" s="1"/>
      <c r="L331" s="301"/>
      <c r="M331" s="301"/>
    </row>
    <row r="332" spans="1:13" customFormat="1" ht="12.75">
      <c r="A332" s="1524"/>
      <c r="F332" s="1"/>
      <c r="G332" s="1"/>
      <c r="H332" s="1"/>
      <c r="I332" s="1"/>
      <c r="L332" s="301"/>
      <c r="M332" s="301"/>
    </row>
    <row r="333" spans="1:13" customFormat="1" ht="12.75">
      <c r="A333" s="1524"/>
      <c r="F333" s="1"/>
      <c r="G333" s="1"/>
      <c r="H333" s="1"/>
      <c r="I333" s="1"/>
      <c r="L333" s="301"/>
      <c r="M333" s="301"/>
    </row>
    <row r="334" spans="1:13" customFormat="1" ht="12.75">
      <c r="A334" s="1524"/>
      <c r="F334" s="1"/>
      <c r="G334" s="1"/>
      <c r="H334" s="1"/>
      <c r="I334" s="1"/>
      <c r="L334" s="301"/>
      <c r="M334" s="301"/>
    </row>
    <row r="335" spans="1:13" customFormat="1" ht="12.75">
      <c r="A335" s="1524"/>
      <c r="F335" s="1"/>
      <c r="G335" s="1"/>
      <c r="H335" s="1"/>
      <c r="I335" s="1"/>
      <c r="L335" s="301"/>
      <c r="M335" s="301"/>
    </row>
    <row r="336" spans="1:13" customFormat="1" ht="12.75">
      <c r="A336" s="1524"/>
      <c r="F336" s="1"/>
      <c r="G336" s="1"/>
      <c r="H336" s="1"/>
      <c r="I336" s="1"/>
      <c r="L336" s="301"/>
      <c r="M336" s="301"/>
    </row>
    <row r="337" spans="1:13" customFormat="1" ht="12.75">
      <c r="A337" s="1524"/>
      <c r="F337" s="1"/>
      <c r="G337" s="1"/>
      <c r="H337" s="1"/>
      <c r="I337" s="1"/>
      <c r="L337" s="301"/>
      <c r="M337" s="301"/>
    </row>
    <row r="338" spans="1:13" customFormat="1" ht="12.75">
      <c r="A338" s="1524"/>
      <c r="F338" s="1"/>
      <c r="G338" s="1"/>
      <c r="H338" s="1"/>
      <c r="I338" s="1"/>
      <c r="L338" s="301"/>
      <c r="M338" s="301"/>
    </row>
    <row r="339" spans="1:13" customFormat="1" ht="12.75">
      <c r="A339" s="1524"/>
      <c r="F339" s="1"/>
      <c r="G339" s="1"/>
      <c r="H339" s="1"/>
      <c r="I339" s="1"/>
      <c r="L339" s="301"/>
      <c r="M339" s="301"/>
    </row>
    <row r="340" spans="1:13" customFormat="1" ht="12.75">
      <c r="A340" s="1524"/>
      <c r="F340" s="1"/>
      <c r="G340" s="1"/>
      <c r="H340" s="1"/>
      <c r="I340" s="1"/>
      <c r="L340" s="301"/>
      <c r="M340" s="301"/>
    </row>
    <row r="341" spans="1:13" customFormat="1" ht="12.75">
      <c r="A341" s="1524"/>
      <c r="F341" s="1"/>
      <c r="G341" s="1"/>
      <c r="H341" s="1"/>
      <c r="I341" s="1"/>
      <c r="L341" s="301"/>
      <c r="M341" s="301"/>
    </row>
    <row r="342" spans="1:13" customFormat="1" ht="12.75">
      <c r="A342" s="1524"/>
      <c r="F342" s="1"/>
      <c r="G342" s="1"/>
      <c r="H342" s="1"/>
      <c r="I342" s="1"/>
      <c r="L342" s="301"/>
      <c r="M342" s="301"/>
    </row>
    <row r="343" spans="1:13" customFormat="1" ht="12.75">
      <c r="A343" s="1524"/>
      <c r="F343" s="1"/>
      <c r="G343" s="1"/>
      <c r="H343" s="1"/>
      <c r="I343" s="1"/>
      <c r="L343" s="301"/>
      <c r="M343" s="301"/>
    </row>
    <row r="344" spans="1:13" customFormat="1" ht="12.75">
      <c r="A344" s="1524"/>
      <c r="F344" s="1"/>
      <c r="G344" s="1"/>
      <c r="H344" s="1"/>
      <c r="I344" s="1"/>
      <c r="L344" s="301"/>
      <c r="M344" s="301"/>
    </row>
    <row r="345" spans="1:13" customFormat="1" ht="12.75">
      <c r="A345" s="1524"/>
      <c r="F345" s="1"/>
      <c r="G345" s="1"/>
      <c r="H345" s="1"/>
      <c r="I345" s="1"/>
      <c r="L345" s="301"/>
      <c r="M345" s="301"/>
    </row>
    <row r="346" spans="1:13" customFormat="1" ht="12.75">
      <c r="A346" s="1524"/>
      <c r="F346" s="1"/>
      <c r="G346" s="1"/>
      <c r="H346" s="1"/>
      <c r="I346" s="1"/>
      <c r="L346" s="301"/>
      <c r="M346" s="301"/>
    </row>
    <row r="347" spans="1:13" customFormat="1" ht="12.75">
      <c r="A347" s="1524"/>
      <c r="F347" s="1"/>
      <c r="G347" s="1"/>
      <c r="H347" s="1"/>
      <c r="I347" s="1"/>
      <c r="L347" s="301"/>
      <c r="M347" s="301"/>
    </row>
    <row r="348" spans="1:13" customFormat="1" ht="12.75">
      <c r="A348" s="1524"/>
      <c r="F348" s="1"/>
      <c r="G348" s="1"/>
      <c r="H348" s="1"/>
      <c r="I348" s="1"/>
      <c r="L348" s="301"/>
      <c r="M348" s="301"/>
    </row>
    <row r="349" spans="1:13" customFormat="1" ht="12.75">
      <c r="A349" s="1524"/>
      <c r="F349" s="1"/>
      <c r="G349" s="1"/>
      <c r="H349" s="1"/>
      <c r="I349" s="1"/>
      <c r="L349" s="301"/>
      <c r="M349" s="301"/>
    </row>
    <row r="350" spans="1:13" customFormat="1" ht="12.75">
      <c r="A350" s="1524"/>
      <c r="F350" s="1"/>
      <c r="G350" s="1"/>
      <c r="H350" s="1"/>
      <c r="I350" s="1"/>
      <c r="L350" s="301"/>
      <c r="M350" s="301"/>
    </row>
    <row r="351" spans="1:13" customFormat="1" ht="12.75">
      <c r="A351" s="1524"/>
      <c r="F351" s="1"/>
      <c r="G351" s="1"/>
      <c r="H351" s="1"/>
      <c r="I351" s="1"/>
      <c r="L351" s="301"/>
      <c r="M351" s="301"/>
    </row>
    <row r="352" spans="1:13" customFormat="1" ht="12.75">
      <c r="A352" s="1524"/>
      <c r="F352" s="1"/>
      <c r="G352" s="1"/>
      <c r="H352" s="1"/>
      <c r="I352" s="1"/>
      <c r="L352" s="301"/>
      <c r="M352" s="301"/>
    </row>
    <row r="353" spans="1:13" customFormat="1" ht="12.75">
      <c r="A353" s="1524"/>
      <c r="F353" s="1"/>
      <c r="G353" s="1"/>
      <c r="H353" s="1"/>
      <c r="I353" s="1"/>
      <c r="L353" s="301"/>
      <c r="M353" s="301"/>
    </row>
    <row r="354" spans="1:13" customFormat="1" ht="12.75">
      <c r="A354" s="1524"/>
      <c r="F354" s="1"/>
      <c r="G354" s="1"/>
      <c r="H354" s="1"/>
      <c r="I354" s="1"/>
      <c r="L354" s="301"/>
      <c r="M354" s="301"/>
    </row>
    <row r="355" spans="1:13" customFormat="1" ht="12.75">
      <c r="A355" s="1524"/>
      <c r="F355" s="1"/>
      <c r="G355" s="1"/>
      <c r="H355" s="1"/>
      <c r="I355" s="1"/>
      <c r="L355" s="301"/>
      <c r="M355" s="301"/>
    </row>
    <row r="356" spans="1:13" customFormat="1" ht="12.75">
      <c r="A356" s="1524"/>
      <c r="F356" s="1"/>
      <c r="G356" s="1"/>
      <c r="H356" s="1"/>
      <c r="I356" s="1"/>
      <c r="L356" s="301"/>
      <c r="M356" s="301"/>
    </row>
    <row r="357" spans="1:13" customFormat="1" ht="12.75">
      <c r="A357" s="1524"/>
      <c r="F357" s="1"/>
      <c r="G357" s="1"/>
      <c r="H357" s="1"/>
      <c r="I357" s="1"/>
      <c r="L357" s="301"/>
      <c r="M357" s="301"/>
    </row>
    <row r="358" spans="1:13" customFormat="1" ht="12.75">
      <c r="A358" s="1524"/>
      <c r="F358" s="1"/>
      <c r="G358" s="1"/>
      <c r="H358" s="1"/>
      <c r="I358" s="1"/>
      <c r="L358" s="301"/>
      <c r="M358" s="301"/>
    </row>
    <row r="359" spans="1:13" customFormat="1" ht="12.75">
      <c r="A359" s="1524"/>
      <c r="F359" s="1"/>
      <c r="G359" s="1"/>
      <c r="H359" s="1"/>
      <c r="I359" s="1"/>
      <c r="L359" s="301"/>
      <c r="M359" s="301"/>
    </row>
    <row r="360" spans="1:13" customFormat="1" ht="12.75">
      <c r="A360" s="1524"/>
      <c r="F360" s="1"/>
      <c r="G360" s="1"/>
      <c r="H360" s="1"/>
      <c r="I360" s="1"/>
      <c r="L360" s="301"/>
      <c r="M360" s="301"/>
    </row>
    <row r="361" spans="1:13" customFormat="1" ht="12.75">
      <c r="A361" s="1524"/>
      <c r="F361" s="1"/>
      <c r="G361" s="1"/>
      <c r="H361" s="1"/>
      <c r="I361" s="1"/>
      <c r="L361" s="301"/>
      <c r="M361" s="301"/>
    </row>
    <row r="362" spans="1:13" customFormat="1" ht="12.75">
      <c r="A362" s="1524"/>
      <c r="F362" s="1"/>
      <c r="G362" s="1"/>
      <c r="H362" s="1"/>
      <c r="I362" s="1"/>
      <c r="L362" s="301"/>
      <c r="M362" s="301"/>
    </row>
    <row r="363" spans="1:13" customFormat="1" ht="12.75">
      <c r="A363" s="1524"/>
      <c r="F363" s="1"/>
      <c r="G363" s="1"/>
      <c r="H363" s="1"/>
      <c r="I363" s="1"/>
      <c r="L363" s="301"/>
      <c r="M363" s="301"/>
    </row>
    <row r="364" spans="1:13" customFormat="1" ht="12.75">
      <c r="A364" s="1524"/>
      <c r="F364" s="1"/>
      <c r="G364" s="1"/>
      <c r="H364" s="1"/>
      <c r="I364" s="1"/>
      <c r="L364" s="301"/>
      <c r="M364" s="301"/>
    </row>
    <row r="365" spans="1:13" customFormat="1" ht="12.75">
      <c r="A365" s="1524"/>
      <c r="F365" s="1"/>
      <c r="G365" s="1"/>
      <c r="H365" s="1"/>
      <c r="I365" s="1"/>
      <c r="L365" s="301"/>
      <c r="M365" s="301"/>
    </row>
    <row r="366" spans="1:13" customFormat="1" ht="12.75">
      <c r="A366" s="1524"/>
      <c r="F366" s="1"/>
      <c r="G366" s="1"/>
      <c r="H366" s="1"/>
      <c r="I366" s="1"/>
      <c r="L366" s="301"/>
      <c r="M366" s="301"/>
    </row>
    <row r="367" spans="1:13" customFormat="1" ht="12.75">
      <c r="A367" s="1524"/>
      <c r="F367" s="1"/>
      <c r="G367" s="1"/>
      <c r="H367" s="1"/>
      <c r="I367" s="1"/>
      <c r="L367" s="301"/>
      <c r="M367" s="301"/>
    </row>
    <row r="368" spans="1:13" customFormat="1" ht="12.75">
      <c r="A368" s="1524"/>
      <c r="F368" s="1"/>
      <c r="G368" s="1"/>
      <c r="H368" s="1"/>
      <c r="I368" s="1"/>
      <c r="L368" s="301"/>
      <c r="M368" s="301"/>
    </row>
    <row r="369" spans="1:13" customFormat="1" ht="12.75">
      <c r="A369" s="1524"/>
      <c r="F369" s="1"/>
      <c r="G369" s="1"/>
      <c r="H369" s="1"/>
      <c r="I369" s="1"/>
      <c r="L369" s="301"/>
      <c r="M369" s="301"/>
    </row>
    <row r="370" spans="1:13" customFormat="1" ht="12.75">
      <c r="A370" s="1524"/>
      <c r="F370" s="1"/>
      <c r="G370" s="1"/>
      <c r="H370" s="1"/>
      <c r="I370" s="1"/>
      <c r="L370" s="301"/>
      <c r="M370" s="301"/>
    </row>
    <row r="371" spans="1:13" customFormat="1" ht="12.75">
      <c r="A371" s="1524"/>
      <c r="F371" s="1"/>
      <c r="G371" s="1"/>
      <c r="H371" s="1"/>
      <c r="I371" s="1"/>
      <c r="L371" s="301"/>
      <c r="M371" s="301"/>
    </row>
    <row r="372" spans="1:13" customFormat="1" ht="12.75">
      <c r="A372" s="1524"/>
      <c r="F372" s="1"/>
      <c r="G372" s="1"/>
      <c r="H372" s="1"/>
      <c r="I372" s="1"/>
      <c r="L372" s="301"/>
      <c r="M372" s="301"/>
    </row>
    <row r="373" spans="1:13" customFormat="1" ht="12.75">
      <c r="A373" s="1524"/>
      <c r="F373" s="1"/>
      <c r="G373" s="1"/>
      <c r="H373" s="1"/>
      <c r="I373" s="1"/>
      <c r="L373" s="301"/>
      <c r="M373" s="301"/>
    </row>
    <row r="374" spans="1:13" customFormat="1" ht="12.75">
      <c r="A374" s="1524"/>
      <c r="F374" s="1"/>
      <c r="G374" s="1"/>
      <c r="H374" s="1"/>
      <c r="I374" s="1"/>
      <c r="L374" s="301"/>
      <c r="M374" s="301"/>
    </row>
    <row r="375" spans="1:13" customFormat="1" ht="12.75">
      <c r="A375" s="1524"/>
      <c r="F375" s="1"/>
      <c r="G375" s="1"/>
      <c r="H375" s="1"/>
      <c r="I375" s="1"/>
      <c r="L375" s="301"/>
      <c r="M375" s="301"/>
    </row>
    <row r="376" spans="1:13" customFormat="1" ht="12.75">
      <c r="A376" s="1524"/>
      <c r="F376" s="1"/>
      <c r="G376" s="1"/>
      <c r="H376" s="1"/>
      <c r="I376" s="1"/>
      <c r="L376" s="301"/>
      <c r="M376" s="301"/>
    </row>
    <row r="377" spans="1:13" customFormat="1" ht="12.75">
      <c r="A377" s="1524"/>
      <c r="F377" s="1"/>
      <c r="G377" s="1"/>
      <c r="H377" s="1"/>
      <c r="I377" s="1"/>
      <c r="L377" s="301"/>
      <c r="M377" s="301"/>
    </row>
    <row r="378" spans="1:13" customFormat="1" ht="12.75">
      <c r="A378" s="1524"/>
      <c r="F378" s="1"/>
      <c r="G378" s="1"/>
      <c r="H378" s="1"/>
      <c r="I378" s="1"/>
      <c r="L378" s="301"/>
      <c r="M378" s="301"/>
    </row>
    <row r="379" spans="1:13" customFormat="1" ht="12.75">
      <c r="A379" s="1524"/>
      <c r="F379" s="1"/>
      <c r="G379" s="1"/>
      <c r="H379" s="1"/>
      <c r="I379" s="1"/>
      <c r="L379" s="301"/>
      <c r="M379" s="301"/>
    </row>
    <row r="380" spans="1:13" customFormat="1" ht="12.75">
      <c r="A380" s="1524"/>
      <c r="F380" s="1"/>
      <c r="G380" s="1"/>
      <c r="H380" s="1"/>
      <c r="I380" s="1"/>
      <c r="L380" s="301"/>
      <c r="M380" s="301"/>
    </row>
    <row r="381" spans="1:13" customFormat="1" ht="12.75">
      <c r="A381" s="1524"/>
      <c r="F381" s="1"/>
      <c r="G381" s="1"/>
      <c r="H381" s="1"/>
      <c r="I381" s="1"/>
      <c r="L381" s="301"/>
      <c r="M381" s="301"/>
    </row>
    <row r="382" spans="1:13" customFormat="1" ht="12.75">
      <c r="A382" s="1524"/>
      <c r="F382" s="1"/>
      <c r="G382" s="1"/>
      <c r="H382" s="1"/>
      <c r="I382" s="1"/>
      <c r="L382" s="301"/>
      <c r="M382" s="301"/>
    </row>
    <row r="383" spans="1:13" customFormat="1" ht="12.75">
      <c r="A383" s="1524"/>
      <c r="F383" s="1"/>
      <c r="G383" s="1"/>
      <c r="H383" s="1"/>
      <c r="I383" s="1"/>
      <c r="L383" s="301"/>
      <c r="M383" s="301"/>
    </row>
    <row r="384" spans="1:13" customFormat="1" ht="12.75">
      <c r="A384" s="1524"/>
      <c r="F384" s="1"/>
      <c r="G384" s="1"/>
      <c r="H384" s="1"/>
      <c r="I384" s="1"/>
      <c r="L384" s="301"/>
      <c r="M384" s="301"/>
    </row>
    <row r="385" spans="1:13" customFormat="1" ht="12.75">
      <c r="A385" s="1524"/>
      <c r="F385" s="1"/>
      <c r="G385" s="1"/>
      <c r="H385" s="1"/>
      <c r="I385" s="1"/>
      <c r="L385" s="301"/>
      <c r="M385" s="301"/>
    </row>
    <row r="386" spans="1:13" customFormat="1" ht="12.75">
      <c r="A386" s="1524"/>
      <c r="F386" s="1"/>
      <c r="G386" s="1"/>
      <c r="H386" s="1"/>
      <c r="I386" s="1"/>
      <c r="L386" s="301"/>
      <c r="M386" s="301"/>
    </row>
    <row r="387" spans="1:13" customFormat="1" ht="12.75">
      <c r="A387" s="1524"/>
      <c r="F387" s="1"/>
      <c r="G387" s="1"/>
      <c r="H387" s="1"/>
      <c r="I387" s="1"/>
      <c r="L387" s="301"/>
      <c r="M387" s="301"/>
    </row>
    <row r="388" spans="1:13" customFormat="1" ht="12.75">
      <c r="A388" s="1524"/>
      <c r="F388" s="1"/>
      <c r="G388" s="1"/>
      <c r="H388" s="1"/>
      <c r="I388" s="1"/>
      <c r="L388" s="301"/>
      <c r="M388" s="301"/>
    </row>
    <row r="389" spans="1:13" customFormat="1" ht="12.75">
      <c r="A389" s="1524"/>
      <c r="F389" s="1"/>
      <c r="G389" s="1"/>
      <c r="H389" s="1"/>
      <c r="I389" s="1"/>
      <c r="L389" s="301"/>
      <c r="M389" s="301"/>
    </row>
    <row r="390" spans="1:13" customFormat="1" ht="12.75">
      <c r="A390" s="1524"/>
      <c r="F390" s="1"/>
      <c r="G390" s="1"/>
      <c r="H390" s="1"/>
      <c r="I390" s="1"/>
      <c r="L390" s="301"/>
      <c r="M390" s="301"/>
    </row>
    <row r="391" spans="1:13" customFormat="1" ht="12.75">
      <c r="A391" s="1524"/>
      <c r="F391" s="1"/>
      <c r="G391" s="1"/>
      <c r="H391" s="1"/>
      <c r="I391" s="1"/>
      <c r="L391" s="301"/>
      <c r="M391" s="301"/>
    </row>
    <row r="392" spans="1:13" customFormat="1" ht="12.75">
      <c r="A392" s="1524"/>
      <c r="F392" s="1"/>
      <c r="G392" s="1"/>
      <c r="H392" s="1"/>
      <c r="I392" s="1"/>
      <c r="L392" s="301"/>
      <c r="M392" s="301"/>
    </row>
    <row r="393" spans="1:13" customFormat="1" ht="12.75">
      <c r="A393" s="1524"/>
      <c r="F393" s="1"/>
      <c r="G393" s="1"/>
      <c r="H393" s="1"/>
      <c r="I393" s="1"/>
      <c r="L393" s="301"/>
      <c r="M393" s="301"/>
    </row>
    <row r="394" spans="1:13" customFormat="1" ht="12.75">
      <c r="A394" s="1524"/>
      <c r="F394" s="1"/>
      <c r="G394" s="1"/>
      <c r="H394" s="1"/>
      <c r="I394" s="1"/>
      <c r="L394" s="301"/>
      <c r="M394" s="301"/>
    </row>
    <row r="395" spans="1:13" customFormat="1" ht="12.75">
      <c r="A395" s="1524"/>
      <c r="F395" s="1"/>
      <c r="G395" s="1"/>
      <c r="H395" s="1"/>
      <c r="I395" s="1"/>
      <c r="L395" s="301"/>
      <c r="M395" s="301"/>
    </row>
    <row r="396" spans="1:13" customFormat="1" ht="12.75">
      <c r="A396" s="1524"/>
      <c r="F396" s="1"/>
      <c r="G396" s="1"/>
      <c r="H396" s="1"/>
      <c r="I396" s="1"/>
      <c r="L396" s="301"/>
      <c r="M396" s="301"/>
    </row>
    <row r="397" spans="1:13" customFormat="1" ht="12.75">
      <c r="A397" s="1524"/>
      <c r="F397" s="1"/>
      <c r="G397" s="1"/>
      <c r="H397" s="1"/>
      <c r="I397" s="1"/>
      <c r="L397" s="301"/>
      <c r="M397" s="301"/>
    </row>
    <row r="398" spans="1:13" customFormat="1" ht="12.75">
      <c r="A398" s="1524"/>
      <c r="F398" s="1"/>
      <c r="G398" s="1"/>
      <c r="H398" s="1"/>
      <c r="I398" s="1"/>
      <c r="L398" s="301"/>
      <c r="M398" s="301"/>
    </row>
    <row r="399" spans="1:13" customFormat="1" ht="12.75">
      <c r="A399" s="1524"/>
      <c r="F399" s="1"/>
      <c r="G399" s="1"/>
      <c r="H399" s="1"/>
      <c r="I399" s="1"/>
      <c r="L399" s="301"/>
      <c r="M399" s="301"/>
    </row>
    <row r="400" spans="1:13" customFormat="1" ht="12.75">
      <c r="A400" s="1524"/>
      <c r="F400" s="1"/>
      <c r="G400" s="1"/>
      <c r="H400" s="1"/>
      <c r="I400" s="1"/>
      <c r="L400" s="301"/>
      <c r="M400" s="301"/>
    </row>
    <row r="401" spans="1:13" customFormat="1" ht="12.75">
      <c r="A401" s="1524"/>
      <c r="F401" s="1"/>
      <c r="G401" s="1"/>
      <c r="H401" s="1"/>
      <c r="I401" s="1"/>
      <c r="L401" s="301"/>
      <c r="M401" s="301"/>
    </row>
    <row r="402" spans="1:13" customFormat="1" ht="12.75">
      <c r="A402" s="1524"/>
      <c r="F402" s="1"/>
      <c r="G402" s="1"/>
      <c r="H402" s="1"/>
      <c r="I402" s="1"/>
      <c r="L402" s="301"/>
      <c r="M402" s="301"/>
    </row>
    <row r="403" spans="1:13" customFormat="1" ht="12.75">
      <c r="A403" s="1524"/>
      <c r="F403" s="1"/>
      <c r="G403" s="1"/>
      <c r="H403" s="1"/>
      <c r="I403" s="1"/>
      <c r="L403" s="301"/>
      <c r="M403" s="301"/>
    </row>
    <row r="404" spans="1:13" customFormat="1" ht="12.75">
      <c r="A404" s="1524"/>
      <c r="F404" s="1"/>
      <c r="G404" s="1"/>
      <c r="H404" s="1"/>
      <c r="I404" s="1"/>
      <c r="L404" s="301"/>
      <c r="M404" s="301"/>
    </row>
    <row r="405" spans="1:13" customFormat="1" ht="12.75">
      <c r="A405" s="1524"/>
      <c r="F405" s="1"/>
      <c r="G405" s="1"/>
      <c r="H405" s="1"/>
      <c r="I405" s="1"/>
      <c r="L405" s="301"/>
      <c r="M405" s="301"/>
    </row>
    <row r="406" spans="1:13" customFormat="1" ht="12.75">
      <c r="A406" s="1524"/>
      <c r="F406" s="1"/>
      <c r="G406" s="1"/>
      <c r="H406" s="1"/>
      <c r="I406" s="1"/>
      <c r="L406" s="301"/>
      <c r="M406" s="301"/>
    </row>
    <row r="407" spans="1:13" customFormat="1" ht="12.75">
      <c r="A407" s="1524"/>
      <c r="F407" s="1"/>
      <c r="G407" s="1"/>
      <c r="H407" s="1"/>
      <c r="I407" s="1"/>
      <c r="L407" s="301"/>
      <c r="M407" s="301"/>
    </row>
    <row r="408" spans="1:13" customFormat="1" ht="12.75">
      <c r="A408" s="1524"/>
      <c r="F408" s="1"/>
      <c r="G408" s="1"/>
      <c r="H408" s="1"/>
      <c r="I408" s="1"/>
      <c r="L408" s="301"/>
      <c r="M408" s="301"/>
    </row>
    <row r="409" spans="1:13" customFormat="1" ht="12.75">
      <c r="A409" s="1524"/>
      <c r="F409" s="1"/>
      <c r="G409" s="1"/>
      <c r="H409" s="1"/>
      <c r="I409" s="1"/>
      <c r="L409" s="301"/>
      <c r="M409" s="301"/>
    </row>
    <row r="410" spans="1:13" customFormat="1" ht="12.75">
      <c r="A410" s="1524"/>
      <c r="F410" s="1"/>
      <c r="G410" s="1"/>
      <c r="H410" s="1"/>
      <c r="I410" s="1"/>
      <c r="L410" s="301"/>
      <c r="M410" s="301"/>
    </row>
    <row r="411" spans="1:13" customFormat="1" ht="12.75">
      <c r="A411" s="1524"/>
      <c r="F411" s="1"/>
      <c r="G411" s="1"/>
      <c r="H411" s="1"/>
      <c r="I411" s="1"/>
      <c r="L411" s="301"/>
      <c r="M411" s="301"/>
    </row>
    <row r="412" spans="1:13" customFormat="1" ht="12.75">
      <c r="A412" s="1524"/>
      <c r="F412" s="1"/>
      <c r="G412" s="1"/>
      <c r="H412" s="1"/>
      <c r="I412" s="1"/>
      <c r="L412" s="301"/>
      <c r="M412" s="301"/>
    </row>
    <row r="413" spans="1:13" customFormat="1" ht="12.75">
      <c r="A413" s="1524"/>
      <c r="F413" s="1"/>
      <c r="G413" s="1"/>
      <c r="H413" s="1"/>
      <c r="I413" s="1"/>
      <c r="L413" s="301"/>
      <c r="M413" s="301"/>
    </row>
    <row r="414" spans="1:13" customFormat="1" ht="12.75">
      <c r="A414" s="1524"/>
      <c r="F414" s="1"/>
      <c r="G414" s="1"/>
      <c r="H414" s="1"/>
      <c r="I414" s="1"/>
      <c r="L414" s="301"/>
      <c r="M414" s="301"/>
    </row>
    <row r="415" spans="1:13" customFormat="1" ht="12.75">
      <c r="A415" s="1524"/>
      <c r="F415" s="1"/>
      <c r="G415" s="1"/>
      <c r="H415" s="1"/>
      <c r="I415" s="1"/>
      <c r="L415" s="301"/>
      <c r="M415" s="301"/>
    </row>
    <row r="416" spans="1:13" customFormat="1" ht="12.75">
      <c r="A416" s="1524"/>
      <c r="F416" s="1"/>
      <c r="G416" s="1"/>
      <c r="H416" s="1"/>
      <c r="I416" s="1"/>
      <c r="L416" s="301"/>
      <c r="M416" s="301"/>
    </row>
    <row r="417" spans="1:13" customFormat="1" ht="12.75">
      <c r="A417" s="1524"/>
      <c r="F417" s="1"/>
      <c r="G417" s="1"/>
      <c r="H417" s="1"/>
      <c r="I417" s="1"/>
      <c r="L417" s="301"/>
      <c r="M417" s="301"/>
    </row>
    <row r="418" spans="1:13" customFormat="1" ht="12.75">
      <c r="A418" s="1524"/>
      <c r="F418" s="1"/>
      <c r="G418" s="1"/>
      <c r="H418" s="1"/>
      <c r="I418" s="1"/>
      <c r="L418" s="301"/>
      <c r="M418" s="301"/>
    </row>
    <row r="419" spans="1:13" customFormat="1" ht="12.75">
      <c r="A419" s="1524"/>
      <c r="F419" s="1"/>
      <c r="G419" s="1"/>
      <c r="H419" s="1"/>
      <c r="I419" s="1"/>
      <c r="L419" s="301"/>
      <c r="M419" s="301"/>
    </row>
    <row r="420" spans="1:13" customFormat="1" ht="12.75">
      <c r="A420" s="1524"/>
      <c r="F420" s="1"/>
      <c r="G420" s="1"/>
      <c r="H420" s="1"/>
      <c r="I420" s="1"/>
      <c r="L420" s="301"/>
      <c r="M420" s="301"/>
    </row>
    <row r="421" spans="1:13" customFormat="1" ht="12.75">
      <c r="A421" s="1524"/>
      <c r="F421" s="1"/>
      <c r="G421" s="1"/>
      <c r="H421" s="1"/>
      <c r="I421" s="1"/>
      <c r="L421" s="301"/>
      <c r="M421" s="301"/>
    </row>
    <row r="422" spans="1:13" customFormat="1" ht="12.75">
      <c r="A422" s="1524"/>
      <c r="F422" s="1"/>
      <c r="G422" s="1"/>
      <c r="H422" s="1"/>
      <c r="I422" s="1"/>
      <c r="L422" s="301"/>
      <c r="M422" s="301"/>
    </row>
    <row r="423" spans="1:13" customFormat="1" ht="12.75">
      <c r="A423" s="1524"/>
      <c r="F423" s="1"/>
      <c r="G423" s="1"/>
      <c r="H423" s="1"/>
      <c r="I423" s="1"/>
      <c r="L423" s="301"/>
      <c r="M423" s="301"/>
    </row>
    <row r="424" spans="1:13" customFormat="1" ht="12.75">
      <c r="A424" s="1524"/>
      <c r="F424" s="1"/>
      <c r="G424" s="1"/>
      <c r="H424" s="1"/>
      <c r="I424" s="1"/>
      <c r="L424" s="301"/>
      <c r="M424" s="301"/>
    </row>
    <row r="425" spans="1:13" customFormat="1" ht="12.75">
      <c r="A425" s="1524"/>
      <c r="F425" s="1"/>
      <c r="G425" s="1"/>
      <c r="H425" s="1"/>
      <c r="I425" s="1"/>
      <c r="L425" s="301"/>
      <c r="M425" s="301"/>
    </row>
    <row r="426" spans="1:13" customFormat="1" ht="12.75">
      <c r="A426" s="1524"/>
      <c r="F426" s="1"/>
      <c r="G426" s="1"/>
      <c r="H426" s="1"/>
      <c r="I426" s="1"/>
      <c r="L426" s="301"/>
      <c r="M426" s="301"/>
    </row>
    <row r="427" spans="1:13" customFormat="1" ht="12.75">
      <c r="A427" s="1524"/>
      <c r="F427" s="1"/>
      <c r="G427" s="1"/>
      <c r="H427" s="1"/>
      <c r="I427" s="1"/>
      <c r="L427" s="301"/>
      <c r="M427" s="301"/>
    </row>
    <row r="428" spans="1:13" customFormat="1" ht="12.75">
      <c r="A428" s="1524"/>
      <c r="F428" s="1"/>
      <c r="G428" s="1"/>
      <c r="H428" s="1"/>
      <c r="I428" s="1"/>
      <c r="L428" s="301"/>
      <c r="M428" s="301"/>
    </row>
    <row r="429" spans="1:13" customFormat="1" ht="12.75">
      <c r="A429" s="1524"/>
      <c r="F429" s="1"/>
      <c r="G429" s="1"/>
      <c r="H429" s="1"/>
      <c r="I429" s="1"/>
      <c r="L429" s="301"/>
      <c r="M429" s="301"/>
    </row>
    <row r="430" spans="1:13" customFormat="1" ht="12.75">
      <c r="A430" s="1524"/>
      <c r="F430" s="1"/>
      <c r="G430" s="1"/>
      <c r="H430" s="1"/>
      <c r="I430" s="1"/>
      <c r="L430" s="301"/>
      <c r="M430" s="301"/>
    </row>
    <row r="431" spans="1:13" customFormat="1" ht="12.75">
      <c r="A431" s="1524"/>
      <c r="F431" s="1"/>
      <c r="G431" s="1"/>
      <c r="H431" s="1"/>
      <c r="I431" s="1"/>
      <c r="L431" s="301"/>
      <c r="M431" s="301"/>
    </row>
    <row r="432" spans="1:13" customFormat="1" ht="12.75">
      <c r="A432" s="1524"/>
      <c r="F432" s="1"/>
      <c r="G432" s="1"/>
      <c r="H432" s="1"/>
      <c r="I432" s="1"/>
      <c r="L432" s="301"/>
      <c r="M432" s="301"/>
    </row>
    <row r="433" spans="1:13" customFormat="1" ht="12.75">
      <c r="A433" s="1524"/>
      <c r="F433" s="1"/>
      <c r="G433" s="1"/>
      <c r="H433" s="1"/>
      <c r="I433" s="1"/>
      <c r="L433" s="301"/>
      <c r="M433" s="301"/>
    </row>
    <row r="434" spans="1:13" customFormat="1" ht="12.75">
      <c r="A434" s="1524"/>
      <c r="F434" s="1"/>
      <c r="G434" s="1"/>
      <c r="H434" s="1"/>
      <c r="I434" s="1"/>
      <c r="L434" s="301"/>
      <c r="M434" s="301"/>
    </row>
    <row r="435" spans="1:13" customFormat="1" ht="12.75">
      <c r="A435" s="1524"/>
      <c r="F435" s="1"/>
      <c r="G435" s="1"/>
      <c r="H435" s="1"/>
      <c r="I435" s="1"/>
      <c r="L435" s="301"/>
      <c r="M435" s="301"/>
    </row>
    <row r="436" spans="1:13" customFormat="1" ht="12.75">
      <c r="A436" s="1524"/>
      <c r="F436" s="1"/>
      <c r="G436" s="1"/>
      <c r="H436" s="1"/>
      <c r="I436" s="1"/>
      <c r="L436" s="301"/>
      <c r="M436" s="301"/>
    </row>
    <row r="437" spans="1:13" customFormat="1" ht="12.75">
      <c r="A437" s="1524"/>
      <c r="F437" s="1"/>
      <c r="G437" s="1"/>
      <c r="H437" s="1"/>
      <c r="I437" s="1"/>
      <c r="L437" s="301"/>
      <c r="M437" s="301"/>
    </row>
    <row r="438" spans="1:13" customFormat="1" ht="12.75">
      <c r="A438" s="1524"/>
      <c r="F438" s="1"/>
      <c r="G438" s="1"/>
      <c r="H438" s="1"/>
      <c r="I438" s="1"/>
      <c r="L438" s="301"/>
      <c r="M438" s="301"/>
    </row>
    <row r="439" spans="1:13" customFormat="1" ht="12.75">
      <c r="A439" s="1524"/>
      <c r="F439" s="1"/>
      <c r="G439" s="1"/>
      <c r="H439" s="1"/>
      <c r="I439" s="1"/>
      <c r="L439" s="301"/>
      <c r="M439" s="301"/>
    </row>
    <row r="440" spans="1:13" customFormat="1" ht="12.75">
      <c r="A440" s="1524"/>
      <c r="F440" s="1"/>
      <c r="G440" s="1"/>
      <c r="H440" s="1"/>
      <c r="I440" s="1"/>
      <c r="L440" s="301"/>
      <c r="M440" s="301"/>
    </row>
    <row r="441" spans="1:13" customFormat="1" ht="12.75">
      <c r="A441" s="1524"/>
      <c r="F441" s="1"/>
      <c r="G441" s="1"/>
      <c r="H441" s="1"/>
      <c r="I441" s="1"/>
      <c r="L441" s="301"/>
      <c r="M441" s="301"/>
    </row>
    <row r="442" spans="1:13" customFormat="1" ht="12.75">
      <c r="A442" s="1524"/>
      <c r="F442" s="1"/>
      <c r="G442" s="1"/>
      <c r="H442" s="1"/>
      <c r="I442" s="1"/>
      <c r="L442" s="301"/>
      <c r="M442" s="301"/>
    </row>
    <row r="443" spans="1:13" customFormat="1" ht="12.75">
      <c r="A443" s="1524"/>
      <c r="F443" s="1"/>
      <c r="G443" s="1"/>
      <c r="H443" s="1"/>
      <c r="I443" s="1"/>
      <c r="L443" s="301"/>
      <c r="M443" s="301"/>
    </row>
    <row r="444" spans="1:13" customFormat="1" ht="12.75">
      <c r="A444" s="1524"/>
      <c r="F444" s="1"/>
      <c r="G444" s="1"/>
      <c r="H444" s="1"/>
      <c r="I444" s="1"/>
      <c r="L444" s="301"/>
      <c r="M444" s="301"/>
    </row>
    <row r="445" spans="1:13" customFormat="1" ht="12.75">
      <c r="A445" s="1524"/>
      <c r="F445" s="1"/>
      <c r="G445" s="1"/>
      <c r="H445" s="1"/>
      <c r="I445" s="1"/>
      <c r="L445" s="301"/>
      <c r="M445" s="301"/>
    </row>
    <row r="446" spans="1:13" customFormat="1" ht="12.75">
      <c r="A446" s="1524"/>
      <c r="F446" s="1"/>
      <c r="G446" s="1"/>
      <c r="H446" s="1"/>
      <c r="I446" s="1"/>
      <c r="L446" s="301"/>
      <c r="M446" s="301"/>
    </row>
    <row r="447" spans="1:13" customFormat="1" ht="12.75">
      <c r="A447" s="1524"/>
      <c r="F447" s="1"/>
      <c r="G447" s="1"/>
      <c r="H447" s="1"/>
      <c r="I447" s="1"/>
      <c r="L447" s="301"/>
      <c r="M447" s="301"/>
    </row>
    <row r="448" spans="1:13" customFormat="1" ht="12.75">
      <c r="A448" s="1524"/>
      <c r="F448" s="1"/>
      <c r="G448" s="1"/>
      <c r="H448" s="1"/>
      <c r="I448" s="1"/>
      <c r="L448" s="301"/>
      <c r="M448" s="301"/>
    </row>
    <row r="449" spans="1:13" customFormat="1" ht="12.75">
      <c r="A449" s="1524"/>
      <c r="F449" s="1"/>
      <c r="G449" s="1"/>
      <c r="H449" s="1"/>
      <c r="I449" s="1"/>
      <c r="L449" s="301"/>
      <c r="M449" s="301"/>
    </row>
    <row r="450" spans="1:13" customFormat="1" ht="12.75">
      <c r="A450" s="1524"/>
      <c r="F450" s="1"/>
      <c r="G450" s="1"/>
      <c r="H450" s="1"/>
      <c r="I450" s="1"/>
      <c r="L450" s="301"/>
      <c r="M450" s="301"/>
    </row>
    <row r="451" spans="1:13" customFormat="1" ht="12.75">
      <c r="A451" s="1524"/>
      <c r="F451" s="1"/>
      <c r="G451" s="1"/>
      <c r="H451" s="1"/>
      <c r="I451" s="1"/>
      <c r="L451" s="301"/>
      <c r="M451" s="301"/>
    </row>
    <row r="452" spans="1:13" customFormat="1" ht="12.75">
      <c r="A452" s="1524"/>
      <c r="F452" s="1"/>
      <c r="G452" s="1"/>
      <c r="H452" s="1"/>
      <c r="I452" s="1"/>
      <c r="L452" s="301"/>
      <c r="M452" s="301"/>
    </row>
    <row r="453" spans="1:13" customFormat="1" ht="12.75">
      <c r="A453" s="1524"/>
      <c r="F453" s="1"/>
      <c r="G453" s="1"/>
      <c r="H453" s="1"/>
      <c r="I453" s="1"/>
      <c r="L453" s="301"/>
      <c r="M453" s="301"/>
    </row>
    <row r="454" spans="1:13" customFormat="1" ht="12.75">
      <c r="A454" s="1524"/>
      <c r="F454" s="1"/>
      <c r="G454" s="1"/>
      <c r="H454" s="1"/>
      <c r="I454" s="1"/>
      <c r="L454" s="301"/>
      <c r="M454" s="301"/>
    </row>
    <row r="455" spans="1:13" customFormat="1" ht="12.75">
      <c r="A455" s="1524"/>
      <c r="F455" s="1"/>
      <c r="G455" s="1"/>
      <c r="H455" s="1"/>
      <c r="I455" s="1"/>
      <c r="L455" s="301"/>
      <c r="M455" s="301"/>
    </row>
    <row r="456" spans="1:13" customFormat="1" ht="12.75">
      <c r="A456" s="1524"/>
      <c r="F456" s="1"/>
      <c r="G456" s="1"/>
      <c r="H456" s="1"/>
      <c r="I456" s="1"/>
      <c r="L456" s="301"/>
      <c r="M456" s="301"/>
    </row>
    <row r="457" spans="1:13" customFormat="1" ht="12.75">
      <c r="A457" s="1524"/>
      <c r="F457" s="1"/>
      <c r="G457" s="1"/>
      <c r="H457" s="1"/>
      <c r="I457" s="1"/>
      <c r="L457" s="301"/>
      <c r="M457" s="301"/>
    </row>
    <row r="458" spans="1:13" customFormat="1" ht="12.75">
      <c r="A458" s="1524"/>
      <c r="F458" s="1"/>
      <c r="G458" s="1"/>
      <c r="H458" s="1"/>
      <c r="I458" s="1"/>
      <c r="L458" s="301"/>
      <c r="M458" s="301"/>
    </row>
    <row r="459" spans="1:13" customFormat="1" ht="12.75">
      <c r="A459" s="1524"/>
      <c r="F459" s="1"/>
      <c r="G459" s="1"/>
      <c r="H459" s="1"/>
      <c r="I459" s="1"/>
      <c r="L459" s="301"/>
      <c r="M459" s="301"/>
    </row>
    <row r="460" spans="1:13" customFormat="1" ht="12.75">
      <c r="A460" s="1524"/>
      <c r="F460" s="1"/>
      <c r="G460" s="1"/>
      <c r="H460" s="1"/>
      <c r="I460" s="1"/>
      <c r="L460" s="301"/>
      <c r="M460" s="301"/>
    </row>
    <row r="461" spans="1:13" customFormat="1" ht="12.75">
      <c r="A461" s="1524"/>
      <c r="F461" s="1"/>
      <c r="G461" s="1"/>
      <c r="H461" s="1"/>
      <c r="I461" s="1"/>
      <c r="L461" s="301"/>
      <c r="M461" s="301"/>
    </row>
    <row r="462" spans="1:13" customFormat="1" ht="12.75">
      <c r="A462" s="1524"/>
      <c r="F462" s="1"/>
      <c r="G462" s="1"/>
      <c r="H462" s="1"/>
      <c r="I462" s="1"/>
      <c r="L462" s="301"/>
      <c r="M462" s="301"/>
    </row>
    <row r="463" spans="1:13" customFormat="1" ht="12.75">
      <c r="A463" s="1524"/>
      <c r="F463" s="1"/>
      <c r="G463" s="1"/>
      <c r="H463" s="1"/>
      <c r="I463" s="1"/>
      <c r="L463" s="301"/>
      <c r="M463" s="301"/>
    </row>
    <row r="464" spans="1:13" customFormat="1" ht="12.75">
      <c r="A464" s="1524"/>
      <c r="F464" s="1"/>
      <c r="G464" s="1"/>
      <c r="H464" s="1"/>
      <c r="I464" s="1"/>
      <c r="L464" s="301"/>
      <c r="M464" s="301"/>
    </row>
    <row r="465" spans="1:13" customFormat="1" ht="12.75">
      <c r="A465" s="1524"/>
      <c r="F465" s="1"/>
      <c r="G465" s="1"/>
      <c r="H465" s="1"/>
      <c r="I465" s="1"/>
      <c r="L465" s="301"/>
      <c r="M465" s="301"/>
    </row>
    <row r="466" spans="1:13" customFormat="1" ht="12.75">
      <c r="A466" s="1524"/>
      <c r="F466" s="1"/>
      <c r="G466" s="1"/>
      <c r="H466" s="1"/>
      <c r="I466" s="1"/>
      <c r="L466" s="301"/>
      <c r="M466" s="301"/>
    </row>
    <row r="467" spans="1:13" customFormat="1" ht="12.75">
      <c r="A467" s="1524"/>
      <c r="F467" s="1"/>
      <c r="G467" s="1"/>
      <c r="H467" s="1"/>
      <c r="I467" s="1"/>
      <c r="L467" s="301"/>
      <c r="M467" s="301"/>
    </row>
    <row r="468" spans="1:13" customFormat="1" ht="12.75">
      <c r="A468" s="1524"/>
      <c r="F468" s="1"/>
      <c r="G468" s="1"/>
      <c r="H468" s="1"/>
      <c r="I468" s="1"/>
      <c r="L468" s="301"/>
      <c r="M468" s="301"/>
    </row>
    <row r="469" spans="1:13" customFormat="1" ht="12.75">
      <c r="A469" s="1524"/>
      <c r="F469" s="1"/>
      <c r="G469" s="1"/>
      <c r="H469" s="1"/>
      <c r="I469" s="1"/>
      <c r="L469" s="301"/>
      <c r="M469" s="301"/>
    </row>
    <row r="470" spans="1:13" customFormat="1" ht="12.75">
      <c r="A470" s="1524"/>
      <c r="F470" s="1"/>
      <c r="G470" s="1"/>
      <c r="H470" s="1"/>
      <c r="I470" s="1"/>
      <c r="L470" s="301"/>
      <c r="M470" s="301"/>
    </row>
    <row r="471" spans="1:13" customFormat="1" ht="12.75">
      <c r="A471" s="1524"/>
      <c r="F471" s="1"/>
      <c r="G471" s="1"/>
      <c r="H471" s="1"/>
      <c r="I471" s="1"/>
      <c r="L471" s="301"/>
      <c r="M471" s="301"/>
    </row>
    <row r="472" spans="1:13" customFormat="1" ht="12.75">
      <c r="A472" s="1524"/>
      <c r="F472" s="1"/>
      <c r="G472" s="1"/>
      <c r="H472" s="1"/>
      <c r="I472" s="1"/>
      <c r="L472" s="301"/>
      <c r="M472" s="301"/>
    </row>
    <row r="473" spans="1:13" customFormat="1" ht="12.75">
      <c r="A473" s="1524"/>
      <c r="F473" s="1"/>
      <c r="G473" s="1"/>
      <c r="H473" s="1"/>
      <c r="I473" s="1"/>
      <c r="L473" s="301"/>
      <c r="M473" s="301"/>
    </row>
    <row r="474" spans="1:13" customFormat="1" ht="12.75">
      <c r="A474" s="1524"/>
      <c r="F474" s="1"/>
      <c r="G474" s="1"/>
      <c r="H474" s="1"/>
      <c r="I474" s="1"/>
      <c r="L474" s="301"/>
      <c r="M474" s="301"/>
    </row>
    <row r="475" spans="1:13" customFormat="1" ht="12.75">
      <c r="A475" s="1524"/>
      <c r="F475" s="1"/>
      <c r="G475" s="1"/>
      <c r="H475" s="1"/>
      <c r="I475" s="1"/>
      <c r="L475" s="301"/>
      <c r="M475" s="301"/>
    </row>
    <row r="476" spans="1:13" customFormat="1" ht="12.75">
      <c r="A476" s="1524"/>
      <c r="F476" s="1"/>
      <c r="G476" s="1"/>
      <c r="H476" s="1"/>
      <c r="I476" s="1"/>
      <c r="L476" s="301"/>
      <c r="M476" s="301"/>
    </row>
    <row r="477" spans="1:13" customFormat="1" ht="12.75">
      <c r="A477" s="1524"/>
      <c r="F477" s="1"/>
      <c r="G477" s="1"/>
      <c r="H477" s="1"/>
      <c r="I477" s="1"/>
      <c r="L477" s="301"/>
      <c r="M477" s="301"/>
    </row>
    <row r="478" spans="1:13" customFormat="1" ht="12.75">
      <c r="A478" s="1524"/>
      <c r="F478" s="1"/>
      <c r="G478" s="1"/>
      <c r="H478" s="1"/>
      <c r="I478" s="1"/>
      <c r="L478" s="301"/>
      <c r="M478" s="301"/>
    </row>
    <row r="479" spans="1:13" customFormat="1" ht="12.75">
      <c r="A479" s="1524"/>
      <c r="F479" s="1"/>
      <c r="G479" s="1"/>
      <c r="H479" s="1"/>
      <c r="I479" s="1"/>
      <c r="L479" s="301"/>
      <c r="M479" s="301"/>
    </row>
    <row r="480" spans="1:13" customFormat="1" ht="12.75">
      <c r="A480" s="1524"/>
      <c r="F480" s="1"/>
      <c r="G480" s="1"/>
      <c r="H480" s="1"/>
      <c r="I480" s="1"/>
      <c r="L480" s="301"/>
      <c r="M480" s="301"/>
    </row>
    <row r="481" spans="1:13" customFormat="1" ht="12.75">
      <c r="A481" s="1524"/>
      <c r="F481" s="1"/>
      <c r="G481" s="1"/>
      <c r="H481" s="1"/>
      <c r="I481" s="1"/>
      <c r="L481" s="301"/>
      <c r="M481" s="301"/>
    </row>
    <row r="482" spans="1:13" customFormat="1" ht="12.75">
      <c r="A482" s="1524"/>
      <c r="F482" s="1"/>
      <c r="G482" s="1"/>
      <c r="H482" s="1"/>
      <c r="I482" s="1"/>
      <c r="L482" s="301"/>
      <c r="M482" s="301"/>
    </row>
    <row r="483" spans="1:13" customFormat="1" ht="12.75">
      <c r="A483" s="1524"/>
      <c r="F483" s="1"/>
      <c r="G483" s="1"/>
      <c r="H483" s="1"/>
      <c r="I483" s="1"/>
      <c r="L483" s="301"/>
      <c r="M483" s="301"/>
    </row>
    <row r="484" spans="1:13" customFormat="1" ht="12.75">
      <c r="A484" s="1524"/>
      <c r="F484" s="1"/>
      <c r="G484" s="1"/>
      <c r="H484" s="1"/>
      <c r="I484" s="1"/>
      <c r="L484" s="301"/>
      <c r="M484" s="301"/>
    </row>
    <row r="485" spans="1:13" customFormat="1" ht="12.75">
      <c r="A485" s="1524"/>
      <c r="F485" s="1"/>
      <c r="G485" s="1"/>
      <c r="H485" s="1"/>
      <c r="I485" s="1"/>
      <c r="L485" s="301"/>
      <c r="M485" s="301"/>
    </row>
    <row r="486" spans="1:13" customFormat="1" ht="12.75">
      <c r="A486" s="1524"/>
      <c r="F486" s="1"/>
      <c r="G486" s="1"/>
      <c r="H486" s="1"/>
      <c r="I486" s="1"/>
      <c r="L486" s="301"/>
      <c r="M486" s="301"/>
    </row>
    <row r="487" spans="1:13" customFormat="1" ht="12.75">
      <c r="A487" s="1524"/>
      <c r="F487" s="1"/>
      <c r="G487" s="1"/>
      <c r="H487" s="1"/>
      <c r="I487" s="1"/>
      <c r="L487" s="301"/>
      <c r="M487" s="301"/>
    </row>
    <row r="488" spans="1:13" customFormat="1" ht="12.75">
      <c r="A488" s="1524"/>
      <c r="F488" s="1"/>
      <c r="G488" s="1"/>
      <c r="H488" s="1"/>
      <c r="I488" s="1"/>
      <c r="L488" s="301"/>
      <c r="M488" s="301"/>
    </row>
    <row r="489" spans="1:13" customFormat="1" ht="12.75">
      <c r="A489" s="1524"/>
      <c r="F489" s="1"/>
      <c r="G489" s="1"/>
      <c r="H489" s="1"/>
      <c r="I489" s="1"/>
      <c r="L489" s="301"/>
      <c r="M489" s="301"/>
    </row>
    <row r="490" spans="1:13" customFormat="1" ht="12.75">
      <c r="A490" s="1524"/>
      <c r="F490" s="1"/>
      <c r="G490" s="1"/>
      <c r="H490" s="1"/>
      <c r="I490" s="1"/>
      <c r="L490" s="301"/>
      <c r="M490" s="301"/>
    </row>
    <row r="491" spans="1:13" customFormat="1" ht="12.75">
      <c r="A491" s="1524"/>
      <c r="F491" s="1"/>
      <c r="G491" s="1"/>
      <c r="H491" s="1"/>
      <c r="I491" s="1"/>
      <c r="L491" s="301"/>
      <c r="M491" s="301"/>
    </row>
    <row r="492" spans="1:13" customFormat="1" ht="12.75">
      <c r="A492" s="1524"/>
      <c r="F492" s="1"/>
      <c r="G492" s="1"/>
      <c r="H492" s="1"/>
      <c r="I492" s="1"/>
      <c r="L492" s="301"/>
      <c r="M492" s="301"/>
    </row>
    <row r="493" spans="1:13" customFormat="1" ht="12.75">
      <c r="A493" s="1524"/>
      <c r="F493" s="1"/>
      <c r="G493" s="1"/>
      <c r="H493" s="1"/>
      <c r="I493" s="1"/>
      <c r="L493" s="301"/>
      <c r="M493" s="301"/>
    </row>
    <row r="494" spans="1:13" customFormat="1" ht="12.75">
      <c r="A494" s="1524"/>
      <c r="F494" s="1"/>
      <c r="G494" s="1"/>
      <c r="H494" s="1"/>
      <c r="I494" s="1"/>
      <c r="L494" s="301"/>
      <c r="M494" s="301"/>
    </row>
    <row r="495" spans="1:13" customFormat="1" ht="12.75">
      <c r="A495" s="1524"/>
      <c r="F495" s="1"/>
      <c r="G495" s="1"/>
      <c r="H495" s="1"/>
      <c r="I495" s="1"/>
      <c r="L495" s="301"/>
      <c r="M495" s="301"/>
    </row>
    <row r="496" spans="1:13" customFormat="1" ht="12.75">
      <c r="A496" s="1524"/>
      <c r="F496" s="1"/>
      <c r="G496" s="1"/>
      <c r="H496" s="1"/>
      <c r="I496" s="1"/>
      <c r="L496" s="301"/>
      <c r="M496" s="301"/>
    </row>
    <row r="497" spans="1:13" customFormat="1" ht="12.75">
      <c r="A497" s="1524"/>
      <c r="F497" s="1"/>
      <c r="G497" s="1"/>
      <c r="H497" s="1"/>
      <c r="I497" s="1"/>
      <c r="L497" s="301"/>
      <c r="M497" s="301"/>
    </row>
    <row r="498" spans="1:13" customFormat="1" ht="12.75">
      <c r="A498" s="1524"/>
      <c r="F498" s="1"/>
      <c r="G498" s="1"/>
      <c r="H498" s="1"/>
      <c r="I498" s="1"/>
      <c r="L498" s="301"/>
      <c r="M498" s="301"/>
    </row>
    <row r="499" spans="1:13" customFormat="1" ht="12.75">
      <c r="A499" s="1524"/>
      <c r="F499" s="1"/>
      <c r="G499" s="1"/>
      <c r="H499" s="1"/>
      <c r="I499" s="1"/>
      <c r="L499" s="301"/>
      <c r="M499" s="301"/>
    </row>
    <row r="500" spans="1:13" customFormat="1" ht="12.75">
      <c r="A500" s="1524"/>
      <c r="F500" s="1"/>
      <c r="G500" s="1"/>
      <c r="H500" s="1"/>
      <c r="I500" s="1"/>
      <c r="L500" s="301"/>
      <c r="M500" s="301"/>
    </row>
    <row r="501" spans="1:13" customFormat="1" ht="12.75">
      <c r="A501" s="1524"/>
      <c r="F501" s="1"/>
      <c r="G501" s="1"/>
      <c r="H501" s="1"/>
      <c r="I501" s="1"/>
      <c r="L501" s="301"/>
      <c r="M501" s="301"/>
    </row>
    <row r="502" spans="1:13" customFormat="1" ht="12.75">
      <c r="A502" s="1524"/>
      <c r="F502" s="1"/>
      <c r="G502" s="1"/>
      <c r="H502" s="1"/>
      <c r="I502" s="1"/>
      <c r="L502" s="301"/>
      <c r="M502" s="301"/>
    </row>
    <row r="503" spans="1:13" customFormat="1" ht="12.75">
      <c r="A503" s="1524"/>
      <c r="F503" s="1"/>
      <c r="G503" s="1"/>
      <c r="H503" s="1"/>
      <c r="I503" s="1"/>
      <c r="L503" s="301"/>
      <c r="M503" s="301"/>
    </row>
    <row r="504" spans="1:13" customFormat="1" ht="12.75">
      <c r="A504" s="1524"/>
      <c r="F504" s="1"/>
      <c r="G504" s="1"/>
      <c r="H504" s="1"/>
      <c r="I504" s="1"/>
      <c r="L504" s="301"/>
      <c r="M504" s="301"/>
    </row>
    <row r="505" spans="1:13" customFormat="1" ht="12.75">
      <c r="A505" s="1524"/>
      <c r="F505" s="1"/>
      <c r="G505" s="1"/>
      <c r="H505" s="1"/>
      <c r="I505" s="1"/>
      <c r="L505" s="301"/>
      <c r="M505" s="301"/>
    </row>
    <row r="506" spans="1:13" customFormat="1" ht="12.75">
      <c r="A506" s="1524"/>
      <c r="F506" s="1"/>
      <c r="G506" s="1"/>
      <c r="H506" s="1"/>
      <c r="I506" s="1"/>
      <c r="L506" s="301"/>
      <c r="M506" s="301"/>
    </row>
    <row r="507" spans="1:13" customFormat="1" ht="12.75">
      <c r="A507" s="1524"/>
      <c r="F507" s="1"/>
      <c r="G507" s="1"/>
      <c r="H507" s="1"/>
      <c r="I507" s="1"/>
      <c r="L507" s="301"/>
      <c r="M507" s="301"/>
    </row>
    <row r="508" spans="1:13" customFormat="1" ht="12.75">
      <c r="A508" s="1524"/>
      <c r="F508" s="1"/>
      <c r="G508" s="1"/>
      <c r="H508" s="1"/>
      <c r="I508" s="1"/>
      <c r="L508" s="301"/>
      <c r="M508" s="301"/>
    </row>
    <row r="509" spans="1:13" customFormat="1" ht="12.75">
      <c r="A509" s="1524"/>
      <c r="F509" s="1"/>
      <c r="G509" s="1"/>
      <c r="H509" s="1"/>
      <c r="I509" s="1"/>
      <c r="L509" s="301"/>
      <c r="M509" s="301"/>
    </row>
    <row r="510" spans="1:13" customFormat="1" ht="12.75">
      <c r="A510" s="1524"/>
      <c r="F510" s="1"/>
      <c r="G510" s="1"/>
      <c r="H510" s="1"/>
      <c r="I510" s="1"/>
      <c r="L510" s="301"/>
      <c r="M510" s="301"/>
    </row>
    <row r="511" spans="1:13" customFormat="1" ht="12.75">
      <c r="A511" s="1524"/>
      <c r="F511" s="1"/>
      <c r="G511" s="1"/>
      <c r="H511" s="1"/>
      <c r="I511" s="1"/>
      <c r="L511" s="301"/>
      <c r="M511" s="301"/>
    </row>
    <row r="512" spans="1:13" customFormat="1" ht="12.75">
      <c r="A512" s="1524"/>
      <c r="F512" s="1"/>
      <c r="G512" s="1"/>
      <c r="H512" s="1"/>
      <c r="I512" s="1"/>
      <c r="L512" s="301"/>
      <c r="M512" s="301"/>
    </row>
    <row r="513" spans="1:13" customFormat="1" ht="12.75">
      <c r="A513" s="1524"/>
      <c r="F513" s="1"/>
      <c r="G513" s="1"/>
      <c r="H513" s="1"/>
      <c r="I513" s="1"/>
      <c r="L513" s="301"/>
      <c r="M513" s="301"/>
    </row>
    <row r="514" spans="1:13" customFormat="1" ht="12.75">
      <c r="A514" s="1524"/>
      <c r="F514" s="1"/>
      <c r="G514" s="1"/>
      <c r="H514" s="1"/>
      <c r="I514" s="1"/>
      <c r="L514" s="301"/>
      <c r="M514" s="301"/>
    </row>
    <row r="515" spans="1:13" customFormat="1" ht="12.75">
      <c r="A515" s="1524"/>
      <c r="F515" s="1"/>
      <c r="G515" s="1"/>
      <c r="H515" s="1"/>
      <c r="I515" s="1"/>
      <c r="L515" s="301"/>
      <c r="M515" s="301"/>
    </row>
    <row r="516" spans="1:13" customFormat="1" ht="12.75">
      <c r="A516" s="1524"/>
      <c r="F516" s="1"/>
      <c r="G516" s="1"/>
      <c r="H516" s="1"/>
      <c r="I516" s="1"/>
      <c r="L516" s="301"/>
      <c r="M516" s="301"/>
    </row>
    <row r="517" spans="1:13" customFormat="1" ht="12.75">
      <c r="A517" s="1524"/>
      <c r="F517" s="1"/>
      <c r="G517" s="1"/>
      <c r="H517" s="1"/>
      <c r="I517" s="1"/>
      <c r="L517" s="301"/>
      <c r="M517" s="301"/>
    </row>
    <row r="518" spans="1:13" customFormat="1" ht="12.75">
      <c r="A518" s="1524"/>
      <c r="F518" s="1"/>
      <c r="G518" s="1"/>
      <c r="H518" s="1"/>
      <c r="I518" s="1"/>
      <c r="L518" s="301"/>
      <c r="M518" s="301"/>
    </row>
    <row r="519" spans="1:13" customFormat="1" ht="12.75">
      <c r="A519" s="1524"/>
      <c r="F519" s="1"/>
      <c r="G519" s="1"/>
      <c r="H519" s="1"/>
      <c r="I519" s="1"/>
      <c r="L519" s="301"/>
      <c r="M519" s="301"/>
    </row>
    <row r="520" spans="1:13" customFormat="1" ht="12.75">
      <c r="A520" s="1524"/>
      <c r="F520" s="1"/>
      <c r="G520" s="1"/>
      <c r="H520" s="1"/>
      <c r="I520" s="1"/>
      <c r="L520" s="301"/>
      <c r="M520" s="301"/>
    </row>
    <row r="521" spans="1:13" customFormat="1" ht="12.75">
      <c r="A521" s="1524"/>
      <c r="F521" s="1"/>
      <c r="G521" s="1"/>
      <c r="H521" s="1"/>
      <c r="I521" s="1"/>
      <c r="L521" s="301"/>
      <c r="M521" s="301"/>
    </row>
    <row r="522" spans="1:13" customFormat="1" ht="12.75">
      <c r="A522" s="1524"/>
      <c r="F522" s="1"/>
      <c r="G522" s="1"/>
      <c r="H522" s="1"/>
      <c r="I522" s="1"/>
      <c r="L522" s="301"/>
      <c r="M522" s="301"/>
    </row>
    <row r="523" spans="1:13" customFormat="1" ht="12.75">
      <c r="A523" s="1524"/>
      <c r="F523" s="1"/>
      <c r="G523" s="1"/>
      <c r="H523" s="1"/>
      <c r="I523" s="1"/>
      <c r="L523" s="301"/>
      <c r="M523" s="301"/>
    </row>
    <row r="524" spans="1:13" customFormat="1" ht="12.75">
      <c r="A524" s="1524"/>
      <c r="F524" s="1"/>
      <c r="G524" s="1"/>
      <c r="H524" s="1"/>
      <c r="I524" s="1"/>
      <c r="L524" s="301"/>
      <c r="M524" s="301"/>
    </row>
    <row r="525" spans="1:13" customFormat="1" ht="12.75">
      <c r="A525" s="1524"/>
      <c r="F525" s="1"/>
      <c r="G525" s="1"/>
      <c r="H525" s="1"/>
      <c r="I525" s="1"/>
      <c r="L525" s="301"/>
      <c r="M525" s="301"/>
    </row>
    <row r="526" spans="1:13" customFormat="1" ht="12.75">
      <c r="A526" s="1524"/>
      <c r="F526" s="1"/>
      <c r="G526" s="1"/>
      <c r="H526" s="1"/>
      <c r="I526" s="1"/>
      <c r="L526" s="301"/>
      <c r="M526" s="301"/>
    </row>
    <row r="527" spans="1:13" customFormat="1" ht="12.75">
      <c r="A527" s="1524"/>
      <c r="F527" s="1"/>
      <c r="G527" s="1"/>
      <c r="H527" s="1"/>
      <c r="I527" s="1"/>
      <c r="L527" s="301"/>
      <c r="M527" s="301"/>
    </row>
    <row r="528" spans="1:13" customFormat="1" ht="12.75">
      <c r="A528" s="1524"/>
      <c r="F528" s="1"/>
      <c r="G528" s="1"/>
      <c r="H528" s="1"/>
      <c r="I528" s="1"/>
      <c r="L528" s="301"/>
      <c r="M528" s="301"/>
    </row>
    <row r="529" spans="1:13" customFormat="1" ht="12.75">
      <c r="A529" s="1524"/>
      <c r="F529" s="1"/>
      <c r="G529" s="1"/>
      <c r="H529" s="1"/>
      <c r="I529" s="1"/>
      <c r="L529" s="301"/>
      <c r="M529" s="301"/>
    </row>
    <row r="530" spans="1:13" customFormat="1" ht="12.75">
      <c r="A530" s="1524"/>
      <c r="F530" s="1"/>
      <c r="G530" s="1"/>
      <c r="H530" s="1"/>
      <c r="I530" s="1"/>
      <c r="L530" s="301"/>
      <c r="M530" s="301"/>
    </row>
    <row r="531" spans="1:13" customFormat="1" ht="12.75">
      <c r="A531" s="1524"/>
      <c r="F531" s="1"/>
      <c r="G531" s="1"/>
      <c r="H531" s="1"/>
      <c r="I531" s="1"/>
      <c r="L531" s="301"/>
      <c r="M531" s="301"/>
    </row>
    <row r="532" spans="1:13" customFormat="1" ht="12.75">
      <c r="A532" s="1524"/>
      <c r="F532" s="1"/>
      <c r="G532" s="1"/>
      <c r="H532" s="1"/>
      <c r="I532" s="1"/>
      <c r="L532" s="301"/>
      <c r="M532" s="301"/>
    </row>
    <row r="533" spans="1:13" customFormat="1" ht="12.75">
      <c r="A533" s="1524"/>
      <c r="F533" s="1"/>
      <c r="G533" s="1"/>
      <c r="H533" s="1"/>
      <c r="I533" s="1"/>
      <c r="L533" s="301"/>
      <c r="M533" s="301"/>
    </row>
    <row r="534" spans="1:13" customFormat="1" ht="12.75">
      <c r="A534" s="1524"/>
      <c r="F534" s="1"/>
      <c r="G534" s="1"/>
      <c r="H534" s="1"/>
      <c r="I534" s="1"/>
      <c r="L534" s="301"/>
      <c r="M534" s="301"/>
    </row>
    <row r="535" spans="1:13" customFormat="1" ht="12.75">
      <c r="A535" s="1524"/>
      <c r="F535" s="1"/>
      <c r="G535" s="1"/>
      <c r="H535" s="1"/>
      <c r="I535" s="1"/>
      <c r="L535" s="301"/>
      <c r="M535" s="301"/>
    </row>
    <row r="536" spans="1:13" customFormat="1" ht="12.75">
      <c r="A536" s="1524"/>
      <c r="F536" s="1"/>
      <c r="G536" s="1"/>
      <c r="H536" s="1"/>
      <c r="I536" s="1"/>
      <c r="L536" s="301"/>
      <c r="M536" s="301"/>
    </row>
    <row r="537" spans="1:13" customFormat="1" ht="12.75">
      <c r="A537" s="1524"/>
      <c r="F537" s="1"/>
      <c r="G537" s="1"/>
      <c r="H537" s="1"/>
      <c r="I537" s="1"/>
      <c r="L537" s="301"/>
      <c r="M537" s="301"/>
    </row>
    <row r="538" spans="1:13" customFormat="1" ht="12.75">
      <c r="A538" s="1524"/>
      <c r="F538" s="1"/>
      <c r="G538" s="1"/>
      <c r="H538" s="1"/>
      <c r="I538" s="1"/>
      <c r="L538" s="301"/>
      <c r="M538" s="301"/>
    </row>
    <row r="539" spans="1:13" customFormat="1" ht="12.75">
      <c r="A539" s="1524"/>
      <c r="F539" s="1"/>
      <c r="G539" s="1"/>
      <c r="H539" s="1"/>
      <c r="I539" s="1"/>
      <c r="L539" s="301"/>
      <c r="M539" s="301"/>
    </row>
    <row r="540" spans="1:13" customFormat="1" ht="12.75">
      <c r="A540" s="1524"/>
      <c r="F540" s="1"/>
      <c r="G540" s="1"/>
      <c r="H540" s="1"/>
      <c r="I540" s="1"/>
      <c r="L540" s="301"/>
      <c r="M540" s="301"/>
    </row>
    <row r="541" spans="1:13" customFormat="1" ht="12.75">
      <c r="A541" s="1524"/>
      <c r="F541" s="1"/>
      <c r="G541" s="1"/>
      <c r="H541" s="1"/>
      <c r="I541" s="1"/>
      <c r="L541" s="301"/>
      <c r="M541" s="301"/>
    </row>
    <row r="542" spans="1:13" customFormat="1" ht="12.75">
      <c r="A542" s="1524"/>
      <c r="F542" s="1"/>
      <c r="G542" s="1"/>
      <c r="H542" s="1"/>
      <c r="I542" s="1"/>
      <c r="L542" s="301"/>
      <c r="M542" s="301"/>
    </row>
    <row r="543" spans="1:13" customFormat="1" ht="12.75">
      <c r="A543" s="1524"/>
      <c r="F543" s="1"/>
      <c r="G543" s="1"/>
      <c r="H543" s="1"/>
      <c r="I543" s="1"/>
      <c r="L543" s="301"/>
      <c r="M543" s="301"/>
    </row>
    <row r="544" spans="1:13" customFormat="1" ht="12.75">
      <c r="A544" s="1524"/>
      <c r="F544" s="1"/>
      <c r="G544" s="1"/>
      <c r="H544" s="1"/>
      <c r="I544" s="1"/>
      <c r="L544" s="301"/>
      <c r="M544" s="301"/>
    </row>
    <row r="545" spans="1:13" customFormat="1" ht="12.75">
      <c r="A545" s="1524"/>
      <c r="F545" s="1"/>
      <c r="G545" s="1"/>
      <c r="H545" s="1"/>
      <c r="I545" s="1"/>
      <c r="L545" s="301"/>
      <c r="M545" s="301"/>
    </row>
    <row r="546" spans="1:13" customFormat="1" ht="12.75">
      <c r="A546" s="1524"/>
      <c r="F546" s="1"/>
      <c r="G546" s="1"/>
      <c r="H546" s="1"/>
      <c r="I546" s="1"/>
      <c r="L546" s="301"/>
      <c r="M546" s="301"/>
    </row>
    <row r="547" spans="1:13" customFormat="1" ht="12.75">
      <c r="A547" s="1524"/>
      <c r="F547" s="1"/>
      <c r="G547" s="1"/>
      <c r="H547" s="1"/>
      <c r="I547" s="1"/>
      <c r="L547" s="301"/>
      <c r="M547" s="301"/>
    </row>
    <row r="548" spans="1:13" customFormat="1" ht="12.75">
      <c r="A548" s="1524"/>
      <c r="F548" s="1"/>
      <c r="G548" s="1"/>
      <c r="H548" s="1"/>
      <c r="I548" s="1"/>
      <c r="L548" s="301"/>
      <c r="M548" s="301"/>
    </row>
    <row r="549" spans="1:13" customFormat="1" ht="12.75">
      <c r="A549" s="1524"/>
      <c r="F549" s="1"/>
      <c r="G549" s="1"/>
      <c r="H549" s="1"/>
      <c r="I549" s="1"/>
      <c r="L549" s="301"/>
      <c r="M549" s="301"/>
    </row>
    <row r="550" spans="1:13" customFormat="1" ht="12.75">
      <c r="A550" s="1524"/>
      <c r="F550" s="1"/>
      <c r="G550" s="1"/>
      <c r="H550" s="1"/>
      <c r="I550" s="1"/>
      <c r="L550" s="301"/>
      <c r="M550" s="301"/>
    </row>
    <row r="551" spans="1:13" customFormat="1" ht="12.75">
      <c r="A551" s="1524"/>
      <c r="F551" s="1"/>
      <c r="G551" s="1"/>
      <c r="H551" s="1"/>
      <c r="I551" s="1"/>
      <c r="L551" s="301"/>
      <c r="M551" s="301"/>
    </row>
    <row r="552" spans="1:13" customFormat="1" ht="12.75">
      <c r="A552" s="1524"/>
      <c r="F552" s="1"/>
      <c r="G552" s="1"/>
      <c r="H552" s="1"/>
      <c r="I552" s="1"/>
      <c r="L552" s="301"/>
      <c r="M552" s="301"/>
    </row>
    <row r="553" spans="1:13" customFormat="1" ht="12.75">
      <c r="A553" s="1524"/>
      <c r="F553" s="1"/>
      <c r="G553" s="1"/>
      <c r="H553" s="1"/>
      <c r="I553" s="1"/>
      <c r="L553" s="301"/>
      <c r="M553" s="301"/>
    </row>
    <row r="554" spans="1:13" customFormat="1" ht="12.75">
      <c r="A554" s="1524"/>
      <c r="F554" s="1"/>
      <c r="G554" s="1"/>
      <c r="H554" s="1"/>
      <c r="I554" s="1"/>
      <c r="L554" s="301"/>
      <c r="M554" s="301"/>
    </row>
    <row r="555" spans="1:13" customFormat="1" ht="12.75">
      <c r="A555" s="1524"/>
      <c r="F555" s="1"/>
      <c r="G555" s="1"/>
      <c r="H555" s="1"/>
      <c r="I555" s="1"/>
      <c r="L555" s="301"/>
      <c r="M555" s="301"/>
    </row>
    <row r="556" spans="1:13" customFormat="1" ht="12.75">
      <c r="A556" s="1524"/>
      <c r="F556" s="1"/>
      <c r="G556" s="1"/>
      <c r="H556" s="1"/>
      <c r="I556" s="1"/>
      <c r="L556" s="301"/>
      <c r="M556" s="301"/>
    </row>
    <row r="557" spans="1:13" customFormat="1" ht="12.75">
      <c r="A557" s="1524"/>
      <c r="F557" s="1"/>
      <c r="G557" s="1"/>
      <c r="H557" s="1"/>
      <c r="I557" s="1"/>
      <c r="L557" s="301"/>
      <c r="M557" s="301"/>
    </row>
    <row r="558" spans="1:13" customFormat="1" ht="12.75">
      <c r="A558" s="1524"/>
      <c r="F558" s="1"/>
      <c r="G558" s="1"/>
      <c r="H558" s="1"/>
      <c r="I558" s="1"/>
      <c r="L558" s="301"/>
      <c r="M558" s="301"/>
    </row>
    <row r="559" spans="1:13" customFormat="1" ht="12.75">
      <c r="A559" s="1524"/>
      <c r="F559" s="1"/>
      <c r="G559" s="1"/>
      <c r="H559" s="1"/>
      <c r="I559" s="1"/>
      <c r="L559" s="301"/>
      <c r="M559" s="301"/>
    </row>
    <row r="560" spans="1:13" customFormat="1" ht="12.75">
      <c r="A560" s="1524"/>
      <c r="F560" s="1"/>
      <c r="G560" s="1"/>
      <c r="H560" s="1"/>
      <c r="I560" s="1"/>
      <c r="L560" s="301"/>
      <c r="M560" s="301"/>
    </row>
    <row r="561" spans="1:13" customFormat="1" ht="12.75">
      <c r="A561" s="1524"/>
      <c r="F561" s="1"/>
      <c r="G561" s="1"/>
      <c r="H561" s="1"/>
      <c r="I561" s="1"/>
      <c r="L561" s="301"/>
      <c r="M561" s="301"/>
    </row>
    <row r="562" spans="1:13" customFormat="1" ht="12.75">
      <c r="A562" s="1524"/>
      <c r="F562" s="1"/>
      <c r="G562" s="1"/>
      <c r="H562" s="1"/>
      <c r="I562" s="1"/>
      <c r="L562" s="301"/>
      <c r="M562" s="301"/>
    </row>
    <row r="563" spans="1:13" customFormat="1" ht="12.75">
      <c r="A563" s="1524"/>
      <c r="F563" s="1"/>
      <c r="G563" s="1"/>
      <c r="H563" s="1"/>
      <c r="I563" s="1"/>
      <c r="L563" s="301"/>
      <c r="M563" s="301"/>
    </row>
    <row r="564" spans="1:13" customFormat="1" ht="12.75">
      <c r="A564" s="1524"/>
      <c r="F564" s="1"/>
      <c r="G564" s="1"/>
      <c r="H564" s="1"/>
      <c r="I564" s="1"/>
      <c r="L564" s="301"/>
      <c r="M564" s="301"/>
    </row>
    <row r="565" spans="1:13" customFormat="1" ht="12.75">
      <c r="A565" s="1524"/>
      <c r="F565" s="1"/>
      <c r="G565" s="1"/>
      <c r="H565" s="1"/>
      <c r="I565" s="1"/>
      <c r="L565" s="301"/>
      <c r="M565" s="301"/>
    </row>
    <row r="566" spans="1:13" customFormat="1" ht="12.75">
      <c r="A566" s="1524"/>
      <c r="F566" s="1"/>
      <c r="G566" s="1"/>
      <c r="H566" s="1"/>
      <c r="I566" s="1"/>
      <c r="L566" s="301"/>
      <c r="M566" s="301"/>
    </row>
    <row r="567" spans="1:13" customFormat="1" ht="12.75">
      <c r="A567" s="1524"/>
      <c r="F567" s="1"/>
      <c r="G567" s="1"/>
      <c r="H567" s="1"/>
      <c r="I567" s="1"/>
      <c r="L567" s="301"/>
      <c r="M567" s="301"/>
    </row>
    <row r="568" spans="1:13" customFormat="1" ht="12.75">
      <c r="A568" s="1524"/>
      <c r="F568" s="1"/>
      <c r="G568" s="1"/>
      <c r="H568" s="1"/>
      <c r="I568" s="1"/>
      <c r="L568" s="301"/>
      <c r="M568" s="301"/>
    </row>
    <row r="569" spans="1:13" customFormat="1" ht="12.75">
      <c r="A569" s="1524"/>
      <c r="F569" s="1"/>
      <c r="G569" s="1"/>
      <c r="H569" s="1"/>
      <c r="I569" s="1"/>
      <c r="L569" s="301"/>
      <c r="M569" s="301"/>
    </row>
    <row r="570" spans="1:13" customFormat="1" ht="12.75">
      <c r="A570" s="1524"/>
      <c r="F570" s="1"/>
      <c r="G570" s="1"/>
      <c r="H570" s="1"/>
      <c r="I570" s="1"/>
      <c r="L570" s="301"/>
      <c r="M570" s="301"/>
    </row>
    <row r="571" spans="1:13" customFormat="1" ht="12.75">
      <c r="A571" s="1524"/>
      <c r="F571" s="1"/>
      <c r="G571" s="1"/>
      <c r="H571" s="1"/>
      <c r="I571" s="1"/>
      <c r="L571" s="301"/>
      <c r="M571" s="301"/>
    </row>
    <row r="572" spans="1:13" customFormat="1" ht="12.75">
      <c r="A572" s="1524"/>
      <c r="F572" s="1"/>
      <c r="G572" s="1"/>
      <c r="H572" s="1"/>
      <c r="I572" s="1"/>
      <c r="L572" s="301"/>
      <c r="M572" s="301"/>
    </row>
    <row r="573" spans="1:13" customFormat="1" ht="12.75">
      <c r="A573" s="1524"/>
      <c r="F573" s="1"/>
      <c r="G573" s="1"/>
      <c r="H573" s="1"/>
      <c r="I573" s="1"/>
      <c r="L573" s="301"/>
      <c r="M573" s="301"/>
    </row>
    <row r="574" spans="1:13" customFormat="1" ht="12.75">
      <c r="A574" s="1524"/>
      <c r="F574" s="1"/>
      <c r="G574" s="1"/>
      <c r="H574" s="1"/>
      <c r="I574" s="1"/>
      <c r="L574" s="301"/>
      <c r="M574" s="301"/>
    </row>
    <row r="575" spans="1:13" customFormat="1" ht="12.75">
      <c r="A575" s="1524"/>
      <c r="F575" s="1"/>
      <c r="G575" s="1"/>
      <c r="H575" s="1"/>
      <c r="I575" s="1"/>
      <c r="L575" s="301"/>
      <c r="M575" s="301"/>
    </row>
    <row r="576" spans="1:13" customFormat="1" ht="12.75">
      <c r="A576" s="1524"/>
      <c r="F576" s="1"/>
      <c r="G576" s="1"/>
      <c r="H576" s="1"/>
      <c r="I576" s="1"/>
      <c r="L576" s="301"/>
      <c r="M576" s="301"/>
    </row>
    <row r="577" spans="1:13" customFormat="1" ht="12.75">
      <c r="A577" s="1524"/>
      <c r="F577" s="1"/>
      <c r="G577" s="1"/>
      <c r="H577" s="1"/>
      <c r="I577" s="1"/>
      <c r="L577" s="301"/>
      <c r="M577" s="301"/>
    </row>
    <row r="578" spans="1:13" customFormat="1" ht="12.75">
      <c r="A578" s="1524"/>
      <c r="F578" s="1"/>
      <c r="G578" s="1"/>
      <c r="H578" s="1"/>
      <c r="I578" s="1"/>
      <c r="L578" s="301"/>
      <c r="M578" s="301"/>
    </row>
    <row r="579" spans="1:13" customFormat="1" ht="12.75">
      <c r="A579" s="1524"/>
      <c r="F579" s="1"/>
      <c r="G579" s="1"/>
      <c r="H579" s="1"/>
      <c r="I579" s="1"/>
      <c r="L579" s="301"/>
      <c r="M579" s="301"/>
    </row>
    <row r="580" spans="1:13" customFormat="1" ht="12.75">
      <c r="A580" s="1524"/>
      <c r="F580" s="1"/>
      <c r="G580" s="1"/>
      <c r="H580" s="1"/>
      <c r="I580" s="1"/>
      <c r="L580" s="301"/>
      <c r="M580" s="301"/>
    </row>
    <row r="581" spans="1:13" customFormat="1" ht="12.75">
      <c r="A581" s="1524"/>
      <c r="F581" s="1"/>
      <c r="G581" s="1"/>
      <c r="H581" s="1"/>
      <c r="I581" s="1"/>
      <c r="L581" s="301"/>
      <c r="M581" s="301"/>
    </row>
    <row r="582" spans="1:13" customFormat="1" ht="12.75">
      <c r="A582" s="1524"/>
      <c r="F582" s="1"/>
      <c r="G582" s="1"/>
      <c r="H582" s="1"/>
      <c r="I582" s="1"/>
      <c r="L582" s="301"/>
      <c r="M582" s="301"/>
    </row>
    <row r="583" spans="1:13" customFormat="1" ht="12.75">
      <c r="A583" s="1524"/>
      <c r="F583" s="1"/>
      <c r="G583" s="1"/>
      <c r="H583" s="1"/>
      <c r="I583" s="1"/>
      <c r="L583" s="301"/>
      <c r="M583" s="301"/>
    </row>
    <row r="584" spans="1:13" customFormat="1" ht="12.75">
      <c r="A584" s="1524"/>
      <c r="F584" s="1"/>
      <c r="G584" s="1"/>
      <c r="H584" s="1"/>
      <c r="I584" s="1"/>
      <c r="L584" s="301"/>
      <c r="M584" s="301"/>
    </row>
    <row r="585" spans="1:13" customFormat="1" ht="12.75">
      <c r="A585" s="1524"/>
      <c r="F585" s="1"/>
      <c r="G585" s="1"/>
      <c r="H585" s="1"/>
      <c r="I585" s="1"/>
      <c r="L585" s="301"/>
      <c r="M585" s="301"/>
    </row>
    <row r="586" spans="1:13" customFormat="1" ht="12.75">
      <c r="A586" s="1524"/>
      <c r="F586" s="1"/>
      <c r="G586" s="1"/>
      <c r="H586" s="1"/>
      <c r="I586" s="1"/>
      <c r="L586" s="301"/>
      <c r="M586" s="301"/>
    </row>
    <row r="587" spans="1:13" customFormat="1" ht="12.75">
      <c r="A587" s="1524"/>
      <c r="F587" s="1"/>
      <c r="G587" s="1"/>
      <c r="H587" s="1"/>
      <c r="I587" s="1"/>
      <c r="L587" s="301"/>
      <c r="M587" s="301"/>
    </row>
    <row r="588" spans="1:13" customFormat="1" ht="12.75">
      <c r="A588" s="1524"/>
      <c r="F588" s="1"/>
      <c r="G588" s="1"/>
      <c r="H588" s="1"/>
      <c r="I588" s="1"/>
      <c r="L588" s="301"/>
      <c r="M588" s="301"/>
    </row>
    <row r="589" spans="1:13" customFormat="1" ht="12.75">
      <c r="A589" s="1524"/>
      <c r="F589" s="1"/>
      <c r="G589" s="1"/>
      <c r="H589" s="1"/>
      <c r="I589" s="1"/>
      <c r="L589" s="301"/>
      <c r="M589" s="301"/>
    </row>
    <row r="590" spans="1:13" customFormat="1" ht="12.75">
      <c r="A590" s="1524"/>
      <c r="F590" s="1"/>
      <c r="G590" s="1"/>
      <c r="H590" s="1"/>
      <c r="I590" s="1"/>
      <c r="L590" s="301"/>
      <c r="M590" s="301"/>
    </row>
    <row r="591" spans="1:13" customFormat="1" ht="12.75">
      <c r="A591" s="1524"/>
      <c r="F591" s="1"/>
      <c r="G591" s="1"/>
      <c r="H591" s="1"/>
      <c r="I591" s="1"/>
      <c r="L591" s="301"/>
      <c r="M591" s="301"/>
    </row>
    <row r="592" spans="1:13" customFormat="1" ht="12.75">
      <c r="A592" s="1524"/>
      <c r="F592" s="1"/>
      <c r="G592" s="1"/>
      <c r="H592" s="1"/>
      <c r="I592" s="1"/>
      <c r="L592" s="301"/>
      <c r="M592" s="301"/>
    </row>
    <row r="593" spans="1:13" customFormat="1" ht="12.75">
      <c r="A593" s="1524"/>
      <c r="F593" s="1"/>
      <c r="G593" s="1"/>
      <c r="H593" s="1"/>
      <c r="I593" s="1"/>
      <c r="L593" s="301"/>
      <c r="M593" s="301"/>
    </row>
    <row r="594" spans="1:13" customFormat="1" ht="12.75">
      <c r="A594" s="1524"/>
      <c r="F594" s="1"/>
      <c r="G594" s="1"/>
      <c r="H594" s="1"/>
      <c r="I594" s="1"/>
      <c r="L594" s="301"/>
      <c r="M594" s="301"/>
    </row>
    <row r="595" spans="1:13" customFormat="1" ht="12.75">
      <c r="A595" s="1524"/>
      <c r="F595" s="1"/>
      <c r="G595" s="1"/>
      <c r="H595" s="1"/>
      <c r="I595" s="1"/>
      <c r="L595" s="301"/>
      <c r="M595" s="301"/>
    </row>
    <row r="596" spans="1:13" customFormat="1" ht="12.75">
      <c r="A596" s="1524"/>
      <c r="F596" s="1"/>
      <c r="G596" s="1"/>
      <c r="H596" s="1"/>
      <c r="I596" s="1"/>
      <c r="L596" s="301"/>
      <c r="M596" s="301"/>
    </row>
    <row r="597" spans="1:13" customFormat="1" ht="12.75">
      <c r="A597" s="1524"/>
      <c r="F597" s="1"/>
      <c r="G597" s="1"/>
      <c r="H597" s="1"/>
      <c r="I597" s="1"/>
      <c r="L597" s="301"/>
      <c r="M597" s="301"/>
    </row>
    <row r="598" spans="1:13" customFormat="1" ht="12.75">
      <c r="A598" s="1524"/>
      <c r="F598" s="1"/>
      <c r="G598" s="1"/>
      <c r="H598" s="1"/>
      <c r="I598" s="1"/>
      <c r="L598" s="301"/>
      <c r="M598" s="301"/>
    </row>
    <row r="599" spans="1:13" customFormat="1" ht="12.75">
      <c r="A599" s="1524"/>
      <c r="F599" s="1"/>
      <c r="G599" s="1"/>
      <c r="H599" s="1"/>
      <c r="I599" s="1"/>
      <c r="L599" s="301"/>
      <c r="M599" s="301"/>
    </row>
    <row r="600" spans="1:13" customFormat="1" ht="12.75">
      <c r="A600" s="1524"/>
      <c r="F600" s="1"/>
      <c r="G600" s="1"/>
      <c r="H600" s="1"/>
      <c r="I600" s="1"/>
      <c r="L600" s="301"/>
      <c r="M600" s="301"/>
    </row>
    <row r="601" spans="1:13" customFormat="1" ht="12.75">
      <c r="A601" s="1524"/>
      <c r="F601" s="1"/>
      <c r="G601" s="1"/>
      <c r="H601" s="1"/>
      <c r="I601" s="1"/>
      <c r="L601" s="301"/>
      <c r="M601" s="301"/>
    </row>
    <row r="602" spans="1:13" customFormat="1" ht="12.75">
      <c r="A602" s="1524"/>
      <c r="F602" s="1"/>
      <c r="G602" s="1"/>
      <c r="H602" s="1"/>
      <c r="I602" s="1"/>
      <c r="L602" s="301"/>
      <c r="M602" s="301"/>
    </row>
    <row r="603" spans="1:13" customFormat="1" ht="12.75">
      <c r="A603" s="1524"/>
      <c r="F603" s="1"/>
      <c r="G603" s="1"/>
      <c r="H603" s="1"/>
      <c r="I603" s="1"/>
      <c r="L603" s="301"/>
      <c r="M603" s="301"/>
    </row>
    <row r="604" spans="1:13" customFormat="1" ht="12.75">
      <c r="A604" s="1524"/>
      <c r="F604" s="1"/>
      <c r="G604" s="1"/>
      <c r="H604" s="1"/>
      <c r="I604" s="1"/>
      <c r="L604" s="301"/>
      <c r="M604" s="301"/>
    </row>
    <row r="605" spans="1:13" customFormat="1" ht="12.75">
      <c r="A605" s="1524"/>
      <c r="F605" s="1"/>
      <c r="G605" s="1"/>
      <c r="H605" s="1"/>
      <c r="I605" s="1"/>
      <c r="L605" s="301"/>
      <c r="M605" s="301"/>
    </row>
    <row r="606" spans="1:13" customFormat="1" ht="12.75">
      <c r="A606" s="1524"/>
      <c r="F606" s="1"/>
      <c r="G606" s="1"/>
      <c r="H606" s="1"/>
      <c r="I606" s="1"/>
      <c r="L606" s="301"/>
      <c r="M606" s="301"/>
    </row>
    <row r="607" spans="1:13" customFormat="1" ht="12.75">
      <c r="A607" s="1524"/>
      <c r="F607" s="1"/>
      <c r="G607" s="1"/>
      <c r="H607" s="1"/>
      <c r="I607" s="1"/>
      <c r="L607" s="301"/>
      <c r="M607" s="301"/>
    </row>
    <row r="608" spans="1:13" customFormat="1" ht="12.75">
      <c r="A608" s="1524"/>
      <c r="F608" s="1"/>
      <c r="G608" s="1"/>
      <c r="H608" s="1"/>
      <c r="I608" s="1"/>
      <c r="L608" s="301"/>
      <c r="M608" s="301"/>
    </row>
    <row r="609" spans="1:13" customFormat="1" ht="12.75">
      <c r="A609" s="1524"/>
      <c r="F609" s="1"/>
      <c r="G609" s="1"/>
      <c r="H609" s="1"/>
      <c r="I609" s="1"/>
      <c r="L609" s="301"/>
      <c r="M609" s="301"/>
    </row>
    <row r="610" spans="1:13" customFormat="1" ht="12.75">
      <c r="A610" s="1524"/>
      <c r="F610" s="1"/>
      <c r="G610" s="1"/>
      <c r="H610" s="1"/>
      <c r="I610" s="1"/>
      <c r="L610" s="301"/>
      <c r="M610" s="301"/>
    </row>
    <row r="611" spans="1:13" customFormat="1" ht="12.75">
      <c r="A611" s="1524"/>
      <c r="F611" s="1"/>
      <c r="G611" s="1"/>
      <c r="H611" s="1"/>
      <c r="I611" s="1"/>
      <c r="L611" s="301"/>
      <c r="M611" s="301"/>
    </row>
    <row r="612" spans="1:13" customFormat="1" ht="12.75">
      <c r="A612" s="1524"/>
      <c r="F612" s="1"/>
      <c r="G612" s="1"/>
      <c r="H612" s="1"/>
      <c r="I612" s="1"/>
      <c r="L612" s="301"/>
      <c r="M612" s="301"/>
    </row>
    <row r="613" spans="1:13" customFormat="1" ht="12.75">
      <c r="A613" s="1524"/>
      <c r="F613" s="1"/>
      <c r="G613" s="1"/>
      <c r="H613" s="1"/>
      <c r="I613" s="1"/>
      <c r="L613" s="301"/>
      <c r="M613" s="301"/>
    </row>
    <row r="614" spans="1:13" customFormat="1" ht="12.75">
      <c r="A614" s="1524"/>
      <c r="F614" s="1"/>
      <c r="G614" s="1"/>
      <c r="H614" s="1"/>
      <c r="I614" s="1"/>
      <c r="L614" s="301"/>
      <c r="M614" s="301"/>
    </row>
    <row r="615" spans="1:13" customFormat="1" ht="12.75">
      <c r="A615" s="1524"/>
      <c r="F615" s="1"/>
      <c r="G615" s="1"/>
      <c r="H615" s="1"/>
      <c r="I615" s="1"/>
      <c r="L615" s="301"/>
      <c r="M615" s="301"/>
    </row>
    <row r="616" spans="1:13" customFormat="1" ht="12.75">
      <c r="A616" s="1524"/>
      <c r="F616" s="1"/>
      <c r="G616" s="1"/>
      <c r="H616" s="1"/>
      <c r="I616" s="1"/>
      <c r="L616" s="301"/>
      <c r="M616" s="301"/>
    </row>
    <row r="617" spans="1:13" customFormat="1" ht="12.75">
      <c r="A617" s="1524"/>
      <c r="F617" s="1"/>
      <c r="G617" s="1"/>
      <c r="H617" s="1"/>
      <c r="I617" s="1"/>
      <c r="L617" s="301"/>
      <c r="M617" s="301"/>
    </row>
    <row r="618" spans="1:13" customFormat="1" ht="12.75">
      <c r="A618" s="1524"/>
      <c r="F618" s="1"/>
      <c r="G618" s="1"/>
      <c r="H618" s="1"/>
      <c r="I618" s="1"/>
      <c r="L618" s="301"/>
      <c r="M618" s="301"/>
    </row>
    <row r="619" spans="1:13" customFormat="1" ht="12.75">
      <c r="A619" s="1524"/>
      <c r="F619" s="1"/>
      <c r="G619" s="1"/>
      <c r="H619" s="1"/>
      <c r="I619" s="1"/>
      <c r="L619" s="301"/>
      <c r="M619" s="301"/>
    </row>
    <row r="620" spans="1:13" customFormat="1" ht="12.75">
      <c r="A620" s="1524"/>
      <c r="F620" s="1"/>
      <c r="G620" s="1"/>
      <c r="H620" s="1"/>
      <c r="I620" s="1"/>
      <c r="L620" s="301"/>
      <c r="M620" s="301"/>
    </row>
    <row r="621" spans="1:13" customFormat="1" ht="12.75">
      <c r="A621" s="1524"/>
      <c r="F621" s="1"/>
      <c r="G621" s="1"/>
      <c r="H621" s="1"/>
      <c r="I621" s="1"/>
      <c r="L621" s="301"/>
      <c r="M621" s="301"/>
    </row>
    <row r="622" spans="1:13" customFormat="1" ht="12.75">
      <c r="A622" s="1524"/>
      <c r="F622" s="1"/>
      <c r="G622" s="1"/>
      <c r="H622" s="1"/>
      <c r="I622" s="1"/>
      <c r="L622" s="301"/>
      <c r="M622" s="301"/>
    </row>
    <row r="623" spans="1:13" customFormat="1" ht="12.75">
      <c r="A623" s="1524"/>
      <c r="F623" s="1"/>
      <c r="G623" s="1"/>
      <c r="H623" s="1"/>
      <c r="I623" s="1"/>
      <c r="L623" s="301"/>
      <c r="M623" s="301"/>
    </row>
    <row r="624" spans="1:13" customFormat="1" ht="12.75">
      <c r="A624" s="1524"/>
      <c r="F624" s="1"/>
      <c r="G624" s="1"/>
      <c r="H624" s="1"/>
      <c r="I624" s="1"/>
      <c r="L624" s="301"/>
      <c r="M624" s="301"/>
    </row>
    <row r="625" spans="1:13" customFormat="1" ht="12.75">
      <c r="A625" s="1524"/>
      <c r="F625" s="1"/>
      <c r="G625" s="1"/>
      <c r="H625" s="1"/>
      <c r="I625" s="1"/>
      <c r="L625" s="301"/>
      <c r="M625" s="301"/>
    </row>
    <row r="626" spans="1:13" customFormat="1" ht="12.75">
      <c r="A626" s="1524"/>
      <c r="F626" s="1"/>
      <c r="G626" s="1"/>
      <c r="H626" s="1"/>
      <c r="I626" s="1"/>
      <c r="L626" s="301"/>
      <c r="M626" s="301"/>
    </row>
    <row r="627" spans="1:13" customFormat="1" ht="12.75">
      <c r="A627" s="1524"/>
      <c r="F627" s="1"/>
      <c r="G627" s="1"/>
      <c r="H627" s="1"/>
      <c r="I627" s="1"/>
      <c r="L627" s="301"/>
      <c r="M627" s="301"/>
    </row>
    <row r="628" spans="1:13" customFormat="1" ht="12.75">
      <c r="A628" s="1524"/>
      <c r="F628" s="1"/>
      <c r="G628" s="1"/>
      <c r="H628" s="1"/>
      <c r="I628" s="1"/>
      <c r="L628" s="301"/>
      <c r="M628" s="301"/>
    </row>
    <row r="629" spans="1:13" customFormat="1" ht="12.75">
      <c r="A629" s="1524"/>
      <c r="F629" s="1"/>
      <c r="G629" s="1"/>
      <c r="H629" s="1"/>
      <c r="I629" s="1"/>
      <c r="L629" s="301"/>
      <c r="M629" s="301"/>
    </row>
    <row r="630" spans="1:13" customFormat="1" ht="12.75">
      <c r="A630" s="1524"/>
      <c r="F630" s="1"/>
      <c r="G630" s="1"/>
      <c r="H630" s="1"/>
      <c r="I630" s="1"/>
      <c r="L630" s="301"/>
      <c r="M630" s="301"/>
    </row>
    <row r="631" spans="1:13" customFormat="1" ht="12.75">
      <c r="A631" s="1524"/>
      <c r="F631" s="1"/>
      <c r="G631" s="1"/>
      <c r="H631" s="1"/>
      <c r="I631" s="1"/>
      <c r="L631" s="301"/>
      <c r="M631" s="301"/>
    </row>
    <row r="632" spans="1:13" customFormat="1" ht="12.75">
      <c r="A632" s="1524"/>
      <c r="F632" s="1"/>
      <c r="G632" s="1"/>
      <c r="H632" s="1"/>
      <c r="I632" s="1"/>
      <c r="L632" s="301"/>
      <c r="M632" s="301"/>
    </row>
    <row r="633" spans="1:13" customFormat="1" ht="12.75">
      <c r="A633" s="1524"/>
      <c r="F633" s="1"/>
      <c r="G633" s="1"/>
      <c r="H633" s="1"/>
      <c r="I633" s="1"/>
      <c r="L633" s="301"/>
      <c r="M633" s="301"/>
    </row>
    <row r="634" spans="1:13" customFormat="1" ht="12.75">
      <c r="A634" s="1524"/>
      <c r="F634" s="1"/>
      <c r="G634" s="1"/>
      <c r="H634" s="1"/>
      <c r="I634" s="1"/>
      <c r="L634" s="301"/>
      <c r="M634" s="301"/>
    </row>
    <row r="635" spans="1:13" customFormat="1" ht="12.75">
      <c r="A635" s="1524"/>
      <c r="F635" s="1"/>
      <c r="G635" s="1"/>
      <c r="H635" s="1"/>
      <c r="I635" s="1"/>
      <c r="L635" s="301"/>
      <c r="M635" s="301"/>
    </row>
    <row r="636" spans="1:13" customFormat="1" ht="12.75">
      <c r="A636" s="1524"/>
      <c r="F636" s="1"/>
      <c r="G636" s="1"/>
      <c r="H636" s="1"/>
      <c r="I636" s="1"/>
      <c r="L636" s="301"/>
      <c r="M636" s="301"/>
    </row>
    <row r="637" spans="1:13" customFormat="1" ht="12.75">
      <c r="A637" s="1524"/>
      <c r="F637" s="1"/>
      <c r="G637" s="1"/>
      <c r="H637" s="1"/>
      <c r="I637" s="1"/>
      <c r="L637" s="301"/>
      <c r="M637" s="301"/>
    </row>
    <row r="638" spans="1:13" customFormat="1" ht="12.75">
      <c r="A638" s="1524"/>
      <c r="F638" s="1"/>
      <c r="G638" s="1"/>
      <c r="H638" s="1"/>
      <c r="I638" s="1"/>
      <c r="L638" s="301"/>
      <c r="M638" s="301"/>
    </row>
    <row r="639" spans="1:13" customFormat="1" ht="12.75">
      <c r="A639" s="1524"/>
      <c r="F639" s="1"/>
      <c r="G639" s="1"/>
      <c r="H639" s="1"/>
      <c r="I639" s="1"/>
      <c r="L639" s="301"/>
      <c r="M639" s="301"/>
    </row>
    <row r="640" spans="1:13" customFormat="1" ht="12.75">
      <c r="A640" s="1524"/>
      <c r="F640" s="1"/>
      <c r="G640" s="1"/>
      <c r="H640" s="1"/>
      <c r="I640" s="1"/>
      <c r="L640" s="301"/>
      <c r="M640" s="301"/>
    </row>
    <row r="641" spans="1:13" customFormat="1" ht="12.75">
      <c r="A641" s="1524"/>
      <c r="F641" s="1"/>
      <c r="G641" s="1"/>
      <c r="H641" s="1"/>
      <c r="I641" s="1"/>
      <c r="L641" s="301"/>
      <c r="M641" s="301"/>
    </row>
    <row r="642" spans="1:13" customFormat="1" ht="12.75">
      <c r="A642" s="1524"/>
      <c r="F642" s="1"/>
      <c r="G642" s="1"/>
      <c r="H642" s="1"/>
      <c r="I642" s="1"/>
      <c r="L642" s="301"/>
      <c r="M642" s="301"/>
    </row>
    <row r="643" spans="1:13" customFormat="1" ht="12.75">
      <c r="A643" s="1524"/>
      <c r="F643" s="1"/>
      <c r="G643" s="1"/>
      <c r="H643" s="1"/>
      <c r="I643" s="1"/>
      <c r="L643" s="301"/>
      <c r="M643" s="301"/>
    </row>
    <row r="644" spans="1:13" customFormat="1" ht="12.75">
      <c r="A644" s="1524"/>
      <c r="F644" s="1"/>
      <c r="G644" s="1"/>
      <c r="H644" s="1"/>
      <c r="I644" s="1"/>
      <c r="L644" s="301"/>
      <c r="M644" s="301"/>
    </row>
    <row r="645" spans="1:13" customFormat="1" ht="12.75">
      <c r="A645" s="1524"/>
      <c r="F645" s="1"/>
      <c r="G645" s="1"/>
      <c r="H645" s="1"/>
      <c r="I645" s="1"/>
      <c r="L645" s="301"/>
      <c r="M645" s="301"/>
    </row>
    <row r="646" spans="1:13" customFormat="1" ht="12.75">
      <c r="A646" s="1524"/>
      <c r="F646" s="1"/>
      <c r="G646" s="1"/>
      <c r="H646" s="1"/>
      <c r="I646" s="1"/>
      <c r="L646" s="301"/>
      <c r="M646" s="301"/>
    </row>
    <row r="647" spans="1:13" customFormat="1" ht="12.75">
      <c r="A647" s="1524"/>
      <c r="F647" s="1"/>
      <c r="G647" s="1"/>
      <c r="H647" s="1"/>
      <c r="I647" s="1"/>
      <c r="L647" s="301"/>
      <c r="M647" s="301"/>
    </row>
    <row r="648" spans="1:13" customFormat="1" ht="12.75">
      <c r="A648" s="1524"/>
      <c r="F648" s="1"/>
      <c r="G648" s="1"/>
      <c r="H648" s="1"/>
      <c r="I648" s="1"/>
      <c r="L648" s="301"/>
      <c r="M648" s="301"/>
    </row>
    <row r="649" spans="1:13" customFormat="1" ht="12.75">
      <c r="A649" s="1524"/>
      <c r="F649" s="1"/>
      <c r="G649" s="1"/>
      <c r="H649" s="1"/>
      <c r="I649" s="1"/>
      <c r="L649" s="301"/>
      <c r="M649" s="301"/>
    </row>
    <row r="650" spans="1:13" customFormat="1" ht="12.75">
      <c r="A650" s="1524"/>
      <c r="F650" s="1"/>
      <c r="G650" s="1"/>
      <c r="H650" s="1"/>
      <c r="I650" s="1"/>
      <c r="L650" s="301"/>
      <c r="M650" s="301"/>
    </row>
    <row r="651" spans="1:13" customFormat="1" ht="12.75">
      <c r="A651" s="1524"/>
      <c r="F651" s="1"/>
      <c r="G651" s="1"/>
      <c r="H651" s="1"/>
      <c r="I651" s="1"/>
      <c r="L651" s="301"/>
      <c r="M651" s="301"/>
    </row>
    <row r="652" spans="1:13" customFormat="1" ht="12.75">
      <c r="A652" s="1524"/>
      <c r="F652" s="1"/>
      <c r="G652" s="1"/>
      <c r="H652" s="1"/>
      <c r="I652" s="1"/>
      <c r="L652" s="301"/>
      <c r="M652" s="301"/>
    </row>
    <row r="653" spans="1:13" customFormat="1" ht="12.75">
      <c r="A653" s="1524"/>
      <c r="F653" s="1"/>
      <c r="G653" s="1"/>
      <c r="H653" s="1"/>
      <c r="I653" s="1"/>
      <c r="L653" s="301"/>
      <c r="M653" s="301"/>
    </row>
    <row r="654" spans="1:13" customFormat="1" ht="12.75">
      <c r="A654" s="1524"/>
      <c r="F654" s="1"/>
      <c r="G654" s="1"/>
      <c r="H654" s="1"/>
      <c r="I654" s="1"/>
      <c r="L654" s="301"/>
      <c r="M654" s="301"/>
    </row>
    <row r="655" spans="1:13" customFormat="1" ht="12.75">
      <c r="A655" s="1524"/>
      <c r="F655" s="1"/>
      <c r="G655" s="1"/>
      <c r="H655" s="1"/>
      <c r="I655" s="1"/>
      <c r="L655" s="301"/>
      <c r="M655" s="301"/>
    </row>
    <row r="656" spans="1:13" customFormat="1" ht="12.75">
      <c r="A656" s="1524"/>
      <c r="F656" s="1"/>
      <c r="G656" s="1"/>
      <c r="H656" s="1"/>
      <c r="I656" s="1"/>
      <c r="L656" s="301"/>
      <c r="M656" s="301"/>
    </row>
    <row r="657" spans="1:13" customFormat="1" ht="12.75">
      <c r="A657" s="1524"/>
      <c r="F657" s="1"/>
      <c r="G657" s="1"/>
      <c r="H657" s="1"/>
      <c r="I657" s="1"/>
      <c r="L657" s="301"/>
      <c r="M657" s="301"/>
    </row>
    <row r="658" spans="1:13" customFormat="1" ht="12.75">
      <c r="A658" s="1524"/>
      <c r="F658" s="1"/>
      <c r="G658" s="1"/>
      <c r="H658" s="1"/>
      <c r="I658" s="1"/>
      <c r="L658" s="301"/>
      <c r="M658" s="301"/>
    </row>
    <row r="659" spans="1:13" customFormat="1" ht="12.75">
      <c r="A659" s="1524"/>
      <c r="F659" s="1"/>
      <c r="G659" s="1"/>
      <c r="H659" s="1"/>
      <c r="I659" s="1"/>
      <c r="L659" s="301"/>
      <c r="M659" s="301"/>
    </row>
    <row r="660" spans="1:13" customFormat="1" ht="12.75">
      <c r="A660" s="1524"/>
      <c r="F660" s="1"/>
      <c r="G660" s="1"/>
      <c r="H660" s="1"/>
      <c r="I660" s="1"/>
      <c r="L660" s="301"/>
      <c r="M660" s="301"/>
    </row>
    <row r="661" spans="1:13" customFormat="1" ht="12.75">
      <c r="A661" s="1524"/>
      <c r="F661" s="1"/>
      <c r="G661" s="1"/>
      <c r="H661" s="1"/>
      <c r="I661" s="1"/>
      <c r="L661" s="301"/>
      <c r="M661" s="301"/>
    </row>
    <row r="662" spans="1:13" customFormat="1" ht="12.75">
      <c r="A662" s="1524"/>
      <c r="F662" s="1"/>
      <c r="G662" s="1"/>
      <c r="H662" s="1"/>
      <c r="I662" s="1"/>
      <c r="L662" s="301"/>
      <c r="M662" s="301"/>
    </row>
    <row r="663" spans="1:13" customFormat="1" ht="12.75">
      <c r="A663" s="1524"/>
      <c r="F663" s="1"/>
      <c r="G663" s="1"/>
      <c r="H663" s="1"/>
      <c r="I663" s="1"/>
      <c r="L663" s="301"/>
      <c r="M663" s="301"/>
    </row>
    <row r="664" spans="1:13" customFormat="1" ht="12.75">
      <c r="A664" s="1524"/>
      <c r="F664" s="1"/>
      <c r="G664" s="1"/>
      <c r="H664" s="1"/>
      <c r="I664" s="1"/>
      <c r="L664" s="301"/>
      <c r="M664" s="301"/>
    </row>
    <row r="665" spans="1:13" customFormat="1" ht="12.75">
      <c r="A665" s="1524"/>
      <c r="F665" s="1"/>
      <c r="G665" s="1"/>
      <c r="H665" s="1"/>
      <c r="I665" s="1"/>
      <c r="L665" s="301"/>
      <c r="M665" s="301"/>
    </row>
    <row r="666" spans="1:13" customFormat="1" ht="12.75">
      <c r="A666" s="1524"/>
      <c r="F666" s="1"/>
      <c r="G666" s="1"/>
      <c r="H666" s="1"/>
      <c r="I666" s="1"/>
      <c r="L666" s="301"/>
      <c r="M666" s="301"/>
    </row>
    <row r="667" spans="1:13" customFormat="1" ht="12.75">
      <c r="A667" s="1524"/>
      <c r="F667" s="1"/>
      <c r="G667" s="1"/>
      <c r="H667" s="1"/>
      <c r="I667" s="1"/>
      <c r="L667" s="301"/>
      <c r="M667" s="301"/>
    </row>
    <row r="668" spans="1:13" customFormat="1" ht="12.75">
      <c r="A668" s="1524"/>
      <c r="F668" s="1"/>
      <c r="G668" s="1"/>
      <c r="H668" s="1"/>
      <c r="I668" s="1"/>
      <c r="L668" s="301"/>
      <c r="M668" s="301"/>
    </row>
    <row r="669" spans="1:13" customFormat="1" ht="12.75">
      <c r="A669" s="1524"/>
      <c r="F669" s="1"/>
      <c r="G669" s="1"/>
      <c r="H669" s="1"/>
      <c r="I669" s="1"/>
      <c r="L669" s="301"/>
      <c r="M669" s="301"/>
    </row>
    <row r="670" spans="1:13" customFormat="1" ht="12.75">
      <c r="A670" s="1524"/>
      <c r="F670" s="1"/>
      <c r="G670" s="1"/>
      <c r="H670" s="1"/>
      <c r="I670" s="1"/>
      <c r="L670" s="301"/>
      <c r="M670" s="301"/>
    </row>
    <row r="671" spans="1:13" customFormat="1" ht="12.75">
      <c r="A671" s="1524"/>
      <c r="F671" s="1"/>
      <c r="G671" s="1"/>
      <c r="H671" s="1"/>
      <c r="I671" s="1"/>
      <c r="L671" s="301"/>
      <c r="M671" s="301"/>
    </row>
    <row r="672" spans="1:13" customFormat="1" ht="12.75">
      <c r="A672" s="1524"/>
      <c r="F672" s="1"/>
      <c r="G672" s="1"/>
      <c r="H672" s="1"/>
      <c r="I672" s="1"/>
      <c r="L672" s="301"/>
      <c r="M672" s="301"/>
    </row>
    <row r="673" spans="1:13" customFormat="1" ht="12.75">
      <c r="A673" s="1524"/>
      <c r="F673" s="1"/>
      <c r="G673" s="1"/>
      <c r="H673" s="1"/>
      <c r="I673" s="1"/>
      <c r="L673" s="301"/>
      <c r="M673" s="301"/>
    </row>
    <row r="674" spans="1:13" customFormat="1" ht="12.75">
      <c r="A674" s="1524"/>
      <c r="F674" s="1"/>
      <c r="G674" s="1"/>
      <c r="H674" s="1"/>
      <c r="I674" s="1"/>
      <c r="L674" s="301"/>
      <c r="M674" s="301"/>
    </row>
    <row r="675" spans="1:13" customFormat="1" ht="12.75">
      <c r="A675" s="1524"/>
      <c r="F675" s="1"/>
      <c r="G675" s="1"/>
      <c r="H675" s="1"/>
      <c r="I675" s="1"/>
      <c r="L675" s="301"/>
      <c r="M675" s="301"/>
    </row>
    <row r="676" spans="1:13" customFormat="1" ht="12.75">
      <c r="A676" s="1524"/>
      <c r="F676" s="1"/>
      <c r="G676" s="1"/>
      <c r="H676" s="1"/>
      <c r="I676" s="1"/>
      <c r="L676" s="301"/>
      <c r="M676" s="301"/>
    </row>
    <row r="677" spans="1:13" customFormat="1" ht="12.75">
      <c r="A677" s="1524"/>
      <c r="F677" s="1"/>
      <c r="G677" s="1"/>
      <c r="H677" s="1"/>
      <c r="I677" s="1"/>
      <c r="L677" s="301"/>
      <c r="M677" s="301"/>
    </row>
    <row r="678" spans="1:13" customFormat="1" ht="12.75">
      <c r="A678" s="1524"/>
      <c r="F678" s="1"/>
      <c r="G678" s="1"/>
      <c r="H678" s="1"/>
      <c r="I678" s="1"/>
      <c r="L678" s="301"/>
      <c r="M678" s="301"/>
    </row>
    <row r="679" spans="1:13" customFormat="1" ht="12.75">
      <c r="A679" s="1524"/>
      <c r="F679" s="1"/>
      <c r="G679" s="1"/>
      <c r="H679" s="1"/>
      <c r="I679" s="1"/>
      <c r="L679" s="301"/>
      <c r="M679" s="301"/>
    </row>
    <row r="680" spans="1:13" customFormat="1" ht="12.75">
      <c r="A680" s="1524"/>
      <c r="F680" s="1"/>
      <c r="G680" s="1"/>
      <c r="H680" s="1"/>
      <c r="I680" s="1"/>
      <c r="L680" s="301"/>
      <c r="M680" s="301"/>
    </row>
    <row r="681" spans="1:13" customFormat="1" ht="12.75">
      <c r="A681" s="1524"/>
      <c r="F681" s="1"/>
      <c r="G681" s="1"/>
      <c r="H681" s="1"/>
      <c r="I681" s="1"/>
      <c r="L681" s="301"/>
      <c r="M681" s="301"/>
    </row>
    <row r="682" spans="1:13" customFormat="1" ht="12.75">
      <c r="A682" s="1524"/>
      <c r="F682" s="1"/>
      <c r="G682" s="1"/>
      <c r="H682" s="1"/>
      <c r="I682" s="1"/>
      <c r="L682" s="301"/>
      <c r="M682" s="301"/>
    </row>
    <row r="683" spans="1:13" customFormat="1" ht="12.75">
      <c r="A683" s="1524"/>
      <c r="F683" s="1"/>
      <c r="G683" s="1"/>
      <c r="H683" s="1"/>
      <c r="I683" s="1"/>
      <c r="L683" s="301"/>
      <c r="M683" s="301"/>
    </row>
    <row r="684" spans="1:13" customFormat="1" ht="12.75">
      <c r="A684" s="1524"/>
      <c r="F684" s="1"/>
      <c r="G684" s="1"/>
      <c r="H684" s="1"/>
      <c r="I684" s="1"/>
      <c r="L684" s="301"/>
      <c r="M684" s="301"/>
    </row>
    <row r="685" spans="1:13" customFormat="1" ht="12.75">
      <c r="A685" s="1524"/>
      <c r="F685" s="1"/>
      <c r="G685" s="1"/>
      <c r="H685" s="1"/>
      <c r="I685" s="1"/>
      <c r="L685" s="301"/>
      <c r="M685" s="301"/>
    </row>
    <row r="686" spans="1:13" customFormat="1" ht="12.75">
      <c r="A686" s="1524"/>
      <c r="F686" s="1"/>
      <c r="G686" s="1"/>
      <c r="H686" s="1"/>
      <c r="I686" s="1"/>
      <c r="L686" s="301"/>
      <c r="M686" s="301"/>
    </row>
    <row r="687" spans="1:13" customFormat="1" ht="12.75">
      <c r="A687" s="1524"/>
      <c r="F687" s="1"/>
      <c r="G687" s="1"/>
      <c r="H687" s="1"/>
      <c r="I687" s="1"/>
      <c r="L687" s="301"/>
      <c r="M687" s="301"/>
    </row>
    <row r="688" spans="1:13" customFormat="1" ht="12.75">
      <c r="A688" s="1524"/>
      <c r="F688" s="1"/>
      <c r="G688" s="1"/>
      <c r="H688" s="1"/>
      <c r="I688" s="1"/>
      <c r="L688" s="301"/>
      <c r="M688" s="301"/>
    </row>
    <row r="689" spans="1:13" customFormat="1" ht="12.75">
      <c r="A689" s="1524"/>
      <c r="F689" s="1"/>
      <c r="G689" s="1"/>
      <c r="H689" s="1"/>
      <c r="I689" s="1"/>
      <c r="L689" s="301"/>
      <c r="M689" s="301"/>
    </row>
    <row r="690" spans="1:13" customFormat="1" ht="12.75">
      <c r="A690" s="1524"/>
      <c r="F690" s="1"/>
      <c r="G690" s="1"/>
      <c r="H690" s="1"/>
      <c r="I690" s="1"/>
      <c r="L690" s="301"/>
      <c r="M690" s="301"/>
    </row>
    <row r="691" spans="1:13" customFormat="1" ht="12.75">
      <c r="A691" s="1524"/>
      <c r="F691" s="1"/>
      <c r="G691" s="1"/>
      <c r="H691" s="1"/>
      <c r="I691" s="1"/>
      <c r="L691" s="301"/>
      <c r="M691" s="301"/>
    </row>
    <row r="692" spans="1:13" customFormat="1" ht="12.75">
      <c r="A692" s="1524"/>
      <c r="F692" s="1"/>
      <c r="G692" s="1"/>
      <c r="H692" s="1"/>
      <c r="I692" s="1"/>
      <c r="L692" s="301"/>
      <c r="M692" s="301"/>
    </row>
    <row r="693" spans="1:13" customFormat="1" ht="12.75">
      <c r="A693" s="1524"/>
      <c r="F693" s="1"/>
      <c r="G693" s="1"/>
      <c r="H693" s="1"/>
      <c r="I693" s="1"/>
      <c r="L693" s="301"/>
      <c r="M693" s="301"/>
    </row>
    <row r="694" spans="1:13" customFormat="1" ht="12.75">
      <c r="A694" s="1524"/>
      <c r="F694" s="1"/>
      <c r="G694" s="1"/>
      <c r="H694" s="1"/>
      <c r="I694" s="1"/>
      <c r="L694" s="301"/>
      <c r="M694" s="301"/>
    </row>
    <row r="695" spans="1:13" customFormat="1" ht="12.75">
      <c r="A695" s="1524"/>
      <c r="F695" s="1"/>
      <c r="G695" s="1"/>
      <c r="H695" s="1"/>
      <c r="I695" s="1"/>
      <c r="L695" s="301"/>
      <c r="M695" s="301"/>
    </row>
    <row r="696" spans="1:13" customFormat="1" ht="12.75">
      <c r="A696" s="1524"/>
      <c r="F696" s="1"/>
      <c r="G696" s="1"/>
      <c r="H696" s="1"/>
      <c r="I696" s="1"/>
      <c r="L696" s="301"/>
      <c r="M696" s="301"/>
    </row>
    <row r="697" spans="1:13" customFormat="1" ht="12.75">
      <c r="A697" s="1524"/>
      <c r="F697" s="1"/>
      <c r="G697" s="1"/>
      <c r="H697" s="1"/>
      <c r="I697" s="1"/>
      <c r="L697" s="301"/>
      <c r="M697" s="301"/>
    </row>
    <row r="698" spans="1:13" customFormat="1" ht="12.75">
      <c r="A698" s="1524"/>
      <c r="F698" s="1"/>
      <c r="G698" s="1"/>
      <c r="H698" s="1"/>
      <c r="I698" s="1"/>
      <c r="L698" s="301"/>
      <c r="M698" s="301"/>
    </row>
    <row r="699" spans="1:13" customFormat="1" ht="12.75">
      <c r="A699" s="1524"/>
      <c r="F699" s="1"/>
      <c r="G699" s="1"/>
      <c r="H699" s="1"/>
      <c r="I699" s="1"/>
      <c r="L699" s="301"/>
      <c r="M699" s="301"/>
    </row>
    <row r="700" spans="1:13" customFormat="1" ht="12.75">
      <c r="A700" s="1524"/>
      <c r="F700" s="1"/>
      <c r="G700" s="1"/>
      <c r="H700" s="1"/>
      <c r="I700" s="1"/>
      <c r="L700" s="301"/>
      <c r="M700" s="301"/>
    </row>
    <row r="701" spans="1:13" customFormat="1" ht="12.75">
      <c r="A701" s="1524"/>
      <c r="F701" s="1"/>
      <c r="G701" s="1"/>
      <c r="H701" s="1"/>
      <c r="I701" s="1"/>
      <c r="L701" s="301"/>
      <c r="M701" s="301"/>
    </row>
    <row r="702" spans="1:13" customFormat="1" ht="12.75">
      <c r="A702" s="1524"/>
      <c r="F702" s="1"/>
      <c r="G702" s="1"/>
      <c r="H702" s="1"/>
      <c r="I702" s="1"/>
      <c r="L702" s="301"/>
      <c r="M702" s="301"/>
    </row>
    <row r="703" spans="1:13" customFormat="1" ht="12.75">
      <c r="A703" s="1524"/>
      <c r="F703" s="1"/>
      <c r="G703" s="1"/>
      <c r="H703" s="1"/>
      <c r="I703" s="1"/>
      <c r="L703" s="301"/>
      <c r="M703" s="301"/>
    </row>
    <row r="704" spans="1:13" customFormat="1" ht="12.75">
      <c r="A704" s="1524"/>
      <c r="F704" s="1"/>
      <c r="G704" s="1"/>
      <c r="H704" s="1"/>
      <c r="I704" s="1"/>
      <c r="L704" s="301"/>
      <c r="M704" s="301"/>
    </row>
    <row r="705" spans="1:13" customFormat="1" ht="12.75">
      <c r="A705" s="1524"/>
      <c r="F705" s="1"/>
      <c r="G705" s="1"/>
      <c r="H705" s="1"/>
      <c r="I705" s="1"/>
      <c r="L705" s="301"/>
      <c r="M705" s="301"/>
    </row>
    <row r="706" spans="1:13" customFormat="1" ht="12.75">
      <c r="A706" s="1524"/>
      <c r="F706" s="1"/>
      <c r="G706" s="1"/>
      <c r="H706" s="1"/>
      <c r="I706" s="1"/>
      <c r="L706" s="301"/>
      <c r="M706" s="301"/>
    </row>
    <row r="707" spans="1:13" customFormat="1" ht="12.75">
      <c r="A707" s="1524"/>
      <c r="F707" s="1"/>
      <c r="G707" s="1"/>
      <c r="H707" s="1"/>
      <c r="I707" s="1"/>
      <c r="L707" s="301"/>
      <c r="M707" s="301"/>
    </row>
    <row r="708" spans="1:13" customFormat="1" ht="12.75">
      <c r="A708" s="1524"/>
      <c r="F708" s="1"/>
      <c r="G708" s="1"/>
      <c r="H708" s="1"/>
      <c r="I708" s="1"/>
      <c r="L708" s="301"/>
      <c r="M708" s="301"/>
    </row>
    <row r="709" spans="1:13" customFormat="1" ht="12.75">
      <c r="A709" s="1524"/>
      <c r="F709" s="1"/>
      <c r="G709" s="1"/>
      <c r="H709" s="1"/>
      <c r="I709" s="1"/>
      <c r="L709" s="301"/>
      <c r="M709" s="301"/>
    </row>
    <row r="710" spans="1:13" customFormat="1" ht="12.75">
      <c r="A710" s="1524"/>
      <c r="F710" s="1"/>
      <c r="G710" s="1"/>
      <c r="H710" s="1"/>
      <c r="I710" s="1"/>
      <c r="L710" s="301"/>
      <c r="M710" s="301"/>
    </row>
    <row r="711" spans="1:13" customFormat="1" ht="12.75">
      <c r="A711" s="1524"/>
      <c r="F711" s="1"/>
      <c r="G711" s="1"/>
      <c r="H711" s="1"/>
      <c r="I711" s="1"/>
      <c r="L711" s="301"/>
      <c r="M711" s="301"/>
    </row>
    <row r="712" spans="1:13" customFormat="1" ht="12.75">
      <c r="A712" s="1524"/>
      <c r="F712" s="1"/>
      <c r="G712" s="1"/>
      <c r="H712" s="1"/>
      <c r="I712" s="1"/>
      <c r="L712" s="301"/>
      <c r="M712" s="301"/>
    </row>
    <row r="713" spans="1:13" customFormat="1" ht="12.75">
      <c r="A713" s="1524"/>
      <c r="F713" s="1"/>
      <c r="G713" s="1"/>
      <c r="H713" s="1"/>
      <c r="I713" s="1"/>
      <c r="L713" s="301"/>
      <c r="M713" s="301"/>
    </row>
    <row r="714" spans="1:13" customFormat="1" ht="12.75">
      <c r="A714" s="1524"/>
      <c r="F714" s="1"/>
      <c r="G714" s="1"/>
      <c r="H714" s="1"/>
      <c r="I714" s="1"/>
      <c r="L714" s="301"/>
      <c r="M714" s="301"/>
    </row>
    <row r="715" spans="1:13" customFormat="1" ht="12.75">
      <c r="A715" s="1524"/>
      <c r="F715" s="1"/>
      <c r="G715" s="1"/>
      <c r="H715" s="1"/>
      <c r="I715" s="1"/>
      <c r="L715" s="301"/>
      <c r="M715" s="301"/>
    </row>
    <row r="716" spans="1:13" customFormat="1" ht="12.75">
      <c r="A716" s="1524"/>
      <c r="F716" s="1"/>
      <c r="G716" s="1"/>
      <c r="H716" s="1"/>
      <c r="I716" s="1"/>
      <c r="L716" s="301"/>
      <c r="M716" s="301"/>
    </row>
    <row r="717" spans="1:13" customFormat="1" ht="12.75">
      <c r="A717" s="1524"/>
      <c r="F717" s="1"/>
      <c r="G717" s="1"/>
      <c r="H717" s="1"/>
      <c r="I717" s="1"/>
      <c r="L717" s="301"/>
      <c r="M717" s="301"/>
    </row>
    <row r="718" spans="1:13" customFormat="1" ht="12.75">
      <c r="A718" s="1524"/>
      <c r="F718" s="1"/>
      <c r="G718" s="1"/>
      <c r="H718" s="1"/>
      <c r="I718" s="1"/>
      <c r="L718" s="301"/>
      <c r="M718" s="301"/>
    </row>
    <row r="719" spans="1:13" customFormat="1" ht="12.75">
      <c r="A719" s="1524"/>
      <c r="F719" s="1"/>
      <c r="G719" s="1"/>
      <c r="H719" s="1"/>
      <c r="I719" s="1"/>
      <c r="L719" s="301"/>
      <c r="M719" s="301"/>
    </row>
    <row r="720" spans="1:13" customFormat="1" ht="12.75">
      <c r="A720" s="1524"/>
      <c r="F720" s="1"/>
      <c r="G720" s="1"/>
      <c r="H720" s="1"/>
      <c r="I720" s="1"/>
      <c r="L720" s="301"/>
      <c r="M720" s="301"/>
    </row>
    <row r="721" spans="1:13" customFormat="1" ht="12.75">
      <c r="A721" s="1524"/>
      <c r="F721" s="1"/>
      <c r="G721" s="1"/>
      <c r="H721" s="1"/>
      <c r="I721" s="1"/>
      <c r="L721" s="301"/>
      <c r="M721" s="301"/>
    </row>
    <row r="722" spans="1:13" customFormat="1" ht="12.75">
      <c r="A722" s="1524"/>
      <c r="F722" s="1"/>
      <c r="G722" s="1"/>
      <c r="H722" s="1"/>
      <c r="I722" s="1"/>
      <c r="L722" s="301"/>
      <c r="M722" s="301"/>
    </row>
    <row r="723" spans="1:13" customFormat="1" ht="12.75">
      <c r="A723" s="1524"/>
      <c r="F723" s="1"/>
      <c r="G723" s="1"/>
      <c r="H723" s="1"/>
      <c r="I723" s="1"/>
      <c r="L723" s="301"/>
      <c r="M723" s="301"/>
    </row>
    <row r="724" spans="1:13" customFormat="1" ht="12.75">
      <c r="A724" s="1524"/>
      <c r="F724" s="1"/>
      <c r="G724" s="1"/>
      <c r="H724" s="1"/>
      <c r="I724" s="1"/>
      <c r="L724" s="301"/>
      <c r="M724" s="301"/>
    </row>
    <row r="725" spans="1:13" customFormat="1" ht="12.75">
      <c r="A725" s="1524"/>
      <c r="F725" s="1"/>
      <c r="G725" s="1"/>
      <c r="H725" s="1"/>
      <c r="I725" s="1"/>
      <c r="L725" s="301"/>
      <c r="M725" s="301"/>
    </row>
    <row r="726" spans="1:13" customFormat="1" ht="12.75">
      <c r="A726" s="1524"/>
      <c r="F726" s="1"/>
      <c r="G726" s="1"/>
      <c r="H726" s="1"/>
      <c r="I726" s="1"/>
      <c r="L726" s="301"/>
      <c r="M726" s="301"/>
    </row>
    <row r="727" spans="1:13" customFormat="1" ht="12.75">
      <c r="A727" s="1524"/>
      <c r="F727" s="1"/>
      <c r="G727" s="1"/>
      <c r="H727" s="1"/>
      <c r="I727" s="1"/>
      <c r="L727" s="301"/>
      <c r="M727" s="301"/>
    </row>
    <row r="728" spans="1:13" customFormat="1" ht="12.75">
      <c r="A728" s="1524"/>
      <c r="F728" s="1"/>
      <c r="G728" s="1"/>
      <c r="H728" s="1"/>
      <c r="I728" s="1"/>
      <c r="L728" s="301"/>
      <c r="M728" s="301"/>
    </row>
    <row r="729" spans="1:13" customFormat="1" ht="12.75">
      <c r="A729" s="1524"/>
      <c r="F729" s="1"/>
      <c r="G729" s="1"/>
      <c r="H729" s="1"/>
      <c r="I729" s="1"/>
      <c r="L729" s="301"/>
      <c r="M729" s="301"/>
    </row>
    <row r="730" spans="1:13" customFormat="1" ht="12.75">
      <c r="A730" s="1524"/>
      <c r="F730" s="1"/>
      <c r="G730" s="1"/>
      <c r="H730" s="1"/>
      <c r="I730" s="1"/>
      <c r="L730" s="301"/>
      <c r="M730" s="301"/>
    </row>
    <row r="731" spans="1:13" customFormat="1" ht="12.75">
      <c r="A731" s="1524"/>
      <c r="F731" s="1"/>
      <c r="G731" s="1"/>
      <c r="H731" s="1"/>
      <c r="I731" s="1"/>
      <c r="L731" s="301"/>
      <c r="M731" s="301"/>
    </row>
    <row r="732" spans="1:13" customFormat="1" ht="12.75">
      <c r="A732" s="1524"/>
      <c r="F732" s="1"/>
      <c r="G732" s="1"/>
      <c r="H732" s="1"/>
      <c r="I732" s="1"/>
      <c r="L732" s="301"/>
      <c r="M732" s="301"/>
    </row>
    <row r="733" spans="1:13" customFormat="1" ht="12.75">
      <c r="A733" s="1524"/>
      <c r="F733" s="1"/>
      <c r="G733" s="1"/>
      <c r="H733" s="1"/>
      <c r="I733" s="1"/>
      <c r="L733" s="301"/>
      <c r="M733" s="301"/>
    </row>
    <row r="734" spans="1:13" customFormat="1" ht="12.75">
      <c r="A734" s="1524"/>
      <c r="F734" s="1"/>
      <c r="G734" s="1"/>
      <c r="H734" s="1"/>
      <c r="I734" s="1"/>
      <c r="L734" s="301"/>
      <c r="M734" s="301"/>
    </row>
    <row r="735" spans="1:13" customFormat="1" ht="12.75">
      <c r="A735" s="1524"/>
      <c r="F735" s="1"/>
      <c r="G735" s="1"/>
      <c r="H735" s="1"/>
      <c r="I735" s="1"/>
      <c r="L735" s="301"/>
      <c r="M735" s="301"/>
    </row>
    <row r="736" spans="1:13" customFormat="1" ht="12.75">
      <c r="A736" s="1524"/>
      <c r="F736" s="1"/>
      <c r="G736" s="1"/>
      <c r="H736" s="1"/>
      <c r="I736" s="1"/>
      <c r="L736" s="301"/>
      <c r="M736" s="301"/>
    </row>
    <row r="737" spans="1:13" customFormat="1" ht="12.75">
      <c r="A737" s="1524"/>
      <c r="F737" s="1"/>
      <c r="G737" s="1"/>
      <c r="H737" s="1"/>
      <c r="I737" s="1"/>
      <c r="L737" s="301"/>
      <c r="M737" s="301"/>
    </row>
    <row r="738" spans="1:13" customFormat="1" ht="12.75">
      <c r="A738" s="1524"/>
      <c r="F738" s="1"/>
      <c r="G738" s="1"/>
      <c r="H738" s="1"/>
      <c r="I738" s="1"/>
      <c r="L738" s="301"/>
      <c r="M738" s="301"/>
    </row>
    <row r="739" spans="1:13" customFormat="1" ht="12.75">
      <c r="A739" s="1524"/>
      <c r="F739" s="1"/>
      <c r="G739" s="1"/>
      <c r="H739" s="1"/>
      <c r="I739" s="1"/>
      <c r="L739" s="301"/>
      <c r="M739" s="301"/>
    </row>
    <row r="740" spans="1:13" customFormat="1" ht="12.75">
      <c r="A740" s="1524"/>
      <c r="F740" s="1"/>
      <c r="G740" s="1"/>
      <c r="H740" s="1"/>
      <c r="I740" s="1"/>
      <c r="L740" s="301"/>
      <c r="M740" s="301"/>
    </row>
    <row r="741" spans="1:13" customFormat="1" ht="12.75">
      <c r="A741" s="1524"/>
      <c r="F741" s="1"/>
      <c r="G741" s="1"/>
      <c r="H741" s="1"/>
      <c r="I741" s="1"/>
      <c r="L741" s="301"/>
      <c r="M741" s="301"/>
    </row>
    <row r="742" spans="1:13" customFormat="1" ht="12.75">
      <c r="A742" s="1524"/>
      <c r="F742" s="1"/>
      <c r="G742" s="1"/>
      <c r="H742" s="1"/>
      <c r="I742" s="1"/>
      <c r="L742" s="301"/>
      <c r="M742" s="301"/>
    </row>
    <row r="743" spans="1:13" customFormat="1" ht="12.75">
      <c r="A743" s="1524"/>
      <c r="F743" s="1"/>
      <c r="G743" s="1"/>
      <c r="H743" s="1"/>
      <c r="I743" s="1"/>
      <c r="L743" s="301"/>
      <c r="M743" s="301"/>
    </row>
    <row r="744" spans="1:13" customFormat="1" ht="12.75">
      <c r="A744" s="1524"/>
      <c r="F744" s="1"/>
      <c r="G744" s="1"/>
      <c r="H744" s="1"/>
      <c r="I744" s="1"/>
      <c r="L744" s="301"/>
      <c r="M744" s="301"/>
    </row>
    <row r="745" spans="1:13" customFormat="1" ht="12.75">
      <c r="A745" s="1524"/>
      <c r="F745" s="1"/>
      <c r="G745" s="1"/>
      <c r="H745" s="1"/>
      <c r="I745" s="1"/>
      <c r="L745" s="301"/>
      <c r="M745" s="301"/>
    </row>
    <row r="746" spans="1:13" customFormat="1" ht="12.75">
      <c r="A746" s="1524"/>
      <c r="F746" s="1"/>
      <c r="G746" s="1"/>
      <c r="H746" s="1"/>
      <c r="I746" s="1"/>
      <c r="L746" s="301"/>
      <c r="M746" s="301"/>
    </row>
    <row r="747" spans="1:13" customFormat="1" ht="12.75">
      <c r="A747" s="1524"/>
      <c r="F747" s="1"/>
      <c r="G747" s="1"/>
      <c r="H747" s="1"/>
      <c r="I747" s="1"/>
      <c r="L747" s="301"/>
      <c r="M747" s="301"/>
    </row>
    <row r="748" spans="1:13" customFormat="1" ht="12.75">
      <c r="A748" s="1524"/>
      <c r="F748" s="1"/>
      <c r="G748" s="1"/>
      <c r="H748" s="1"/>
      <c r="I748" s="1"/>
      <c r="L748" s="301"/>
      <c r="M748" s="301"/>
    </row>
    <row r="749" spans="1:13" customFormat="1" ht="12.75">
      <c r="A749" s="1524"/>
      <c r="F749" s="1"/>
      <c r="G749" s="1"/>
      <c r="H749" s="1"/>
      <c r="I749" s="1"/>
      <c r="L749" s="301"/>
      <c r="M749" s="301"/>
    </row>
    <row r="750" spans="1:13" customFormat="1" ht="12.75">
      <c r="A750" s="1524"/>
      <c r="F750" s="1"/>
      <c r="G750" s="1"/>
      <c r="H750" s="1"/>
      <c r="I750" s="1"/>
      <c r="L750" s="301"/>
      <c r="M750" s="301"/>
    </row>
    <row r="751" spans="1:13" customFormat="1" ht="12.75">
      <c r="A751" s="1524"/>
      <c r="F751" s="1"/>
      <c r="G751" s="1"/>
      <c r="H751" s="1"/>
      <c r="I751" s="1"/>
      <c r="L751" s="301"/>
      <c r="M751" s="301"/>
    </row>
    <row r="752" spans="1:13" customFormat="1" ht="12.75">
      <c r="A752" s="1524"/>
      <c r="F752" s="1"/>
      <c r="G752" s="1"/>
      <c r="H752" s="1"/>
      <c r="I752" s="1"/>
      <c r="L752" s="301"/>
      <c r="M752" s="301"/>
    </row>
    <row r="753" spans="1:13" customFormat="1" ht="12.75">
      <c r="A753" s="1524"/>
      <c r="F753" s="1"/>
      <c r="G753" s="1"/>
      <c r="H753" s="1"/>
      <c r="I753" s="1"/>
      <c r="L753" s="301"/>
      <c r="M753" s="301"/>
    </row>
    <row r="754" spans="1:13" customFormat="1" ht="12.75">
      <c r="A754" s="1524"/>
      <c r="F754" s="1"/>
      <c r="G754" s="1"/>
      <c r="H754" s="1"/>
      <c r="I754" s="1"/>
      <c r="L754" s="301"/>
      <c r="M754" s="301"/>
    </row>
    <row r="755" spans="1:13" customFormat="1" ht="12.75">
      <c r="A755" s="1524"/>
      <c r="F755" s="1"/>
      <c r="G755" s="1"/>
      <c r="H755" s="1"/>
      <c r="I755" s="1"/>
      <c r="L755" s="301"/>
      <c r="M755" s="301"/>
    </row>
    <row r="756" spans="1:13" customFormat="1" ht="12.75">
      <c r="A756" s="1524"/>
      <c r="F756" s="1"/>
      <c r="G756" s="1"/>
      <c r="H756" s="1"/>
      <c r="I756" s="1"/>
      <c r="L756" s="301"/>
      <c r="M756" s="301"/>
    </row>
    <row r="757" spans="1:13" customFormat="1" ht="12.75">
      <c r="A757" s="1524"/>
      <c r="F757" s="1"/>
      <c r="G757" s="1"/>
      <c r="H757" s="1"/>
      <c r="I757" s="1"/>
      <c r="L757" s="301"/>
      <c r="M757" s="301"/>
    </row>
    <row r="758" spans="1:13" customFormat="1" ht="12.75">
      <c r="A758" s="1524"/>
      <c r="F758" s="1"/>
      <c r="G758" s="1"/>
      <c r="H758" s="1"/>
      <c r="I758" s="1"/>
      <c r="L758" s="301"/>
      <c r="M758" s="301"/>
    </row>
    <row r="759" spans="1:13" customFormat="1" ht="12.75">
      <c r="A759" s="1524"/>
      <c r="F759" s="1"/>
      <c r="G759" s="1"/>
      <c r="H759" s="1"/>
      <c r="I759" s="1"/>
      <c r="L759" s="301"/>
      <c r="M759" s="301"/>
    </row>
    <row r="760" spans="1:13" customFormat="1" ht="12.75">
      <c r="A760" s="1524"/>
      <c r="F760" s="1"/>
      <c r="G760" s="1"/>
      <c r="H760" s="1"/>
      <c r="I760" s="1"/>
      <c r="L760" s="301"/>
      <c r="M760" s="301"/>
    </row>
    <row r="761" spans="1:13" customFormat="1" ht="12.75">
      <c r="A761" s="1524"/>
      <c r="F761" s="1"/>
      <c r="G761" s="1"/>
      <c r="H761" s="1"/>
      <c r="I761" s="1"/>
      <c r="L761" s="301"/>
      <c r="M761" s="301"/>
    </row>
    <row r="762" spans="1:13" customFormat="1" ht="12.75">
      <c r="A762" s="1524"/>
      <c r="F762" s="1"/>
      <c r="G762" s="1"/>
      <c r="H762" s="1"/>
      <c r="I762" s="1"/>
      <c r="L762" s="301"/>
      <c r="M762" s="301"/>
    </row>
    <row r="763" spans="1:13" customFormat="1" ht="12.75">
      <c r="A763" s="1524"/>
      <c r="F763" s="1"/>
      <c r="G763" s="1"/>
      <c r="H763" s="1"/>
      <c r="I763" s="1"/>
      <c r="L763" s="301"/>
      <c r="M763" s="301"/>
    </row>
    <row r="764" spans="1:13" customFormat="1" ht="12.75">
      <c r="A764" s="1524"/>
      <c r="F764" s="1"/>
      <c r="G764" s="1"/>
      <c r="H764" s="1"/>
      <c r="I764" s="1"/>
      <c r="L764" s="301"/>
      <c r="M764" s="301"/>
    </row>
    <row r="765" spans="1:13" customFormat="1" ht="12.75">
      <c r="A765" s="1524"/>
      <c r="F765" s="1"/>
      <c r="G765" s="1"/>
      <c r="H765" s="1"/>
      <c r="I765" s="1"/>
      <c r="L765" s="301"/>
      <c r="M765" s="301"/>
    </row>
    <row r="766" spans="1:13" customFormat="1" ht="12.75">
      <c r="A766" s="1524"/>
      <c r="F766" s="1"/>
      <c r="G766" s="1"/>
      <c r="H766" s="1"/>
      <c r="I766" s="1"/>
      <c r="L766" s="301"/>
      <c r="M766" s="301"/>
    </row>
    <row r="767" spans="1:13" customFormat="1" ht="12.75">
      <c r="A767" s="1524"/>
      <c r="F767" s="1"/>
      <c r="G767" s="1"/>
      <c r="H767" s="1"/>
      <c r="I767" s="1"/>
      <c r="L767" s="301"/>
      <c r="M767" s="301"/>
    </row>
    <row r="768" spans="1:13" customFormat="1" ht="12.75">
      <c r="A768" s="1524"/>
      <c r="F768" s="1"/>
      <c r="G768" s="1"/>
      <c r="H768" s="1"/>
      <c r="I768" s="1"/>
      <c r="L768" s="301"/>
      <c r="M768" s="301"/>
    </row>
    <row r="769" spans="1:13" customFormat="1" ht="12.75">
      <c r="A769" s="1524"/>
      <c r="F769" s="1"/>
      <c r="G769" s="1"/>
      <c r="H769" s="1"/>
      <c r="I769" s="1"/>
      <c r="L769" s="301"/>
      <c r="M769" s="301"/>
    </row>
    <row r="770" spans="1:13" customFormat="1" ht="12.75">
      <c r="A770" s="1524"/>
      <c r="F770" s="1"/>
      <c r="G770" s="1"/>
      <c r="H770" s="1"/>
      <c r="I770" s="1"/>
      <c r="L770" s="301"/>
      <c r="M770" s="301"/>
    </row>
    <row r="771" spans="1:13" customFormat="1" ht="12.75">
      <c r="A771" s="1524"/>
      <c r="F771" s="1"/>
      <c r="G771" s="1"/>
      <c r="H771" s="1"/>
      <c r="I771" s="1"/>
      <c r="L771" s="301"/>
      <c r="M771" s="301"/>
    </row>
    <row r="772" spans="1:13" customFormat="1" ht="12.75">
      <c r="A772" s="1524"/>
      <c r="F772" s="1"/>
      <c r="G772" s="1"/>
      <c r="H772" s="1"/>
      <c r="I772" s="1"/>
      <c r="L772" s="301"/>
      <c r="M772" s="301"/>
    </row>
    <row r="773" spans="1:13" customFormat="1" ht="12.75">
      <c r="A773" s="1524"/>
      <c r="F773" s="1"/>
      <c r="G773" s="1"/>
      <c r="H773" s="1"/>
      <c r="I773" s="1"/>
      <c r="L773" s="301"/>
      <c r="M773" s="301"/>
    </row>
    <row r="774" spans="1:13" customFormat="1" ht="12.75">
      <c r="A774" s="1524"/>
      <c r="F774" s="1"/>
      <c r="G774" s="1"/>
      <c r="H774" s="1"/>
      <c r="I774" s="1"/>
      <c r="L774" s="301"/>
      <c r="M774" s="301"/>
    </row>
    <row r="775" spans="1:13" customFormat="1" ht="12.75">
      <c r="A775" s="1524"/>
      <c r="F775" s="1"/>
      <c r="G775" s="1"/>
      <c r="H775" s="1"/>
      <c r="I775" s="1"/>
      <c r="L775" s="301"/>
      <c r="M775" s="301"/>
    </row>
    <row r="776" spans="1:13" customFormat="1" ht="12.75">
      <c r="A776" s="1524"/>
      <c r="F776" s="1"/>
      <c r="G776" s="1"/>
      <c r="H776" s="1"/>
      <c r="I776" s="1"/>
      <c r="L776" s="301"/>
      <c r="M776" s="301"/>
    </row>
    <row r="777" spans="1:13" customFormat="1" ht="12.75">
      <c r="A777" s="1524"/>
      <c r="F777" s="1"/>
      <c r="G777" s="1"/>
      <c r="H777" s="1"/>
      <c r="I777" s="1"/>
      <c r="L777" s="301"/>
      <c r="M777" s="301"/>
    </row>
    <row r="778" spans="1:13" customFormat="1" ht="12.75">
      <c r="A778" s="1524"/>
      <c r="F778" s="1"/>
      <c r="G778" s="1"/>
      <c r="H778" s="1"/>
      <c r="I778" s="1"/>
      <c r="L778" s="301"/>
      <c r="M778" s="301"/>
    </row>
    <row r="779" spans="1:13" customFormat="1" ht="12.75">
      <c r="A779" s="1524"/>
      <c r="F779" s="1"/>
      <c r="G779" s="1"/>
      <c r="H779" s="1"/>
      <c r="I779" s="1"/>
      <c r="L779" s="301"/>
      <c r="M779" s="301"/>
    </row>
    <row r="780" spans="1:13" customFormat="1" ht="12.75">
      <c r="A780" s="1524"/>
      <c r="F780" s="1"/>
      <c r="G780" s="1"/>
      <c r="H780" s="1"/>
      <c r="I780" s="1"/>
      <c r="L780" s="301"/>
      <c r="M780" s="301"/>
    </row>
    <row r="781" spans="1:13" customFormat="1" ht="12.75">
      <c r="A781" s="1524"/>
      <c r="F781" s="1"/>
      <c r="G781" s="1"/>
      <c r="H781" s="1"/>
      <c r="I781" s="1"/>
      <c r="L781" s="301"/>
      <c r="M781" s="301"/>
    </row>
    <row r="782" spans="1:13" customFormat="1" ht="12.75">
      <c r="A782" s="1524"/>
      <c r="F782" s="1"/>
      <c r="G782" s="1"/>
      <c r="H782" s="1"/>
      <c r="I782" s="1"/>
      <c r="L782" s="301"/>
      <c r="M782" s="301"/>
    </row>
    <row r="783" spans="1:13" customFormat="1" ht="12.75">
      <c r="A783" s="1524"/>
      <c r="F783" s="1"/>
      <c r="G783" s="1"/>
      <c r="H783" s="1"/>
      <c r="I783" s="1"/>
      <c r="L783" s="301"/>
      <c r="M783" s="301"/>
    </row>
    <row r="784" spans="1:13" customFormat="1" ht="12.75">
      <c r="A784" s="1524"/>
      <c r="F784" s="1"/>
      <c r="G784" s="1"/>
      <c r="H784" s="1"/>
      <c r="I784" s="1"/>
      <c r="L784" s="301"/>
      <c r="M784" s="301"/>
    </row>
    <row r="785" spans="1:13" customFormat="1" ht="12.75">
      <c r="A785" s="1524"/>
      <c r="F785" s="1"/>
      <c r="G785" s="1"/>
      <c r="H785" s="1"/>
      <c r="I785" s="1"/>
      <c r="L785" s="301"/>
      <c r="M785" s="301"/>
    </row>
    <row r="786" spans="1:13" customFormat="1" ht="12.75">
      <c r="A786" s="1524"/>
      <c r="F786" s="1"/>
      <c r="G786" s="1"/>
      <c r="H786" s="1"/>
      <c r="I786" s="1"/>
      <c r="L786" s="301"/>
      <c r="M786" s="301"/>
    </row>
    <row r="787" spans="1:13" customFormat="1" ht="12.75">
      <c r="A787" s="1524"/>
      <c r="F787" s="1"/>
      <c r="G787" s="1"/>
      <c r="H787" s="1"/>
      <c r="I787" s="1"/>
      <c r="L787" s="301"/>
      <c r="M787" s="301"/>
    </row>
    <row r="788" spans="1:13" customFormat="1" ht="12.75">
      <c r="A788" s="1524"/>
      <c r="F788" s="1"/>
      <c r="G788" s="1"/>
      <c r="H788" s="1"/>
      <c r="I788" s="1"/>
      <c r="L788" s="301"/>
      <c r="M788" s="301"/>
    </row>
    <row r="789" spans="1:13" customFormat="1" ht="12.75">
      <c r="A789" s="1524"/>
      <c r="F789" s="1"/>
      <c r="G789" s="1"/>
      <c r="H789" s="1"/>
      <c r="I789" s="1"/>
      <c r="L789" s="301"/>
      <c r="M789" s="301"/>
    </row>
    <row r="790" spans="1:13" customFormat="1" ht="12.75">
      <c r="A790" s="1524"/>
      <c r="F790" s="1"/>
      <c r="G790" s="1"/>
      <c r="H790" s="1"/>
      <c r="I790" s="1"/>
      <c r="L790" s="301"/>
      <c r="M790" s="301"/>
    </row>
    <row r="791" spans="1:13" customFormat="1" ht="12.75">
      <c r="A791" s="1524"/>
      <c r="F791" s="1"/>
      <c r="G791" s="1"/>
      <c r="H791" s="1"/>
      <c r="I791" s="1"/>
      <c r="L791" s="301"/>
      <c r="M791" s="301"/>
    </row>
    <row r="792" spans="1:13" customFormat="1" ht="12.75">
      <c r="A792" s="1524"/>
      <c r="F792" s="1"/>
      <c r="G792" s="1"/>
      <c r="H792" s="1"/>
      <c r="I792" s="1"/>
      <c r="L792" s="301"/>
      <c r="M792" s="301"/>
    </row>
    <row r="793" spans="1:13" customFormat="1" ht="12.75">
      <c r="A793" s="1524"/>
      <c r="F793" s="1"/>
      <c r="G793" s="1"/>
      <c r="H793" s="1"/>
      <c r="I793" s="1"/>
      <c r="L793" s="301"/>
      <c r="M793" s="301"/>
    </row>
    <row r="794" spans="1:13" customFormat="1" ht="12.75">
      <c r="A794" s="1524"/>
      <c r="F794" s="1"/>
      <c r="G794" s="1"/>
      <c r="H794" s="1"/>
      <c r="I794" s="1"/>
      <c r="L794" s="301"/>
      <c r="M794" s="301"/>
    </row>
    <row r="795" spans="1:13" customFormat="1" ht="12.75">
      <c r="A795" s="1524"/>
      <c r="F795" s="1"/>
      <c r="G795" s="1"/>
      <c r="H795" s="1"/>
      <c r="I795" s="1"/>
      <c r="L795" s="301"/>
      <c r="M795" s="301"/>
    </row>
    <row r="796" spans="1:13" customFormat="1" ht="12.75">
      <c r="A796" s="1524"/>
      <c r="F796" s="1"/>
      <c r="G796" s="1"/>
      <c r="H796" s="1"/>
      <c r="I796" s="1"/>
      <c r="L796" s="301"/>
      <c r="M796" s="301"/>
    </row>
    <row r="797" spans="1:13" customFormat="1" ht="12.75">
      <c r="A797" s="1524"/>
      <c r="F797" s="1"/>
      <c r="G797" s="1"/>
      <c r="H797" s="1"/>
      <c r="I797" s="1"/>
      <c r="L797" s="301"/>
      <c r="M797" s="301"/>
    </row>
    <row r="798" spans="1:13" customFormat="1" ht="12.75">
      <c r="A798" s="1524"/>
      <c r="F798" s="1"/>
      <c r="G798" s="1"/>
      <c r="H798" s="1"/>
      <c r="I798" s="1"/>
      <c r="L798" s="301"/>
      <c r="M798" s="301"/>
    </row>
    <row r="799" spans="1:13" customFormat="1" ht="12.75">
      <c r="A799" s="1524"/>
      <c r="F799" s="1"/>
      <c r="G799" s="1"/>
      <c r="H799" s="1"/>
      <c r="I799" s="1"/>
      <c r="L799" s="301"/>
      <c r="M799" s="301"/>
    </row>
    <row r="800" spans="1:13" customFormat="1" ht="12.75">
      <c r="A800" s="1524"/>
      <c r="F800" s="1"/>
      <c r="G800" s="1"/>
      <c r="H800" s="1"/>
      <c r="I800" s="1"/>
      <c r="L800" s="301"/>
      <c r="M800" s="301"/>
    </row>
    <row r="801" spans="1:13" customFormat="1" ht="12.75">
      <c r="A801" s="1524"/>
      <c r="F801" s="1"/>
      <c r="G801" s="1"/>
      <c r="H801" s="1"/>
      <c r="I801" s="1"/>
      <c r="L801" s="301"/>
      <c r="M801" s="301"/>
    </row>
    <row r="802" spans="1:13" customFormat="1" ht="12.75">
      <c r="A802" s="1524"/>
      <c r="F802" s="1"/>
      <c r="G802" s="1"/>
      <c r="H802" s="1"/>
      <c r="I802" s="1"/>
      <c r="L802" s="301"/>
      <c r="M802" s="301"/>
    </row>
    <row r="803" spans="1:13" customFormat="1" ht="12.75">
      <c r="A803" s="1524"/>
      <c r="F803" s="1"/>
      <c r="G803" s="1"/>
      <c r="H803" s="1"/>
      <c r="I803" s="1"/>
      <c r="L803" s="301"/>
      <c r="M803" s="301"/>
    </row>
    <row r="804" spans="1:13" customFormat="1" ht="12.75">
      <c r="A804" s="1524"/>
      <c r="F804" s="1"/>
      <c r="G804" s="1"/>
      <c r="H804" s="1"/>
      <c r="I804" s="1"/>
      <c r="L804" s="301"/>
      <c r="M804" s="301"/>
    </row>
    <row r="805" spans="1:13" customFormat="1" ht="12.75">
      <c r="A805" s="1524"/>
      <c r="F805" s="1"/>
      <c r="G805" s="1"/>
      <c r="H805" s="1"/>
      <c r="I805" s="1"/>
      <c r="L805" s="301"/>
      <c r="M805" s="301"/>
    </row>
    <row r="806" spans="1:13" customFormat="1" ht="12.75">
      <c r="A806" s="1524"/>
      <c r="F806" s="1"/>
      <c r="G806" s="1"/>
      <c r="H806" s="1"/>
      <c r="I806" s="1"/>
      <c r="L806" s="301"/>
      <c r="M806" s="301"/>
    </row>
    <row r="807" spans="1:13" customFormat="1" ht="12.75">
      <c r="A807" s="1524"/>
      <c r="F807" s="1"/>
      <c r="G807" s="1"/>
      <c r="H807" s="1"/>
      <c r="I807" s="1"/>
      <c r="L807" s="301"/>
      <c r="M807" s="301"/>
    </row>
    <row r="808" spans="1:13" customFormat="1" ht="12.75">
      <c r="A808" s="1524"/>
      <c r="F808" s="1"/>
      <c r="G808" s="1"/>
      <c r="H808" s="1"/>
      <c r="I808" s="1"/>
      <c r="L808" s="301"/>
      <c r="M808" s="301"/>
    </row>
    <row r="809" spans="1:13" customFormat="1" ht="12.75">
      <c r="A809" s="1524"/>
      <c r="F809" s="1"/>
      <c r="G809" s="1"/>
      <c r="H809" s="1"/>
      <c r="I809" s="1"/>
      <c r="L809" s="301"/>
      <c r="M809" s="301"/>
    </row>
    <row r="810" spans="1:13" customFormat="1" ht="12.75">
      <c r="A810" s="1524"/>
      <c r="F810" s="1"/>
      <c r="G810" s="1"/>
      <c r="H810" s="1"/>
      <c r="I810" s="1"/>
      <c r="L810" s="301"/>
      <c r="M810" s="301"/>
    </row>
    <row r="811" spans="1:13" customFormat="1" ht="12.75">
      <c r="A811" s="1524"/>
      <c r="F811" s="1"/>
      <c r="G811" s="1"/>
      <c r="H811" s="1"/>
      <c r="I811" s="1"/>
      <c r="L811" s="301"/>
      <c r="M811" s="301"/>
    </row>
    <row r="812" spans="1:13" customFormat="1" ht="12.75">
      <c r="A812" s="1524"/>
      <c r="F812" s="1"/>
      <c r="G812" s="1"/>
      <c r="H812" s="1"/>
      <c r="I812" s="1"/>
      <c r="L812" s="301"/>
      <c r="M812" s="301"/>
    </row>
    <row r="813" spans="1:13" customFormat="1" ht="12.75">
      <c r="A813" s="1524"/>
      <c r="F813" s="1"/>
      <c r="G813" s="1"/>
      <c r="H813" s="1"/>
      <c r="I813" s="1"/>
      <c r="L813" s="301"/>
      <c r="M813" s="301"/>
    </row>
    <row r="814" spans="1:13" customFormat="1" ht="12.75">
      <c r="A814" s="1524"/>
      <c r="F814" s="1"/>
      <c r="G814" s="1"/>
      <c r="H814" s="1"/>
      <c r="I814" s="1"/>
      <c r="L814" s="301"/>
      <c r="M814" s="301"/>
    </row>
    <row r="815" spans="1:13" customFormat="1" ht="12.75">
      <c r="A815" s="1524"/>
      <c r="F815" s="1"/>
      <c r="G815" s="1"/>
      <c r="H815" s="1"/>
      <c r="I815" s="1"/>
      <c r="L815" s="301"/>
      <c r="M815" s="301"/>
    </row>
    <row r="816" spans="1:13" customFormat="1" ht="12.75">
      <c r="A816" s="1524"/>
      <c r="F816" s="1"/>
      <c r="G816" s="1"/>
      <c r="H816" s="1"/>
      <c r="I816" s="1"/>
      <c r="L816" s="301"/>
      <c r="M816" s="301"/>
    </row>
    <row r="817" spans="1:13" customFormat="1" ht="12.75">
      <c r="A817" s="1524"/>
      <c r="F817" s="1"/>
      <c r="G817" s="1"/>
      <c r="H817" s="1"/>
      <c r="I817" s="1"/>
      <c r="L817" s="301"/>
      <c r="M817" s="301"/>
    </row>
    <row r="818" spans="1:13" customFormat="1" ht="12.75">
      <c r="A818" s="1524"/>
      <c r="F818" s="1"/>
      <c r="G818" s="1"/>
      <c r="H818" s="1"/>
      <c r="I818" s="1"/>
      <c r="L818" s="301"/>
      <c r="M818" s="301"/>
    </row>
    <row r="819" spans="1:13" customFormat="1" ht="12.75">
      <c r="A819" s="1524"/>
      <c r="F819" s="1"/>
      <c r="G819" s="1"/>
      <c r="H819" s="1"/>
      <c r="I819" s="1"/>
      <c r="L819" s="301"/>
      <c r="M819" s="301"/>
    </row>
    <row r="820" spans="1:13" customFormat="1" ht="12.75">
      <c r="A820" s="1524"/>
      <c r="F820" s="1"/>
      <c r="G820" s="1"/>
      <c r="H820" s="1"/>
      <c r="I820" s="1"/>
      <c r="L820" s="301"/>
      <c r="M820" s="301"/>
    </row>
    <row r="821" spans="1:13" customFormat="1" ht="12.75">
      <c r="A821" s="1524"/>
      <c r="F821" s="1"/>
      <c r="G821" s="1"/>
      <c r="H821" s="1"/>
      <c r="I821" s="1"/>
      <c r="L821" s="301"/>
      <c r="M821" s="301"/>
    </row>
    <row r="822" spans="1:13" customFormat="1" ht="12.75">
      <c r="A822" s="1524"/>
      <c r="F822" s="1"/>
      <c r="G822" s="1"/>
      <c r="H822" s="1"/>
      <c r="I822" s="1"/>
      <c r="L822" s="301"/>
      <c r="M822" s="301"/>
    </row>
    <row r="823" spans="1:13" customFormat="1" ht="12.75">
      <c r="A823" s="1524"/>
      <c r="F823" s="1"/>
      <c r="G823" s="1"/>
      <c r="H823" s="1"/>
      <c r="I823" s="1"/>
      <c r="L823" s="301"/>
      <c r="M823" s="301"/>
    </row>
    <row r="824" spans="1:13" customFormat="1" ht="12.75">
      <c r="A824" s="1524"/>
      <c r="F824" s="1"/>
      <c r="G824" s="1"/>
      <c r="H824" s="1"/>
      <c r="I824" s="1"/>
      <c r="L824" s="301"/>
      <c r="M824" s="301"/>
    </row>
    <row r="825" spans="1:13" customFormat="1" ht="12.75">
      <c r="A825" s="1524"/>
      <c r="F825" s="1"/>
      <c r="G825" s="1"/>
      <c r="H825" s="1"/>
      <c r="I825" s="1"/>
      <c r="L825" s="301"/>
      <c r="M825" s="301"/>
    </row>
    <row r="826" spans="1:13" customFormat="1" ht="12.75">
      <c r="A826" s="1524"/>
      <c r="F826" s="1"/>
      <c r="G826" s="1"/>
      <c r="H826" s="1"/>
      <c r="I826" s="1"/>
      <c r="L826" s="301"/>
      <c r="M826" s="301"/>
    </row>
    <row r="827" spans="1:13" customFormat="1" ht="12.75">
      <c r="A827" s="1524"/>
      <c r="F827" s="1"/>
      <c r="G827" s="1"/>
      <c r="H827" s="1"/>
      <c r="I827" s="1"/>
      <c r="L827" s="301"/>
      <c r="M827" s="301"/>
    </row>
    <row r="828" spans="1:13" customFormat="1" ht="12.75">
      <c r="A828" s="1524"/>
      <c r="F828" s="1"/>
      <c r="G828" s="1"/>
      <c r="H828" s="1"/>
      <c r="I828" s="1"/>
      <c r="L828" s="301"/>
      <c r="M828" s="301"/>
    </row>
    <row r="829" spans="1:13" customFormat="1" ht="12.75">
      <c r="A829" s="1524"/>
      <c r="F829" s="1"/>
      <c r="G829" s="1"/>
      <c r="H829" s="1"/>
      <c r="I829" s="1"/>
      <c r="L829" s="301"/>
      <c r="M829" s="301"/>
    </row>
    <row r="830" spans="1:13" customFormat="1" ht="12.75">
      <c r="A830" s="1524"/>
      <c r="F830" s="1"/>
      <c r="G830" s="1"/>
      <c r="H830" s="1"/>
      <c r="I830" s="1"/>
      <c r="L830" s="301"/>
      <c r="M830" s="301"/>
    </row>
    <row r="831" spans="1:13" customFormat="1" ht="12.75">
      <c r="A831" s="1524"/>
      <c r="F831" s="1"/>
      <c r="G831" s="1"/>
      <c r="H831" s="1"/>
      <c r="I831" s="1"/>
      <c r="L831" s="301"/>
      <c r="M831" s="301"/>
    </row>
    <row r="832" spans="1:13" customFormat="1" ht="12.75">
      <c r="A832" s="1524"/>
      <c r="F832" s="1"/>
      <c r="G832" s="1"/>
      <c r="H832" s="1"/>
      <c r="I832" s="1"/>
      <c r="L832" s="301"/>
      <c r="M832" s="301"/>
    </row>
    <row r="833" spans="1:13" customFormat="1" ht="12.75">
      <c r="A833" s="1524"/>
      <c r="F833" s="1"/>
      <c r="G833" s="1"/>
      <c r="H833" s="1"/>
      <c r="I833" s="1"/>
      <c r="L833" s="301"/>
      <c r="M833" s="301"/>
    </row>
    <row r="834" spans="1:13" customFormat="1" ht="12.75">
      <c r="A834" s="1524"/>
      <c r="F834" s="1"/>
      <c r="G834" s="1"/>
      <c r="H834" s="1"/>
      <c r="I834" s="1"/>
      <c r="L834" s="301"/>
      <c r="M834" s="301"/>
    </row>
    <row r="835" spans="1:13" customFormat="1" ht="12.75">
      <c r="A835" s="1524"/>
      <c r="F835" s="1"/>
      <c r="G835" s="1"/>
      <c r="H835" s="1"/>
      <c r="I835" s="1"/>
      <c r="L835" s="301"/>
      <c r="M835" s="301"/>
    </row>
    <row r="836" spans="1:13" customFormat="1" ht="12.75">
      <c r="A836" s="1524"/>
      <c r="F836" s="1"/>
      <c r="G836" s="1"/>
      <c r="H836" s="1"/>
      <c r="I836" s="1"/>
      <c r="L836" s="301"/>
      <c r="M836" s="301"/>
    </row>
    <row r="837" spans="1:13" customFormat="1" ht="12.75">
      <c r="A837" s="1524"/>
      <c r="F837" s="1"/>
      <c r="G837" s="1"/>
      <c r="H837" s="1"/>
      <c r="I837" s="1"/>
      <c r="L837" s="301"/>
      <c r="M837" s="301"/>
    </row>
    <row r="838" spans="1:13" customFormat="1" ht="12.75">
      <c r="A838" s="1524"/>
      <c r="F838" s="1"/>
      <c r="G838" s="1"/>
      <c r="H838" s="1"/>
      <c r="I838" s="1"/>
      <c r="L838" s="301"/>
      <c r="M838" s="301"/>
    </row>
    <row r="839" spans="1:13" customFormat="1" ht="12.75">
      <c r="A839" s="1524"/>
      <c r="F839" s="1"/>
      <c r="G839" s="1"/>
      <c r="H839" s="1"/>
      <c r="I839" s="1"/>
      <c r="L839" s="301"/>
      <c r="M839" s="301"/>
    </row>
    <row r="840" spans="1:13" customFormat="1" ht="12.75">
      <c r="A840" s="1524"/>
      <c r="F840" s="1"/>
      <c r="G840" s="1"/>
      <c r="H840" s="1"/>
      <c r="I840" s="1"/>
      <c r="L840" s="301"/>
      <c r="M840" s="301"/>
    </row>
    <row r="841" spans="1:13" customFormat="1" ht="12.75">
      <c r="A841" s="1524"/>
      <c r="F841" s="1"/>
      <c r="G841" s="1"/>
      <c r="H841" s="1"/>
      <c r="I841" s="1"/>
      <c r="L841" s="301"/>
      <c r="M841" s="301"/>
    </row>
    <row r="842" spans="1:13" customFormat="1" ht="12.75">
      <c r="A842" s="1524"/>
      <c r="F842" s="1"/>
      <c r="G842" s="1"/>
      <c r="H842" s="1"/>
      <c r="I842" s="1"/>
      <c r="L842" s="301"/>
      <c r="M842" s="301"/>
    </row>
    <row r="843" spans="1:13" customFormat="1" ht="12.75">
      <c r="A843" s="1524"/>
      <c r="F843" s="1"/>
      <c r="G843" s="1"/>
      <c r="H843" s="1"/>
      <c r="I843" s="1"/>
      <c r="L843" s="301"/>
      <c r="M843" s="301"/>
    </row>
    <row r="844" spans="1:13" customFormat="1" ht="12.75">
      <c r="A844" s="1524"/>
      <c r="F844" s="1"/>
      <c r="G844" s="1"/>
      <c r="H844" s="1"/>
      <c r="I844" s="1"/>
      <c r="L844" s="301"/>
      <c r="M844" s="301"/>
    </row>
    <row r="845" spans="1:13" customFormat="1" ht="12.75">
      <c r="A845" s="1524"/>
      <c r="F845" s="1"/>
      <c r="G845" s="1"/>
      <c r="H845" s="1"/>
      <c r="I845" s="1"/>
      <c r="L845" s="301"/>
      <c r="M845" s="301"/>
    </row>
    <row r="846" spans="1:13" customFormat="1" ht="12.75">
      <c r="A846" s="1524"/>
      <c r="F846" s="1"/>
      <c r="G846" s="1"/>
      <c r="H846" s="1"/>
      <c r="I846" s="1"/>
      <c r="L846" s="301"/>
      <c r="M846" s="301"/>
    </row>
    <row r="847" spans="1:13" customFormat="1" ht="12.75">
      <c r="A847" s="1524"/>
      <c r="F847" s="1"/>
      <c r="G847" s="1"/>
      <c r="H847" s="1"/>
      <c r="I847" s="1"/>
      <c r="L847" s="301"/>
      <c r="M847" s="301"/>
    </row>
    <row r="848" spans="1:13" customFormat="1" ht="12.75">
      <c r="A848" s="1524"/>
      <c r="F848" s="1"/>
      <c r="G848" s="1"/>
      <c r="H848" s="1"/>
      <c r="I848" s="1"/>
      <c r="L848" s="301"/>
      <c r="M848" s="301"/>
    </row>
    <row r="849" spans="1:13" customFormat="1" ht="12.75">
      <c r="A849" s="1524"/>
      <c r="F849" s="1"/>
      <c r="G849" s="1"/>
      <c r="H849" s="1"/>
      <c r="I849" s="1"/>
      <c r="L849" s="301"/>
      <c r="M849" s="301"/>
    </row>
    <row r="850" spans="1:13" customFormat="1" ht="12.75">
      <c r="A850" s="1524"/>
      <c r="F850" s="1"/>
      <c r="G850" s="1"/>
      <c r="H850" s="1"/>
      <c r="I850" s="1"/>
      <c r="L850" s="301"/>
      <c r="M850" s="301"/>
    </row>
    <row r="851" spans="1:13" customFormat="1" ht="12.75">
      <c r="A851" s="1524"/>
      <c r="F851" s="1"/>
      <c r="G851" s="1"/>
      <c r="H851" s="1"/>
      <c r="I851" s="1"/>
      <c r="L851" s="301"/>
      <c r="M851" s="301"/>
    </row>
    <row r="852" spans="1:13" customFormat="1" ht="12.75">
      <c r="A852" s="1524"/>
      <c r="F852" s="1"/>
      <c r="G852" s="1"/>
      <c r="H852" s="1"/>
      <c r="I852" s="1"/>
      <c r="L852" s="301"/>
      <c r="M852" s="301"/>
    </row>
    <row r="853" spans="1:13" customFormat="1" ht="12.75">
      <c r="A853" s="1524"/>
      <c r="F853" s="1"/>
      <c r="G853" s="1"/>
      <c r="H853" s="1"/>
      <c r="I853" s="1"/>
      <c r="L853" s="301"/>
      <c r="M853" s="301"/>
    </row>
    <row r="854" spans="1:13" customFormat="1" ht="12.75">
      <c r="A854" s="1524"/>
      <c r="F854" s="1"/>
      <c r="G854" s="1"/>
      <c r="H854" s="1"/>
      <c r="I854" s="1"/>
      <c r="L854" s="301"/>
      <c r="M854" s="301"/>
    </row>
    <row r="855" spans="1:13" customFormat="1" ht="12.75">
      <c r="A855" s="1524"/>
      <c r="F855" s="1"/>
      <c r="G855" s="1"/>
      <c r="H855" s="1"/>
      <c r="I855" s="1"/>
      <c r="L855" s="301"/>
      <c r="M855" s="301"/>
    </row>
    <row r="856" spans="1:13" customFormat="1" ht="12.75">
      <c r="A856" s="1524"/>
      <c r="F856" s="1"/>
      <c r="G856" s="1"/>
      <c r="H856" s="1"/>
      <c r="I856" s="1"/>
      <c r="L856" s="301"/>
      <c r="M856" s="301"/>
    </row>
  </sheetData>
  <sheetProtection password="C616" sheet="1" objects="1" scenarios="1"/>
  <mergeCells count="71">
    <mergeCell ref="G55:I55"/>
    <mergeCell ref="I56:K56"/>
    <mergeCell ref="G49:K49"/>
    <mergeCell ref="J52:K52"/>
    <mergeCell ref="G52:I52"/>
    <mergeCell ref="G50:K50"/>
    <mergeCell ref="I54:K54"/>
    <mergeCell ref="J53:K53"/>
    <mergeCell ref="B89:C89"/>
    <mergeCell ref="B46:C46"/>
    <mergeCell ref="B80:C80"/>
    <mergeCell ref="B66:C66"/>
    <mergeCell ref="B67:C67"/>
    <mergeCell ref="B68:C68"/>
    <mergeCell ref="B69:C69"/>
    <mergeCell ref="B70:C70"/>
    <mergeCell ref="B77:E77"/>
    <mergeCell ref="B73:C73"/>
    <mergeCell ref="C50:F50"/>
    <mergeCell ref="C49:F49"/>
    <mergeCell ref="G2:K2"/>
    <mergeCell ref="E3:F3"/>
    <mergeCell ref="G3:K3"/>
    <mergeCell ref="G4:K4"/>
    <mergeCell ref="D16:E16"/>
    <mergeCell ref="J7:K7"/>
    <mergeCell ref="J8:K8"/>
    <mergeCell ref="C7:F7"/>
    <mergeCell ref="C8:H8"/>
    <mergeCell ref="I13:K13"/>
    <mergeCell ref="I14:K14"/>
    <mergeCell ref="B16:C16"/>
    <mergeCell ref="E14:G14"/>
    <mergeCell ref="E13:F13"/>
    <mergeCell ref="B17:C17"/>
    <mergeCell ref="B19:C19"/>
    <mergeCell ref="B21:C21"/>
    <mergeCell ref="B32:C32"/>
    <mergeCell ref="B30:C30"/>
    <mergeCell ref="B31:C31"/>
    <mergeCell ref="B23:C23"/>
    <mergeCell ref="B24:C24"/>
    <mergeCell ref="B27:E27"/>
    <mergeCell ref="B29:D29"/>
    <mergeCell ref="B20:C20"/>
    <mergeCell ref="B33:C33"/>
    <mergeCell ref="B35:C35"/>
    <mergeCell ref="B37:C37"/>
    <mergeCell ref="B38:C38"/>
    <mergeCell ref="B34:D34"/>
    <mergeCell ref="B39:C39"/>
    <mergeCell ref="B40:C40"/>
    <mergeCell ref="B72:C72"/>
    <mergeCell ref="B45:C45"/>
    <mergeCell ref="B41:C41"/>
    <mergeCell ref="B42:C42"/>
    <mergeCell ref="B43:C43"/>
    <mergeCell ref="B71:C71"/>
    <mergeCell ref="B57:B58"/>
    <mergeCell ref="C55:F55"/>
    <mergeCell ref="C57:F58"/>
    <mergeCell ref="J73:K73"/>
    <mergeCell ref="J70:K70"/>
    <mergeCell ref="J67:K67"/>
    <mergeCell ref="J68:K68"/>
    <mergeCell ref="J66:K66"/>
    <mergeCell ref="G60:K60"/>
    <mergeCell ref="J69:K69"/>
    <mergeCell ref="J71:K71"/>
    <mergeCell ref="J72:K72"/>
    <mergeCell ref="G57:K58"/>
  </mergeCells>
  <phoneticPr fontId="7" type="noConversion"/>
  <conditionalFormatting sqref="A24">
    <cfRule type="expression" dxfId="488" priority="40">
      <formula>AND(bern,EBF_Zweckneubau&lt;1000.1)</formula>
    </cfRule>
  </conditionalFormatting>
  <conditionalFormatting sqref="A50:A56">
    <cfRule type="expression" dxfId="487" priority="51">
      <formula>MUKEN=TRUE</formula>
    </cfRule>
  </conditionalFormatting>
  <conditionalFormatting sqref="A54">
    <cfRule type="expression" dxfId="486" priority="38">
      <formula>bern</formula>
    </cfRule>
  </conditionalFormatting>
  <conditionalFormatting sqref="A55:A56">
    <cfRule type="expression" dxfId="485" priority="49">
      <formula>AND(MUKEN=FALSE,minergiea=FALSE)</formula>
    </cfRule>
    <cfRule type="expression" dxfId="484" priority="50">
      <formula>MUKEN</formula>
    </cfRule>
  </conditionalFormatting>
  <conditionalFormatting sqref="A23:E24">
    <cfRule type="expression" dxfId="483" priority="350">
      <formula>MUKEN=TRUE</formula>
    </cfRule>
  </conditionalFormatting>
  <conditionalFormatting sqref="B25">
    <cfRule type="expression" dxfId="482" priority="490">
      <formula>MUKEN=TRUE</formula>
    </cfRule>
  </conditionalFormatting>
  <conditionalFormatting sqref="B49:B50">
    <cfRule type="expression" dxfId="481" priority="126">
      <formula>MUKEN=TRUE</formula>
    </cfRule>
  </conditionalFormatting>
  <conditionalFormatting sqref="B50">
    <cfRule type="expression" dxfId="480" priority="103">
      <formula>MUKEN=FALSE</formula>
    </cfRule>
  </conditionalFormatting>
  <conditionalFormatting sqref="B51">
    <cfRule type="expression" dxfId="479" priority="141">
      <formula>MUKEN=FALSE</formula>
    </cfRule>
  </conditionalFormatting>
  <conditionalFormatting sqref="B52:B53">
    <cfRule type="expression" dxfId="478" priority="114">
      <formula>MUKEN=FALSE</formula>
    </cfRule>
  </conditionalFormatting>
  <conditionalFormatting sqref="B54">
    <cfRule type="expression" dxfId="477" priority="149">
      <formula>MUKEN=FALSE</formula>
    </cfRule>
  </conditionalFormatting>
  <conditionalFormatting sqref="B55">
    <cfRule type="expression" dxfId="476" priority="54">
      <formula>minergiea</formula>
    </cfRule>
  </conditionalFormatting>
  <conditionalFormatting sqref="B56">
    <cfRule type="expression" dxfId="475" priority="26">
      <formula>bern</formula>
    </cfRule>
    <cfRule type="expression" dxfId="474" priority="55">
      <formula>minergiea</formula>
    </cfRule>
  </conditionalFormatting>
  <conditionalFormatting sqref="B57:B58">
    <cfRule type="expression" dxfId="473" priority="66">
      <formula>AND(MUKEN=FALSE,bern=FALSE)</formula>
    </cfRule>
  </conditionalFormatting>
  <conditionalFormatting sqref="B59">
    <cfRule type="expression" dxfId="472" priority="79">
      <formula>MUKEN=FALSE</formula>
    </cfRule>
    <cfRule type="expression" dxfId="471" priority="80">
      <formula>MUKEN=TRUE</formula>
    </cfRule>
  </conditionalFormatting>
  <conditionalFormatting sqref="B20:E20 K20">
    <cfRule type="expression" dxfId="470" priority="5">
      <formula>OR(bern=FALSE,AND(bern=TRUE,EBF_wohnen_neu=0))</formula>
    </cfRule>
  </conditionalFormatting>
  <conditionalFormatting sqref="B21:E21">
    <cfRule type="expression" dxfId="469" priority="348">
      <formula>MUKEN=TRUE</formula>
    </cfRule>
  </conditionalFormatting>
  <conditionalFormatting sqref="B52:F52">
    <cfRule type="expression" dxfId="468" priority="122">
      <formula>MUKEN=FALSE</formula>
    </cfRule>
  </conditionalFormatting>
  <conditionalFormatting sqref="B54:G54">
    <cfRule type="expression" dxfId="467" priority="25">
      <formula>bern</formula>
    </cfRule>
  </conditionalFormatting>
  <conditionalFormatting sqref="B56:H56">
    <cfRule type="expression" dxfId="466" priority="67">
      <formula>AND(MUKEN=FALSE,minergiea=FALSE)</formula>
    </cfRule>
  </conditionalFormatting>
  <conditionalFormatting sqref="B24:K24">
    <cfRule type="expression" dxfId="465" priority="41">
      <formula>AND(bern,EBF_Zweckneubau&lt;1000.1)</formula>
    </cfRule>
  </conditionalFormatting>
  <conditionalFormatting sqref="B47:K47">
    <cfRule type="expression" dxfId="464" priority="144">
      <formula>AND(MUKEN=FALSE,bern=FALSE)</formula>
    </cfRule>
    <cfRule type="expression" dxfId="463" priority="398">
      <formula>OR(MUKEN,bern)</formula>
    </cfRule>
  </conditionalFormatting>
  <conditionalFormatting sqref="B48:K48">
    <cfRule type="expression" dxfId="462" priority="174">
      <formula>MUKEN=FALSE</formula>
    </cfRule>
  </conditionalFormatting>
  <conditionalFormatting sqref="B55:K55">
    <cfRule type="expression" dxfId="461" priority="68">
      <formula>AND(bern=FALSE,MUKEN=FALSE,minergiea=FALSE)</formula>
    </cfRule>
  </conditionalFormatting>
  <conditionalFormatting sqref="B59:K59">
    <cfRule type="expression" dxfId="460" priority="78">
      <formula>AND(MUKEN=FALSE,minergiea=FALSE)</formula>
    </cfRule>
  </conditionalFormatting>
  <conditionalFormatting sqref="B60:K62">
    <cfRule type="expression" dxfId="459" priority="77">
      <formula>MUKEN=FALSE</formula>
    </cfRule>
  </conditionalFormatting>
  <conditionalFormatting sqref="B62:K62">
    <cfRule type="expression" dxfId="458" priority="20">
      <formula>bern</formula>
    </cfRule>
  </conditionalFormatting>
  <conditionalFormatting sqref="B90:K90">
    <cfRule type="expression" dxfId="457" priority="491">
      <formula>MUKEN=TRUE</formula>
    </cfRule>
  </conditionalFormatting>
  <conditionalFormatting sqref="B107:K107">
    <cfRule type="expression" dxfId="456" priority="190">
      <formula>MUKEN=FALSE</formula>
    </cfRule>
  </conditionalFormatting>
  <conditionalFormatting sqref="C51">
    <cfRule type="expression" dxfId="455" priority="121">
      <formula>MUKEN=FALSE</formula>
    </cfRule>
  </conditionalFormatting>
  <conditionalFormatting sqref="C56">
    <cfRule type="expression" dxfId="454" priority="63">
      <formula>OR(MUKEN,bern)</formula>
    </cfRule>
  </conditionalFormatting>
  <conditionalFormatting sqref="C54:E54">
    <cfRule type="expression" dxfId="453" priority="136">
      <formula>MUKEN=FALSE</formula>
    </cfRule>
  </conditionalFormatting>
  <conditionalFormatting sqref="C48:F48">
    <cfRule type="expression" dxfId="452" priority="158">
      <formula>MUKEN=FALSE</formula>
    </cfRule>
  </conditionalFormatting>
  <conditionalFormatting sqref="C49:F50">
    <cfRule type="expression" dxfId="451" priority="125">
      <formula>MUKEN=TRUE</formula>
    </cfRule>
  </conditionalFormatting>
  <conditionalFormatting sqref="C50:F50">
    <cfRule type="expression" dxfId="450" priority="111">
      <formula>MUKEN=FALSE</formula>
    </cfRule>
  </conditionalFormatting>
  <conditionalFormatting sqref="C55:F55">
    <cfRule type="expression" dxfId="449" priority="62">
      <formula>minergiea=TRUE</formula>
    </cfRule>
  </conditionalFormatting>
  <conditionalFormatting sqref="C56:F56">
    <cfRule type="expression" dxfId="448" priority="56">
      <formula>minergiea</formula>
    </cfRule>
  </conditionalFormatting>
  <conditionalFormatting sqref="C48:K48">
    <cfRule type="expression" dxfId="447" priority="159">
      <formula>MUKEN=TRUE</formula>
    </cfRule>
  </conditionalFormatting>
  <conditionalFormatting sqref="C49:K49">
    <cfRule type="expression" dxfId="446" priority="104">
      <formula>MUKEN=FALSE</formula>
    </cfRule>
  </conditionalFormatting>
  <conditionalFormatting sqref="C50:K50">
    <cfRule type="expression" dxfId="445" priority="101">
      <formula>MUKEN=TRUE</formula>
    </cfRule>
  </conditionalFormatting>
  <conditionalFormatting sqref="C57:K58">
    <cfRule type="expression" dxfId="444" priority="65">
      <formula>AND(MUKEN=FALSE,bern=FALSE)</formula>
    </cfRule>
  </conditionalFormatting>
  <conditionalFormatting sqref="D23:D24">
    <cfRule type="expression" dxfId="443" priority="46">
      <formula>bern</formula>
    </cfRule>
  </conditionalFormatting>
  <conditionalFormatting sqref="D51">
    <cfRule type="expression" dxfId="442" priority="120">
      <formula>MUKEN=FALSE</formula>
    </cfRule>
  </conditionalFormatting>
  <conditionalFormatting sqref="D53">
    <cfRule type="expression" dxfId="441" priority="132">
      <formula>MUKEN=TRUE</formula>
    </cfRule>
  </conditionalFormatting>
  <conditionalFormatting sqref="D25:K25">
    <cfRule type="expression" dxfId="440" priority="484">
      <formula>MUKEN=TRUE</formula>
    </cfRule>
  </conditionalFormatting>
  <conditionalFormatting sqref="E46">
    <cfRule type="expression" dxfId="439" priority="242">
      <formula>$D$47=1</formula>
    </cfRule>
  </conditionalFormatting>
  <conditionalFormatting sqref="E51">
    <cfRule type="expression" dxfId="438" priority="119">
      <formula>MUKEN=FALSE</formula>
    </cfRule>
  </conditionalFormatting>
  <conditionalFormatting sqref="E53 G52">
    <cfRule type="expression" dxfId="437" priority="166">
      <formula>MUKEN=TRUE</formula>
    </cfRule>
  </conditionalFormatting>
  <conditionalFormatting sqref="E53">
    <cfRule type="expression" dxfId="436" priority="113">
      <formula>MUKEN=FALSE</formula>
    </cfRule>
  </conditionalFormatting>
  <conditionalFormatting sqref="F17">
    <cfRule type="expression" dxfId="435" priority="443">
      <formula>ISERROR(_WW1)</formula>
    </cfRule>
  </conditionalFormatting>
  <conditionalFormatting sqref="F20">
    <cfRule type="expression" dxfId="434" priority="4">
      <formula>OR(bern=FALSE,AND(bern=TRUE,EBF_wohnen_neu1=0))</formula>
    </cfRule>
  </conditionalFormatting>
  <conditionalFormatting sqref="F23">
    <cfRule type="expression" dxfId="433" priority="36">
      <formula>AND(bern,wohnen1=FALSE)</formula>
    </cfRule>
    <cfRule type="expression" dxfId="432" priority="48">
      <formula>AND(bern,wohnen1)</formula>
    </cfRule>
  </conditionalFormatting>
  <conditionalFormatting sqref="F24">
    <cfRule type="expression" dxfId="431" priority="27">
      <formula>AND(bern,OR(wohnen1,EBF_Zweckneubau&lt;1000.1))</formula>
    </cfRule>
  </conditionalFormatting>
  <conditionalFormatting sqref="F25">
    <cfRule type="expression" dxfId="430" priority="592" stopIfTrue="1">
      <formula>AND(Hoehe&lt;800,minergiep=FALSE,minergiea=FALSE)</formula>
    </cfRule>
    <cfRule type="expression" dxfId="429" priority="593" stopIfTrue="1">
      <formula>OR(AND(minergiep=TRUE,Luftheizung),minergiea=TRUE)</formula>
    </cfRule>
    <cfRule type="expression" dxfId="428" priority="594" stopIfTrue="1">
      <formula>AND(minergiep,Luftheizung=FALSE)</formula>
    </cfRule>
  </conditionalFormatting>
  <conditionalFormatting sqref="F30">
    <cfRule type="expression" dxfId="427" priority="441">
      <formula>ISERROR(Standardlüftung1)</formula>
    </cfRule>
  </conditionalFormatting>
  <conditionalFormatting sqref="F31">
    <cfRule type="expression" dxfId="426" priority="604" stopIfTrue="1">
      <formula>Standardlüftung1=3</formula>
    </cfRule>
  </conditionalFormatting>
  <conditionalFormatting sqref="F32">
    <cfRule type="expression" dxfId="425" priority="561" stopIfTrue="1">
      <formula>AND(Kategorie1&lt;6,Kategorie1&gt;1,Standardlüftung1&gt;2)</formula>
    </cfRule>
  </conditionalFormatting>
  <conditionalFormatting sqref="F34:F35">
    <cfRule type="expression" dxfId="424" priority="608" stopIfTrue="1">
      <formula>AND(Standardlüftung1&gt;2)</formula>
    </cfRule>
  </conditionalFormatting>
  <conditionalFormatting sqref="F37">
    <cfRule type="expression" dxfId="423" priority="437">
      <formula>Standardlüftung1=3</formula>
    </cfRule>
  </conditionalFormatting>
  <conditionalFormatting sqref="F40">
    <cfRule type="expression" dxfId="422" priority="433" stopIfTrue="1">
      <formula>Standardlüftung1=3</formula>
    </cfRule>
  </conditionalFormatting>
  <conditionalFormatting sqref="F40:F41">
    <cfRule type="expression" dxfId="421" priority="246">
      <formula>$F$94</formula>
    </cfRule>
    <cfRule type="expression" dxfId="420" priority="454" stopIfTrue="1">
      <formula>$F$78</formula>
    </cfRule>
    <cfRule type="expression" dxfId="419" priority="555" stopIfTrue="1">
      <formula>$F$88=FALSE</formula>
    </cfRule>
  </conditionalFormatting>
  <conditionalFormatting sqref="F40:F43">
    <cfRule type="expression" dxfId="418" priority="453" stopIfTrue="1">
      <formula>Kategorie1=13</formula>
    </cfRule>
  </conditionalFormatting>
  <conditionalFormatting sqref="F41">
    <cfRule type="expression" dxfId="417" priority="432">
      <formula>Standardlüftung1=3</formula>
    </cfRule>
  </conditionalFormatting>
  <conditionalFormatting sqref="F42">
    <cfRule type="expression" dxfId="416" priority="566" stopIfTrue="1">
      <formula>OR($F$77,$F$76)</formula>
    </cfRule>
  </conditionalFormatting>
  <conditionalFormatting sqref="F43">
    <cfRule type="expression" dxfId="415" priority="716" stopIfTrue="1">
      <formula>$F$77</formula>
    </cfRule>
  </conditionalFormatting>
  <conditionalFormatting sqref="F46">
    <cfRule type="expression" dxfId="414" priority="468" stopIfTrue="1">
      <formula>Kategorie1=13</formula>
    </cfRule>
  </conditionalFormatting>
  <conditionalFormatting sqref="F51">
    <cfRule type="expression" dxfId="413" priority="123">
      <formula>MUKEN=FALSE</formula>
    </cfRule>
    <cfRule type="expression" dxfId="412" priority="173">
      <formula>MUKEN=TRUE</formula>
    </cfRule>
  </conditionalFormatting>
  <conditionalFormatting sqref="F52">
    <cfRule type="expression" dxfId="411" priority="129">
      <formula>MUKEN=TRUE</formula>
    </cfRule>
  </conditionalFormatting>
  <conditionalFormatting sqref="F53">
    <cfRule type="expression" dxfId="410" priority="131">
      <formula>MUKEN=TRUE</formula>
    </cfRule>
  </conditionalFormatting>
  <conditionalFormatting sqref="F54">
    <cfRule type="expression" dxfId="409" priority="170">
      <formula>MUKEN=TRUE</formula>
    </cfRule>
    <cfRule type="expression" dxfId="408" priority="176">
      <formula>OR(minergie=TRUE,minergiep=TRUE,MUKEN=warh)</formula>
    </cfRule>
  </conditionalFormatting>
  <conditionalFormatting sqref="F56">
    <cfRule type="expression" dxfId="407" priority="64">
      <formula>OR(MUKEN,bern)</formula>
    </cfRule>
  </conditionalFormatting>
  <conditionalFormatting sqref="F60">
    <cfRule type="expression" dxfId="406" priority="19">
      <formula>bern</formula>
    </cfRule>
  </conditionalFormatting>
  <conditionalFormatting sqref="F79">
    <cfRule type="expression" dxfId="405" priority="552" stopIfTrue="1">
      <formula>minergiep=TRUE</formula>
    </cfRule>
    <cfRule type="expression" dxfId="404" priority="553" stopIfTrue="1">
      <formula>Kategorie1=13</formula>
    </cfRule>
  </conditionalFormatting>
  <conditionalFormatting sqref="F80">
    <cfRule type="expression" dxfId="403" priority="518" stopIfTrue="1">
      <formula>Kategorie1=13</formula>
    </cfRule>
  </conditionalFormatting>
  <conditionalFormatting sqref="F19:G20 I19:I20">
    <cfRule type="expression" dxfId="402" priority="10" stopIfTrue="1">
      <formula>$O$2&lt;$F$91</formula>
    </cfRule>
  </conditionalFormatting>
  <conditionalFormatting sqref="F39:G39">
    <cfRule type="expression" dxfId="401" priority="332" stopIfTrue="1">
      <formula>"&lt;&gt;minergiep"</formula>
    </cfRule>
  </conditionalFormatting>
  <conditionalFormatting sqref="F23:I23">
    <cfRule type="expression" dxfId="400" priority="740" stopIfTrue="1">
      <formula>$O$2&lt;$F$91</formula>
    </cfRule>
  </conditionalFormatting>
  <conditionalFormatting sqref="F33:I33">
    <cfRule type="expression" dxfId="399" priority="291" stopIfTrue="1">
      <formula>OR(Standardlüftung1&gt;2,minergiep)</formula>
    </cfRule>
  </conditionalFormatting>
  <conditionalFormatting sqref="F84:I84 K84">
    <cfRule type="expression" dxfId="398" priority="519" stopIfTrue="1">
      <formula>minergiep</formula>
    </cfRule>
  </conditionalFormatting>
  <conditionalFormatting sqref="F89:I89">
    <cfRule type="expression" dxfId="397" priority="459" stopIfTrue="1">
      <formula>Kategorie1=13</formula>
    </cfRule>
  </conditionalFormatting>
  <conditionalFormatting sqref="F23:J23">
    <cfRule type="expression" dxfId="396" priority="400">
      <formula>MUKEN=TRUE</formula>
    </cfRule>
  </conditionalFormatting>
  <conditionalFormatting sqref="F24:K24">
    <cfRule type="expression" dxfId="395" priority="278">
      <formula>MUKEN=TRUE</formula>
    </cfRule>
  </conditionalFormatting>
  <conditionalFormatting sqref="F54:K54">
    <cfRule type="expression" dxfId="394" priority="112">
      <formula>AND(MUKEN=FALSE,bern=FALSE)</formula>
    </cfRule>
  </conditionalFormatting>
  <conditionalFormatting sqref="G17">
    <cfRule type="expression" dxfId="393" priority="224">
      <formula>ISERROR(_WW2)</formula>
    </cfRule>
  </conditionalFormatting>
  <conditionalFormatting sqref="G17:G20">
    <cfRule type="expression" dxfId="392" priority="9">
      <formula>Zonen&lt;2</formula>
    </cfRule>
  </conditionalFormatting>
  <conditionalFormatting sqref="G20">
    <cfRule type="expression" dxfId="391" priority="3">
      <formula>OR(bern=FALSE,AND(bern=TRUE,EBF_wohnen_neu2=0))</formula>
    </cfRule>
  </conditionalFormatting>
  <conditionalFormatting sqref="G21:G24">
    <cfRule type="expression" dxfId="390" priority="311">
      <formula>Zonen&lt;2</formula>
    </cfRule>
  </conditionalFormatting>
  <conditionalFormatting sqref="G23">
    <cfRule type="expression" dxfId="389" priority="35">
      <formula>AND(bern,wohnen2=FALSE)</formula>
    </cfRule>
    <cfRule type="expression" dxfId="388" priority="45">
      <formula>AND(bern,Zonen&gt;1,wohnen2)</formula>
    </cfRule>
  </conditionalFormatting>
  <conditionalFormatting sqref="G24">
    <cfRule type="expression" dxfId="387" priority="28">
      <formula>AND(bern,OR(wohnen2,EBF_Zweckneubau&lt;1000.1))</formula>
    </cfRule>
  </conditionalFormatting>
  <conditionalFormatting sqref="G25">
    <cfRule type="expression" dxfId="386" priority="595" stopIfTrue="1">
      <formula>AND(Zonen&gt;1,Hoehe&gt;=800,minergiep=FALSE,minergiea=FALSE)</formula>
    </cfRule>
    <cfRule type="expression" dxfId="385" priority="596" stopIfTrue="1">
      <formula>OR(AND(Zonen&gt;1,AND(minergiep=TRUE,Luftheizung)),AND(Zonen&gt;1,minergiea=TRUE))</formula>
    </cfRule>
    <cfRule type="expression" dxfId="384" priority="597" stopIfTrue="1">
      <formula>AND(Zonen&gt;1,AND(minergiep=TRUE,Luftheizung=FALSE))</formula>
    </cfRule>
  </conditionalFormatting>
  <conditionalFormatting sqref="G30">
    <cfRule type="expression" dxfId="383" priority="205">
      <formula>Zonen&lt;2</formula>
    </cfRule>
    <cfRule type="expression" dxfId="382" priority="207">
      <formula>ISERROR(Standardlüftung2)</formula>
    </cfRule>
  </conditionalFormatting>
  <conditionalFormatting sqref="G31">
    <cfRule type="expression" dxfId="381" priority="212" stopIfTrue="1">
      <formula>Standardlüftung2=3</formula>
    </cfRule>
  </conditionalFormatting>
  <conditionalFormatting sqref="G32">
    <cfRule type="expression" dxfId="380" priority="231" stopIfTrue="1">
      <formula>AND(Kategorie2&lt;6,Kategorie2&gt;1,Standardlüftung2&gt;2)</formula>
    </cfRule>
  </conditionalFormatting>
  <conditionalFormatting sqref="G34:G35">
    <cfRule type="expression" dxfId="379" priority="329" stopIfTrue="1">
      <formula>AND(Standardlüftung2&gt;2)</formula>
    </cfRule>
  </conditionalFormatting>
  <conditionalFormatting sqref="G37">
    <cfRule type="expression" dxfId="378" priority="436">
      <formula>Standardlüftung2=3</formula>
    </cfRule>
  </conditionalFormatting>
  <conditionalFormatting sqref="G39">
    <cfRule type="expression" dxfId="377" priority="302">
      <formula>Zonen&lt;2</formula>
    </cfRule>
  </conditionalFormatting>
  <conditionalFormatting sqref="G40:G41">
    <cfRule type="expression" dxfId="376" priority="245">
      <formula>$G$94</formula>
    </cfRule>
    <cfRule type="expression" dxfId="375" priority="430">
      <formula>OR(Standardlüftung2=3,Kategorie2=1)</formula>
    </cfRule>
    <cfRule type="expression" dxfId="374" priority="451" stopIfTrue="1">
      <formula>$G$78</formula>
    </cfRule>
    <cfRule type="expression" dxfId="373" priority="452" stopIfTrue="1">
      <formula>$G$88=FALSE</formula>
    </cfRule>
    <cfRule type="expression" dxfId="372" priority="563" stopIfTrue="1">
      <formula>AND(Zonen&gt;1,Kategorie2&lt;&gt;13)</formula>
    </cfRule>
  </conditionalFormatting>
  <conditionalFormatting sqref="G42:G43">
    <cfRule type="expression" dxfId="371" priority="567" stopIfTrue="1">
      <formula>OR($G$77,$G$76)</formula>
    </cfRule>
    <cfRule type="expression" dxfId="370" priority="568" stopIfTrue="1">
      <formula>AND(Zonen&gt;1,Kategorie2&lt;&gt;13)</formula>
    </cfRule>
  </conditionalFormatting>
  <conditionalFormatting sqref="G43">
    <cfRule type="expression" dxfId="369" priority="366" stopIfTrue="1">
      <formula>Kategorie2=13</formula>
    </cfRule>
    <cfRule type="expression" dxfId="368" priority="367" stopIfTrue="1">
      <formula>$G$77</formula>
    </cfRule>
  </conditionalFormatting>
  <conditionalFormatting sqref="G46">
    <cfRule type="expression" dxfId="367" priority="305">
      <formula>Zonen&lt;2</formula>
    </cfRule>
    <cfRule type="expression" dxfId="366" priority="314" stopIfTrue="1">
      <formula>Kategorie2=13</formula>
    </cfRule>
  </conditionalFormatting>
  <conditionalFormatting sqref="G51">
    <cfRule type="expression" dxfId="365" priority="100">
      <formula>MUKEN=TRUE</formula>
    </cfRule>
    <cfRule type="expression" dxfId="364" priority="118">
      <formula>MUKEN=FALSE</formula>
    </cfRule>
  </conditionalFormatting>
  <conditionalFormatting sqref="G52">
    <cfRule type="expression" dxfId="363" priority="180">
      <formula>KategorieEFH=FALSE</formula>
    </cfRule>
  </conditionalFormatting>
  <conditionalFormatting sqref="G54">
    <cfRule type="expression" dxfId="362" priority="164">
      <formula>MUKEN=TRUE</formula>
    </cfRule>
  </conditionalFormatting>
  <conditionalFormatting sqref="G56">
    <cfRule type="expression" dxfId="361" priority="57">
      <formula>minergiea=TRUE</formula>
    </cfRule>
  </conditionalFormatting>
  <conditionalFormatting sqref="G79">
    <cfRule type="expression" dxfId="360" priority="546" stopIfTrue="1">
      <formula>AND(Zonen&gt;1,minergiep=FALSE,Kategorie2&lt;&gt;13)</formula>
    </cfRule>
    <cfRule type="expression" dxfId="359" priority="547" stopIfTrue="1">
      <formula>AND(Zonen&gt;1,minergiep=TRUE)</formula>
    </cfRule>
  </conditionalFormatting>
  <conditionalFormatting sqref="G80">
    <cfRule type="expression" dxfId="358" priority="543" stopIfTrue="1">
      <formula>AND(Zonen&gt;1,Kategorie2+$H$7&lt;&gt;13)</formula>
    </cfRule>
  </conditionalFormatting>
  <conditionalFormatting sqref="G92">
    <cfRule type="expression" dxfId="357" priority="500" stopIfTrue="1">
      <formula>Zonen&gt;1</formula>
    </cfRule>
  </conditionalFormatting>
  <conditionalFormatting sqref="G54:H54">
    <cfRule type="expression" dxfId="356" priority="181">
      <formula>OR(minergie=TRUE,minergiep=TRUE,bern)</formula>
    </cfRule>
  </conditionalFormatting>
  <conditionalFormatting sqref="G66:H66">
    <cfRule type="expression" dxfId="355" priority="532" stopIfTrue="1">
      <formula>$B$66&lt;&gt;""</formula>
    </cfRule>
  </conditionalFormatting>
  <conditionalFormatting sqref="G67:H67">
    <cfRule type="expression" dxfId="354" priority="533" stopIfTrue="1">
      <formula>$B$67&lt;&gt;""</formula>
    </cfRule>
  </conditionalFormatting>
  <conditionalFormatting sqref="G68:H68">
    <cfRule type="expression" dxfId="353" priority="534" stopIfTrue="1">
      <formula>$B$68&lt;&gt;""</formula>
    </cfRule>
  </conditionalFormatting>
  <conditionalFormatting sqref="G69:H69">
    <cfRule type="expression" dxfId="352" priority="535" stopIfTrue="1">
      <formula>$B$69&lt;&gt;""</formula>
    </cfRule>
  </conditionalFormatting>
  <conditionalFormatting sqref="G70:H70">
    <cfRule type="expression" dxfId="351" priority="536" stopIfTrue="1">
      <formula>$B$70&lt;&gt;""</formula>
    </cfRule>
  </conditionalFormatting>
  <conditionalFormatting sqref="G71:H71">
    <cfRule type="expression" dxfId="350" priority="537" stopIfTrue="1">
      <formula>$B$71&lt;&gt;""</formula>
    </cfRule>
  </conditionalFormatting>
  <conditionalFormatting sqref="G72:H72">
    <cfRule type="expression" dxfId="349" priority="538" stopIfTrue="1">
      <formula>$B$72&lt;&gt;""</formula>
    </cfRule>
  </conditionalFormatting>
  <conditionalFormatting sqref="G73:H73">
    <cfRule type="expression" dxfId="348" priority="539" stopIfTrue="1">
      <formula>$B$73&lt;&gt;""</formula>
    </cfRule>
  </conditionalFormatting>
  <conditionalFormatting sqref="G52:I52">
    <cfRule type="expression" dxfId="347" priority="109">
      <formula>MUKEN=FALSE</formula>
    </cfRule>
  </conditionalFormatting>
  <conditionalFormatting sqref="G55:I55">
    <cfRule type="expression" dxfId="346" priority="60">
      <formula>minergiea=TRUE</formula>
    </cfRule>
  </conditionalFormatting>
  <conditionalFormatting sqref="G49:K50">
    <cfRule type="expression" dxfId="345" priority="124">
      <formula>MUKEN=TRUE</formula>
    </cfRule>
  </conditionalFormatting>
  <conditionalFormatting sqref="G50:K50">
    <cfRule type="expression" dxfId="344" priority="110">
      <formula>MUKEN=FALSE</formula>
    </cfRule>
  </conditionalFormatting>
  <conditionalFormatting sqref="G55:K55">
    <cfRule type="expression" dxfId="343" priority="22">
      <formula>bern</formula>
    </cfRule>
  </conditionalFormatting>
  <conditionalFormatting sqref="G57:K58">
    <cfRule type="expression" dxfId="342" priority="21">
      <formula>bern</formula>
    </cfRule>
    <cfRule type="expression" dxfId="341" priority="53">
      <formula>minergiea</formula>
    </cfRule>
  </conditionalFormatting>
  <conditionalFormatting sqref="G60:K60">
    <cfRule type="expression" dxfId="340" priority="18">
      <formula>bern</formula>
    </cfRule>
  </conditionalFormatting>
  <conditionalFormatting sqref="H17">
    <cfRule type="expression" dxfId="339" priority="219">
      <formula>Zonen&lt;3</formula>
    </cfRule>
    <cfRule type="expression" dxfId="338" priority="220">
      <formula>ISERROR(_WW3)</formula>
    </cfRule>
  </conditionalFormatting>
  <conditionalFormatting sqref="H19:H20">
    <cfRule type="expression" dxfId="337" priority="7" stopIfTrue="1">
      <formula>$Q$2&lt;$H$91</formula>
    </cfRule>
  </conditionalFormatting>
  <conditionalFormatting sqref="H19:H21">
    <cfRule type="expression" dxfId="336" priority="6">
      <formula>Zonen&lt;3</formula>
    </cfRule>
  </conditionalFormatting>
  <conditionalFormatting sqref="H20">
    <cfRule type="expression" dxfId="335" priority="2">
      <formula>OR(bern=FALSE,AND(bern=TRUE,EBF_wohnen_neu3=0))</formula>
    </cfRule>
  </conditionalFormatting>
  <conditionalFormatting sqref="H23">
    <cfRule type="expression" dxfId="334" priority="34">
      <formula>AND(bern,wohnen3=FALSE)</formula>
    </cfRule>
    <cfRule type="expression" dxfId="333" priority="43">
      <formula>AND(bern,Zonen&gt;2,wohnen3)</formula>
    </cfRule>
    <cfRule type="expression" dxfId="332" priority="741">
      <formula>MUKEN=TRUE</formula>
    </cfRule>
    <cfRule type="expression" dxfId="331" priority="742" stopIfTrue="1">
      <formula>$Q$2&lt;$H$91</formula>
    </cfRule>
  </conditionalFormatting>
  <conditionalFormatting sqref="H23:H24">
    <cfRule type="expression" dxfId="330" priority="277">
      <formula>Zonen&lt;3</formula>
    </cfRule>
  </conditionalFormatting>
  <conditionalFormatting sqref="H24">
    <cfRule type="expression" dxfId="329" priority="29">
      <formula>AND(bern,OR(wohnen3,EBF_Zweckneubau&lt;1000.1))</formula>
    </cfRule>
  </conditionalFormatting>
  <conditionalFormatting sqref="H25">
    <cfRule type="expression" dxfId="328" priority="598" stopIfTrue="1">
      <formula>AND(Zonen&gt;2,Hoehe&gt;=800,minergiep=FALSE,minergiea=FALSE)</formula>
    </cfRule>
    <cfRule type="expression" dxfId="327" priority="599" stopIfTrue="1">
      <formula>OR(AND(Zonen&gt;2,AND(minergiep=TRUE,Luftheizung)),AND(Zonen&gt;2,minergiea=TRUE))</formula>
    </cfRule>
    <cfRule type="expression" dxfId="326" priority="600" stopIfTrue="1">
      <formula>AND(Zonen&gt;2,AND(minergiep=TRUE,Luftheizung=FALSE))</formula>
    </cfRule>
  </conditionalFormatting>
  <conditionalFormatting sqref="H30">
    <cfRule type="expression" dxfId="325" priority="202">
      <formula>Zonen&lt;3</formula>
    </cfRule>
    <cfRule type="expression" dxfId="324" priority="203">
      <formula>ISERROR(Standardlüftung3)</formula>
    </cfRule>
  </conditionalFormatting>
  <conditionalFormatting sqref="H31">
    <cfRule type="expression" dxfId="323" priority="210" stopIfTrue="1">
      <formula>Standardlüftung3=3</formula>
    </cfRule>
  </conditionalFormatting>
  <conditionalFormatting sqref="H32">
    <cfRule type="expression" dxfId="322" priority="230" stopIfTrue="1">
      <formula>AND(Kategorie3&lt;6,Kategorie3&gt;1,Standardlüftung3&gt;2)</formula>
    </cfRule>
  </conditionalFormatting>
  <conditionalFormatting sqref="H34:H35">
    <cfRule type="expression" dxfId="321" priority="271" stopIfTrue="1">
      <formula>AND(Standardlüftung3&gt;2)</formula>
    </cfRule>
  </conditionalFormatting>
  <conditionalFormatting sqref="H37">
    <cfRule type="expression" dxfId="320" priority="270">
      <formula>Standardlüftung3=3</formula>
    </cfRule>
  </conditionalFormatting>
  <conditionalFormatting sqref="H39">
    <cfRule type="expression" dxfId="319" priority="268">
      <formula>Zonen&lt;3</formula>
    </cfRule>
    <cfRule type="expression" dxfId="318" priority="269" stopIfTrue="1">
      <formula>"&lt;&gt;minergiep"</formula>
    </cfRule>
  </conditionalFormatting>
  <conditionalFormatting sqref="H40:H41">
    <cfRule type="expression" dxfId="317" priority="244">
      <formula>$H$94</formula>
    </cfRule>
    <cfRule type="expression" dxfId="316" priority="256">
      <formula>OR(Standardlüftung3=3,Kategorie3=1)</formula>
    </cfRule>
    <cfRule type="expression" dxfId="315" priority="257" stopIfTrue="1">
      <formula>$H$78</formula>
    </cfRule>
    <cfRule type="expression" dxfId="314" priority="258" stopIfTrue="1">
      <formula>$H$88=FALSE</formula>
    </cfRule>
    <cfRule type="expression" dxfId="313" priority="259" stopIfTrue="1">
      <formula>AND(Zonen&gt;2,Kategorie3&lt;&gt;13)</formula>
    </cfRule>
  </conditionalFormatting>
  <conditionalFormatting sqref="H42:H43">
    <cfRule type="expression" dxfId="312" priority="252" stopIfTrue="1">
      <formula>OR($H$77,$H$76)</formula>
    </cfRule>
    <cfRule type="expression" dxfId="311" priority="253" stopIfTrue="1">
      <formula>AND(Zonen&gt;2,Kategorie3&lt;&gt;13)</formula>
    </cfRule>
  </conditionalFormatting>
  <conditionalFormatting sqref="H43">
    <cfRule type="expression" dxfId="310" priority="250" stopIfTrue="1">
      <formula>Kategorie3=13</formula>
    </cfRule>
    <cfRule type="expression" dxfId="309" priority="251" stopIfTrue="1">
      <formula>$H$77</formula>
    </cfRule>
  </conditionalFormatting>
  <conditionalFormatting sqref="H46">
    <cfRule type="expression" dxfId="308" priority="247">
      <formula>Zonen&lt;3</formula>
    </cfRule>
    <cfRule type="expression" dxfId="307" priority="248" stopIfTrue="1">
      <formula>Kategorie3=13</formula>
    </cfRule>
  </conditionalFormatting>
  <conditionalFormatting sqref="H54">
    <cfRule type="expression" dxfId="306" priority="23">
      <formula>bern</formula>
    </cfRule>
  </conditionalFormatting>
  <conditionalFormatting sqref="H56">
    <cfRule type="expression" dxfId="305" priority="58">
      <formula>minergiea=TRUE</formula>
    </cfRule>
  </conditionalFormatting>
  <conditionalFormatting sqref="H79">
    <cfRule type="expression" dxfId="304" priority="548" stopIfTrue="1">
      <formula>AND(Zonen&gt;2,minergiep=FALSE,Kategorie3&lt;&gt;13)</formula>
    </cfRule>
    <cfRule type="expression" dxfId="303" priority="549" stopIfTrue="1">
      <formula>AND(Zonen&gt;2,minergiep=TRUE)</formula>
    </cfRule>
  </conditionalFormatting>
  <conditionalFormatting sqref="H80">
    <cfRule type="expression" dxfId="302" priority="544" stopIfTrue="1">
      <formula>AND(Zonen&gt;2,Kategorie3&lt;&gt;13)</formula>
    </cfRule>
  </conditionalFormatting>
  <conditionalFormatting sqref="H92">
    <cfRule type="expression" dxfId="301" priority="503" stopIfTrue="1">
      <formula>Zonen&gt;2</formula>
    </cfRule>
  </conditionalFormatting>
  <conditionalFormatting sqref="H51:J51">
    <cfRule type="expression" dxfId="300" priority="116">
      <formula>MUKEN=FALSE</formula>
    </cfRule>
  </conditionalFormatting>
  <conditionalFormatting sqref="H54:K54">
    <cfRule type="expression" dxfId="299" priority="165">
      <formula>MUKEN=TRUE</formula>
    </cfRule>
  </conditionalFormatting>
  <conditionalFormatting sqref="I17">
    <cfRule type="expression" dxfId="298" priority="222">
      <formula>ISERROR(_WW4)</formula>
    </cfRule>
  </conditionalFormatting>
  <conditionalFormatting sqref="I17:I20">
    <cfRule type="expression" dxfId="297" priority="8">
      <formula>Zonen&lt;4</formula>
    </cfRule>
  </conditionalFormatting>
  <conditionalFormatting sqref="I20">
    <cfRule type="expression" dxfId="296" priority="1">
      <formula>OR(bern=FALSE,AND(bern=TRUE,EBF_wohnen_neu4=0))</formula>
    </cfRule>
  </conditionalFormatting>
  <conditionalFormatting sqref="I21:I24">
    <cfRule type="expression" dxfId="295" priority="309">
      <formula>Zonen&lt;4</formula>
    </cfRule>
  </conditionalFormatting>
  <conditionalFormatting sqref="I23">
    <cfRule type="expression" dxfId="294" priority="33">
      <formula>AND(bern,wohnen4=FALSE)</formula>
    </cfRule>
    <cfRule type="expression" dxfId="293" priority="42">
      <formula>AND(bern,Zonen&gt;3,wohnen4)</formula>
    </cfRule>
  </conditionalFormatting>
  <conditionalFormatting sqref="I24">
    <cfRule type="expression" dxfId="292" priority="30">
      <formula>AND(bern,OR(wohnen4,EBF_Zweckneubau&lt;1000.1))</formula>
    </cfRule>
  </conditionalFormatting>
  <conditionalFormatting sqref="I25">
    <cfRule type="expression" dxfId="291" priority="601" stopIfTrue="1">
      <formula>AND(Zonen&gt;3,Hoehe&gt;=800,minergiep=FALSE,minergiea=FALSE)</formula>
    </cfRule>
    <cfRule type="expression" dxfId="290" priority="602" stopIfTrue="1">
      <formula>OR(AND(Zonen&gt;3,AND(minergiep=TRUE,Luftheizung)),AND(Zonen&gt;3,minergiea=TRUE))</formula>
    </cfRule>
    <cfRule type="expression" dxfId="289" priority="603" stopIfTrue="1">
      <formula>AND(Zonen&gt;3,AND(minergiep=TRUE,Luftheizung=FALSE))</formula>
    </cfRule>
  </conditionalFormatting>
  <conditionalFormatting sqref="I30">
    <cfRule type="expression" dxfId="288" priority="200">
      <formula>Zonen&lt;4</formula>
    </cfRule>
    <cfRule type="expression" dxfId="287" priority="201">
      <formula>ISERROR(Standardlüftung4)</formula>
    </cfRule>
  </conditionalFormatting>
  <conditionalFormatting sqref="I31">
    <cfRule type="expression" dxfId="286" priority="211" stopIfTrue="1">
      <formula>Standardlüftung4=3</formula>
    </cfRule>
  </conditionalFormatting>
  <conditionalFormatting sqref="I32">
    <cfRule type="expression" dxfId="285" priority="317" stopIfTrue="1">
      <formula>AND(Kategorie4&lt;6,Kategorie4&gt;1,Standardlüftung4&gt;2)</formula>
    </cfRule>
  </conditionalFormatting>
  <conditionalFormatting sqref="I34:I35">
    <cfRule type="expression" dxfId="284" priority="319" stopIfTrue="1">
      <formula>AND(Standardlüftung4&gt;2)</formula>
    </cfRule>
  </conditionalFormatting>
  <conditionalFormatting sqref="I37">
    <cfRule type="expression" dxfId="283" priority="434">
      <formula>Standardlüftung4=3</formula>
    </cfRule>
  </conditionalFormatting>
  <conditionalFormatting sqref="I39">
    <cfRule type="expression" dxfId="282" priority="300">
      <formula>Zonen&lt;4</formula>
    </cfRule>
    <cfRule type="expression" dxfId="281" priority="330" stopIfTrue="1">
      <formula>"&lt;&gt;minergiep"</formula>
    </cfRule>
  </conditionalFormatting>
  <conditionalFormatting sqref="I40:I41">
    <cfRule type="expression" dxfId="280" priority="243">
      <formula>$I$94</formula>
    </cfRule>
    <cfRule type="expression" dxfId="279" priority="426">
      <formula>OR(Standardlüftung4=3,Kategorie4=1)</formula>
    </cfRule>
    <cfRule type="expression" dxfId="278" priority="447" stopIfTrue="1">
      <formula>$I$78</formula>
    </cfRule>
    <cfRule type="expression" dxfId="277" priority="448" stopIfTrue="1">
      <formula>$I$88=FALSE</formula>
    </cfRule>
    <cfRule type="expression" dxfId="276" priority="560" stopIfTrue="1">
      <formula>AND(Zonen&gt;3,Kategorie4&lt;&gt;13)</formula>
    </cfRule>
  </conditionalFormatting>
  <conditionalFormatting sqref="I42:I43">
    <cfRule type="expression" dxfId="275" priority="571" stopIfTrue="1">
      <formula>OR($I$77,$I$76)</formula>
    </cfRule>
    <cfRule type="expression" dxfId="274" priority="572" stopIfTrue="1">
      <formula>AND(Zonen&gt;3,Kategorie4&lt;&gt;13)</formula>
    </cfRule>
  </conditionalFormatting>
  <conditionalFormatting sqref="I43">
    <cfRule type="expression" dxfId="273" priority="360" stopIfTrue="1">
      <formula>Kategorie4=13</formula>
    </cfRule>
    <cfRule type="expression" dxfId="272" priority="361" stopIfTrue="1">
      <formula>$I$77</formula>
    </cfRule>
  </conditionalFormatting>
  <conditionalFormatting sqref="I46">
    <cfRule type="expression" dxfId="271" priority="303">
      <formula>Zonen&lt;4</formula>
    </cfRule>
    <cfRule type="expression" dxfId="270" priority="312" stopIfTrue="1">
      <formula>Kategorie4=13</formula>
    </cfRule>
  </conditionalFormatting>
  <conditionalFormatting sqref="I53">
    <cfRule type="expression" dxfId="269" priority="107">
      <formula>MUKEN=FALSE</formula>
    </cfRule>
  </conditionalFormatting>
  <conditionalFormatting sqref="I79">
    <cfRule type="expression" dxfId="268" priority="550" stopIfTrue="1">
      <formula>AND(Zonen&gt;3,minergiep=FALSE,Kategorie4&lt;&gt;13)</formula>
    </cfRule>
    <cfRule type="expression" dxfId="267" priority="551" stopIfTrue="1">
      <formula>AND(Zonen&gt;3,minergiep=TRUE)</formula>
    </cfRule>
  </conditionalFormatting>
  <conditionalFormatting sqref="I80">
    <cfRule type="expression" dxfId="266" priority="545" stopIfTrue="1">
      <formula>AND(Zonen&gt;3,Kategorie4&lt;&gt;13)</formula>
    </cfRule>
  </conditionalFormatting>
  <conditionalFormatting sqref="I92">
    <cfRule type="expression" dxfId="265" priority="489">
      <formula>Zonen&gt;3</formula>
    </cfRule>
  </conditionalFormatting>
  <conditionalFormatting sqref="I67:J67">
    <cfRule type="expression" dxfId="264" priority="499" stopIfTrue="1">
      <formula>$B$67=""</formula>
    </cfRule>
  </conditionalFormatting>
  <conditionalFormatting sqref="I8:K8">
    <cfRule type="expression" dxfId="263" priority="384">
      <formula>MUKEN=FALSE</formula>
    </cfRule>
  </conditionalFormatting>
  <conditionalFormatting sqref="I53:K54">
    <cfRule type="expression" dxfId="262" priority="128">
      <formula>MUKEN=TRUE</formula>
    </cfRule>
  </conditionalFormatting>
  <conditionalFormatting sqref="I54:K54">
    <cfRule type="expression" dxfId="261" priority="17">
      <formula>bern</formula>
    </cfRule>
    <cfRule type="expression" dxfId="260" priority="24">
      <formula>bern</formula>
    </cfRule>
    <cfRule type="expression" dxfId="259" priority="187">
      <formula>OR(minergie=TRUE,minergiep=TRUE,MUKEN=warh)</formula>
    </cfRule>
  </conditionalFormatting>
  <conditionalFormatting sqref="I56:K56">
    <cfRule type="expression" dxfId="258" priority="86">
      <formula>OR(MUKEN,bern)</formula>
    </cfRule>
    <cfRule type="expression" dxfId="257" priority="90">
      <formula>minrgiea=TRUE</formula>
    </cfRule>
    <cfRule type="expression" dxfId="256" priority="95">
      <formula>minergiea=FALSE</formula>
    </cfRule>
  </conditionalFormatting>
  <conditionalFormatting sqref="J52">
    <cfRule type="expression" dxfId="255" priority="179">
      <formula>KategorieEFH=FALSE</formula>
    </cfRule>
  </conditionalFormatting>
  <conditionalFormatting sqref="J55">
    <cfRule type="expression" dxfId="254" priority="59">
      <formula>minergiea=TRUE</formula>
    </cfRule>
  </conditionalFormatting>
  <conditionalFormatting sqref="J73">
    <cfRule type="expression" dxfId="253" priority="504" stopIfTrue="1">
      <formula>minergiep=TRUE</formula>
    </cfRule>
  </conditionalFormatting>
  <conditionalFormatting sqref="J52:K52">
    <cfRule type="expression" dxfId="252" priority="108">
      <formula>MUKEN=FALSE</formula>
    </cfRule>
    <cfRule type="expression" dxfId="251" priority="133">
      <formula>MUKEN=TRUE</formula>
    </cfRule>
  </conditionalFormatting>
  <conditionalFormatting sqref="J53:K53">
    <cfRule type="expression" dxfId="250" priority="106">
      <formula>MUKEN=FALSE</formula>
    </cfRule>
  </conditionalFormatting>
  <conditionalFormatting sqref="K19:K20">
    <cfRule type="expression" dxfId="249" priority="11" stopIfTrue="1">
      <formula>BadMisch</formula>
    </cfRule>
  </conditionalFormatting>
  <conditionalFormatting sqref="K21">
    <cfRule type="expression" dxfId="248" priority="44">
      <formula>MUKEN</formula>
    </cfRule>
  </conditionalFormatting>
  <conditionalFormatting sqref="K23">
    <cfRule type="expression" dxfId="247" priority="241" stopIfTrue="1">
      <formula>BadMisch</formula>
    </cfRule>
  </conditionalFormatting>
  <conditionalFormatting sqref="K24">
    <cfRule type="expression" dxfId="246" priority="32">
      <formula>bern</formula>
    </cfRule>
    <cfRule type="cellIs" dxfId="245" priority="425" stopIfTrue="1" operator="lessThan">
      <formula>1000000</formula>
    </cfRule>
  </conditionalFormatting>
  <conditionalFormatting sqref="K51">
    <cfRule type="expression" dxfId="244" priority="115">
      <formula>MUKEN=FALSE</formula>
    </cfRule>
  </conditionalFormatting>
  <conditionalFormatting sqref="K55">
    <cfRule type="expression" dxfId="243" priority="61">
      <formula>minergiea=TRUE</formula>
    </cfRule>
  </conditionalFormatting>
  <conditionalFormatting sqref="K80:K82">
    <cfRule type="expression" dxfId="242" priority="455" stopIfTrue="1">
      <formula>AND(Primaeranforderung&gt;0,(qhs_vollständig*IF(EBF=0,0,(_qhs1*_EBF1+_qhs2*_EBF2+_qhs3*_EBF3+_qhs4*_EBF4)/EBF)/3.6)&gt;Primaeranforderung)</formula>
    </cfRule>
  </conditionalFormatting>
  <conditionalFormatting sqref="K90">
    <cfRule type="cellIs" dxfId="241" priority="564" stopIfTrue="1" operator="lessThan">
      <formula>1000000</formula>
    </cfRule>
  </conditionalFormatting>
  <conditionalFormatting sqref="K91">
    <cfRule type="expression" dxfId="240" priority="737" stopIfTrue="1">
      <formula>OR($O$2&lt;$F$91,$P$2&lt;$G$91,$Q$2&lt;$H$91,$R$2&lt;$I$91)</formula>
    </cfRule>
    <cfRule type="expression" dxfId="239" priority="738" stopIfTrue="1">
      <formula>BadMisch</formula>
    </cfRule>
  </conditionalFormatting>
  <conditionalFormatting sqref="K93">
    <cfRule type="expression" dxfId="238" priority="498" stopIfTrue="1">
      <formula>$L$37=1</formula>
    </cfRule>
  </conditionalFormatting>
  <conditionalFormatting sqref="L23">
    <cfRule type="expression" dxfId="237" priority="240">
      <formula>MUKEN=TRUE</formula>
    </cfRule>
  </conditionalFormatting>
  <conditionalFormatting sqref="O2:P2 R2 F91:I91">
    <cfRule type="expression" dxfId="236" priority="505" stopIfTrue="1">
      <formula>$O$2&lt;$F$91</formula>
    </cfRule>
  </conditionalFormatting>
  <conditionalFormatting sqref="P2">
    <cfRule type="expression" dxfId="235" priority="216">
      <formula>Zonen&lt;2</formula>
    </cfRule>
  </conditionalFormatting>
  <conditionalFormatting sqref="Q2">
    <cfRule type="expression" dxfId="234" priority="213">
      <formula>Zonen&lt;3</formula>
    </cfRule>
    <cfRule type="expression" dxfId="233" priority="214" stopIfTrue="1">
      <formula>$Q$2&lt;$H$91</formula>
    </cfRule>
  </conditionalFormatting>
  <conditionalFormatting sqref="R2">
    <cfRule type="expression" dxfId="232" priority="215">
      <formula>Zonen&lt;4</formula>
    </cfRule>
  </conditionalFormatting>
  <dataValidations count="31">
    <dataValidation type="list" allowBlank="1" showInputMessage="1" showErrorMessage="1" sqref="P21 S31">
      <formula1>#REF!</formula1>
    </dataValidation>
    <dataValidation type="list" allowBlank="1" showInputMessage="1" showErrorMessage="1" sqref="F35">
      <formula1>ECAC1</formula1>
    </dataValidation>
    <dataValidation type="list" allowBlank="1" showInputMessage="1" showErrorMessage="1" sqref="G35">
      <formula1>ECAC2</formula1>
    </dataValidation>
    <dataValidation type="list" allowBlank="1" showInputMessage="1" showErrorMessage="1" sqref="I35">
      <formula1>ECAC4</formula1>
    </dataValidation>
    <dataValidation type="list" allowBlank="1" showInputMessage="1" showErrorMessage="1" sqref="D60">
      <formula1>JaNein</formula1>
    </dataValidation>
    <dataValidation type="list" showInputMessage="1" showErrorMessage="1" sqref="I13:K13">
      <formula1>Kanton1</formula1>
    </dataValidation>
    <dataValidation type="list" showInputMessage="1" showErrorMessage="1" sqref="I14:K14">
      <formula1>Klimastation</formula1>
    </dataValidation>
    <dataValidation type="list" allowBlank="1" showInputMessage="1" showErrorMessage="1" sqref="F16:I16">
      <formula1>Gebäudekategorie</formula1>
    </dataValidation>
    <dataValidation type="list" allowBlank="1" showInputMessage="1" showErrorMessage="1" sqref="F17">
      <formula1>ww_1</formula1>
    </dataValidation>
    <dataValidation type="list" allowBlank="1" showInputMessage="1" showErrorMessage="1" sqref="G17">
      <formula1>ww_2</formula1>
    </dataValidation>
    <dataValidation type="list" allowBlank="1" showInputMessage="1" showErrorMessage="1" errorTitle="falsche Eingabe" error="falsche Eingabe" sqref="I17">
      <formula1>ww_4</formula1>
    </dataValidation>
    <dataValidation type="list" allowBlank="1" showInputMessage="1" showErrorMessage="1" sqref="F21:I21">
      <formula1>_Neubau</formula1>
    </dataValidation>
    <dataValidation type="list" allowBlank="1" showInputMessage="1" showErrorMessage="1" sqref="F30">
      <formula1>Kleinanlagen1</formula1>
    </dataValidation>
    <dataValidation type="list" allowBlank="1" showInputMessage="1" showErrorMessage="1" sqref="F34">
      <formula1>WRG_1</formula1>
    </dataValidation>
    <dataValidation type="list" allowBlank="1" showInputMessage="1" showErrorMessage="1" sqref="F39">
      <formula1>Zone1</formula1>
    </dataValidation>
    <dataValidation type="list" allowBlank="1" showInputMessage="1" showErrorMessage="1" sqref="G39">
      <formula1>Zone2</formula1>
    </dataValidation>
    <dataValidation type="list" allowBlank="1" showInputMessage="1" showErrorMessage="1" sqref="H39:I39">
      <formula1>Zone4</formula1>
    </dataValidation>
    <dataValidation type="list" allowBlank="1" showInputMessage="1" showErrorMessage="1" sqref="G30">
      <formula1>Kleinanlagen2</formula1>
    </dataValidation>
    <dataValidation type="list" allowBlank="1" showInputMessage="1" showErrorMessage="1" sqref="I30">
      <formula1>Kleinanlagen4</formula1>
    </dataValidation>
    <dataValidation type="list" allowBlank="1" showInputMessage="1" showErrorMessage="1" sqref="E46">
      <formula1>Einheit</formula1>
    </dataValidation>
    <dataValidation type="list" allowBlank="1" showInputMessage="1" showErrorMessage="1" sqref="G34">
      <formula1>WRG_2</formula1>
    </dataValidation>
    <dataValidation type="list" allowBlank="1" showInputMessage="1" showErrorMessage="1" sqref="I34">
      <formula1>WRG_4</formula1>
    </dataValidation>
    <dataValidation type="list" allowBlank="1" showInputMessage="1" showErrorMessage="1" errorTitle="falsche Eingabe" error="falsche Eingabe" sqref="H17">
      <formula1>ww_3</formula1>
    </dataValidation>
    <dataValidation type="list" allowBlank="1" showInputMessage="1" showErrorMessage="1" sqref="H30">
      <formula1>Kleinanlagen3</formula1>
    </dataValidation>
    <dataValidation type="list" allowBlank="1" showInputMessage="1" showErrorMessage="1" sqref="H34">
      <formula1>WRG_3</formula1>
    </dataValidation>
    <dataValidation type="list" allowBlank="1" showInputMessage="1" showErrorMessage="1" sqref="H35">
      <formula1>ECAC3</formula1>
    </dataValidation>
    <dataValidation type="list" allowBlank="1" showInputMessage="1" showErrorMessage="1" sqref="E14:G14">
      <formula1>Nachweistyp</formula1>
    </dataValidation>
    <dataValidation type="list" allowBlank="1" showInputMessage="1" showErrorMessage="1" sqref="F31">
      <formula1>Lüftungstyp1</formula1>
    </dataValidation>
    <dataValidation type="list" allowBlank="1" showInputMessage="1" showErrorMessage="1" sqref="I31">
      <formula1>Lüftungstyp4</formula1>
    </dataValidation>
    <dataValidation type="list" allowBlank="1" showInputMessage="1" showErrorMessage="1" sqref="G31">
      <formula1>Lüftungstyp2</formula1>
    </dataValidation>
    <dataValidation type="list" allowBlank="1" showInputMessage="1" showErrorMessage="1" sqref="H31">
      <formula1>Lüftungstyp3</formula1>
    </dataValidation>
  </dataValidations>
  <pageMargins left="0.51181102362204722" right="0.35433070866141736" top="0.47244094488188981" bottom="0.31496062992125984" header="0.39370078740157483" footer="0.27559055118110237"/>
  <pageSetup paperSize="9" scale="85" orientation="portrait" horizontalDpi="300" vertic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ellIs" priority="188" stopIfTrue="1" operator="equal" id="{8CED03DE-FCA7-4BBC-BB0E-081726A14037}">
            <xm:f>MINERGIE!$N$12</xm:f>
            <x14:dxf>
              <font>
                <color auto="1"/>
              </font>
              <fill>
                <patternFill>
                  <bgColor rgb="FFCCFF99"/>
                </patternFill>
              </fill>
            </x14:dxf>
          </x14:cfRule>
          <x14:cfRule type="cellIs" priority="189" stopIfTrue="1" operator="equal" id="{194347AE-255C-46FC-A73F-CB536A0252BF}">
            <xm:f>MINERGIE!$N$13</xm:f>
            <x14:dxf>
              <font>
                <color rgb="FF9C0006"/>
              </font>
              <fill>
                <patternFill>
                  <bgColor rgb="FFFFC7CE"/>
                </patternFill>
              </fill>
            </x14:dxf>
          </x14:cfRule>
          <xm:sqref>I54</xm:sqref>
        </x14:conditionalFormatting>
        <x14:conditionalFormatting xmlns:xm="http://schemas.microsoft.com/office/excel/2006/main">
          <x14:cfRule type="cellIs" priority="96" stopIfTrue="1" operator="equal" id="{601A91DD-778F-496A-BBF9-5EC769C8B70F}">
            <xm:f>MINERGIE!$N$12</xm:f>
            <x14:dxf>
              <font>
                <color auto="1"/>
              </font>
              <fill>
                <patternFill>
                  <bgColor rgb="FFCCFF99"/>
                </patternFill>
              </fill>
              <border>
                <left style="thin">
                  <color auto="1"/>
                </left>
              </border>
            </x14:dxf>
          </x14:cfRule>
          <x14:cfRule type="cellIs" priority="97" stopIfTrue="1" operator="equal" id="{C6F4B5C8-DF1E-48D9-A9F1-FAA378368C32}">
            <xm:f>MINERGIE!$N$13</xm:f>
            <x14:dxf>
              <font>
                <color rgb="FF9C0006"/>
              </font>
              <fill>
                <patternFill>
                  <bgColor rgb="FFFFC7CE"/>
                </patternFill>
              </fill>
              <border>
                <left style="thin">
                  <color auto="1"/>
                </left>
                <right style="thin">
                  <color auto="1"/>
                </right>
                <top style="thin">
                  <color auto="1"/>
                </top>
                <bottom style="thin">
                  <color auto="1"/>
                </bottom>
              </border>
            </x14:dxf>
          </x14:cfRule>
          <xm:sqref>I56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workbookViewId="0"/>
  </sheetViews>
  <sheetFormatPr baseColWidth="10" defaultColWidth="11.42578125" defaultRowHeight="12.75"/>
  <cols>
    <col min="1" max="1" width="39.42578125" style="593" customWidth="1"/>
    <col min="2" max="11" width="11.42578125" style="593"/>
    <col min="12" max="18" width="11.42578125" style="593" hidden="1" customWidth="1"/>
    <col min="19" max="16384" width="11.42578125" style="593"/>
  </cols>
  <sheetData>
    <row r="1" spans="1:18" ht="21" customHeight="1">
      <c r="A1" s="1579" t="str">
        <f>Uebersetzung!D489</f>
        <v>A reporter dans PVOpti</v>
      </c>
    </row>
    <row r="2" spans="1:18" ht="15" customHeight="1"/>
    <row r="3" spans="1:18" ht="15" customHeight="1" thickBot="1">
      <c r="C3" s="1580" t="str">
        <f>Uebersetzung!D490</f>
        <v>Veuillez copier la cellule jaune et la reporter dans PVOpti :</v>
      </c>
      <c r="L3" s="156">
        <v>1</v>
      </c>
    </row>
    <row r="4" spans="1:18" ht="15" customHeight="1">
      <c r="A4" s="593" t="str">
        <f>Uebersetzung!D491</f>
        <v>N° MOP: / Nom du projet : / Adresse du bâtiment :</v>
      </c>
      <c r="C4" s="1571" t="str">
        <f>IF(Projekt3&lt;&gt;"",Projekt3,"")</f>
        <v/>
      </c>
      <c r="D4" s="1567" t="str">
        <f>IF(Entrées!C7&lt;&gt;"",Entrées!C7,"")</f>
        <v/>
      </c>
      <c r="E4" s="1567"/>
      <c r="F4" s="1567"/>
      <c r="G4" s="1567" t="str">
        <f>IF(Entrées!C8&lt;&gt;"",Entrées!C8,"")</f>
        <v/>
      </c>
      <c r="H4" s="1567"/>
      <c r="I4" s="1558"/>
      <c r="L4" s="156">
        <v>2</v>
      </c>
      <c r="M4" s="593" t="s">
        <v>203</v>
      </c>
      <c r="P4" s="593" t="s">
        <v>332</v>
      </c>
      <c r="Q4" s="593" t="s">
        <v>1531</v>
      </c>
      <c r="R4" s="593" t="s">
        <v>2956</v>
      </c>
    </row>
    <row r="5" spans="1:18" ht="15" customHeight="1">
      <c r="A5" s="593" t="str">
        <f>Uebersetzung!D492</f>
        <v xml:space="preserve">N° de la parcelle : / Station météorologique : / LiebeLieu : </v>
      </c>
      <c r="C5" s="1559" t="str">
        <f>IF(Projekt2&lt;&gt;"",Projekt2,"")</f>
        <v/>
      </c>
      <c r="D5" s="1568" t="str">
        <f>IF(Entrées!I14&lt;&gt;"",Entrées!I14,"")</f>
        <v xml:space="preserve"> </v>
      </c>
      <c r="E5" s="1568"/>
      <c r="F5" s="1568"/>
      <c r="G5" s="1568" t="str">
        <f>IF(Entrées!E13&lt;&gt;"",Entrées!E13,"")</f>
        <v/>
      </c>
      <c r="H5" s="1568"/>
      <c r="I5" s="1560"/>
      <c r="L5" s="156">
        <v>3</v>
      </c>
      <c r="M5" s="593" t="s">
        <v>471</v>
      </c>
      <c r="P5" s="593" t="s">
        <v>333</v>
      </c>
      <c r="Q5" s="593" t="s">
        <v>1532</v>
      </c>
      <c r="R5" s="593" t="s">
        <v>2957</v>
      </c>
    </row>
    <row r="6" spans="1:18" ht="15" customHeight="1">
      <c r="C6" s="1559"/>
      <c r="D6" s="1561"/>
      <c r="E6" s="1561"/>
      <c r="F6" s="1561"/>
      <c r="G6" s="1561"/>
      <c r="H6" s="1561"/>
      <c r="I6" s="1562"/>
      <c r="L6" s="156">
        <v>4</v>
      </c>
      <c r="M6" s="593" t="s">
        <v>472</v>
      </c>
      <c r="P6" s="593" t="s">
        <v>1</v>
      </c>
      <c r="Q6" s="593" t="s">
        <v>1533</v>
      </c>
      <c r="R6" s="593" t="s">
        <v>2958</v>
      </c>
    </row>
    <row r="7" spans="1:18" ht="15" customHeight="1">
      <c r="C7" s="1559"/>
      <c r="D7" s="1569"/>
      <c r="E7" s="1569"/>
      <c r="F7" s="1569"/>
      <c r="G7" s="1569"/>
      <c r="H7" s="1569"/>
      <c r="I7" s="1570"/>
      <c r="L7" s="156">
        <v>5</v>
      </c>
      <c r="M7" s="593" t="s">
        <v>204</v>
      </c>
      <c r="P7" s="593" t="s">
        <v>340</v>
      </c>
      <c r="Q7" s="593" t="s">
        <v>1534</v>
      </c>
      <c r="R7" s="593" t="s">
        <v>2959</v>
      </c>
    </row>
    <row r="8" spans="1:18" ht="15" customHeight="1">
      <c r="A8" s="1468" t="str">
        <f>Uebersetzung!D493</f>
        <v>Installation de production de chaleur</v>
      </c>
      <c r="C8" s="1559"/>
      <c r="D8" s="1561"/>
      <c r="E8" s="1561"/>
      <c r="F8" s="1561"/>
      <c r="G8" s="1561"/>
      <c r="H8" s="1561"/>
      <c r="I8" s="1562"/>
      <c r="L8" s="156">
        <v>6</v>
      </c>
      <c r="M8" s="593" t="s">
        <v>473</v>
      </c>
      <c r="P8" s="593" t="s">
        <v>237</v>
      </c>
      <c r="Q8" s="593" t="s">
        <v>1535</v>
      </c>
      <c r="R8" s="593" t="s">
        <v>2960</v>
      </c>
    </row>
    <row r="9" spans="1:18" ht="15" customHeight="1">
      <c r="A9" s="593" t="str">
        <f>Uebersetzung!D494</f>
        <v>Prod.  A</v>
      </c>
      <c r="B9" s="1582"/>
      <c r="C9" s="1581" t="str">
        <f>IF(Justificatif!M8&gt;1,INDEX($L$3:$M$50,Justificatif!M8,2),"")</f>
        <v/>
      </c>
      <c r="D9" s="1569">
        <f>IF(Justificatif!J8&gt;0,Justificatif!J8/100,0)</f>
        <v>0</v>
      </c>
      <c r="E9" s="1569">
        <f>IF(Justificatif!L8&gt;0,Justificatif!L8/100,0)</f>
        <v>0</v>
      </c>
      <c r="F9" s="1569">
        <f>IF(AND(WirkungsgradA&gt;0,Justificatif!S8=1),WirkungsgradA,0)</f>
        <v>0</v>
      </c>
      <c r="G9" s="1569">
        <f>IF(AND(WirkungsgradA&gt;0,qw&gt;0,Justificatif!T8=1),WirkungsgradA,0)</f>
        <v>0</v>
      </c>
      <c r="H9" s="1569">
        <f>IF(Justificatif!AD8,IF(Justificatif!G9&gt;0,Justificatif!G9,0),0)</f>
        <v>0</v>
      </c>
      <c r="I9" s="1570">
        <f>IF(Justificatif!AD8,IF(AND(Justificatif!G9&gt;0,qw&gt;0),Justificatif!G9,0),0)</f>
        <v>0</v>
      </c>
      <c r="L9" s="156">
        <v>7</v>
      </c>
      <c r="M9" s="593" t="s">
        <v>474</v>
      </c>
      <c r="P9" s="593" t="s">
        <v>830</v>
      </c>
      <c r="Q9" s="593" t="s">
        <v>830</v>
      </c>
      <c r="R9" s="593" t="s">
        <v>2961</v>
      </c>
    </row>
    <row r="10" spans="1:18" ht="15" customHeight="1">
      <c r="A10" s="593" t="str">
        <f>Uebersetzung!D495</f>
        <v>Prod. B</v>
      </c>
      <c r="C10" s="1581" t="str">
        <f>IF(Justificatif!M12&gt;1,INDEX($L$3:$M$50,Justificatif!M12,2),"")</f>
        <v/>
      </c>
      <c r="D10" s="1569">
        <f>IF(Justificatif!J12&gt;0,Justificatif!J12/100,0)</f>
        <v>0</v>
      </c>
      <c r="E10" s="1569">
        <f>IF(Justificatif!L12&gt;0,Justificatif!L12/100,0)</f>
        <v>0.2</v>
      </c>
      <c r="F10" s="1569">
        <f>IF(AND(WirkungsgradB&gt;0,Justificatif!S12=1),WirkungsgradB,0)</f>
        <v>0</v>
      </c>
      <c r="G10" s="1569">
        <f>IF(AND(WirkungsgradB&gt;0,qw&gt;0,Justificatif!T12=1),WirkungsgradB,0)</f>
        <v>0</v>
      </c>
      <c r="H10" s="1569">
        <f>IF(Justificatif!AD12,IF(Justificatif!G13&gt;0,Justificatif!G13,0),0)</f>
        <v>0</v>
      </c>
      <c r="I10" s="1570">
        <f>IF(Justificatif!AD12,IF(AND(Justificatif!G13&gt;0,qw&gt;0),Justificatif!G13,0),0)</f>
        <v>0</v>
      </c>
      <c r="L10" s="156">
        <v>8</v>
      </c>
      <c r="M10" s="593" t="s">
        <v>205</v>
      </c>
      <c r="P10" s="593" t="s">
        <v>831</v>
      </c>
      <c r="Q10" s="593" t="s">
        <v>1536</v>
      </c>
      <c r="R10" s="593" t="s">
        <v>2962</v>
      </c>
    </row>
    <row r="11" spans="1:18" ht="15" customHeight="1">
      <c r="A11" s="593" t="str">
        <f>Uebersetzung!D496</f>
        <v>Prod. C</v>
      </c>
      <c r="C11" s="1581" t="str">
        <f>IF(Justificatif!M16&gt;1,INDEX($L$3:$M$50,Justificatif!M16,2),"")</f>
        <v/>
      </c>
      <c r="D11" s="1569">
        <f>IF(Justificatif!J16&gt;0,Justificatif!J16/100,0)</f>
        <v>0</v>
      </c>
      <c r="E11" s="1569">
        <f>IF(Justificatif!L16&gt;0,Justificatif!L16/100,0)</f>
        <v>0.8</v>
      </c>
      <c r="F11" s="1569">
        <f>IF(AND(WirkungsgradC&gt;0,Justificatif!S16=1),WirkungsgradC,0)</f>
        <v>0</v>
      </c>
      <c r="G11" s="1569">
        <f>IF(AND(WirkungsgradC&gt;0,qw&gt;0,Justificatif!T16=1),WirkungsgradC,0)</f>
        <v>0</v>
      </c>
      <c r="H11" s="1569">
        <f>IF(Justificatif!AD16,IF(Justificatif!G17&gt;0,Justificatif!G17,0),0)</f>
        <v>0</v>
      </c>
      <c r="I11" s="1570">
        <f>IF(Justificatif!AD16,IF(AND(Justificatif!G17&gt;0,qw&gt;0),Justificatif!G17,0),0)</f>
        <v>0</v>
      </c>
      <c r="L11" s="156">
        <v>9</v>
      </c>
      <c r="M11" s="593" t="s">
        <v>318</v>
      </c>
      <c r="P11" s="593" t="s">
        <v>238</v>
      </c>
      <c r="Q11" s="593" t="s">
        <v>1537</v>
      </c>
      <c r="R11" s="593" t="s">
        <v>2963</v>
      </c>
    </row>
    <row r="12" spans="1:18" ht="15" customHeight="1">
      <c r="A12" s="593" t="str">
        <f>Uebersetzung!D497</f>
        <v>Prod. D</v>
      </c>
      <c r="C12" s="1581" t="str">
        <f>IF(Justificatif!M20&gt;1,INDEX($L$3:$M$50,Justificatif!M20,2),"")</f>
        <v/>
      </c>
      <c r="D12" s="1569">
        <f>IF(Justificatif!J20&gt;0,Justificatif!J20/100,0)</f>
        <v>0</v>
      </c>
      <c r="E12" s="1569">
        <f>IF(Justificatif!L20&gt;0,Justificatif!L20/100,0)</f>
        <v>0</v>
      </c>
      <c r="F12" s="1569">
        <f>IF(AND(WirkungsgradD&gt;0,Justificatif!S20=1),WirkungsgradD,0)</f>
        <v>0</v>
      </c>
      <c r="G12" s="1569">
        <f>IF(AND(WirkungsgradD&gt;0,qw&gt;0,Justificatif!T20=1),WirkungsgradD,0)</f>
        <v>0</v>
      </c>
      <c r="H12" s="1569">
        <f>IF(Justificatif!AD20,IF(Justificatif!G21&gt;0,Justificatif!G21,0),0)</f>
        <v>0</v>
      </c>
      <c r="I12" s="1570">
        <f>IF(Justificatif!AD20,IF(AND(Justificatif!G21&gt;0,qw&gt;0),Justificatif!G21,0),0)</f>
        <v>0</v>
      </c>
      <c r="L12" s="156">
        <v>10</v>
      </c>
      <c r="M12" s="593" t="s">
        <v>22</v>
      </c>
      <c r="P12" s="593" t="s">
        <v>491</v>
      </c>
      <c r="Q12" s="593" t="s">
        <v>491</v>
      </c>
      <c r="R12" s="593" t="s">
        <v>2964</v>
      </c>
    </row>
    <row r="13" spans="1:18" ht="15" customHeight="1">
      <c r="C13" s="1581" t="str">
        <f>IF(Justificatif!B24&lt;&gt;"",Justificatif!B24,"")</f>
        <v/>
      </c>
      <c r="D13" s="1569" t="str">
        <f>IF(Justificatif!J24&gt;0,Justificatif!J24/100,"")</f>
        <v/>
      </c>
      <c r="E13" s="1569" t="str">
        <f>IF(Justificatif!L24&gt;0,Justificatif!L24/100,"")</f>
        <v/>
      </c>
      <c r="F13" s="1569"/>
      <c r="G13" s="1569"/>
      <c r="H13" s="1561"/>
      <c r="I13" s="1562"/>
      <c r="L13" s="156">
        <v>11</v>
      </c>
      <c r="M13" s="593" t="s">
        <v>1224</v>
      </c>
      <c r="P13" s="593" t="s">
        <v>239</v>
      </c>
      <c r="Q13" s="593" t="s">
        <v>1538</v>
      </c>
      <c r="R13" s="593" t="s">
        <v>2965</v>
      </c>
    </row>
    <row r="14" spans="1:18" ht="15" customHeight="1">
      <c r="A14" s="593" t="str">
        <f>Uebersetzung!D498</f>
        <v>Capacité utile (kWh)</v>
      </c>
      <c r="B14" s="593" t="s">
        <v>672</v>
      </c>
      <c r="C14" s="1572" t="str">
        <f>IF(MINERGIE!O109&gt;0,MINERGIE!O109,"")</f>
        <v/>
      </c>
      <c r="D14" s="1561"/>
      <c r="E14" s="1561"/>
      <c r="F14" s="1561"/>
      <c r="G14" s="1561"/>
      <c r="H14" s="1561"/>
      <c r="I14" s="1562"/>
      <c r="L14" s="156">
        <v>12</v>
      </c>
      <c r="M14" s="593" t="s">
        <v>186</v>
      </c>
      <c r="P14" s="593" t="s">
        <v>240</v>
      </c>
      <c r="Q14" s="593" t="s">
        <v>1539</v>
      </c>
      <c r="R14" s="593" t="s">
        <v>2966</v>
      </c>
    </row>
    <row r="15" spans="1:18" ht="15" customHeight="1">
      <c r="C15" s="1559"/>
      <c r="D15" s="1561"/>
      <c r="E15" s="1561"/>
      <c r="F15" s="1561"/>
      <c r="G15" s="1561"/>
      <c r="H15" s="1561"/>
      <c r="I15" s="1562"/>
      <c r="L15" s="156">
        <v>13</v>
      </c>
      <c r="M15" s="593" t="s">
        <v>45</v>
      </c>
    </row>
    <row r="16" spans="1:18" ht="15" customHeight="1">
      <c r="A16" s="1468" t="str">
        <f>Uebersetzung!D499</f>
        <v>Zone</v>
      </c>
      <c r="C16" s="1563">
        <v>1</v>
      </c>
      <c r="D16" s="1564">
        <v>2</v>
      </c>
      <c r="E16" s="1564">
        <v>3</v>
      </c>
      <c r="F16" s="1564">
        <v>4</v>
      </c>
      <c r="G16" s="1561"/>
      <c r="H16" s="1561"/>
      <c r="I16" s="1562"/>
      <c r="L16" s="156">
        <v>14</v>
      </c>
      <c r="M16" s="593" t="s">
        <v>145</v>
      </c>
    </row>
    <row r="17" spans="1:13" ht="15" customHeight="1">
      <c r="A17" s="593" t="str">
        <f>Uebersetzung!D500</f>
        <v>Catégorie de bâtiments</v>
      </c>
      <c r="B17" s="593" t="s">
        <v>2934</v>
      </c>
      <c r="C17" s="1572">
        <f>IF(Entrées!F16&lt;&gt;"",INDEX(P3:R15,Kategorie1,Uebersetzung!$A$1),"")</f>
        <v>0</v>
      </c>
      <c r="D17" s="1569" t="str">
        <f>IF(Entrées!G16&lt;&gt;"",INDEX(P3:R15,Kategorie2,Uebersetzung!$A$1),"")</f>
        <v/>
      </c>
      <c r="E17" s="1569" t="str">
        <f>IF(Entrées!H16&lt;&gt;"",INDEX(P3:R15,Kategorie3,Uebersetzung!$A$1),"")</f>
        <v/>
      </c>
      <c r="F17" s="1569" t="str">
        <f>IF(Entrées!I16&lt;&gt;"",INDEX(P3:R15,Kategorie4,Uebersetzung!$A$1),"")</f>
        <v/>
      </c>
      <c r="G17" s="1561"/>
      <c r="H17" s="1561"/>
      <c r="I17" s="1562"/>
      <c r="L17" s="156">
        <v>15</v>
      </c>
      <c r="M17" s="593" t="s">
        <v>383</v>
      </c>
    </row>
    <row r="18" spans="1:13" ht="15" customHeight="1">
      <c r="A18" s="593" t="str">
        <f>Uebersetzung!D501</f>
        <v>Surface de référence énergétique SRE (m2)</v>
      </c>
      <c r="C18" s="1572">
        <f>IF(Entrées!O2&lt;&gt;"",Entrées!O2,0)</f>
        <v>0</v>
      </c>
      <c r="D18" s="1569">
        <f>IF(Entrées!P2&lt;&gt;"",Entrées!P2,0)</f>
        <v>0</v>
      </c>
      <c r="E18" s="1569">
        <f>IF(Entrées!Q2&lt;&gt;"",Entrées!Q2,0)</f>
        <v>0</v>
      </c>
      <c r="F18" s="1569">
        <f>IF(Entrées!R2&lt;&gt;"",Entrées!R2,0)</f>
        <v>0</v>
      </c>
      <c r="G18" s="1561"/>
      <c r="H18" s="1561"/>
      <c r="I18" s="1562"/>
      <c r="L18" s="156">
        <v>16</v>
      </c>
      <c r="M18" s="593" t="s">
        <v>459</v>
      </c>
    </row>
    <row r="19" spans="1:13" ht="15" customHeight="1">
      <c r="A19" s="593" t="str">
        <f>Uebersetzung!D502</f>
        <v>Nouvelle construction</v>
      </c>
      <c r="C19" s="1572" t="str">
        <f>IF(Entrées!F21&lt;&gt;"",IF(Neubau1=2,1,IF(Neubau1=3,0,"")),"")</f>
        <v/>
      </c>
      <c r="D19" s="1569" t="str">
        <f>IF(Entrées!G21&lt;&gt;"",IF(Neubau2=2,1,IF(Neubau2=3,0,"")),"")</f>
        <v/>
      </c>
      <c r="E19" s="1569" t="str">
        <f>IF(Entrées!H21&lt;&gt;"",IF(Neubau3=2,1,IF(Neubau3=3,0,"")),"")</f>
        <v/>
      </c>
      <c r="F19" s="1569" t="str">
        <f>IF(Entrées!I21&lt;&gt;"",IF(Neubau4=2,1,IF(Neubau4=3,0,"")),"")</f>
        <v/>
      </c>
      <c r="G19" s="1561"/>
      <c r="H19" s="1561"/>
      <c r="I19" s="1562"/>
      <c r="L19" s="156">
        <v>17</v>
      </c>
      <c r="M19" s="593" t="s">
        <v>475</v>
      </c>
    </row>
    <row r="20" spans="1:13" ht="15" customHeight="1">
      <c r="A20" s="593" t="str">
        <f>Uebersetzung!D503</f>
        <v>Eau chaude, valeur calculée</v>
      </c>
      <c r="B20" s="593" t="s">
        <v>524</v>
      </c>
      <c r="C20" s="1573">
        <f>IF(MINERGIE!F17&lt;&gt;0,MINERGIE!F17,0)</f>
        <v>0</v>
      </c>
      <c r="D20" s="1574">
        <f>IF(MINERGIE!G17&lt;&gt;0,MINERGIE!G17,0)</f>
        <v>0</v>
      </c>
      <c r="E20" s="1574">
        <f>IF(MINERGIE!H17&lt;&gt;0,MINERGIE!H17,0)</f>
        <v>0</v>
      </c>
      <c r="F20" s="1574">
        <f>IF(MINERGIE!I17&lt;&gt;0,MINERGIE!I17,0)</f>
        <v>0</v>
      </c>
      <c r="G20" s="1561"/>
      <c r="H20" s="1561"/>
      <c r="I20" s="1562"/>
      <c r="L20" s="156">
        <v>18</v>
      </c>
      <c r="M20" s="593" t="s">
        <v>476</v>
      </c>
    </row>
    <row r="21" spans="1:13" ht="15" customHeight="1">
      <c r="A21" s="593">
        <f>Uebersetzung!D504</f>
        <v>0</v>
      </c>
      <c r="C21" s="1559"/>
      <c r="D21" s="1561"/>
      <c r="E21" s="1561"/>
      <c r="F21" s="1561"/>
      <c r="G21" s="1561"/>
      <c r="H21" s="1561"/>
      <c r="I21" s="1562"/>
      <c r="L21" s="156">
        <v>19</v>
      </c>
      <c r="M21" s="593" t="s">
        <v>148</v>
      </c>
    </row>
    <row r="22" spans="1:13" ht="15" customHeight="1">
      <c r="A22" s="593" t="str">
        <f>Uebersetzung!D505</f>
        <v>Climatisation</v>
      </c>
      <c r="B22" s="593" t="s">
        <v>524</v>
      </c>
      <c r="C22" s="1573">
        <f>IF(Justificatif!G40&lt;&gt;0,Justificatif!G40,0)</f>
        <v>0</v>
      </c>
      <c r="D22" s="1574">
        <f>IF(Justificatif!H40&lt;&gt;0,Justificatif!H40,0)</f>
        <v>0</v>
      </c>
      <c r="E22" s="1574">
        <f>IF(Justificatif!I40&lt;&gt;0,Justificatif!I40,0)</f>
        <v>0</v>
      </c>
      <c r="F22" s="1574">
        <f>IF(Justificatif!J40&lt;&gt;0,Justificatif!J40,0)</f>
        <v>0</v>
      </c>
      <c r="G22" s="1561"/>
      <c r="H22" s="1561"/>
      <c r="I22" s="1562"/>
      <c r="L22" s="156">
        <v>20</v>
      </c>
      <c r="M22" s="593" t="s">
        <v>149</v>
      </c>
    </row>
    <row r="23" spans="1:13" ht="15" customHeight="1">
      <c r="A23" s="593" t="str">
        <f>Uebersetzung!D506</f>
        <v>Ventilation</v>
      </c>
      <c r="B23" s="593" t="s">
        <v>524</v>
      </c>
      <c r="C23" s="1573">
        <f>IF(Justificatif!G39&lt;&gt;0,Justificatif!G39,0)</f>
        <v>0</v>
      </c>
      <c r="D23" s="1574">
        <f>IF(Justificatif!H39&lt;&gt;0,Justificatif!H39,0)</f>
        <v>0</v>
      </c>
      <c r="E23" s="1574">
        <f>IF(Justificatif!I39&lt;&gt;0,Justificatif!I39,0)</f>
        <v>0</v>
      </c>
      <c r="F23" s="1574">
        <f>IF(Justificatif!J39&lt;&gt;0,Justificatif!J39,0)</f>
        <v>0</v>
      </c>
      <c r="G23" s="1561"/>
      <c r="H23" s="1561"/>
      <c r="I23" s="1562"/>
      <c r="L23" s="156">
        <v>21</v>
      </c>
      <c r="M23" s="593" t="s">
        <v>150</v>
      </c>
    </row>
    <row r="24" spans="1:13" ht="15" customHeight="1">
      <c r="A24" s="593" t="str">
        <f>Uebersetzung!D507</f>
        <v>Nombre d'unités d'habitation</v>
      </c>
      <c r="C24" s="1572">
        <f>IF(AND(MINERGIE!O25&gt;0,wohnen1),MINERGIE!O25,0)</f>
        <v>0</v>
      </c>
      <c r="D24" s="1569">
        <f>IF(AND(MINERGIE!P25&gt;0,wohnen2),MINERGIE!P25,0)</f>
        <v>0</v>
      </c>
      <c r="E24" s="1569">
        <f>IF(AND(MINERGIE!Q25&gt;0,wohnen3),MINERGIE!Q25,0)</f>
        <v>0</v>
      </c>
      <c r="F24" s="1569">
        <f>IF(AND(MINERGIE!R25&gt;0,wohnen4),MINERGIE!R25,0)</f>
        <v>0</v>
      </c>
      <c r="G24" s="1561"/>
      <c r="H24" s="1561"/>
      <c r="I24" s="1562"/>
      <c r="L24" s="156">
        <v>22</v>
      </c>
      <c r="M24" s="593" t="s">
        <v>151</v>
      </c>
    </row>
    <row r="25" spans="1:13" ht="15" customHeight="1">
      <c r="A25" s="593" t="str">
        <f>Uebersetzung!D508</f>
        <v>Cons. ascenseur</v>
      </c>
      <c r="B25" s="593" t="s">
        <v>524</v>
      </c>
      <c r="C25" s="1583">
        <f>IF(AND(Entrées!O2&gt;0,MINERGIE!O33&gt;0),MINERGIE!O33/Entrées!O2,0)</f>
        <v>0</v>
      </c>
      <c r="D25" s="1584">
        <f>IF(AND(Entrées!P2&gt;0,MINERGIE!P33&gt;0),MINERGIE!P33/Entrées!P2,0)</f>
        <v>0</v>
      </c>
      <c r="E25" s="1584">
        <f>IF(AND(Entrées!Q2&gt;0,MINERGIE!Q33&gt;0),MINERGIE!Q33/Entrées!Q2,0)</f>
        <v>0</v>
      </c>
      <c r="F25" s="1584">
        <f>IF(AND(Entrées!R2&gt;0,MINERGIE!R33&gt;0),MINERGIE!R33/Entrées!R2,0)</f>
        <v>0</v>
      </c>
      <c r="G25" s="1561"/>
      <c r="H25" s="1561"/>
      <c r="I25" s="1562"/>
      <c r="L25" s="156">
        <v>23</v>
      </c>
      <c r="M25" s="593" t="s">
        <v>146</v>
      </c>
    </row>
    <row r="26" spans="1:13" ht="15" customHeight="1">
      <c r="A26" s="593" t="str">
        <f>Uebersetzung!D509</f>
        <v>Cons. des bandes de chauffage</v>
      </c>
      <c r="B26" s="593" t="s">
        <v>524</v>
      </c>
      <c r="C26" s="1572">
        <v>0</v>
      </c>
      <c r="D26" s="1569">
        <v>0</v>
      </c>
      <c r="E26" s="1569">
        <v>0</v>
      </c>
      <c r="F26" s="1569">
        <v>0</v>
      </c>
      <c r="G26" s="1561"/>
      <c r="H26" s="1561"/>
      <c r="I26" s="1562"/>
      <c r="L26" s="156">
        <v>24</v>
      </c>
      <c r="M26" s="593" t="s">
        <v>152</v>
      </c>
    </row>
    <row r="27" spans="1:13" ht="15" customHeight="1">
      <c r="A27" s="593" t="str">
        <f>Uebersetzung!D510</f>
        <v>Réduction pour le lave-vaisselle</v>
      </c>
      <c r="B27" s="593" t="s">
        <v>2482</v>
      </c>
      <c r="C27" s="1572">
        <f>1-MINERGIE!O34</f>
        <v>1</v>
      </c>
      <c r="D27" s="1569">
        <f>IF(D$18&lt;&gt;"",1-MINERGIE!P34,1)</f>
        <v>1</v>
      </c>
      <c r="E27" s="1569">
        <f>IF(E$18&lt;&gt;"",1-MINERGIE!Q34,1)</f>
        <v>1</v>
      </c>
      <c r="F27" s="1569">
        <f>IF(F$18&lt;&gt;"",1-MINERGIE!R34,1)</f>
        <v>1</v>
      </c>
      <c r="G27" s="1561"/>
      <c r="H27" s="1561"/>
      <c r="I27" s="1562"/>
      <c r="L27" s="156">
        <v>25</v>
      </c>
      <c r="M27" s="593" t="s">
        <v>520</v>
      </c>
    </row>
    <row r="28" spans="1:13" ht="15" customHeight="1">
      <c r="A28" s="593" t="str">
        <f>Uebersetzung!D511</f>
        <v>Réduction pour le frigo et le congélateur</v>
      </c>
      <c r="B28" s="593" t="s">
        <v>2482</v>
      </c>
      <c r="C28" s="1572">
        <f>1-MINERGIE!O35</f>
        <v>1</v>
      </c>
      <c r="D28" s="1569">
        <f>IF(D$18&lt;&gt;"",1-MINERGIE!P35,1)</f>
        <v>1</v>
      </c>
      <c r="E28" s="1569">
        <f>IF(E$18&lt;&gt;"",1-MINERGIE!Q35,1)</f>
        <v>1</v>
      </c>
      <c r="F28" s="1569">
        <f>IF(F$18&lt;&gt;"",1-MINERGIE!R35,1)</f>
        <v>1</v>
      </c>
      <c r="G28" s="1561"/>
      <c r="H28" s="1561"/>
      <c r="I28" s="1562"/>
      <c r="L28" s="156">
        <v>26</v>
      </c>
      <c r="M28" s="593" t="s">
        <v>521</v>
      </c>
    </row>
    <row r="29" spans="1:13" ht="15" customHeight="1">
      <c r="A29" s="593" t="str">
        <f>Uebersetzung!D512</f>
        <v>Réduction pour le lave-linge</v>
      </c>
      <c r="B29" s="593" t="s">
        <v>2482</v>
      </c>
      <c r="C29" s="1572">
        <f>1-MINERGIE!O36</f>
        <v>1</v>
      </c>
      <c r="D29" s="1569">
        <f>IF(D$18&lt;&gt;"",1-MINERGIE!P36,1)</f>
        <v>1</v>
      </c>
      <c r="E29" s="1569">
        <f>IF(E$18&lt;&gt;"",1-MINERGIE!Q36,1)</f>
        <v>1</v>
      </c>
      <c r="F29" s="1569">
        <f>IF(F$18&lt;&gt;"",1-MINERGIE!R36,1)</f>
        <v>1</v>
      </c>
      <c r="G29" s="1561"/>
      <c r="H29" s="1561"/>
      <c r="I29" s="1562"/>
      <c r="L29" s="156">
        <v>27</v>
      </c>
      <c r="M29" s="593" t="s">
        <v>261</v>
      </c>
    </row>
    <row r="30" spans="1:13" ht="15" customHeight="1">
      <c r="A30" s="593" t="str">
        <f>Uebersetzung!D513</f>
        <v>Réduction pour le sèche-linge</v>
      </c>
      <c r="B30" s="593" t="s">
        <v>2482</v>
      </c>
      <c r="C30" s="1572">
        <f>1-MINERGIE!O37</f>
        <v>1</v>
      </c>
      <c r="D30" s="1569">
        <f>IF(D$18&lt;&gt;"",1-MINERGIE!P37,1)</f>
        <v>1</v>
      </c>
      <c r="E30" s="1569">
        <f>IF(E$18&lt;&gt;"",1-MINERGIE!Q37,1)</f>
        <v>1</v>
      </c>
      <c r="F30" s="1569">
        <f>IF(F$18&lt;&gt;"",1-MINERGIE!R37,1)</f>
        <v>1</v>
      </c>
      <c r="G30" s="1561"/>
      <c r="H30" s="1561"/>
      <c r="I30" s="1562"/>
      <c r="L30" s="156">
        <v>28</v>
      </c>
      <c r="M30" s="593" t="s">
        <v>437</v>
      </c>
    </row>
    <row r="31" spans="1:13" ht="15" customHeight="1">
      <c r="A31" s="593" t="str">
        <f>Uebersetzung!D514</f>
        <v>Réduction pour la cuisinières à induction</v>
      </c>
      <c r="B31" s="593" t="s">
        <v>2482</v>
      </c>
      <c r="C31" s="1572">
        <f>1-MINERGIE!O38</f>
        <v>1</v>
      </c>
      <c r="D31" s="1569">
        <f>IF(D$18&lt;&gt;"",1-MINERGIE!P38,1)</f>
        <v>1</v>
      </c>
      <c r="E31" s="1569">
        <f>IF(E$18&lt;&gt;"",1-MINERGIE!Q38,1)</f>
        <v>1</v>
      </c>
      <c r="F31" s="1569">
        <f>IF(F$18&lt;&gt;"",1-MINERGIE!R38,1)</f>
        <v>1</v>
      </c>
      <c r="G31" s="1561"/>
      <c r="H31" s="1561"/>
      <c r="I31" s="1562"/>
      <c r="L31" s="156">
        <v>29</v>
      </c>
      <c r="M31" s="593" t="s">
        <v>259</v>
      </c>
    </row>
    <row r="32" spans="1:13" ht="15" customHeight="1">
      <c r="A32" s="593" t="str">
        <f>Uebersetzung!D515</f>
        <v>Réduction pour l'éclairage</v>
      </c>
      <c r="B32" s="593" t="s">
        <v>2482</v>
      </c>
      <c r="C32" s="1572">
        <f>1-MINERGIE!O39</f>
        <v>1</v>
      </c>
      <c r="D32" s="1569">
        <f>IF(D$18&lt;&gt;"",1-MINERGIE!P39,1)</f>
        <v>1</v>
      </c>
      <c r="E32" s="1569">
        <f>IF(E$18&lt;&gt;"",1-MINERGIE!Q39,1)</f>
        <v>1</v>
      </c>
      <c r="F32" s="1569">
        <f>IF(F$18&lt;&gt;"",1-MINERGIE!R39,1)</f>
        <v>1</v>
      </c>
      <c r="G32" s="1561"/>
      <c r="H32" s="1561"/>
      <c r="I32" s="1562"/>
      <c r="L32" s="156">
        <v>30</v>
      </c>
      <c r="M32" s="593" t="s">
        <v>260</v>
      </c>
    </row>
    <row r="33" spans="1:13" ht="15" customHeight="1">
      <c r="A33" s="593" t="str">
        <f>Uebersetzung!D516</f>
        <v>Réduction pour l'éclairage commun</v>
      </c>
      <c r="B33" s="593" t="s">
        <v>2482</v>
      </c>
      <c r="C33" s="1572">
        <f>1-MINERGIE!O40</f>
        <v>1</v>
      </c>
      <c r="D33" s="1569">
        <f>IF(D$18&lt;&gt;"",1-MINERGIE!P40,1)</f>
        <v>1</v>
      </c>
      <c r="E33" s="1569">
        <f>IF(E$18&lt;&gt;"",1-MINERGIE!Q40,1)</f>
        <v>1</v>
      </c>
      <c r="F33" s="1569">
        <f>IF(F$18&lt;&gt;"",1-MINERGIE!R40,1)</f>
        <v>1</v>
      </c>
      <c r="G33" s="1561"/>
      <c r="H33" s="1561"/>
      <c r="I33" s="1562"/>
      <c r="L33" s="156">
        <v>31</v>
      </c>
      <c r="M33" s="593" t="s">
        <v>322</v>
      </c>
    </row>
    <row r="34" spans="1:13" ht="15" customHeight="1">
      <c r="A34" s="593" t="str">
        <f>Uebersetzung!D517</f>
        <v>Réduction pour les équipements techniques</v>
      </c>
      <c r="B34" s="593" t="s">
        <v>2482</v>
      </c>
      <c r="C34" s="1572">
        <f>1-MINERGIE!O41</f>
        <v>1</v>
      </c>
      <c r="D34" s="1569">
        <f>IF(D$18&lt;&gt;"",1-MINERGIE!P41,1)</f>
        <v>1</v>
      </c>
      <c r="E34" s="1569">
        <f>IF(E$18&lt;&gt;"",1-MINERGIE!Q41,1)</f>
        <v>1</v>
      </c>
      <c r="F34" s="1569">
        <f>IF(F$18&lt;&gt;"",1-MINERGIE!R41,1)</f>
        <v>1</v>
      </c>
      <c r="G34" s="1561"/>
      <c r="H34" s="1561"/>
      <c r="I34" s="1562"/>
      <c r="L34" s="156">
        <v>32</v>
      </c>
      <c r="M34" s="593" t="s">
        <v>522</v>
      </c>
    </row>
    <row r="35" spans="1:13" ht="15" customHeight="1">
      <c r="A35" s="593" t="str">
        <f>Uebersetzung!D518</f>
        <v>Besoin calculé pour l'éclairage des bâtiments du tertiaire</v>
      </c>
      <c r="B35" s="593" t="s">
        <v>524</v>
      </c>
      <c r="C35" s="1575">
        <f>IF(AND(MINERGIE!F50&gt;0,wohnen1=FALSE),MINERGIE!F50,0)</f>
        <v>0</v>
      </c>
      <c r="D35" s="1576">
        <f>IF(AND(MINERGIE!G50&gt;0,wohnen2=FALSE),MINERGIE!G50,0)</f>
        <v>0</v>
      </c>
      <c r="E35" s="1576">
        <f>IF(AND(MINERGIE!H50&gt;0,wohnen3=FALSE),MINERGIE!H50,0)</f>
        <v>0</v>
      </c>
      <c r="F35" s="1576">
        <f>IF(AND(MINERGIE!I50&gt;0,wohnen4=FALSE),MINERGIE!I50,0)</f>
        <v>0</v>
      </c>
      <c r="G35" s="1561"/>
      <c r="H35" s="1561"/>
      <c r="I35" s="1562"/>
      <c r="L35" s="156">
        <v>33</v>
      </c>
      <c r="M35" s="593" t="s">
        <v>523</v>
      </c>
    </row>
    <row r="36" spans="1:13" ht="15" customHeight="1">
      <c r="A36" s="593" t="str">
        <f>Uebersetzung!D519</f>
        <v>Besoin calculé pour les appareils des bâtiments du tertiaire</v>
      </c>
      <c r="B36" s="593" t="s">
        <v>524</v>
      </c>
      <c r="C36" s="1575">
        <f>IF(AND(MINERGIE!O59&gt;0,wohnen1=FALSE),MINERGIE!O59/2,0)</f>
        <v>0</v>
      </c>
      <c r="D36" s="1576">
        <f>IF(AND(MINERGIE!P59&gt;0,wohnen2=FALSE),MINERGIE!P59/2,0)</f>
        <v>0</v>
      </c>
      <c r="E36" s="1576">
        <f>IF(AND(MINERGIE!Q59&gt;0,wohnen3=FALSE),MINERGIE!Q59/2,0)</f>
        <v>0</v>
      </c>
      <c r="F36" s="1576">
        <f>IF(AND(MINERGIE!R59&gt;0,wohnen4=FALSE),MINERGIE!R59/2,0)</f>
        <v>0</v>
      </c>
      <c r="G36" s="1561"/>
      <c r="H36" s="1561"/>
      <c r="I36" s="1562"/>
      <c r="L36" s="156">
        <v>34</v>
      </c>
      <c r="M36" s="593" t="s">
        <v>2534</v>
      </c>
    </row>
    <row r="37" spans="1:13" ht="15" customHeight="1" thickBot="1">
      <c r="A37" s="593" t="str">
        <f>Uebersetzung!D520</f>
        <v>Besoin calculé pour l'équipement commun des bâtiments du tertiaire</v>
      </c>
      <c r="B37" s="593" t="s">
        <v>524</v>
      </c>
      <c r="C37" s="1577">
        <f>IF(AND(MINERGIE!O68&gt;0,wohnen1=FALSE),MINERGIE!O68/2,0)</f>
        <v>0</v>
      </c>
      <c r="D37" s="1578">
        <f>IF(AND(MINERGIE!P68&gt;0,wohnen2=FALSE),MINERGIE!P68/2,0)</f>
        <v>0</v>
      </c>
      <c r="E37" s="1578">
        <f>IF(AND(MINERGIE!Q68&gt;0,wohnen3=FALSE),MINERGIE!Q68/2,0)</f>
        <v>0</v>
      </c>
      <c r="F37" s="1578">
        <f>IF(AND(MINERGIE!R68&gt;0,wohnen4=FALSE),MINERGIE!R68/2,0)</f>
        <v>0</v>
      </c>
      <c r="G37" s="1565"/>
      <c r="H37" s="1565"/>
      <c r="I37" s="1566"/>
      <c r="L37" s="156">
        <v>35</v>
      </c>
      <c r="M37" s="593" t="s">
        <v>320</v>
      </c>
    </row>
    <row r="38" spans="1:13" ht="15" customHeight="1">
      <c r="L38" s="156">
        <v>36</v>
      </c>
      <c r="M38" s="593" t="s">
        <v>685</v>
      </c>
    </row>
    <row r="39" spans="1:13">
      <c r="L39" s="156">
        <v>37</v>
      </c>
      <c r="M39" s="593" t="s">
        <v>374</v>
      </c>
    </row>
    <row r="40" spans="1:13">
      <c r="L40" s="156">
        <v>38</v>
      </c>
      <c r="M40" s="593" t="s">
        <v>375</v>
      </c>
    </row>
    <row r="41" spans="1:13">
      <c r="L41" s="156">
        <v>39</v>
      </c>
      <c r="M41" s="593" t="s">
        <v>39</v>
      </c>
    </row>
    <row r="42" spans="1:13">
      <c r="L42" s="156">
        <v>40</v>
      </c>
      <c r="M42" s="593" t="s">
        <v>376</v>
      </c>
    </row>
    <row r="43" spans="1:13">
      <c r="L43" s="156">
        <v>41</v>
      </c>
      <c r="M43" s="593" t="s">
        <v>377</v>
      </c>
    </row>
    <row r="44" spans="1:13">
      <c r="L44" s="156">
        <v>42</v>
      </c>
      <c r="M44" s="593" t="s">
        <v>357</v>
      </c>
    </row>
    <row r="45" spans="1:13">
      <c r="L45" s="156">
        <v>43</v>
      </c>
      <c r="M45" s="593" t="s">
        <v>497</v>
      </c>
    </row>
    <row r="46" spans="1:13">
      <c r="L46" s="156">
        <v>44</v>
      </c>
      <c r="M46" s="593" t="s">
        <v>1218</v>
      </c>
    </row>
    <row r="47" spans="1:13">
      <c r="L47" s="156">
        <v>45</v>
      </c>
      <c r="M47" s="593" t="s">
        <v>1220</v>
      </c>
    </row>
    <row r="48" spans="1:13">
      <c r="L48" s="156">
        <v>46</v>
      </c>
      <c r="M48" s="593" t="s">
        <v>1219</v>
      </c>
    </row>
    <row r="49" spans="12:13">
      <c r="L49" s="156">
        <v>47</v>
      </c>
      <c r="M49" s="593" t="str">
        <f>Standardwerte!T152</f>
        <v>PAC compacte avec air fourni/repris sans récup. de chaleur (qu'eau chaude)</v>
      </c>
    </row>
    <row r="50" spans="12:13">
      <c r="L50" s="156">
        <v>48</v>
      </c>
      <c r="M50" s="593" t="str">
        <f>Standardwerte!T153</f>
        <v>Biomasse, connectée au réseau hydraulique</v>
      </c>
    </row>
    <row r="51" spans="12:13">
      <c r="L51" s="156"/>
    </row>
  </sheetData>
  <sheetProtection password="C616" sheet="1" objects="1" scenarios="1"/>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B1:F412"/>
  <sheetViews>
    <sheetView topLeftCell="A278" zoomScaleNormal="100" workbookViewId="0">
      <selection activeCell="D297" sqref="D297"/>
    </sheetView>
  </sheetViews>
  <sheetFormatPr baseColWidth="10" defaultColWidth="11.5703125" defaultRowHeight="26.1" customHeight="1"/>
  <cols>
    <col min="1" max="1" width="2.140625" style="376" customWidth="1"/>
    <col min="2" max="2" width="11.5703125" style="376"/>
    <col min="3" max="3" width="89.28515625" style="376" customWidth="1"/>
    <col min="4" max="4" width="77.42578125" style="376" customWidth="1"/>
    <col min="5" max="5" width="11.5703125" style="378"/>
    <col min="6" max="6" width="11.42578125" style="378" customWidth="1"/>
    <col min="7" max="16384" width="11.5703125" style="376"/>
  </cols>
  <sheetData>
    <row r="1" spans="2:6" ht="26.1" customHeight="1">
      <c r="B1" s="941" t="s">
        <v>3070</v>
      </c>
    </row>
    <row r="3" spans="2:6" s="942" customFormat="1" ht="26.1" customHeight="1">
      <c r="B3" s="942" t="s">
        <v>530</v>
      </c>
      <c r="C3" s="946" t="s">
        <v>1077</v>
      </c>
      <c r="D3" s="942" t="s">
        <v>343</v>
      </c>
      <c r="E3" s="943" t="s">
        <v>531</v>
      </c>
      <c r="F3" s="943" t="s">
        <v>360</v>
      </c>
    </row>
    <row r="4" spans="2:6" ht="26.1" customHeight="1">
      <c r="B4" s="377">
        <v>42430</v>
      </c>
      <c r="C4" s="556" t="s">
        <v>1078</v>
      </c>
      <c r="E4" s="945" t="s">
        <v>347</v>
      </c>
      <c r="F4" s="378">
        <v>0.8</v>
      </c>
    </row>
    <row r="5" spans="2:6" s="2" customFormat="1" ht="26.1" customHeight="1">
      <c r="B5" s="934">
        <v>42566</v>
      </c>
      <c r="C5" s="2" t="s">
        <v>1207</v>
      </c>
      <c r="E5" s="945" t="s">
        <v>347</v>
      </c>
      <c r="F5" s="378">
        <v>0.9</v>
      </c>
    </row>
    <row r="6" spans="2:6" s="2" customFormat="1" ht="26.1" customHeight="1">
      <c r="B6" s="934">
        <v>42566</v>
      </c>
      <c r="C6" s="2" t="s">
        <v>1208</v>
      </c>
      <c r="D6" s="2" t="s">
        <v>1209</v>
      </c>
      <c r="E6" s="945" t="s">
        <v>347</v>
      </c>
      <c r="F6" s="378">
        <v>0.9</v>
      </c>
    </row>
    <row r="7" spans="2:6" s="2" customFormat="1" ht="26.1" customHeight="1">
      <c r="B7" s="934">
        <v>42566</v>
      </c>
      <c r="C7" s="2" t="s">
        <v>1210</v>
      </c>
      <c r="D7" s="2" t="s">
        <v>1211</v>
      </c>
      <c r="E7" s="945" t="s">
        <v>347</v>
      </c>
      <c r="F7" s="378">
        <v>0.9</v>
      </c>
    </row>
    <row r="8" spans="2:6" s="2" customFormat="1" ht="26.1" customHeight="1">
      <c r="B8" s="934">
        <v>42566</v>
      </c>
      <c r="C8" s="2" t="s">
        <v>1212</v>
      </c>
      <c r="D8" s="2" t="s">
        <v>1213</v>
      </c>
      <c r="E8" s="945" t="s">
        <v>347</v>
      </c>
      <c r="F8" s="378">
        <v>0.9</v>
      </c>
    </row>
    <row r="9" spans="2:6" s="2" customFormat="1" ht="26.1" customHeight="1">
      <c r="B9" s="934">
        <v>42566</v>
      </c>
      <c r="C9" s="939" t="s">
        <v>1216</v>
      </c>
      <c r="D9" s="938" t="s">
        <v>1215</v>
      </c>
      <c r="E9" s="945" t="s">
        <v>347</v>
      </c>
      <c r="F9" s="378">
        <v>0.9</v>
      </c>
    </row>
    <row r="10" spans="2:6" s="2" customFormat="1" ht="26.1" customHeight="1">
      <c r="B10" s="934">
        <v>42576</v>
      </c>
      <c r="C10" s="939" t="s">
        <v>1226</v>
      </c>
      <c r="D10" s="938" t="s">
        <v>1227</v>
      </c>
      <c r="E10" s="945" t="s">
        <v>347</v>
      </c>
      <c r="F10" s="935">
        <v>0.92</v>
      </c>
    </row>
    <row r="11" spans="2:6" s="2" customFormat="1" ht="26.1" customHeight="1">
      <c r="B11" s="934">
        <v>42576</v>
      </c>
      <c r="C11" s="939" t="s">
        <v>1234</v>
      </c>
      <c r="D11" s="939" t="s">
        <v>1233</v>
      </c>
      <c r="E11" s="945" t="s">
        <v>347</v>
      </c>
      <c r="F11" s="935">
        <v>0.92</v>
      </c>
    </row>
    <row r="12" spans="2:6" s="2" customFormat="1" ht="26.1" customHeight="1">
      <c r="B12" s="934">
        <v>42602</v>
      </c>
      <c r="C12" s="939" t="s">
        <v>1680</v>
      </c>
      <c r="E12" s="945" t="s">
        <v>347</v>
      </c>
      <c r="F12" s="973" t="s">
        <v>1681</v>
      </c>
    </row>
    <row r="13" spans="2:6" s="2" customFormat="1" ht="26.1" customHeight="1">
      <c r="B13" s="934">
        <v>42623</v>
      </c>
      <c r="C13" s="939" t="s">
        <v>1700</v>
      </c>
      <c r="D13" s="938" t="s">
        <v>1701</v>
      </c>
      <c r="E13" s="945" t="s">
        <v>347</v>
      </c>
      <c r="F13" s="1000">
        <v>1.01</v>
      </c>
    </row>
    <row r="14" spans="2:6" s="2" customFormat="1" ht="26.1" customHeight="1">
      <c r="B14" s="934">
        <v>42626</v>
      </c>
      <c r="C14" s="939" t="s">
        <v>1709</v>
      </c>
      <c r="D14" s="938" t="s">
        <v>1710</v>
      </c>
      <c r="E14" s="935" t="s">
        <v>347</v>
      </c>
      <c r="F14" s="935">
        <v>1.01</v>
      </c>
    </row>
    <row r="15" spans="2:6" s="2" customFormat="1" ht="26.1" customHeight="1">
      <c r="B15" s="934">
        <v>42664</v>
      </c>
      <c r="C15" s="939" t="s">
        <v>1774</v>
      </c>
      <c r="E15" s="935" t="s">
        <v>347</v>
      </c>
      <c r="F15" s="935">
        <v>1.01</v>
      </c>
    </row>
    <row r="16" spans="2:6" s="2" customFormat="1" ht="26.1" customHeight="1">
      <c r="B16" s="934">
        <v>42684</v>
      </c>
      <c r="C16" s="939" t="s">
        <v>1869</v>
      </c>
      <c r="D16" s="938" t="s">
        <v>1870</v>
      </c>
      <c r="E16" s="1209" t="s">
        <v>347</v>
      </c>
      <c r="F16" s="935">
        <v>1.02</v>
      </c>
    </row>
    <row r="17" spans="2:6" s="2" customFormat="1" ht="26.1" customHeight="1">
      <c r="B17" s="934">
        <v>42684</v>
      </c>
      <c r="C17" s="939" t="s">
        <v>1937</v>
      </c>
      <c r="D17" s="938" t="s">
        <v>1938</v>
      </c>
      <c r="E17" s="935" t="s">
        <v>347</v>
      </c>
      <c r="F17" s="935">
        <v>1.03</v>
      </c>
    </row>
    <row r="18" spans="2:6" s="2" customFormat="1" ht="26.1" customHeight="1">
      <c r="B18" s="934">
        <v>42720</v>
      </c>
      <c r="C18" s="939" t="s">
        <v>2430</v>
      </c>
      <c r="D18" s="939" t="s">
        <v>2431</v>
      </c>
      <c r="E18" s="935" t="s">
        <v>347</v>
      </c>
      <c r="F18" s="935">
        <v>1.1000000000000001</v>
      </c>
    </row>
    <row r="19" spans="2:6" s="2" customFormat="1" ht="26.1" customHeight="1">
      <c r="B19" s="934">
        <v>42720</v>
      </c>
      <c r="C19" s="939" t="s">
        <v>2432</v>
      </c>
      <c r="D19" s="939" t="s">
        <v>2433</v>
      </c>
      <c r="E19" s="935" t="s">
        <v>347</v>
      </c>
      <c r="F19" s="935">
        <v>1.1000000000000001</v>
      </c>
    </row>
    <row r="20" spans="2:6" s="2" customFormat="1" ht="26.1" customHeight="1">
      <c r="B20" s="934">
        <v>42723</v>
      </c>
      <c r="C20" s="939" t="s">
        <v>2448</v>
      </c>
      <c r="D20" s="939" t="s">
        <v>2449</v>
      </c>
      <c r="E20" s="935" t="s">
        <v>347</v>
      </c>
      <c r="F20" s="935">
        <v>1.1100000000000001</v>
      </c>
    </row>
    <row r="21" spans="2:6" s="2" customFormat="1" ht="26.1" customHeight="1">
      <c r="B21" s="934">
        <v>42723</v>
      </c>
      <c r="C21" s="939" t="s">
        <v>2446</v>
      </c>
      <c r="D21" s="939" t="s">
        <v>2447</v>
      </c>
      <c r="E21" s="935" t="s">
        <v>347</v>
      </c>
      <c r="F21" s="935">
        <v>1.1100000000000001</v>
      </c>
    </row>
    <row r="22" spans="2:6" s="2" customFormat="1" ht="26.1" customHeight="1">
      <c r="B22" s="934">
        <v>42725</v>
      </c>
      <c r="C22" s="939" t="s">
        <v>2462</v>
      </c>
      <c r="D22" s="939" t="s">
        <v>2463</v>
      </c>
      <c r="E22" s="935" t="s">
        <v>347</v>
      </c>
      <c r="F22" s="935">
        <v>1.1299999999999999</v>
      </c>
    </row>
    <row r="23" spans="2:6" s="2" customFormat="1" ht="26.1" customHeight="1">
      <c r="B23" s="934">
        <v>42725</v>
      </c>
      <c r="C23" s="939" t="s">
        <v>2464</v>
      </c>
      <c r="D23" s="939" t="s">
        <v>2465</v>
      </c>
      <c r="E23" s="935" t="s">
        <v>347</v>
      </c>
      <c r="F23" s="935">
        <v>1.1299999999999999</v>
      </c>
    </row>
    <row r="24" spans="2:6" s="2" customFormat="1" ht="26.1" customHeight="1">
      <c r="B24" s="934">
        <v>42742</v>
      </c>
      <c r="C24" s="939" t="s">
        <v>2490</v>
      </c>
      <c r="D24" s="939" t="s">
        <v>2491</v>
      </c>
      <c r="E24" s="935" t="s">
        <v>347</v>
      </c>
      <c r="F24" s="935">
        <v>1.1399999999999999</v>
      </c>
    </row>
    <row r="25" spans="2:6" s="2" customFormat="1" ht="26.1" customHeight="1">
      <c r="B25" s="934">
        <v>42742</v>
      </c>
      <c r="C25" s="939" t="s">
        <v>2498</v>
      </c>
      <c r="D25" s="939" t="s">
        <v>2499</v>
      </c>
      <c r="E25" s="935" t="s">
        <v>347</v>
      </c>
      <c r="F25" s="935">
        <v>1.1399999999999999</v>
      </c>
    </row>
    <row r="26" spans="2:6" s="2" customFormat="1" ht="26.1" customHeight="1">
      <c r="B26" s="934">
        <v>42742</v>
      </c>
      <c r="C26" s="939" t="s">
        <v>2503</v>
      </c>
      <c r="D26" s="939"/>
      <c r="E26" s="935" t="s">
        <v>347</v>
      </c>
      <c r="F26" s="935">
        <v>1.1399999999999999</v>
      </c>
    </row>
    <row r="27" spans="2:6" s="2" customFormat="1" ht="26.1" customHeight="1">
      <c r="B27" s="934">
        <v>42742</v>
      </c>
      <c r="C27" s="939" t="s">
        <v>2500</v>
      </c>
      <c r="D27" s="939" t="s">
        <v>2501</v>
      </c>
      <c r="E27" s="935" t="s">
        <v>347</v>
      </c>
      <c r="F27" s="935">
        <v>1.1399999999999999</v>
      </c>
    </row>
    <row r="28" spans="2:6" s="2" customFormat="1" ht="26.1" customHeight="1">
      <c r="B28" s="934">
        <v>42742</v>
      </c>
      <c r="C28" s="939" t="s">
        <v>2502</v>
      </c>
      <c r="D28" s="939"/>
      <c r="E28" s="935" t="s">
        <v>347</v>
      </c>
      <c r="F28" s="935">
        <v>1.1399999999999999</v>
      </c>
    </row>
    <row r="29" spans="2:6" s="2" customFormat="1" ht="26.1" customHeight="1">
      <c r="B29" s="934">
        <v>42742</v>
      </c>
      <c r="C29" s="939" t="s">
        <v>2504</v>
      </c>
      <c r="D29" s="939" t="s">
        <v>2505</v>
      </c>
      <c r="E29" s="935" t="s">
        <v>347</v>
      </c>
      <c r="F29" s="935">
        <v>1.1399999999999999</v>
      </c>
    </row>
    <row r="30" spans="2:6" s="2" customFormat="1" ht="26.1" customHeight="1">
      <c r="B30" s="934">
        <v>42742</v>
      </c>
      <c r="C30" s="939" t="s">
        <v>2506</v>
      </c>
      <c r="D30" s="939" t="s">
        <v>2505</v>
      </c>
      <c r="E30" s="935" t="s">
        <v>347</v>
      </c>
      <c r="F30" s="935">
        <v>1.1399999999999999</v>
      </c>
    </row>
    <row r="31" spans="2:6" s="2" customFormat="1" ht="26.1" customHeight="1">
      <c r="B31" s="934">
        <v>42742</v>
      </c>
      <c r="C31" s="939" t="s">
        <v>2507</v>
      </c>
      <c r="D31" s="939" t="s">
        <v>2508</v>
      </c>
      <c r="E31" s="935" t="s">
        <v>347</v>
      </c>
      <c r="F31" s="935">
        <v>1.1399999999999999</v>
      </c>
    </row>
    <row r="32" spans="2:6" s="2" customFormat="1" ht="26.1" customHeight="1">
      <c r="B32" s="934">
        <v>42742</v>
      </c>
      <c r="C32" s="939" t="s">
        <v>2518</v>
      </c>
      <c r="D32" s="939" t="s">
        <v>2517</v>
      </c>
      <c r="E32" s="935" t="s">
        <v>347</v>
      </c>
      <c r="F32" s="935">
        <v>1.1399999999999999</v>
      </c>
    </row>
    <row r="33" spans="2:6" s="2" customFormat="1" ht="26.1" customHeight="1">
      <c r="B33" s="934">
        <v>42742</v>
      </c>
      <c r="C33" s="939" t="s">
        <v>2520</v>
      </c>
      <c r="D33" s="939" t="s">
        <v>2521</v>
      </c>
      <c r="E33" s="935" t="s">
        <v>347</v>
      </c>
      <c r="F33" s="935">
        <v>1.1399999999999999</v>
      </c>
    </row>
    <row r="34" spans="2:6" s="2" customFormat="1" ht="26.1" customHeight="1">
      <c r="B34" s="934">
        <v>42742</v>
      </c>
      <c r="C34" s="939" t="s">
        <v>2522</v>
      </c>
      <c r="D34" s="939" t="s">
        <v>2523</v>
      </c>
      <c r="E34" s="935" t="s">
        <v>347</v>
      </c>
      <c r="F34" s="935">
        <v>1.1499999999999999</v>
      </c>
    </row>
    <row r="35" spans="2:6" s="2" customFormat="1" ht="26.1" customHeight="1">
      <c r="B35" s="934">
        <v>42742</v>
      </c>
      <c r="C35" s="939" t="s">
        <v>2524</v>
      </c>
      <c r="D35" s="939" t="s">
        <v>2525</v>
      </c>
      <c r="E35" s="935" t="s">
        <v>347</v>
      </c>
      <c r="F35" s="935">
        <v>1.1599999999999999</v>
      </c>
    </row>
    <row r="36" spans="2:6" s="2" customFormat="1" ht="26.1" customHeight="1">
      <c r="B36" s="934">
        <v>42762</v>
      </c>
      <c r="C36" s="939" t="s">
        <v>2527</v>
      </c>
      <c r="D36" s="939" t="s">
        <v>2526</v>
      </c>
      <c r="E36" s="935" t="s">
        <v>347</v>
      </c>
      <c r="F36" s="935">
        <v>1.17</v>
      </c>
    </row>
    <row r="37" spans="2:6" s="2" customFormat="1" ht="26.1" customHeight="1">
      <c r="B37" s="934">
        <v>42766</v>
      </c>
      <c r="C37" s="939" t="s">
        <v>2528</v>
      </c>
      <c r="D37" s="939" t="s">
        <v>2529</v>
      </c>
      <c r="E37" s="935" t="s">
        <v>347</v>
      </c>
      <c r="F37" s="935">
        <v>1.18</v>
      </c>
    </row>
    <row r="38" spans="2:6" s="2" customFormat="1" ht="26.1" customHeight="1">
      <c r="B38" s="934">
        <v>42768</v>
      </c>
      <c r="C38" s="939" t="s">
        <v>2530</v>
      </c>
      <c r="D38" s="939" t="s">
        <v>2531</v>
      </c>
      <c r="E38" s="935" t="s">
        <v>347</v>
      </c>
      <c r="F38" s="935">
        <v>1.19</v>
      </c>
    </row>
    <row r="39" spans="2:6" s="2" customFormat="1" ht="26.1" customHeight="1">
      <c r="B39" s="934">
        <v>42768</v>
      </c>
      <c r="C39" s="939" t="s">
        <v>2535</v>
      </c>
      <c r="D39" s="939" t="s">
        <v>2536</v>
      </c>
      <c r="E39" s="935" t="s">
        <v>347</v>
      </c>
      <c r="F39" s="935">
        <v>1.19</v>
      </c>
    </row>
    <row r="40" spans="2:6" s="2" customFormat="1" ht="26.1" customHeight="1">
      <c r="B40" s="934">
        <v>42768</v>
      </c>
      <c r="C40" s="939" t="s">
        <v>2550</v>
      </c>
      <c r="D40" s="939" t="s">
        <v>2551</v>
      </c>
      <c r="E40" s="935" t="s">
        <v>347</v>
      </c>
      <c r="F40" s="935">
        <v>1.19</v>
      </c>
    </row>
    <row r="41" spans="2:6" s="2" customFormat="1" ht="26.1" customHeight="1">
      <c r="B41" s="934">
        <v>42768</v>
      </c>
      <c r="C41" s="939" t="s">
        <v>2552</v>
      </c>
      <c r="D41" s="939" t="s">
        <v>2551</v>
      </c>
      <c r="E41" s="935" t="s">
        <v>347</v>
      </c>
      <c r="F41" s="935">
        <v>1.19</v>
      </c>
    </row>
    <row r="42" spans="2:6" s="2" customFormat="1" ht="26.1" customHeight="1">
      <c r="B42" s="934">
        <v>42768</v>
      </c>
      <c r="C42" s="939" t="s">
        <v>2553</v>
      </c>
      <c r="D42" s="939" t="s">
        <v>2554</v>
      </c>
      <c r="E42" s="935" t="s">
        <v>347</v>
      </c>
      <c r="F42" s="935">
        <v>1.19</v>
      </c>
    </row>
    <row r="43" spans="2:6" s="2" customFormat="1" ht="26.1" customHeight="1">
      <c r="B43" s="934">
        <v>42768</v>
      </c>
      <c r="C43" s="939" t="s">
        <v>2555</v>
      </c>
      <c r="D43" s="939" t="s">
        <v>2556</v>
      </c>
      <c r="E43" s="935" t="s">
        <v>347</v>
      </c>
      <c r="F43" s="935">
        <v>1.19</v>
      </c>
    </row>
    <row r="44" spans="2:6" s="2" customFormat="1" ht="26.1" customHeight="1">
      <c r="B44" s="934">
        <v>42770</v>
      </c>
      <c r="C44" s="939" t="s">
        <v>2561</v>
      </c>
      <c r="D44" s="939" t="s">
        <v>2562</v>
      </c>
      <c r="E44" s="935" t="s">
        <v>347</v>
      </c>
      <c r="F44" s="935">
        <v>1.2</v>
      </c>
    </row>
    <row r="45" spans="2:6" s="2" customFormat="1" ht="26.1" customHeight="1">
      <c r="B45" s="934">
        <v>42819</v>
      </c>
      <c r="C45" s="939" t="s">
        <v>2618</v>
      </c>
      <c r="D45" s="939" t="s">
        <v>2619</v>
      </c>
      <c r="E45" s="935" t="s">
        <v>347</v>
      </c>
      <c r="F45" s="935">
        <v>1.21</v>
      </c>
    </row>
    <row r="46" spans="2:6" s="2" customFormat="1" ht="26.1" customHeight="1">
      <c r="B46" s="934">
        <v>42819</v>
      </c>
      <c r="C46" s="939" t="s">
        <v>2620</v>
      </c>
      <c r="D46" s="939" t="s">
        <v>2621</v>
      </c>
      <c r="E46" s="935" t="s">
        <v>347</v>
      </c>
      <c r="F46" s="935">
        <v>1.21</v>
      </c>
    </row>
    <row r="47" spans="2:6" s="2" customFormat="1" ht="26.1" customHeight="1">
      <c r="B47" s="934">
        <v>42819</v>
      </c>
      <c r="C47" s="939" t="s">
        <v>2624</v>
      </c>
      <c r="D47" s="939" t="s">
        <v>2622</v>
      </c>
      <c r="E47" s="935" t="s">
        <v>347</v>
      </c>
      <c r="F47" s="935">
        <v>1.21</v>
      </c>
    </row>
    <row r="48" spans="2:6" s="2" customFormat="1" ht="26.1" customHeight="1">
      <c r="B48" s="934">
        <v>42819</v>
      </c>
      <c r="C48" s="939" t="s">
        <v>2623</v>
      </c>
      <c r="D48" s="939" t="s">
        <v>2626</v>
      </c>
      <c r="E48" s="935" t="s">
        <v>347</v>
      </c>
      <c r="F48" s="935">
        <v>1.21</v>
      </c>
    </row>
    <row r="49" spans="2:6" s="2" customFormat="1" ht="26.1" customHeight="1">
      <c r="B49" s="934">
        <v>42819</v>
      </c>
      <c r="C49" s="939" t="s">
        <v>2625</v>
      </c>
      <c r="D49" s="939" t="s">
        <v>2627</v>
      </c>
      <c r="E49" s="935" t="s">
        <v>347</v>
      </c>
      <c r="F49" s="935">
        <v>1.21</v>
      </c>
    </row>
    <row r="50" spans="2:6" s="2" customFormat="1" ht="26.1" customHeight="1">
      <c r="B50" s="934">
        <v>42819</v>
      </c>
      <c r="C50" s="939" t="s">
        <v>2628</v>
      </c>
      <c r="E50" s="935" t="s">
        <v>347</v>
      </c>
      <c r="F50" s="935">
        <v>1.21</v>
      </c>
    </row>
    <row r="51" spans="2:6" s="2" customFormat="1" ht="26.1" customHeight="1">
      <c r="B51" s="934">
        <v>42819</v>
      </c>
      <c r="C51" s="939" t="s">
        <v>2629</v>
      </c>
      <c r="D51" s="938" t="s">
        <v>2630</v>
      </c>
      <c r="E51" s="935" t="s">
        <v>347</v>
      </c>
      <c r="F51" s="935">
        <v>1.21</v>
      </c>
    </row>
    <row r="52" spans="2:6" s="2" customFormat="1" ht="26.1" customHeight="1">
      <c r="B52" s="934">
        <v>42819</v>
      </c>
      <c r="C52" s="939" t="s">
        <v>2631</v>
      </c>
      <c r="D52" s="938" t="s">
        <v>2632</v>
      </c>
      <c r="E52" s="935" t="s">
        <v>347</v>
      </c>
      <c r="F52" s="935">
        <v>1.21</v>
      </c>
    </row>
    <row r="53" spans="2:6" s="2" customFormat="1" ht="26.1" customHeight="1">
      <c r="B53" s="934">
        <v>42819</v>
      </c>
      <c r="C53" s="939" t="s">
        <v>2633</v>
      </c>
      <c r="D53" s="938" t="s">
        <v>2634</v>
      </c>
      <c r="E53" s="935" t="s">
        <v>347</v>
      </c>
      <c r="F53" s="935">
        <v>1.21</v>
      </c>
    </row>
    <row r="54" spans="2:6" s="2" customFormat="1" ht="26.1" customHeight="1">
      <c r="B54" s="934">
        <v>42819</v>
      </c>
      <c r="C54" s="939" t="s">
        <v>2635</v>
      </c>
      <c r="D54" s="938" t="s">
        <v>2636</v>
      </c>
      <c r="E54" s="935" t="s">
        <v>347</v>
      </c>
      <c r="F54" s="935">
        <v>1.21</v>
      </c>
    </row>
    <row r="55" spans="2:6" s="2" customFormat="1" ht="26.1" customHeight="1">
      <c r="B55" s="934">
        <v>42819</v>
      </c>
      <c r="C55" s="939" t="s">
        <v>2637</v>
      </c>
      <c r="D55" s="939" t="s">
        <v>2638</v>
      </c>
      <c r="E55" s="935" t="s">
        <v>347</v>
      </c>
      <c r="F55" s="935">
        <v>1.21</v>
      </c>
    </row>
    <row r="56" spans="2:6" s="2" customFormat="1" ht="26.1" customHeight="1">
      <c r="B56" s="934">
        <v>42819</v>
      </c>
      <c r="C56" s="939" t="s">
        <v>2639</v>
      </c>
      <c r="D56" s="939" t="s">
        <v>2640</v>
      </c>
      <c r="E56" s="935" t="s">
        <v>347</v>
      </c>
      <c r="F56" s="935">
        <v>1.21</v>
      </c>
    </row>
    <row r="57" spans="2:6" s="2" customFormat="1" ht="26.1" customHeight="1">
      <c r="B57" s="934">
        <v>42819</v>
      </c>
      <c r="C57" s="939" t="s">
        <v>2641</v>
      </c>
      <c r="D57" s="939" t="s">
        <v>2642</v>
      </c>
      <c r="E57" s="935" t="s">
        <v>347</v>
      </c>
      <c r="F57" s="935">
        <v>1.21</v>
      </c>
    </row>
    <row r="58" spans="2:6" s="2" customFormat="1" ht="26.1" customHeight="1">
      <c r="B58" s="934">
        <v>42830</v>
      </c>
      <c r="C58" s="939" t="s">
        <v>2705</v>
      </c>
      <c r="D58" s="939" t="s">
        <v>2702</v>
      </c>
      <c r="E58" s="935" t="s">
        <v>347</v>
      </c>
      <c r="F58" s="935">
        <v>1.23</v>
      </c>
    </row>
    <row r="59" spans="2:6" s="2" customFormat="1" ht="26.1" customHeight="1">
      <c r="B59" s="934">
        <v>42835</v>
      </c>
      <c r="C59" s="939" t="s">
        <v>2704</v>
      </c>
      <c r="D59" s="939" t="s">
        <v>2706</v>
      </c>
      <c r="E59" s="935" t="s">
        <v>347</v>
      </c>
      <c r="F59" s="935">
        <v>1.24</v>
      </c>
    </row>
    <row r="60" spans="2:6" s="2" customFormat="1" ht="26.1" customHeight="1">
      <c r="B60" s="934">
        <v>42835</v>
      </c>
      <c r="C60" s="939" t="s">
        <v>2707</v>
      </c>
      <c r="E60" s="935" t="s">
        <v>347</v>
      </c>
      <c r="F60" s="935">
        <v>1.24</v>
      </c>
    </row>
    <row r="61" spans="2:6" s="2" customFormat="1" ht="26.1" customHeight="1">
      <c r="B61" s="934">
        <v>42837</v>
      </c>
      <c r="C61" s="939" t="s">
        <v>2708</v>
      </c>
      <c r="D61" s="2" t="s">
        <v>2709</v>
      </c>
      <c r="E61" s="935" t="s">
        <v>347</v>
      </c>
      <c r="F61" s="935">
        <v>1.25</v>
      </c>
    </row>
    <row r="62" spans="2:6" s="2" customFormat="1" ht="26.1" customHeight="1">
      <c r="B62" s="934">
        <v>42861</v>
      </c>
      <c r="C62" s="939" t="s">
        <v>2880</v>
      </c>
      <c r="D62" s="938" t="s">
        <v>2879</v>
      </c>
      <c r="E62" s="935" t="s">
        <v>347</v>
      </c>
      <c r="F62" s="935">
        <v>1.26</v>
      </c>
    </row>
    <row r="63" spans="2:6" s="2" customFormat="1" ht="26.1" customHeight="1">
      <c r="B63" s="934">
        <v>42861</v>
      </c>
      <c r="C63" s="939" t="s">
        <v>2881</v>
      </c>
      <c r="D63" s="938" t="s">
        <v>2879</v>
      </c>
      <c r="E63" s="935" t="s">
        <v>347</v>
      </c>
      <c r="F63" s="935">
        <v>1.26</v>
      </c>
    </row>
    <row r="64" spans="2:6" s="2" customFormat="1" ht="26.1" customHeight="1">
      <c r="B64" s="934">
        <v>42861</v>
      </c>
      <c r="C64" s="939" t="s">
        <v>2882</v>
      </c>
      <c r="D64" s="939" t="s">
        <v>2883</v>
      </c>
      <c r="E64" s="935" t="s">
        <v>347</v>
      </c>
      <c r="F64" s="935">
        <v>1.26</v>
      </c>
    </row>
    <row r="65" spans="2:6" s="2" customFormat="1" ht="26.1" customHeight="1">
      <c r="B65" s="934">
        <v>42861</v>
      </c>
      <c r="C65" s="939" t="s">
        <v>2884</v>
      </c>
      <c r="D65" s="938"/>
      <c r="E65" s="935" t="s">
        <v>347</v>
      </c>
      <c r="F65" s="935">
        <v>1.26</v>
      </c>
    </row>
    <row r="66" spans="2:6" s="2" customFormat="1" ht="26.1" customHeight="1">
      <c r="B66" s="934">
        <v>42861</v>
      </c>
      <c r="C66" s="939" t="s">
        <v>2885</v>
      </c>
      <c r="D66" s="938" t="s">
        <v>2886</v>
      </c>
      <c r="E66" s="935" t="s">
        <v>347</v>
      </c>
      <c r="F66" s="935">
        <v>1.26</v>
      </c>
    </row>
    <row r="67" spans="2:6" s="2" customFormat="1" ht="26.1" customHeight="1">
      <c r="B67" s="934">
        <v>42861</v>
      </c>
      <c r="C67" s="939" t="s">
        <v>2887</v>
      </c>
      <c r="D67" s="938" t="s">
        <v>2888</v>
      </c>
      <c r="E67" s="935" t="s">
        <v>347</v>
      </c>
      <c r="F67" s="935">
        <v>1.26</v>
      </c>
    </row>
    <row r="68" spans="2:6" s="2" customFormat="1" ht="26.1" customHeight="1">
      <c r="B68" s="934">
        <v>42861</v>
      </c>
      <c r="C68" s="939" t="s">
        <v>2889</v>
      </c>
      <c r="D68" s="939" t="s">
        <v>2890</v>
      </c>
      <c r="E68" s="935" t="s">
        <v>347</v>
      </c>
      <c r="F68" s="935">
        <v>1.26</v>
      </c>
    </row>
    <row r="69" spans="2:6" s="2" customFormat="1" ht="26.1" customHeight="1">
      <c r="B69" s="934">
        <v>42861</v>
      </c>
      <c r="C69" s="939" t="s">
        <v>2908</v>
      </c>
      <c r="D69" s="939" t="s">
        <v>2909</v>
      </c>
      <c r="E69" s="935" t="s">
        <v>347</v>
      </c>
      <c r="F69" s="935">
        <v>1.26</v>
      </c>
    </row>
    <row r="70" spans="2:6" s="2" customFormat="1" ht="26.1" customHeight="1">
      <c r="B70" s="934">
        <v>42861</v>
      </c>
      <c r="C70" s="939" t="s">
        <v>2911</v>
      </c>
      <c r="D70" s="939" t="s">
        <v>2910</v>
      </c>
      <c r="E70" s="935" t="s">
        <v>347</v>
      </c>
      <c r="F70" s="935">
        <v>1.26</v>
      </c>
    </row>
    <row r="71" spans="2:6" s="2" customFormat="1" ht="26.1" customHeight="1">
      <c r="B71" s="934">
        <v>42881</v>
      </c>
      <c r="C71" s="939" t="s">
        <v>2912</v>
      </c>
      <c r="D71" s="939" t="s">
        <v>2913</v>
      </c>
      <c r="E71" s="935" t="s">
        <v>347</v>
      </c>
      <c r="F71" s="935">
        <v>1.27</v>
      </c>
    </row>
    <row r="72" spans="2:6" s="2" customFormat="1" ht="26.1" customHeight="1">
      <c r="B72" s="934">
        <v>42881</v>
      </c>
      <c r="C72" s="939" t="s">
        <v>2915</v>
      </c>
      <c r="D72" s="939" t="s">
        <v>2914</v>
      </c>
      <c r="E72" s="935" t="s">
        <v>347</v>
      </c>
      <c r="F72" s="935">
        <v>1.27</v>
      </c>
    </row>
    <row r="73" spans="2:6" s="2" customFormat="1" ht="26.1" customHeight="1">
      <c r="B73" s="934">
        <v>42881</v>
      </c>
      <c r="C73" s="939" t="s">
        <v>2916</v>
      </c>
      <c r="D73" s="939" t="s">
        <v>2917</v>
      </c>
      <c r="E73" s="935" t="s">
        <v>347</v>
      </c>
      <c r="F73" s="935">
        <v>1.27</v>
      </c>
    </row>
    <row r="74" spans="2:6" s="2" customFormat="1" ht="26.1" customHeight="1">
      <c r="B74" s="934">
        <v>42881</v>
      </c>
      <c r="C74" s="939" t="s">
        <v>2919</v>
      </c>
      <c r="D74" s="939" t="s">
        <v>2918</v>
      </c>
      <c r="E74" s="935" t="s">
        <v>347</v>
      </c>
      <c r="F74" s="935">
        <v>1.27</v>
      </c>
    </row>
    <row r="75" spans="2:6" s="2" customFormat="1" ht="26.1" customHeight="1">
      <c r="B75" s="934">
        <v>42881</v>
      </c>
      <c r="C75" s="939" t="s">
        <v>2920</v>
      </c>
      <c r="D75" s="939" t="s">
        <v>2921</v>
      </c>
      <c r="E75" s="935" t="s">
        <v>347</v>
      </c>
      <c r="F75" s="935">
        <v>1.27</v>
      </c>
    </row>
    <row r="76" spans="2:6" s="2" customFormat="1" ht="26.1" customHeight="1">
      <c r="B76" s="934">
        <v>42881</v>
      </c>
      <c r="C76" s="939" t="s">
        <v>2922</v>
      </c>
      <c r="D76" s="939" t="s">
        <v>2923</v>
      </c>
      <c r="E76" s="935" t="s">
        <v>347</v>
      </c>
      <c r="F76" s="935">
        <v>1.27</v>
      </c>
    </row>
    <row r="77" spans="2:6" s="2" customFormat="1" ht="26.1" customHeight="1">
      <c r="B77" s="934">
        <v>42881</v>
      </c>
      <c r="C77" s="939" t="s">
        <v>2924</v>
      </c>
      <c r="D77" s="939" t="s">
        <v>2925</v>
      </c>
      <c r="E77" s="935" t="s">
        <v>347</v>
      </c>
      <c r="F77" s="935">
        <v>1.27</v>
      </c>
    </row>
    <row r="78" spans="2:6" s="2" customFormat="1" ht="26.1" customHeight="1">
      <c r="B78" s="934">
        <v>42887</v>
      </c>
      <c r="C78" s="939" t="s">
        <v>2927</v>
      </c>
      <c r="D78" s="939" t="s">
        <v>2928</v>
      </c>
      <c r="E78" s="935" t="s">
        <v>347</v>
      </c>
      <c r="F78" s="935">
        <v>1.28</v>
      </c>
    </row>
    <row r="79" spans="2:6" s="2" customFormat="1" ht="26.1" customHeight="1">
      <c r="B79" s="934">
        <v>42934</v>
      </c>
      <c r="C79" s="939" t="s">
        <v>3000</v>
      </c>
      <c r="D79" s="939"/>
      <c r="E79" s="935" t="s">
        <v>347</v>
      </c>
      <c r="F79" s="935">
        <v>1.29</v>
      </c>
    </row>
    <row r="80" spans="2:6" s="2" customFormat="1" ht="26.1" customHeight="1">
      <c r="B80" s="940">
        <v>42954</v>
      </c>
      <c r="C80" s="939" t="s">
        <v>3024</v>
      </c>
      <c r="D80" s="939"/>
      <c r="E80" s="935" t="s">
        <v>347</v>
      </c>
      <c r="F80" s="935">
        <v>1.29</v>
      </c>
    </row>
    <row r="81" spans="2:6" s="2" customFormat="1" ht="26.1" customHeight="1">
      <c r="B81" s="940">
        <v>42955</v>
      </c>
      <c r="C81" s="939" t="s">
        <v>3027</v>
      </c>
      <c r="D81" s="939" t="s">
        <v>3028</v>
      </c>
      <c r="E81" s="935" t="s">
        <v>347</v>
      </c>
      <c r="F81" s="935">
        <v>1.29</v>
      </c>
    </row>
    <row r="82" spans="2:6" s="2" customFormat="1" ht="26.1" customHeight="1">
      <c r="B82" s="940">
        <v>42959</v>
      </c>
      <c r="C82" s="939" t="s">
        <v>3029</v>
      </c>
      <c r="D82" s="939" t="s">
        <v>3030</v>
      </c>
      <c r="E82" s="935" t="s">
        <v>347</v>
      </c>
      <c r="F82" s="935">
        <v>1.29</v>
      </c>
    </row>
    <row r="83" spans="2:6" s="2" customFormat="1" ht="26.1" customHeight="1">
      <c r="B83" s="940">
        <v>42959</v>
      </c>
      <c r="C83" s="939" t="s">
        <v>3031</v>
      </c>
      <c r="D83" s="939" t="s">
        <v>3032</v>
      </c>
      <c r="E83" s="935" t="s">
        <v>347</v>
      </c>
      <c r="F83" s="935">
        <v>1.29</v>
      </c>
    </row>
    <row r="84" spans="2:6" s="2" customFormat="1" ht="26.1" customHeight="1">
      <c r="B84" s="940">
        <v>42959</v>
      </c>
      <c r="C84" s="939" t="s">
        <v>3033</v>
      </c>
      <c r="D84" s="939" t="s">
        <v>3034</v>
      </c>
      <c r="E84" s="935" t="s">
        <v>347</v>
      </c>
      <c r="F84" s="935">
        <v>1.29</v>
      </c>
    </row>
    <row r="85" spans="2:6" s="2" customFormat="1" ht="26.1" customHeight="1">
      <c r="B85" s="940">
        <v>42962</v>
      </c>
      <c r="C85" s="939" t="s">
        <v>3040</v>
      </c>
      <c r="D85" s="939" t="s">
        <v>3041</v>
      </c>
      <c r="E85" s="935" t="s">
        <v>347</v>
      </c>
      <c r="F85" s="973" t="s">
        <v>3039</v>
      </c>
    </row>
    <row r="86" spans="2:6" s="2" customFormat="1" ht="26.1" customHeight="1">
      <c r="B86" s="940">
        <v>42962</v>
      </c>
      <c r="C86" s="939" t="s">
        <v>3042</v>
      </c>
      <c r="D86" s="939" t="s">
        <v>3043</v>
      </c>
      <c r="E86" s="935" t="s">
        <v>347</v>
      </c>
      <c r="F86" s="973" t="s">
        <v>3039</v>
      </c>
    </row>
    <row r="87" spans="2:6" s="2" customFormat="1" ht="26.1" customHeight="1">
      <c r="B87" s="940">
        <v>42965</v>
      </c>
      <c r="C87" s="939" t="s">
        <v>3044</v>
      </c>
      <c r="D87" s="939" t="s">
        <v>3045</v>
      </c>
      <c r="E87" s="935" t="s">
        <v>347</v>
      </c>
      <c r="F87" s="973" t="s">
        <v>3039</v>
      </c>
    </row>
    <row r="88" spans="2:6" s="2" customFormat="1" ht="26.1" customHeight="1">
      <c r="B88" s="940">
        <v>42965</v>
      </c>
      <c r="C88" s="939" t="s">
        <v>3050</v>
      </c>
      <c r="D88" s="939" t="s">
        <v>3051</v>
      </c>
      <c r="E88" s="935" t="s">
        <v>347</v>
      </c>
      <c r="F88" s="973" t="s">
        <v>3039</v>
      </c>
    </row>
    <row r="89" spans="2:6" s="2" customFormat="1" ht="26.1" customHeight="1">
      <c r="B89" s="940">
        <v>42966</v>
      </c>
      <c r="C89" s="939" t="s">
        <v>3053</v>
      </c>
      <c r="D89" s="939" t="s">
        <v>3054</v>
      </c>
      <c r="E89" s="935" t="s">
        <v>347</v>
      </c>
      <c r="F89" s="973" t="s">
        <v>3052</v>
      </c>
    </row>
    <row r="90" spans="2:6" s="2" customFormat="1" ht="26.1" customHeight="1">
      <c r="B90" s="940">
        <v>42966</v>
      </c>
      <c r="C90" s="939" t="s">
        <v>3056</v>
      </c>
      <c r="D90" s="939" t="s">
        <v>3055</v>
      </c>
      <c r="E90" s="935" t="s">
        <v>347</v>
      </c>
      <c r="F90" s="973" t="s">
        <v>3052</v>
      </c>
    </row>
    <row r="91" spans="2:6" s="2" customFormat="1" ht="26.1" customHeight="1">
      <c r="B91" s="940">
        <v>42966</v>
      </c>
      <c r="C91" s="939" t="s">
        <v>3057</v>
      </c>
      <c r="D91" s="939" t="s">
        <v>3058</v>
      </c>
      <c r="E91" s="935" t="s">
        <v>347</v>
      </c>
      <c r="F91" s="973" t="s">
        <v>3052</v>
      </c>
    </row>
    <row r="92" spans="2:6" s="2" customFormat="1" ht="26.1" customHeight="1">
      <c r="B92" s="1615">
        <v>42966</v>
      </c>
      <c r="C92" s="1614" t="s">
        <v>3062</v>
      </c>
      <c r="D92" s="1614" t="s">
        <v>3059</v>
      </c>
      <c r="E92" s="1613" t="s">
        <v>347</v>
      </c>
      <c r="F92" s="1616" t="s">
        <v>3052</v>
      </c>
    </row>
    <row r="93" spans="2:6" s="2" customFormat="1" ht="26.1" customHeight="1">
      <c r="B93" s="1615">
        <v>42966</v>
      </c>
      <c r="C93" s="1614" t="s">
        <v>3060</v>
      </c>
      <c r="D93" s="1614" t="s">
        <v>3059</v>
      </c>
      <c r="E93" s="1613" t="s">
        <v>347</v>
      </c>
      <c r="F93" s="1616" t="s">
        <v>3052</v>
      </c>
    </row>
    <row r="94" spans="2:6" s="2" customFormat="1" ht="26.1" customHeight="1">
      <c r="B94" s="1615">
        <v>42966</v>
      </c>
      <c r="C94" s="1614" t="s">
        <v>3061</v>
      </c>
      <c r="D94" s="1614" t="s">
        <v>3059</v>
      </c>
      <c r="E94" s="1613" t="s">
        <v>347</v>
      </c>
      <c r="F94" s="1616" t="s">
        <v>3052</v>
      </c>
    </row>
    <row r="95" spans="2:6" s="2" customFormat="1" ht="26.1" customHeight="1">
      <c r="B95" s="1615">
        <v>42972</v>
      </c>
      <c r="C95" s="1614" t="s">
        <v>3067</v>
      </c>
      <c r="D95" s="1614" t="s">
        <v>3066</v>
      </c>
      <c r="E95" s="1613" t="s">
        <v>347</v>
      </c>
      <c r="F95" s="1616" t="s">
        <v>3052</v>
      </c>
    </row>
    <row r="96" spans="2:6" s="2" customFormat="1" ht="26.1" customHeight="1">
      <c r="B96" s="1615">
        <v>42972</v>
      </c>
      <c r="C96" s="1614" t="s">
        <v>3068</v>
      </c>
      <c r="D96" s="1614" t="s">
        <v>3069</v>
      </c>
      <c r="E96" s="1613" t="s">
        <v>347</v>
      </c>
      <c r="F96" s="1616" t="s">
        <v>3052</v>
      </c>
    </row>
    <row r="97" spans="2:6" s="2" customFormat="1" ht="26.1" customHeight="1">
      <c r="B97" s="934">
        <v>42984</v>
      </c>
      <c r="C97" s="2" t="s">
        <v>3073</v>
      </c>
      <c r="D97" s="2" t="s">
        <v>3074</v>
      </c>
      <c r="E97" s="935" t="s">
        <v>347</v>
      </c>
      <c r="F97" s="935" t="s">
        <v>3052</v>
      </c>
    </row>
    <row r="98" spans="2:6" s="2" customFormat="1" ht="26.1" customHeight="1">
      <c r="B98" s="934">
        <v>43068</v>
      </c>
      <c r="C98" s="2" t="s">
        <v>3076</v>
      </c>
      <c r="D98" s="2" t="s">
        <v>3075</v>
      </c>
      <c r="E98" s="1613" t="s">
        <v>347</v>
      </c>
      <c r="F98" s="1613">
        <v>1.32</v>
      </c>
    </row>
    <row r="99" spans="2:6" s="2" customFormat="1" ht="26.1" customHeight="1">
      <c r="B99" s="934">
        <v>43070</v>
      </c>
      <c r="C99" s="1614" t="s">
        <v>3090</v>
      </c>
      <c r="D99" s="1614" t="s">
        <v>3089</v>
      </c>
      <c r="E99" s="1613" t="s">
        <v>347</v>
      </c>
      <c r="F99" s="1613">
        <v>1.32</v>
      </c>
    </row>
    <row r="100" spans="2:6" s="2" customFormat="1" ht="26.1" customHeight="1">
      <c r="B100" s="934">
        <v>43071</v>
      </c>
      <c r="C100" s="1614" t="s">
        <v>3092</v>
      </c>
      <c r="D100" s="1614" t="s">
        <v>3091</v>
      </c>
      <c r="E100" s="1613" t="s">
        <v>347</v>
      </c>
      <c r="F100" s="1613">
        <v>1.32</v>
      </c>
    </row>
    <row r="101" spans="2:6" s="2" customFormat="1" ht="26.1" customHeight="1">
      <c r="B101" s="934">
        <v>43071</v>
      </c>
      <c r="C101" s="1614" t="s">
        <v>3099</v>
      </c>
      <c r="D101" s="1614" t="s">
        <v>3098</v>
      </c>
      <c r="E101" s="1613" t="s">
        <v>347</v>
      </c>
      <c r="F101" s="1613">
        <v>1.32</v>
      </c>
    </row>
    <row r="102" spans="2:6" s="2" customFormat="1" ht="26.1" customHeight="1">
      <c r="B102" s="934">
        <v>43071</v>
      </c>
      <c r="C102" s="1614" t="s">
        <v>3100</v>
      </c>
      <c r="D102" s="1614" t="s">
        <v>3101</v>
      </c>
      <c r="E102" s="1613" t="s">
        <v>347</v>
      </c>
      <c r="F102" s="1613">
        <v>1.32</v>
      </c>
    </row>
    <row r="103" spans="2:6" s="2" customFormat="1" ht="26.1" customHeight="1">
      <c r="B103" s="934">
        <v>43071</v>
      </c>
      <c r="C103" s="1614" t="s">
        <v>3102</v>
      </c>
      <c r="D103" s="1614" t="s">
        <v>3103</v>
      </c>
      <c r="E103" s="1613" t="s">
        <v>347</v>
      </c>
      <c r="F103" s="1613">
        <v>1.32</v>
      </c>
    </row>
    <row r="104" spans="2:6" s="2" customFormat="1" ht="26.1" customHeight="1">
      <c r="B104" s="934">
        <v>43071</v>
      </c>
      <c r="C104" s="1614" t="s">
        <v>3104</v>
      </c>
      <c r="D104" s="1614" t="s">
        <v>3105</v>
      </c>
      <c r="E104" s="1613" t="s">
        <v>347</v>
      </c>
      <c r="F104" s="1613">
        <v>1.32</v>
      </c>
    </row>
    <row r="105" spans="2:6" s="2" customFormat="1" ht="26.1" customHeight="1">
      <c r="B105" s="934">
        <v>43071</v>
      </c>
      <c r="C105" s="1614" t="s">
        <v>3106</v>
      </c>
      <c r="D105" s="1614" t="s">
        <v>3107</v>
      </c>
      <c r="E105" s="1613" t="s">
        <v>347</v>
      </c>
      <c r="F105" s="1613">
        <v>1.32</v>
      </c>
    </row>
    <row r="106" spans="2:6" s="2" customFormat="1" ht="26.1" customHeight="1">
      <c r="B106" s="934">
        <v>43071</v>
      </c>
      <c r="C106" s="1614" t="s">
        <v>3115</v>
      </c>
      <c r="D106" s="1614" t="s">
        <v>3116</v>
      </c>
      <c r="E106" s="1613" t="s">
        <v>347</v>
      </c>
      <c r="F106" s="1613">
        <v>1.32</v>
      </c>
    </row>
    <row r="107" spans="2:6" s="2" customFormat="1" ht="26.1" customHeight="1">
      <c r="B107" s="934">
        <v>43071</v>
      </c>
      <c r="C107" s="1614" t="s">
        <v>3117</v>
      </c>
      <c r="D107" s="1614" t="s">
        <v>3118</v>
      </c>
      <c r="E107" s="1613" t="s">
        <v>347</v>
      </c>
      <c r="F107" s="1613">
        <v>1.32</v>
      </c>
    </row>
    <row r="108" spans="2:6" s="2" customFormat="1" ht="26.1" customHeight="1">
      <c r="B108" s="934">
        <v>43071</v>
      </c>
      <c r="C108" s="1614" t="s">
        <v>3119</v>
      </c>
      <c r="D108" s="1614" t="s">
        <v>3120</v>
      </c>
      <c r="E108" s="1613" t="s">
        <v>347</v>
      </c>
      <c r="F108" s="1613">
        <v>1.32</v>
      </c>
    </row>
    <row r="109" spans="2:6" s="2" customFormat="1" ht="26.1" customHeight="1">
      <c r="B109" s="934">
        <v>43071</v>
      </c>
      <c r="C109" s="1614" t="s">
        <v>3122</v>
      </c>
      <c r="D109" s="1614" t="s">
        <v>3123</v>
      </c>
      <c r="E109" s="1613" t="s">
        <v>347</v>
      </c>
      <c r="F109" s="1613">
        <v>1.32</v>
      </c>
    </row>
    <row r="110" spans="2:6" s="2" customFormat="1" ht="26.1" customHeight="1">
      <c r="B110" s="934">
        <v>43071</v>
      </c>
      <c r="C110" s="1614" t="s">
        <v>3124</v>
      </c>
      <c r="D110" s="1614" t="s">
        <v>3123</v>
      </c>
      <c r="E110" s="1613" t="s">
        <v>347</v>
      </c>
      <c r="F110" s="1613">
        <v>1.32</v>
      </c>
    </row>
    <row r="111" spans="2:6" s="2" customFormat="1" ht="26.1" customHeight="1">
      <c r="B111" s="934">
        <v>43072</v>
      </c>
      <c r="C111" s="1614" t="s">
        <v>3125</v>
      </c>
      <c r="D111" s="1614" t="s">
        <v>3126</v>
      </c>
      <c r="E111" s="1613" t="s">
        <v>347</v>
      </c>
      <c r="F111" s="1613">
        <v>1.33</v>
      </c>
    </row>
    <row r="112" spans="2:6" s="2" customFormat="1" ht="26.1" customHeight="1">
      <c r="B112" s="934">
        <v>43074</v>
      </c>
      <c r="C112" s="1614" t="s">
        <v>3129</v>
      </c>
      <c r="D112" s="1614" t="s">
        <v>3130</v>
      </c>
      <c r="E112" s="1613" t="s">
        <v>347</v>
      </c>
      <c r="F112" s="1613">
        <v>1.33</v>
      </c>
    </row>
    <row r="113" spans="2:6" s="2" customFormat="1" ht="26.1" customHeight="1">
      <c r="B113" s="934">
        <v>43075</v>
      </c>
      <c r="C113" s="1614" t="s">
        <v>3127</v>
      </c>
      <c r="D113" s="1614" t="s">
        <v>3128</v>
      </c>
      <c r="E113" s="1613" t="s">
        <v>347</v>
      </c>
      <c r="F113" s="1613">
        <v>1.33</v>
      </c>
    </row>
    <row r="114" spans="2:6" s="2" customFormat="1" ht="26.1" customHeight="1">
      <c r="B114" s="934">
        <v>43081</v>
      </c>
      <c r="C114" s="1614" t="s">
        <v>3132</v>
      </c>
      <c r="D114" s="1614" t="s">
        <v>3131</v>
      </c>
      <c r="E114" s="1613" t="s">
        <v>347</v>
      </c>
      <c r="F114" s="1613">
        <v>1.33</v>
      </c>
    </row>
    <row r="115" spans="2:6" s="2" customFormat="1" ht="26.1" customHeight="1">
      <c r="B115" s="934">
        <v>43082</v>
      </c>
      <c r="C115" s="1614" t="s">
        <v>3138</v>
      </c>
      <c r="D115" s="1614" t="s">
        <v>3139</v>
      </c>
      <c r="E115" s="1613" t="s">
        <v>347</v>
      </c>
      <c r="F115" s="1613">
        <v>1.34</v>
      </c>
    </row>
    <row r="116" spans="2:6" s="2" customFormat="1" ht="26.1" customHeight="1">
      <c r="B116" s="934">
        <v>43082</v>
      </c>
      <c r="C116" s="1614" t="s">
        <v>3140</v>
      </c>
      <c r="D116" s="1614" t="s">
        <v>3123</v>
      </c>
      <c r="E116" s="1613" t="s">
        <v>347</v>
      </c>
      <c r="F116" s="1613">
        <v>1.34</v>
      </c>
    </row>
    <row r="117" spans="2:6" s="2" customFormat="1" ht="26.1" customHeight="1">
      <c r="B117" s="934">
        <v>43085</v>
      </c>
      <c r="C117" s="1614" t="s">
        <v>3142</v>
      </c>
      <c r="D117" s="1614" t="s">
        <v>3143</v>
      </c>
      <c r="E117" s="1613" t="s">
        <v>347</v>
      </c>
      <c r="F117" s="1613">
        <v>1.35</v>
      </c>
    </row>
    <row r="118" spans="2:6" s="2" customFormat="1" ht="26.1" customHeight="1">
      <c r="B118" s="934">
        <v>43085</v>
      </c>
      <c r="C118" s="1614" t="s">
        <v>3144</v>
      </c>
      <c r="D118" s="1614" t="s">
        <v>3145</v>
      </c>
      <c r="E118" s="1613" t="s">
        <v>347</v>
      </c>
      <c r="F118" s="1613">
        <v>1.35</v>
      </c>
    </row>
    <row r="119" spans="2:6" s="2" customFormat="1" ht="26.1" customHeight="1">
      <c r="B119" s="934">
        <v>43086</v>
      </c>
      <c r="C119" s="1614" t="s">
        <v>3148</v>
      </c>
      <c r="D119" s="1614" t="s">
        <v>3149</v>
      </c>
      <c r="E119" s="1613" t="s">
        <v>347</v>
      </c>
      <c r="F119" s="1613">
        <v>2</v>
      </c>
    </row>
    <row r="120" spans="2:6" s="2" customFormat="1" ht="26.1" customHeight="1">
      <c r="B120" s="934">
        <v>43096</v>
      </c>
      <c r="C120" s="1614" t="s">
        <v>3150</v>
      </c>
      <c r="D120" s="1614" t="s">
        <v>3151</v>
      </c>
      <c r="E120" s="1613" t="s">
        <v>347</v>
      </c>
      <c r="F120" s="1613">
        <v>2</v>
      </c>
    </row>
    <row r="121" spans="2:6" s="2" customFormat="1" ht="26.1" customHeight="1">
      <c r="B121" s="934">
        <v>43096</v>
      </c>
      <c r="C121" s="1614" t="s">
        <v>3152</v>
      </c>
      <c r="D121" s="1614" t="s">
        <v>3153</v>
      </c>
      <c r="E121" s="1613" t="s">
        <v>347</v>
      </c>
      <c r="F121" s="1613">
        <v>2</v>
      </c>
    </row>
    <row r="122" spans="2:6" s="2" customFormat="1" ht="26.1" customHeight="1">
      <c r="B122" s="934">
        <v>43096</v>
      </c>
      <c r="C122" s="1614" t="s">
        <v>3156</v>
      </c>
      <c r="D122" s="1614" t="s">
        <v>3155</v>
      </c>
      <c r="E122" s="1613" t="s">
        <v>347</v>
      </c>
      <c r="F122" s="1613">
        <v>2</v>
      </c>
    </row>
    <row r="123" spans="2:6" s="2" customFormat="1" ht="26.1" customHeight="1">
      <c r="B123" s="934">
        <v>43108</v>
      </c>
      <c r="C123" s="1614" t="s">
        <v>3230</v>
      </c>
      <c r="D123" s="1614" t="s">
        <v>3231</v>
      </c>
      <c r="E123" s="1613" t="s">
        <v>347</v>
      </c>
      <c r="F123" s="1613">
        <v>2</v>
      </c>
    </row>
    <row r="124" spans="2:6" s="2" customFormat="1" ht="26.1" customHeight="1">
      <c r="B124" s="934">
        <v>43108</v>
      </c>
      <c r="C124" s="1614" t="s">
        <v>3232</v>
      </c>
      <c r="D124" s="1614" t="s">
        <v>3233</v>
      </c>
      <c r="E124" s="1613" t="s">
        <v>347</v>
      </c>
      <c r="F124" s="1613">
        <v>2</v>
      </c>
    </row>
    <row r="125" spans="2:6" s="2" customFormat="1" ht="26.1" customHeight="1">
      <c r="B125" s="934">
        <v>43108</v>
      </c>
      <c r="C125" s="1614" t="s">
        <v>3234</v>
      </c>
      <c r="D125" s="1614" t="s">
        <v>3233</v>
      </c>
      <c r="E125" s="1613" t="s">
        <v>347</v>
      </c>
      <c r="F125" s="1613">
        <v>2</v>
      </c>
    </row>
    <row r="126" spans="2:6" s="2" customFormat="1" ht="26.1" customHeight="1">
      <c r="B126" s="934">
        <v>43115</v>
      </c>
      <c r="C126" s="1614" t="s">
        <v>3235</v>
      </c>
      <c r="D126" s="1614" t="s">
        <v>3236</v>
      </c>
      <c r="E126" s="1613" t="s">
        <v>347</v>
      </c>
      <c r="F126" s="1613">
        <v>2.0099999999999998</v>
      </c>
    </row>
    <row r="127" spans="2:6" s="2" customFormat="1" ht="26.1" customHeight="1">
      <c r="B127" s="934">
        <v>43115</v>
      </c>
      <c r="C127" s="1614" t="s">
        <v>3238</v>
      </c>
      <c r="D127" s="1614" t="s">
        <v>3239</v>
      </c>
      <c r="E127" s="1613" t="s">
        <v>347</v>
      </c>
      <c r="F127" s="1613">
        <v>2.0099999999999998</v>
      </c>
    </row>
    <row r="128" spans="2:6" s="2" customFormat="1" ht="26.1" customHeight="1">
      <c r="B128" s="934">
        <v>43126</v>
      </c>
      <c r="C128" s="1614" t="s">
        <v>3240</v>
      </c>
      <c r="D128" s="1614" t="s">
        <v>3241</v>
      </c>
      <c r="E128" s="1613" t="s">
        <v>347</v>
      </c>
      <c r="F128" s="1613">
        <v>2.0099999999999998</v>
      </c>
    </row>
    <row r="129" spans="2:6" s="2" customFormat="1" ht="26.1" customHeight="1">
      <c r="B129" s="934">
        <v>43126</v>
      </c>
      <c r="C129" s="1614" t="s">
        <v>3242</v>
      </c>
      <c r="D129" s="1614" t="s">
        <v>3243</v>
      </c>
      <c r="E129" s="1613" t="s">
        <v>347</v>
      </c>
      <c r="F129" s="1613">
        <v>2.0099999999999998</v>
      </c>
    </row>
    <row r="130" spans="2:6" s="2" customFormat="1" ht="26.1" customHeight="1">
      <c r="B130" s="934">
        <v>43126</v>
      </c>
      <c r="C130" s="1614" t="s">
        <v>3244</v>
      </c>
      <c r="D130" s="1614" t="s">
        <v>3245</v>
      </c>
      <c r="E130" s="1613" t="s">
        <v>347</v>
      </c>
      <c r="F130" s="1613">
        <v>2.0099999999999998</v>
      </c>
    </row>
    <row r="131" spans="2:6" s="2" customFormat="1" ht="26.1" customHeight="1">
      <c r="B131" s="934">
        <v>43126</v>
      </c>
      <c r="C131" s="1614" t="s">
        <v>3247</v>
      </c>
      <c r="D131" s="1614" t="s">
        <v>3248</v>
      </c>
      <c r="E131" s="1613" t="s">
        <v>347</v>
      </c>
      <c r="F131" s="1613">
        <v>2.02</v>
      </c>
    </row>
    <row r="132" spans="2:6" s="2" customFormat="1" ht="26.1" customHeight="1">
      <c r="B132" s="934">
        <v>43130</v>
      </c>
      <c r="C132" s="1614" t="s">
        <v>3247</v>
      </c>
      <c r="D132" s="1614" t="s">
        <v>3249</v>
      </c>
      <c r="E132" s="1613" t="s">
        <v>347</v>
      </c>
      <c r="F132" s="1613">
        <v>2.02</v>
      </c>
    </row>
    <row r="133" spans="2:6" s="2" customFormat="1" ht="26.1" customHeight="1">
      <c r="B133" s="934">
        <v>43432</v>
      </c>
      <c r="C133" s="1614" t="s">
        <v>3395</v>
      </c>
      <c r="D133" s="1614" t="s">
        <v>3396</v>
      </c>
      <c r="E133" s="1613" t="s">
        <v>347</v>
      </c>
      <c r="F133" s="1613">
        <v>2.1</v>
      </c>
    </row>
    <row r="134" spans="2:6" s="2" customFormat="1" ht="26.1" customHeight="1">
      <c r="B134" s="934">
        <v>43432</v>
      </c>
      <c r="C134" s="1614" t="s">
        <v>3279</v>
      </c>
      <c r="D134" s="1614" t="s">
        <v>3280</v>
      </c>
      <c r="E134" s="1613" t="s">
        <v>3283</v>
      </c>
      <c r="F134" s="1613">
        <v>2.1</v>
      </c>
    </row>
    <row r="135" spans="2:6" s="2" customFormat="1" ht="26.1" customHeight="1">
      <c r="B135" s="934">
        <v>43432</v>
      </c>
      <c r="C135" s="1614" t="s">
        <v>3386</v>
      </c>
      <c r="D135" s="1614" t="s">
        <v>3387</v>
      </c>
      <c r="E135" s="1613" t="s">
        <v>3283</v>
      </c>
      <c r="F135" s="1613">
        <v>2.1</v>
      </c>
    </row>
    <row r="136" spans="2:6" s="2" customFormat="1" ht="26.1" customHeight="1">
      <c r="B136" s="934">
        <v>43432</v>
      </c>
      <c r="C136" s="1614" t="s">
        <v>3385</v>
      </c>
      <c r="D136" s="1614" t="s">
        <v>3380</v>
      </c>
      <c r="E136" s="1613" t="s">
        <v>3283</v>
      </c>
      <c r="F136" s="1613">
        <v>2.1</v>
      </c>
    </row>
    <row r="137" spans="2:6" s="2" customFormat="1" ht="26.1" customHeight="1">
      <c r="B137" s="934">
        <v>43441</v>
      </c>
      <c r="C137" s="1614" t="s">
        <v>3284</v>
      </c>
      <c r="D137" s="1614" t="s">
        <v>3285</v>
      </c>
      <c r="E137" s="1613" t="s">
        <v>347</v>
      </c>
      <c r="F137" s="1613">
        <v>2.1</v>
      </c>
    </row>
    <row r="138" spans="2:6" s="2" customFormat="1" ht="26.1" customHeight="1">
      <c r="B138" s="934">
        <v>43441</v>
      </c>
      <c r="C138" s="1614" t="s">
        <v>3286</v>
      </c>
      <c r="D138" s="1614" t="s">
        <v>3287</v>
      </c>
      <c r="E138" s="1613" t="s">
        <v>347</v>
      </c>
      <c r="F138" s="1613">
        <v>2.1</v>
      </c>
    </row>
    <row r="139" spans="2:6" s="2" customFormat="1" ht="26.1" customHeight="1">
      <c r="B139" s="934">
        <v>43441</v>
      </c>
      <c r="C139" s="1614" t="s">
        <v>3289</v>
      </c>
      <c r="D139" s="1614" t="s">
        <v>3290</v>
      </c>
      <c r="E139" s="1613" t="s">
        <v>347</v>
      </c>
      <c r="F139" s="1613">
        <v>2.1</v>
      </c>
    </row>
    <row r="140" spans="2:6" s="2" customFormat="1" ht="26.1" customHeight="1">
      <c r="B140" s="934">
        <v>43441</v>
      </c>
      <c r="C140" s="1614" t="s">
        <v>3292</v>
      </c>
      <c r="D140" s="1614" t="s">
        <v>3291</v>
      </c>
      <c r="E140" s="1613" t="s">
        <v>347</v>
      </c>
      <c r="F140" s="1613">
        <v>2.1</v>
      </c>
    </row>
    <row r="141" spans="2:6" s="2" customFormat="1" ht="26.1" customHeight="1">
      <c r="B141" s="934">
        <v>43441</v>
      </c>
      <c r="C141" s="1614" t="s">
        <v>3293</v>
      </c>
      <c r="D141" s="1614" t="s">
        <v>3291</v>
      </c>
      <c r="E141" s="1613" t="s">
        <v>347</v>
      </c>
      <c r="F141" s="1613">
        <v>2.1</v>
      </c>
    </row>
    <row r="142" spans="2:6" s="2" customFormat="1" ht="26.1" customHeight="1">
      <c r="B142" s="934">
        <v>43441</v>
      </c>
      <c r="C142" s="1614" t="s">
        <v>3294</v>
      </c>
      <c r="D142" s="1614" t="s">
        <v>3295</v>
      </c>
      <c r="E142" s="1613" t="s">
        <v>347</v>
      </c>
      <c r="F142" s="1613">
        <v>2.1</v>
      </c>
    </row>
    <row r="143" spans="2:6" s="2" customFormat="1" ht="26.1" customHeight="1">
      <c r="B143" s="934">
        <v>43441</v>
      </c>
      <c r="C143" s="1614" t="s">
        <v>3297</v>
      </c>
      <c r="D143" s="1614" t="s">
        <v>3298</v>
      </c>
      <c r="E143" s="1613" t="s">
        <v>347</v>
      </c>
      <c r="F143" s="1613">
        <v>2.1</v>
      </c>
    </row>
    <row r="144" spans="2:6" s="2" customFormat="1" ht="26.1" customHeight="1">
      <c r="B144" s="934">
        <v>43441</v>
      </c>
      <c r="C144" s="1614" t="s">
        <v>3299</v>
      </c>
      <c r="D144" s="1614" t="s">
        <v>3298</v>
      </c>
      <c r="E144" s="1613" t="s">
        <v>347</v>
      </c>
      <c r="F144" s="1613">
        <v>2.1</v>
      </c>
    </row>
    <row r="145" spans="2:6" s="2" customFormat="1" ht="26.1" customHeight="1">
      <c r="B145" s="934">
        <v>43441</v>
      </c>
      <c r="C145" s="1614" t="s">
        <v>3300</v>
      </c>
      <c r="D145" s="1614" t="s">
        <v>3301</v>
      </c>
      <c r="E145" s="1613" t="s">
        <v>347</v>
      </c>
      <c r="F145" s="1613">
        <v>2.1</v>
      </c>
    </row>
    <row r="146" spans="2:6" s="2" customFormat="1" ht="26.1" customHeight="1">
      <c r="B146" s="934">
        <v>43442</v>
      </c>
      <c r="C146" s="1614" t="s">
        <v>3388</v>
      </c>
      <c r="D146" s="1614" t="s">
        <v>3389</v>
      </c>
      <c r="E146" s="1613" t="s">
        <v>347</v>
      </c>
      <c r="F146" s="1613">
        <v>2.1</v>
      </c>
    </row>
    <row r="147" spans="2:6" s="2" customFormat="1" ht="26.1" customHeight="1">
      <c r="B147" s="934">
        <v>43442</v>
      </c>
      <c r="C147" s="1614" t="s">
        <v>3390</v>
      </c>
      <c r="D147" s="1614" t="s">
        <v>3389</v>
      </c>
      <c r="E147" s="1613" t="s">
        <v>347</v>
      </c>
      <c r="F147" s="1613">
        <v>2.1</v>
      </c>
    </row>
    <row r="148" spans="2:6" s="2" customFormat="1" ht="26.1" customHeight="1">
      <c r="B148" s="934">
        <v>43442</v>
      </c>
      <c r="C148" s="1614" t="s">
        <v>3391</v>
      </c>
      <c r="D148" s="1614" t="s">
        <v>3392</v>
      </c>
      <c r="E148" s="1613" t="s">
        <v>347</v>
      </c>
      <c r="F148" s="1613">
        <v>2.1</v>
      </c>
    </row>
    <row r="149" spans="2:6" s="2" customFormat="1" ht="26.1" customHeight="1">
      <c r="B149" s="934">
        <v>43442</v>
      </c>
      <c r="C149" s="1614" t="s">
        <v>3393</v>
      </c>
      <c r="D149" s="1614" t="s">
        <v>3394</v>
      </c>
      <c r="E149" s="1613" t="s">
        <v>347</v>
      </c>
      <c r="F149" s="1613">
        <v>2.1</v>
      </c>
    </row>
    <row r="150" spans="2:6" s="2" customFormat="1" ht="26.1" customHeight="1">
      <c r="B150" s="934">
        <v>43442</v>
      </c>
      <c r="C150" s="1614" t="s">
        <v>3417</v>
      </c>
      <c r="D150" s="1614" t="s">
        <v>3418</v>
      </c>
      <c r="E150" s="1613" t="s">
        <v>347</v>
      </c>
      <c r="F150" s="1613">
        <v>2.1</v>
      </c>
    </row>
    <row r="151" spans="2:6" s="2" customFormat="1" ht="26.1" customHeight="1">
      <c r="B151" s="934">
        <v>43442</v>
      </c>
      <c r="C151" s="1614" t="s">
        <v>3419</v>
      </c>
      <c r="D151" s="1614" t="s">
        <v>3420</v>
      </c>
      <c r="E151" s="1613" t="s">
        <v>347</v>
      </c>
      <c r="F151" s="1613">
        <v>2.1</v>
      </c>
    </row>
    <row r="152" spans="2:6" s="2" customFormat="1" ht="26.1" customHeight="1">
      <c r="B152" s="934">
        <v>43445</v>
      </c>
      <c r="C152" s="1614" t="s">
        <v>3425</v>
      </c>
      <c r="D152" s="1614" t="s">
        <v>3426</v>
      </c>
      <c r="E152" s="1613" t="s">
        <v>347</v>
      </c>
      <c r="F152" s="1613">
        <v>2.1</v>
      </c>
    </row>
    <row r="153" spans="2:6" s="2" customFormat="1" ht="26.1" customHeight="1">
      <c r="B153" s="934">
        <v>43445</v>
      </c>
      <c r="C153" s="1614" t="s">
        <v>3427</v>
      </c>
      <c r="D153" s="1614" t="s">
        <v>3428</v>
      </c>
      <c r="E153" s="1613" t="s">
        <v>347</v>
      </c>
      <c r="F153" s="1613">
        <v>2.1</v>
      </c>
    </row>
    <row r="154" spans="2:6" s="2" customFormat="1" ht="26.1" customHeight="1">
      <c r="B154" s="934">
        <v>43446</v>
      </c>
      <c r="C154" s="1614" t="s">
        <v>3438</v>
      </c>
      <c r="D154" s="1614" t="s">
        <v>3437</v>
      </c>
      <c r="E154" s="1613" t="s">
        <v>347</v>
      </c>
      <c r="F154" s="1613">
        <v>2.1</v>
      </c>
    </row>
    <row r="155" spans="2:6" s="2" customFormat="1" ht="26.1" customHeight="1">
      <c r="B155" s="934">
        <v>43446</v>
      </c>
      <c r="C155" s="1614" t="s">
        <v>3439</v>
      </c>
      <c r="D155" s="1614" t="s">
        <v>3440</v>
      </c>
      <c r="E155" s="1613" t="s">
        <v>347</v>
      </c>
      <c r="F155" s="1613">
        <v>2.1</v>
      </c>
    </row>
    <row r="156" spans="2:6" s="2" customFormat="1" ht="26.1" customHeight="1">
      <c r="B156" s="934">
        <v>43447</v>
      </c>
      <c r="C156" s="1614" t="s">
        <v>3445</v>
      </c>
      <c r="D156" s="1614" t="s">
        <v>3444</v>
      </c>
      <c r="E156" s="1613" t="s">
        <v>347</v>
      </c>
      <c r="F156" s="1613">
        <v>2.1</v>
      </c>
    </row>
    <row r="157" spans="2:6" s="2" customFormat="1" ht="26.1" customHeight="1">
      <c r="B157" s="934">
        <v>43455</v>
      </c>
      <c r="C157" s="1614" t="s">
        <v>2887</v>
      </c>
      <c r="D157" s="1614" t="s">
        <v>3520</v>
      </c>
      <c r="E157" s="1613" t="s">
        <v>347</v>
      </c>
      <c r="F157" s="1613">
        <v>2.1</v>
      </c>
    </row>
    <row r="158" spans="2:6" s="2" customFormat="1" ht="26.1" customHeight="1">
      <c r="B158" s="934">
        <v>43470</v>
      </c>
      <c r="C158" s="1614" t="s">
        <v>3521</v>
      </c>
      <c r="D158" s="1614" t="s">
        <v>3522</v>
      </c>
      <c r="E158" s="1613" t="s">
        <v>347</v>
      </c>
      <c r="F158" s="1613">
        <v>2.1</v>
      </c>
    </row>
    <row r="159" spans="2:6" s="2" customFormat="1" ht="26.1" customHeight="1">
      <c r="B159" s="934">
        <v>43476</v>
      </c>
      <c r="C159" s="1614" t="s">
        <v>3526</v>
      </c>
      <c r="D159" s="1614" t="s">
        <v>3525</v>
      </c>
      <c r="E159" s="1613" t="s">
        <v>347</v>
      </c>
      <c r="F159" s="1613">
        <v>2.1</v>
      </c>
    </row>
    <row r="160" spans="2:6" s="2" customFormat="1" ht="26.1" customHeight="1">
      <c r="B160" s="934">
        <v>43476</v>
      </c>
      <c r="C160" s="1614" t="s">
        <v>3527</v>
      </c>
      <c r="D160" s="1614" t="s">
        <v>3525</v>
      </c>
      <c r="E160" s="1613" t="s">
        <v>347</v>
      </c>
      <c r="F160" s="1613">
        <v>2.1</v>
      </c>
    </row>
    <row r="161" spans="2:6" s="2" customFormat="1" ht="26.1" customHeight="1">
      <c r="B161" s="934">
        <v>43502</v>
      </c>
      <c r="C161" s="1614" t="s">
        <v>3560</v>
      </c>
      <c r="D161" s="1614" t="s">
        <v>3565</v>
      </c>
      <c r="E161" s="1613" t="s">
        <v>347</v>
      </c>
      <c r="F161" s="1613">
        <v>2.2000000000000002</v>
      </c>
    </row>
    <row r="162" spans="2:6" s="2" customFormat="1" ht="26.1" customHeight="1">
      <c r="B162" s="934">
        <v>43502</v>
      </c>
      <c r="C162" s="1614" t="s">
        <v>3561</v>
      </c>
      <c r="D162" s="1614" t="s">
        <v>3565</v>
      </c>
      <c r="E162" s="1613" t="s">
        <v>347</v>
      </c>
      <c r="F162" s="1613">
        <v>2.2000000000000002</v>
      </c>
    </row>
    <row r="163" spans="2:6" s="2" customFormat="1" ht="26.1" customHeight="1">
      <c r="B163" s="934">
        <v>43502</v>
      </c>
      <c r="C163" s="1614" t="s">
        <v>3563</v>
      </c>
      <c r="D163" s="1614" t="s">
        <v>3564</v>
      </c>
      <c r="E163" s="1613" t="s">
        <v>347</v>
      </c>
      <c r="F163" s="1613">
        <v>2.2000000000000002</v>
      </c>
    </row>
    <row r="164" spans="2:6" s="2" customFormat="1" ht="26.1" customHeight="1">
      <c r="B164" s="934">
        <v>43537</v>
      </c>
      <c r="C164" s="1614" t="s">
        <v>3567</v>
      </c>
      <c r="D164" s="1614" t="s">
        <v>3566</v>
      </c>
      <c r="E164" s="1613" t="s">
        <v>347</v>
      </c>
      <c r="F164" s="1613">
        <v>2.2000000000000002</v>
      </c>
    </row>
    <row r="165" spans="2:6" s="2" customFormat="1" ht="26.1" customHeight="1">
      <c r="B165" s="934">
        <v>43552</v>
      </c>
      <c r="C165" s="1614" t="s">
        <v>3573</v>
      </c>
      <c r="D165" s="1614" t="s">
        <v>3572</v>
      </c>
      <c r="E165" s="1613" t="s">
        <v>347</v>
      </c>
      <c r="F165" s="1613">
        <v>2.2000000000000002</v>
      </c>
    </row>
    <row r="166" spans="2:6" s="2" customFormat="1" ht="26.1" customHeight="1">
      <c r="B166" s="934">
        <v>43589</v>
      </c>
      <c r="C166" s="1614" t="s">
        <v>3602</v>
      </c>
      <c r="D166" s="2" t="s">
        <v>3601</v>
      </c>
      <c r="E166" s="1613" t="s">
        <v>347</v>
      </c>
      <c r="F166" s="1613">
        <v>2.2999999999999998</v>
      </c>
    </row>
    <row r="167" spans="2:6" s="2" customFormat="1" ht="26.1" customHeight="1">
      <c r="B167" s="934">
        <v>43589</v>
      </c>
      <c r="C167" s="1614" t="s">
        <v>3600</v>
      </c>
      <c r="D167" s="938" t="s">
        <v>3599</v>
      </c>
      <c r="E167" s="1613" t="s">
        <v>347</v>
      </c>
      <c r="F167" s="1613">
        <v>2.2999999999999998</v>
      </c>
    </row>
    <row r="168" spans="2:6" s="2" customFormat="1" ht="26.1" customHeight="1">
      <c r="B168" s="934">
        <v>43589</v>
      </c>
      <c r="C168" s="1614" t="s">
        <v>3603</v>
      </c>
      <c r="D168" s="938" t="s">
        <v>3599</v>
      </c>
      <c r="E168" s="1613" t="s">
        <v>347</v>
      </c>
      <c r="F168" s="1613">
        <v>2.2999999999999998</v>
      </c>
    </row>
    <row r="169" spans="2:6" s="2" customFormat="1" ht="26.1" customHeight="1">
      <c r="B169" s="934">
        <v>43589</v>
      </c>
      <c r="C169" s="1614" t="s">
        <v>3604</v>
      </c>
      <c r="D169" s="938" t="s">
        <v>3599</v>
      </c>
      <c r="E169" s="1613" t="s">
        <v>347</v>
      </c>
      <c r="F169" s="1613">
        <v>2.2999999999999998</v>
      </c>
    </row>
    <row r="170" spans="2:6" s="2" customFormat="1" ht="26.1" customHeight="1">
      <c r="B170" s="934">
        <v>43589</v>
      </c>
      <c r="C170" s="1614" t="s">
        <v>3605</v>
      </c>
      <c r="D170" s="938" t="s">
        <v>3599</v>
      </c>
      <c r="E170" s="1613" t="s">
        <v>347</v>
      </c>
      <c r="F170" s="1613">
        <v>2.2999999999999998</v>
      </c>
    </row>
    <row r="171" spans="2:6" s="2" customFormat="1" ht="26.1" customHeight="1">
      <c r="B171" s="934">
        <v>43589</v>
      </c>
      <c r="C171" s="1614" t="s">
        <v>3606</v>
      </c>
      <c r="D171" s="938" t="s">
        <v>3599</v>
      </c>
      <c r="E171" s="1613" t="s">
        <v>347</v>
      </c>
      <c r="F171" s="1613">
        <v>2.2999999999999998</v>
      </c>
    </row>
    <row r="172" spans="2:6" s="2" customFormat="1" ht="26.1" customHeight="1">
      <c r="B172" s="934">
        <v>43589</v>
      </c>
      <c r="C172" s="1614" t="s">
        <v>3607</v>
      </c>
      <c r="D172" s="938" t="s">
        <v>3599</v>
      </c>
      <c r="E172" s="1613" t="s">
        <v>347</v>
      </c>
      <c r="F172" s="1613">
        <v>2.2999999999999998</v>
      </c>
    </row>
    <row r="173" spans="2:6" s="2" customFormat="1" ht="26.1" customHeight="1">
      <c r="B173" s="934">
        <v>43589</v>
      </c>
      <c r="C173" s="1614" t="s">
        <v>3608</v>
      </c>
      <c r="D173" s="938" t="s">
        <v>3599</v>
      </c>
      <c r="E173" s="1613" t="s">
        <v>347</v>
      </c>
      <c r="F173" s="1613">
        <v>2.2999999999999998</v>
      </c>
    </row>
    <row r="174" spans="2:6" s="2" customFormat="1" ht="26.1" customHeight="1">
      <c r="B174" s="934">
        <v>43598</v>
      </c>
      <c r="C174" s="1614" t="s">
        <v>3612</v>
      </c>
      <c r="D174" s="1614" t="s">
        <v>3613</v>
      </c>
      <c r="E174" s="1613" t="s">
        <v>347</v>
      </c>
      <c r="F174" s="1613">
        <v>2.2999999999999998</v>
      </c>
    </row>
    <row r="175" spans="2:6" s="2" customFormat="1" ht="26.1" customHeight="1">
      <c r="B175" s="934">
        <v>43833</v>
      </c>
      <c r="C175" s="1614" t="s">
        <v>3625</v>
      </c>
      <c r="D175" s="1614" t="s">
        <v>3626</v>
      </c>
      <c r="E175" s="935" t="s">
        <v>347</v>
      </c>
      <c r="F175" s="935">
        <v>2.4</v>
      </c>
    </row>
    <row r="176" spans="2:6" s="2" customFormat="1" ht="26.1" customHeight="1">
      <c r="B176" s="934">
        <v>43833</v>
      </c>
      <c r="C176" s="1614" t="s">
        <v>3628</v>
      </c>
      <c r="D176" s="1614" t="s">
        <v>3627</v>
      </c>
      <c r="E176" s="1613" t="s">
        <v>347</v>
      </c>
      <c r="F176" s="1613">
        <v>2.4</v>
      </c>
    </row>
    <row r="177" spans="2:6" s="2" customFormat="1" ht="26.1" customHeight="1">
      <c r="B177" s="934">
        <v>43833</v>
      </c>
      <c r="C177" s="1614" t="s">
        <v>3629</v>
      </c>
      <c r="D177" s="1614" t="s">
        <v>3630</v>
      </c>
      <c r="E177" s="1613" t="s">
        <v>347</v>
      </c>
      <c r="F177" s="1613">
        <v>2.4</v>
      </c>
    </row>
    <row r="178" spans="2:6" s="2" customFormat="1" ht="26.1" customHeight="1">
      <c r="B178" s="934">
        <v>43834</v>
      </c>
      <c r="C178" s="1614" t="s">
        <v>3752</v>
      </c>
      <c r="D178" s="1614" t="s">
        <v>3753</v>
      </c>
      <c r="E178" s="1613" t="s">
        <v>347</v>
      </c>
      <c r="F178" s="1613">
        <v>2.4</v>
      </c>
    </row>
    <row r="179" spans="2:6" s="2" customFormat="1" ht="26.1" customHeight="1">
      <c r="B179" s="934">
        <v>43834</v>
      </c>
      <c r="C179" s="1614" t="s">
        <v>3755</v>
      </c>
      <c r="D179" s="1614" t="s">
        <v>3754</v>
      </c>
      <c r="E179" s="1613" t="s">
        <v>347</v>
      </c>
      <c r="F179" s="1613">
        <v>2.4</v>
      </c>
    </row>
    <row r="180" spans="2:6" s="2" customFormat="1" ht="26.1" customHeight="1">
      <c r="B180" s="934">
        <v>43834</v>
      </c>
      <c r="C180" s="1614" t="s">
        <v>3766</v>
      </c>
      <c r="D180" s="1614" t="s">
        <v>3765</v>
      </c>
      <c r="E180" s="1613" t="s">
        <v>347</v>
      </c>
      <c r="F180" s="1613">
        <v>2.4</v>
      </c>
    </row>
    <row r="181" spans="2:6" s="2" customFormat="1" ht="26.1" customHeight="1">
      <c r="B181" s="934">
        <v>43834</v>
      </c>
      <c r="C181" s="1614" t="s">
        <v>3768</v>
      </c>
      <c r="D181" s="1614" t="s">
        <v>3767</v>
      </c>
      <c r="E181" s="1613" t="s">
        <v>347</v>
      </c>
      <c r="F181" s="1613">
        <v>2.4</v>
      </c>
    </row>
    <row r="182" spans="2:6" s="2" customFormat="1" ht="26.1" customHeight="1">
      <c r="B182" s="934">
        <v>43834</v>
      </c>
      <c r="C182" s="1614" t="s">
        <v>3769</v>
      </c>
      <c r="D182" s="1614" t="s">
        <v>3767</v>
      </c>
      <c r="E182" s="1613" t="s">
        <v>347</v>
      </c>
      <c r="F182" s="1613">
        <v>2.4</v>
      </c>
    </row>
    <row r="183" spans="2:6" s="2" customFormat="1" ht="26.1" customHeight="1">
      <c r="B183" s="934">
        <v>43834</v>
      </c>
      <c r="C183" s="1614" t="s">
        <v>3770</v>
      </c>
      <c r="D183" s="1614" t="s">
        <v>3767</v>
      </c>
      <c r="E183" s="1613" t="s">
        <v>347</v>
      </c>
      <c r="F183" s="1613">
        <v>2.4</v>
      </c>
    </row>
    <row r="184" spans="2:6" s="2" customFormat="1" ht="26.1" customHeight="1">
      <c r="B184" s="934">
        <v>43834</v>
      </c>
      <c r="C184" s="1614" t="s">
        <v>3771</v>
      </c>
      <c r="D184" s="1614" t="s">
        <v>3767</v>
      </c>
      <c r="E184" s="1613" t="s">
        <v>347</v>
      </c>
      <c r="F184" s="1613">
        <v>2.4</v>
      </c>
    </row>
    <row r="185" spans="2:6" s="2" customFormat="1" ht="26.1" customHeight="1">
      <c r="B185" s="934">
        <v>43834</v>
      </c>
      <c r="C185" s="1614" t="s">
        <v>3773</v>
      </c>
      <c r="D185" s="1614" t="s">
        <v>3772</v>
      </c>
      <c r="E185" s="1613" t="s">
        <v>347</v>
      </c>
      <c r="F185" s="1613">
        <v>2.4</v>
      </c>
    </row>
    <row r="186" spans="2:6" s="2" customFormat="1" ht="26.1" customHeight="1">
      <c r="B186" s="934">
        <v>43834</v>
      </c>
      <c r="C186" s="1614" t="s">
        <v>3774</v>
      </c>
      <c r="D186" s="1614" t="s">
        <v>3772</v>
      </c>
      <c r="E186" s="1613" t="s">
        <v>347</v>
      </c>
      <c r="F186" s="1613">
        <v>2.4</v>
      </c>
    </row>
    <row r="187" spans="2:6" s="2" customFormat="1" ht="26.1" customHeight="1">
      <c r="B187" s="934">
        <v>43834</v>
      </c>
      <c r="C187" s="1614" t="s">
        <v>3783</v>
      </c>
      <c r="D187" s="1614" t="s">
        <v>3784</v>
      </c>
      <c r="E187" s="1613" t="s">
        <v>347</v>
      </c>
      <c r="F187" s="1613">
        <v>2.4</v>
      </c>
    </row>
    <row r="188" spans="2:6" s="2" customFormat="1" ht="26.1" customHeight="1">
      <c r="B188" s="934">
        <v>43834</v>
      </c>
      <c r="C188" s="1614" t="s">
        <v>3785</v>
      </c>
      <c r="D188" s="1614" t="s">
        <v>3786</v>
      </c>
      <c r="E188" s="1613" t="s">
        <v>347</v>
      </c>
      <c r="F188" s="1613">
        <v>2.4</v>
      </c>
    </row>
    <row r="189" spans="2:6" s="2" customFormat="1" ht="26.1" customHeight="1">
      <c r="B189" s="934">
        <v>43834</v>
      </c>
      <c r="C189" s="1614" t="s">
        <v>3791</v>
      </c>
      <c r="D189" s="1614" t="s">
        <v>3792</v>
      </c>
      <c r="E189" s="1613" t="s">
        <v>347</v>
      </c>
      <c r="F189" s="1613">
        <v>2.4</v>
      </c>
    </row>
    <row r="190" spans="2:6" s="2" customFormat="1" ht="26.1" customHeight="1">
      <c r="B190" s="934">
        <v>43834</v>
      </c>
      <c r="C190" s="1614" t="s">
        <v>3794</v>
      </c>
      <c r="D190" s="1614" t="s">
        <v>3793</v>
      </c>
      <c r="E190" s="1613" t="s">
        <v>347</v>
      </c>
      <c r="F190" s="1613">
        <v>2.4</v>
      </c>
    </row>
    <row r="191" spans="2:6" s="2" customFormat="1" ht="26.1" customHeight="1">
      <c r="B191" s="934">
        <v>43834</v>
      </c>
      <c r="C191" s="1614" t="s">
        <v>3796</v>
      </c>
      <c r="D191" s="1614" t="s">
        <v>3797</v>
      </c>
      <c r="E191" s="1613" t="s">
        <v>347</v>
      </c>
      <c r="F191" s="1613">
        <v>2.4</v>
      </c>
    </row>
    <row r="192" spans="2:6" s="2" customFormat="1" ht="26.1" customHeight="1">
      <c r="B192" s="934">
        <v>43837</v>
      </c>
      <c r="C192" s="1614" t="s">
        <v>3805</v>
      </c>
      <c r="D192" s="1614" t="s">
        <v>3804</v>
      </c>
      <c r="E192" s="1613" t="s">
        <v>347</v>
      </c>
      <c r="F192" s="1613">
        <v>2.4</v>
      </c>
    </row>
    <row r="193" spans="2:6" s="2" customFormat="1" ht="26.1" customHeight="1">
      <c r="B193" s="934">
        <v>43840</v>
      </c>
      <c r="C193" s="1614" t="s">
        <v>3806</v>
      </c>
      <c r="D193" s="1614" t="s">
        <v>3807</v>
      </c>
      <c r="E193" s="1613" t="s">
        <v>347</v>
      </c>
      <c r="F193" s="1613">
        <v>2.4</v>
      </c>
    </row>
    <row r="194" spans="2:6" s="2" customFormat="1" ht="26.1" customHeight="1">
      <c r="B194" s="934">
        <v>43841</v>
      </c>
      <c r="C194" s="1614" t="s">
        <v>3821</v>
      </c>
      <c r="D194" s="1614" t="s">
        <v>3822</v>
      </c>
      <c r="E194" s="1613" t="s">
        <v>347</v>
      </c>
      <c r="F194" s="1613">
        <v>2.4</v>
      </c>
    </row>
    <row r="195" spans="2:6" s="2" customFormat="1" ht="26.1" customHeight="1">
      <c r="B195" s="934">
        <v>43841</v>
      </c>
      <c r="C195" s="1614" t="s">
        <v>3823</v>
      </c>
      <c r="D195" s="1614" t="s">
        <v>3824</v>
      </c>
      <c r="E195" s="1613" t="s">
        <v>347</v>
      </c>
      <c r="F195" s="1613">
        <v>2.4</v>
      </c>
    </row>
    <row r="196" spans="2:6" s="2" customFormat="1" ht="26.1" customHeight="1">
      <c r="B196" s="934">
        <v>43897</v>
      </c>
      <c r="C196" s="1614" t="s">
        <v>3826</v>
      </c>
      <c r="D196" s="1614" t="s">
        <v>3825</v>
      </c>
      <c r="E196" s="1613" t="s">
        <v>347</v>
      </c>
      <c r="F196" s="1613">
        <v>2.4</v>
      </c>
    </row>
    <row r="197" spans="2:6" s="2" customFormat="1" ht="26.1" customHeight="1">
      <c r="B197" s="934">
        <v>43966</v>
      </c>
      <c r="C197" s="1614" t="s">
        <v>3912</v>
      </c>
      <c r="D197" s="1614" t="s">
        <v>3913</v>
      </c>
      <c r="E197" s="1613" t="s">
        <v>347</v>
      </c>
      <c r="F197" s="1613">
        <v>2.4</v>
      </c>
    </row>
    <row r="198" spans="2:6" s="2" customFormat="1" ht="26.1" customHeight="1">
      <c r="B198" s="934">
        <v>43966</v>
      </c>
      <c r="C198" s="1614" t="s">
        <v>3915</v>
      </c>
      <c r="D198" s="1614" t="s">
        <v>3914</v>
      </c>
      <c r="E198" s="1613" t="s">
        <v>347</v>
      </c>
      <c r="F198" s="1613">
        <v>2.4</v>
      </c>
    </row>
    <row r="199" spans="2:6" s="2" customFormat="1" ht="26.1" customHeight="1">
      <c r="B199" s="934">
        <v>44169</v>
      </c>
      <c r="C199" s="1614" t="s">
        <v>3917</v>
      </c>
      <c r="D199" s="1614" t="s">
        <v>3918</v>
      </c>
      <c r="E199" s="1613" t="s">
        <v>347</v>
      </c>
      <c r="F199" s="1613">
        <v>2.5</v>
      </c>
    </row>
    <row r="200" spans="2:6" s="2" customFormat="1" ht="26.1" customHeight="1">
      <c r="B200" s="934">
        <v>44169</v>
      </c>
      <c r="C200" s="1614" t="s">
        <v>3920</v>
      </c>
      <c r="D200" s="1614" t="s">
        <v>3921</v>
      </c>
      <c r="E200" s="1613" t="s">
        <v>347</v>
      </c>
      <c r="F200" s="1613">
        <v>2.5</v>
      </c>
    </row>
    <row r="201" spans="2:6" s="2" customFormat="1" ht="26.1" customHeight="1">
      <c r="B201" s="934">
        <v>44169</v>
      </c>
      <c r="C201" s="1614" t="s">
        <v>3922</v>
      </c>
      <c r="D201" s="1614" t="s">
        <v>3923</v>
      </c>
      <c r="E201" s="1613" t="s">
        <v>347</v>
      </c>
      <c r="F201" s="1613">
        <v>2.5</v>
      </c>
    </row>
    <row r="202" spans="2:6" s="2" customFormat="1" ht="26.1" customHeight="1">
      <c r="B202" s="934">
        <v>44170</v>
      </c>
      <c r="C202" s="1614" t="s">
        <v>3927</v>
      </c>
      <c r="D202" s="1614" t="s">
        <v>3925</v>
      </c>
      <c r="E202" s="1613" t="s">
        <v>347</v>
      </c>
      <c r="F202" s="1613">
        <v>2.5</v>
      </c>
    </row>
    <row r="203" spans="2:6" s="2" customFormat="1" ht="26.1" customHeight="1">
      <c r="B203" s="934">
        <v>44170</v>
      </c>
      <c r="C203" s="1614" t="s">
        <v>3928</v>
      </c>
      <c r="D203" s="1614" t="s">
        <v>3926</v>
      </c>
      <c r="E203" s="1613" t="s">
        <v>347</v>
      </c>
      <c r="F203" s="1613">
        <v>2.5</v>
      </c>
    </row>
    <row r="204" spans="2:6" s="2" customFormat="1" ht="26.1" customHeight="1">
      <c r="B204" s="934">
        <v>44170</v>
      </c>
      <c r="C204" s="1614" t="s">
        <v>3929</v>
      </c>
      <c r="D204" s="1614" t="s">
        <v>3930</v>
      </c>
      <c r="E204" s="1613" t="s">
        <v>347</v>
      </c>
      <c r="F204" s="1613">
        <v>2.5</v>
      </c>
    </row>
    <row r="205" spans="2:6" s="2" customFormat="1" ht="26.1" customHeight="1">
      <c r="B205" s="934">
        <v>44172</v>
      </c>
      <c r="C205" s="1614" t="s">
        <v>3935</v>
      </c>
      <c r="D205" s="1614" t="s">
        <v>3919</v>
      </c>
      <c r="E205" s="1613" t="s">
        <v>347</v>
      </c>
      <c r="F205" s="1613">
        <v>2.5</v>
      </c>
    </row>
    <row r="206" spans="2:6" s="2" customFormat="1" ht="26.1" customHeight="1">
      <c r="B206" s="934">
        <v>44172</v>
      </c>
      <c r="C206" s="1614" t="s">
        <v>3936</v>
      </c>
      <c r="D206" s="1614" t="s">
        <v>3919</v>
      </c>
      <c r="E206" s="1613" t="s">
        <v>347</v>
      </c>
      <c r="F206" s="1613">
        <v>2.5</v>
      </c>
    </row>
    <row r="207" spans="2:6" s="2" customFormat="1" ht="26.1" customHeight="1">
      <c r="B207" s="934">
        <v>44172</v>
      </c>
      <c r="C207" s="1614" t="s">
        <v>3937</v>
      </c>
      <c r="D207" s="1614" t="s">
        <v>3919</v>
      </c>
      <c r="E207" s="1613" t="s">
        <v>347</v>
      </c>
      <c r="F207" s="1613">
        <v>2.5</v>
      </c>
    </row>
    <row r="208" spans="2:6" s="2" customFormat="1" ht="26.1" customHeight="1">
      <c r="B208" s="934">
        <v>44172</v>
      </c>
      <c r="C208" s="1614" t="s">
        <v>3938</v>
      </c>
      <c r="D208" s="1614" t="s">
        <v>3919</v>
      </c>
      <c r="E208" s="1613" t="s">
        <v>347</v>
      </c>
      <c r="F208" s="1613">
        <v>2.5</v>
      </c>
    </row>
    <row r="209" spans="2:6" s="2" customFormat="1" ht="26.1" customHeight="1">
      <c r="B209" s="934">
        <v>44172</v>
      </c>
      <c r="C209" s="1614" t="s">
        <v>3939</v>
      </c>
      <c r="D209" s="1614" t="s">
        <v>3919</v>
      </c>
      <c r="E209" s="1613" t="s">
        <v>347</v>
      </c>
      <c r="F209" s="1613">
        <v>2.5</v>
      </c>
    </row>
    <row r="210" spans="2:6" s="2" customFormat="1" ht="26.1" customHeight="1">
      <c r="B210" s="934">
        <v>44173</v>
      </c>
      <c r="C210" s="1614" t="s">
        <v>3940</v>
      </c>
      <c r="D210" s="1614" t="s">
        <v>3919</v>
      </c>
      <c r="E210" s="1613" t="s">
        <v>347</v>
      </c>
      <c r="F210" s="1613">
        <v>2.5</v>
      </c>
    </row>
    <row r="211" spans="2:6" s="2" customFormat="1" ht="26.1" customHeight="1">
      <c r="B211" s="934">
        <v>44173</v>
      </c>
      <c r="C211" s="1614" t="s">
        <v>3944</v>
      </c>
      <c r="D211" s="1614" t="s">
        <v>3943</v>
      </c>
      <c r="E211" s="1613" t="s">
        <v>347</v>
      </c>
      <c r="F211" s="1613">
        <v>2.5</v>
      </c>
    </row>
    <row r="212" spans="2:6" s="2" customFormat="1" ht="26.1" customHeight="1">
      <c r="B212" s="934">
        <v>44177</v>
      </c>
      <c r="C212" s="1614" t="s">
        <v>3947</v>
      </c>
      <c r="D212" s="1614" t="s">
        <v>3919</v>
      </c>
      <c r="E212" s="1613" t="s">
        <v>347</v>
      </c>
      <c r="F212" s="1613">
        <v>2.5</v>
      </c>
    </row>
    <row r="213" spans="2:6" s="2" customFormat="1" ht="26.1" customHeight="1">
      <c r="B213" s="934">
        <v>44186</v>
      </c>
      <c r="C213" s="1614" t="s">
        <v>3949</v>
      </c>
      <c r="D213" s="1614" t="s">
        <v>3948</v>
      </c>
      <c r="E213" s="1613" t="s">
        <v>347</v>
      </c>
      <c r="F213" s="1613">
        <v>2.5</v>
      </c>
    </row>
    <row r="214" spans="2:6" s="2" customFormat="1" ht="26.1" customHeight="1">
      <c r="B214" s="934">
        <v>44186</v>
      </c>
      <c r="C214" s="1614" t="s">
        <v>3952</v>
      </c>
      <c r="D214" s="1614" t="s">
        <v>3951</v>
      </c>
      <c r="E214" s="1613" t="s">
        <v>347</v>
      </c>
      <c r="F214" s="1613">
        <v>2.5</v>
      </c>
    </row>
    <row r="215" spans="2:6" s="2" customFormat="1" ht="26.1" customHeight="1">
      <c r="B215" s="934">
        <v>44187</v>
      </c>
      <c r="C215" s="1614" t="s">
        <v>3954</v>
      </c>
      <c r="D215" s="1614" t="s">
        <v>3951</v>
      </c>
      <c r="E215" s="1613" t="s">
        <v>347</v>
      </c>
      <c r="F215" s="1613">
        <v>2.5</v>
      </c>
    </row>
    <row r="216" spans="2:6" s="2" customFormat="1" ht="26.1" customHeight="1">
      <c r="B216" s="934">
        <v>44363</v>
      </c>
      <c r="C216" s="1614" t="s">
        <v>3993</v>
      </c>
      <c r="D216" s="1614" t="s">
        <v>3998</v>
      </c>
      <c r="E216" s="1613" t="s">
        <v>347</v>
      </c>
      <c r="F216" s="1613">
        <v>2.6</v>
      </c>
    </row>
    <row r="217" spans="2:6" s="2" customFormat="1" ht="26.1" customHeight="1">
      <c r="B217" s="934">
        <v>44363</v>
      </c>
      <c r="C217" s="1614" t="s">
        <v>3994</v>
      </c>
      <c r="D217" s="1614" t="s">
        <v>3995</v>
      </c>
      <c r="E217" s="1613" t="s">
        <v>347</v>
      </c>
      <c r="F217" s="1613">
        <v>2.6</v>
      </c>
    </row>
    <row r="218" spans="2:6" s="2" customFormat="1" ht="26.1" customHeight="1">
      <c r="B218" s="934">
        <v>44363</v>
      </c>
      <c r="C218" s="1614" t="s">
        <v>3996</v>
      </c>
      <c r="D218" s="1614" t="s">
        <v>3997</v>
      </c>
      <c r="E218" s="1613" t="s">
        <v>347</v>
      </c>
      <c r="F218" s="1613">
        <v>2.6</v>
      </c>
    </row>
    <row r="219" spans="2:6" s="2" customFormat="1" ht="26.1" customHeight="1">
      <c r="B219" s="934">
        <v>44363</v>
      </c>
      <c r="C219" s="1614" t="s">
        <v>3999</v>
      </c>
      <c r="D219" s="1614" t="s">
        <v>3998</v>
      </c>
      <c r="E219" s="1613" t="s">
        <v>347</v>
      </c>
      <c r="F219" s="1613">
        <v>2.6</v>
      </c>
    </row>
    <row r="220" spans="2:6" s="2" customFormat="1" ht="26.1" customHeight="1">
      <c r="B220" s="934">
        <v>44363</v>
      </c>
      <c r="C220" s="1614" t="s">
        <v>4000</v>
      </c>
      <c r="D220" s="1614" t="s">
        <v>4001</v>
      </c>
      <c r="E220" s="1613" t="s">
        <v>347</v>
      </c>
      <c r="F220" s="1613">
        <v>2.6</v>
      </c>
    </row>
    <row r="221" spans="2:6" s="2" customFormat="1" ht="26.1" customHeight="1">
      <c r="B221" s="934">
        <v>44364</v>
      </c>
      <c r="C221" s="1614" t="s">
        <v>4003</v>
      </c>
      <c r="D221" s="1614" t="s">
        <v>4002</v>
      </c>
      <c r="E221" s="1613" t="s">
        <v>347</v>
      </c>
      <c r="F221" s="1613">
        <v>2.6</v>
      </c>
    </row>
    <row r="222" spans="2:6" s="2" customFormat="1" ht="26.1" customHeight="1">
      <c r="B222" s="934">
        <v>44375</v>
      </c>
      <c r="C222" s="1614" t="s">
        <v>4018</v>
      </c>
      <c r="D222" s="1614" t="s">
        <v>4019</v>
      </c>
      <c r="E222" s="1613" t="s">
        <v>347</v>
      </c>
      <c r="F222" s="1613">
        <v>2.6</v>
      </c>
    </row>
    <row r="223" spans="2:6" s="2" customFormat="1" ht="26.1" customHeight="1">
      <c r="B223" s="934">
        <v>44443</v>
      </c>
      <c r="C223" s="1614" t="s">
        <v>4020</v>
      </c>
      <c r="D223" s="1614" t="s">
        <v>4021</v>
      </c>
      <c r="E223" s="1613" t="s">
        <v>347</v>
      </c>
      <c r="F223" s="1613">
        <v>2.6</v>
      </c>
    </row>
    <row r="224" spans="2:6" s="2" customFormat="1" ht="26.1" customHeight="1">
      <c r="B224" s="934">
        <v>44443</v>
      </c>
      <c r="C224" s="1614" t="s">
        <v>3920</v>
      </c>
      <c r="D224" s="1614" t="s">
        <v>4022</v>
      </c>
      <c r="E224" s="1613" t="s">
        <v>347</v>
      </c>
      <c r="F224" s="1613">
        <v>2.6</v>
      </c>
    </row>
    <row r="225" spans="2:6" s="2" customFormat="1" ht="26.1" customHeight="1">
      <c r="B225" s="934">
        <v>44560</v>
      </c>
      <c r="C225" s="1614" t="s">
        <v>4608</v>
      </c>
      <c r="D225" s="1614" t="s">
        <v>4609</v>
      </c>
      <c r="E225" s="1613" t="s">
        <v>347</v>
      </c>
      <c r="F225" s="935">
        <v>2.7</v>
      </c>
    </row>
    <row r="226" spans="2:6" s="2" customFormat="1" ht="26.1" customHeight="1">
      <c r="B226" s="934">
        <v>44560</v>
      </c>
      <c r="C226" s="1614" t="s">
        <v>4775</v>
      </c>
      <c r="D226" s="1614" t="s">
        <v>4776</v>
      </c>
      <c r="E226" s="1613" t="s">
        <v>347</v>
      </c>
      <c r="F226" s="1613">
        <v>2.7</v>
      </c>
    </row>
    <row r="227" spans="2:6" s="2" customFormat="1" ht="26.1" customHeight="1">
      <c r="B227" s="934">
        <v>44560</v>
      </c>
      <c r="C227" s="1614" t="s">
        <v>4777</v>
      </c>
      <c r="D227" s="1614" t="s">
        <v>4778</v>
      </c>
      <c r="E227" s="1613" t="s">
        <v>347</v>
      </c>
      <c r="F227" s="1613">
        <v>2.7</v>
      </c>
    </row>
    <row r="228" spans="2:6" s="2" customFormat="1" ht="26.1" customHeight="1">
      <c r="B228" s="934">
        <v>44560</v>
      </c>
      <c r="C228" s="1614" t="s">
        <v>4916</v>
      </c>
      <c r="D228" s="1614" t="s">
        <v>4610</v>
      </c>
      <c r="E228" s="1613" t="s">
        <v>347</v>
      </c>
      <c r="F228" s="1613">
        <v>2.7</v>
      </c>
    </row>
    <row r="229" spans="2:6" s="2" customFormat="1" ht="26.1" customHeight="1">
      <c r="B229" s="934">
        <v>44560</v>
      </c>
      <c r="C229" s="1614" t="s">
        <v>4779</v>
      </c>
      <c r="D229" s="1614" t="s">
        <v>4624</v>
      </c>
      <c r="E229" s="1613" t="s">
        <v>347</v>
      </c>
      <c r="F229" s="1613">
        <v>2.7</v>
      </c>
    </row>
    <row r="230" spans="2:6" s="2" customFormat="1" ht="26.1" customHeight="1">
      <c r="B230" s="934">
        <v>44560</v>
      </c>
      <c r="C230" s="1614" t="s">
        <v>4629</v>
      </c>
      <c r="D230" s="1614" t="s">
        <v>4628</v>
      </c>
      <c r="E230" s="1613" t="s">
        <v>347</v>
      </c>
      <c r="F230" s="1613">
        <v>2.7</v>
      </c>
    </row>
    <row r="231" spans="2:6" s="2" customFormat="1" ht="26.1" customHeight="1">
      <c r="B231" s="934">
        <v>44560</v>
      </c>
      <c r="C231" s="1614" t="s">
        <v>4645</v>
      </c>
      <c r="D231" s="1614" t="s">
        <v>4646</v>
      </c>
      <c r="E231" s="1613" t="s">
        <v>347</v>
      </c>
      <c r="F231" s="1613">
        <v>2.7</v>
      </c>
    </row>
    <row r="232" spans="2:6" s="2" customFormat="1" ht="26.1" customHeight="1">
      <c r="B232" s="934">
        <v>44565</v>
      </c>
      <c r="C232" s="1614" t="s">
        <v>4964</v>
      </c>
      <c r="D232" s="1614" t="s">
        <v>4754</v>
      </c>
      <c r="E232" s="1613" t="s">
        <v>347</v>
      </c>
      <c r="F232" s="1613">
        <v>2.7</v>
      </c>
    </row>
    <row r="233" spans="2:6" s="2" customFormat="1" ht="26.1" customHeight="1">
      <c r="B233" s="934">
        <v>44565</v>
      </c>
      <c r="C233" s="1614" t="s">
        <v>4780</v>
      </c>
      <c r="D233" s="1614" t="s">
        <v>4755</v>
      </c>
      <c r="E233" s="1613" t="s">
        <v>347</v>
      </c>
      <c r="F233" s="1613">
        <v>2.7</v>
      </c>
    </row>
    <row r="234" spans="2:6" s="2" customFormat="1" ht="26.1" customHeight="1">
      <c r="B234" s="934">
        <v>44568</v>
      </c>
      <c r="C234" s="1614" t="s">
        <v>4773</v>
      </c>
      <c r="D234" s="1614" t="s">
        <v>4774</v>
      </c>
      <c r="E234" s="1613" t="s">
        <v>347</v>
      </c>
      <c r="F234" s="1613">
        <v>2.7</v>
      </c>
    </row>
    <row r="235" spans="2:6" s="2" customFormat="1" ht="26.1" customHeight="1">
      <c r="B235" s="934">
        <v>44569</v>
      </c>
      <c r="C235" s="1614" t="s">
        <v>4915</v>
      </c>
      <c r="D235" s="1614" t="s">
        <v>4917</v>
      </c>
      <c r="E235" s="1613" t="s">
        <v>347</v>
      </c>
      <c r="F235" s="1613">
        <v>2.7</v>
      </c>
    </row>
    <row r="236" spans="2:6" s="2" customFormat="1" ht="26.1" customHeight="1">
      <c r="B236" s="934">
        <v>44641</v>
      </c>
      <c r="C236" s="1614" t="s">
        <v>4962</v>
      </c>
      <c r="D236" s="1614" t="s">
        <v>4963</v>
      </c>
      <c r="E236" s="1613" t="s">
        <v>347</v>
      </c>
      <c r="F236" s="1613">
        <v>2.7</v>
      </c>
    </row>
    <row r="237" spans="2:6" s="2" customFormat="1" ht="26.1" customHeight="1">
      <c r="B237" s="934">
        <v>44641</v>
      </c>
      <c r="C237" s="1614" t="s">
        <v>4915</v>
      </c>
      <c r="D237" s="1614" t="s">
        <v>4917</v>
      </c>
      <c r="E237" s="1613" t="s">
        <v>347</v>
      </c>
      <c r="F237" s="1613">
        <v>2.7</v>
      </c>
    </row>
    <row r="238" spans="2:6" s="2" customFormat="1" ht="26.1" customHeight="1">
      <c r="B238" s="2445">
        <v>44658</v>
      </c>
      <c r="C238" s="1330" t="s">
        <v>5006</v>
      </c>
      <c r="D238" s="1330" t="s">
        <v>5007</v>
      </c>
      <c r="E238" s="2446" t="s">
        <v>347</v>
      </c>
      <c r="F238" s="2446">
        <v>2.7</v>
      </c>
    </row>
    <row r="239" spans="2:6" s="2" customFormat="1" ht="26.1" customHeight="1">
      <c r="B239" s="934">
        <v>44842</v>
      </c>
      <c r="C239" s="1614" t="s">
        <v>5032</v>
      </c>
      <c r="D239" s="1614" t="s">
        <v>5030</v>
      </c>
      <c r="E239" s="2409" t="s">
        <v>347</v>
      </c>
      <c r="F239" s="935">
        <v>2.8</v>
      </c>
    </row>
    <row r="240" spans="2:6" s="2" customFormat="1" ht="26.1" customHeight="1">
      <c r="B240" s="934">
        <v>44842</v>
      </c>
      <c r="C240" s="1614" t="s">
        <v>5031</v>
      </c>
      <c r="D240" s="1614" t="s">
        <v>5033</v>
      </c>
      <c r="E240" s="2409" t="s">
        <v>347</v>
      </c>
      <c r="F240" s="1613">
        <v>2.8</v>
      </c>
    </row>
    <row r="241" spans="2:6" s="2" customFormat="1" ht="26.1" customHeight="1">
      <c r="B241" s="934">
        <v>44842</v>
      </c>
      <c r="C241" s="1614" t="s">
        <v>5034</v>
      </c>
      <c r="D241" s="1614" t="s">
        <v>5035</v>
      </c>
      <c r="E241" s="2409" t="s">
        <v>347</v>
      </c>
      <c r="F241" s="1613">
        <v>2.8</v>
      </c>
    </row>
    <row r="242" spans="2:6" s="2" customFormat="1" ht="26.1" customHeight="1">
      <c r="B242" s="934">
        <v>44842</v>
      </c>
      <c r="C242" s="1614" t="s">
        <v>5036</v>
      </c>
      <c r="D242" s="1614" t="s">
        <v>5035</v>
      </c>
      <c r="E242" s="2409" t="s">
        <v>347</v>
      </c>
      <c r="F242" s="1613">
        <v>2.8</v>
      </c>
    </row>
    <row r="243" spans="2:6" s="2" customFormat="1" ht="26.1" customHeight="1">
      <c r="B243" s="934">
        <v>44843</v>
      </c>
      <c r="C243" s="1614" t="s">
        <v>5038</v>
      </c>
      <c r="D243" s="1614" t="s">
        <v>5037</v>
      </c>
      <c r="E243" s="2448" t="s">
        <v>347</v>
      </c>
      <c r="F243" s="1613">
        <v>2.8</v>
      </c>
    </row>
    <row r="244" spans="2:6" s="2" customFormat="1" ht="26.1" customHeight="1">
      <c r="B244" s="934">
        <v>44849</v>
      </c>
      <c r="C244" s="1614" t="s">
        <v>5047</v>
      </c>
      <c r="D244" s="1614" t="s">
        <v>5048</v>
      </c>
      <c r="E244" s="2449" t="s">
        <v>347</v>
      </c>
      <c r="F244" s="935">
        <v>2.8</v>
      </c>
    </row>
    <row r="245" spans="2:6" s="2" customFormat="1" ht="26.1" customHeight="1">
      <c r="B245" s="934">
        <v>44849</v>
      </c>
      <c r="C245" s="1614" t="s">
        <v>5049</v>
      </c>
      <c r="D245" s="1614" t="s">
        <v>5050</v>
      </c>
      <c r="E245" s="2449" t="s">
        <v>347</v>
      </c>
      <c r="F245" s="1613">
        <v>2.8</v>
      </c>
    </row>
    <row r="246" spans="2:6" s="2" customFormat="1" ht="26.1" customHeight="1">
      <c r="B246" s="934">
        <v>44849</v>
      </c>
      <c r="C246" s="1614" t="s">
        <v>5051</v>
      </c>
      <c r="D246" s="1614" t="s">
        <v>5052</v>
      </c>
      <c r="E246" s="2449" t="s">
        <v>347</v>
      </c>
      <c r="F246" s="1613">
        <v>2.8</v>
      </c>
    </row>
    <row r="247" spans="2:6" s="2" customFormat="1" ht="26.1" customHeight="1">
      <c r="B247" s="934">
        <v>44849</v>
      </c>
      <c r="C247" s="1614" t="s">
        <v>5053</v>
      </c>
      <c r="D247" s="1614" t="s">
        <v>5054</v>
      </c>
      <c r="E247" s="2449" t="s">
        <v>347</v>
      </c>
      <c r="F247" s="1613">
        <v>2.8</v>
      </c>
    </row>
    <row r="248" spans="2:6" s="2" customFormat="1" ht="26.1" customHeight="1">
      <c r="B248" s="934">
        <v>44851</v>
      </c>
      <c r="C248" s="1614" t="s">
        <v>5180</v>
      </c>
      <c r="D248" s="1614" t="s">
        <v>5055</v>
      </c>
      <c r="E248" s="2467" t="s">
        <v>347</v>
      </c>
      <c r="F248" s="1613">
        <v>2.8</v>
      </c>
    </row>
    <row r="249" spans="2:6" s="2" customFormat="1" ht="26.1" customHeight="1">
      <c r="B249" s="934">
        <v>44863</v>
      </c>
      <c r="C249" s="1614" t="s">
        <v>5071</v>
      </c>
      <c r="D249" s="1614" t="s">
        <v>5072</v>
      </c>
      <c r="E249" s="2484" t="s">
        <v>347</v>
      </c>
      <c r="F249" s="1613">
        <v>2.8</v>
      </c>
    </row>
    <row r="250" spans="2:6" s="2" customFormat="1" ht="26.1" customHeight="1">
      <c r="B250" s="934">
        <v>44863</v>
      </c>
      <c r="C250" s="1614" t="s">
        <v>5073</v>
      </c>
      <c r="D250" s="1614" t="s">
        <v>5074</v>
      </c>
      <c r="E250" s="2484" t="s">
        <v>347</v>
      </c>
      <c r="F250" s="1613">
        <v>2.8</v>
      </c>
    </row>
    <row r="251" spans="2:6" s="2" customFormat="1" ht="26.1" customHeight="1">
      <c r="B251" s="934">
        <v>44870</v>
      </c>
      <c r="C251" s="1614" t="s">
        <v>5100</v>
      </c>
      <c r="D251" s="1614" t="s">
        <v>5101</v>
      </c>
      <c r="E251" s="2512" t="s">
        <v>347</v>
      </c>
      <c r="F251" s="1613">
        <v>2.8</v>
      </c>
    </row>
    <row r="252" spans="2:6" s="2" customFormat="1" ht="26.1" customHeight="1">
      <c r="B252" s="934">
        <v>44870</v>
      </c>
      <c r="C252" s="1614" t="s">
        <v>5102</v>
      </c>
      <c r="D252" s="1614" t="s">
        <v>5103</v>
      </c>
      <c r="E252" s="2512" t="s">
        <v>347</v>
      </c>
      <c r="F252" s="1613">
        <v>2.8</v>
      </c>
    </row>
    <row r="253" spans="2:6" s="2" customFormat="1" ht="26.1" customHeight="1">
      <c r="B253" s="934">
        <v>44870</v>
      </c>
      <c r="C253" s="1614" t="s">
        <v>5104</v>
      </c>
      <c r="D253" s="1614" t="s">
        <v>5105</v>
      </c>
      <c r="E253" s="2512" t="s">
        <v>347</v>
      </c>
      <c r="F253" s="1613">
        <v>2.8</v>
      </c>
    </row>
    <row r="254" spans="2:6" s="2" customFormat="1" ht="26.1" customHeight="1">
      <c r="B254" s="934">
        <v>44870</v>
      </c>
      <c r="C254" s="1614" t="s">
        <v>5106</v>
      </c>
      <c r="D254" s="1614" t="s">
        <v>5107</v>
      </c>
      <c r="E254" s="2512" t="s">
        <v>347</v>
      </c>
      <c r="F254" s="1613">
        <v>2.8</v>
      </c>
    </row>
    <row r="255" spans="2:6" s="2" customFormat="1" ht="26.1" customHeight="1">
      <c r="B255" s="934">
        <v>44879</v>
      </c>
      <c r="C255" s="1614" t="s">
        <v>5109</v>
      </c>
      <c r="D255" s="1614" t="s">
        <v>5110</v>
      </c>
      <c r="E255" s="2518" t="s">
        <v>347</v>
      </c>
      <c r="F255" s="1613">
        <v>2.8</v>
      </c>
    </row>
    <row r="256" spans="2:6" s="2" customFormat="1" ht="26.1" customHeight="1">
      <c r="B256" s="934">
        <v>44879</v>
      </c>
      <c r="C256" s="1614" t="s">
        <v>5112</v>
      </c>
      <c r="D256" s="1614" t="s">
        <v>5111</v>
      </c>
      <c r="E256" s="2518" t="s">
        <v>347</v>
      </c>
      <c r="F256" s="1613">
        <v>2.8</v>
      </c>
    </row>
    <row r="257" spans="2:6" s="2" customFormat="1" ht="26.1" customHeight="1">
      <c r="B257" s="934">
        <v>44895</v>
      </c>
      <c r="C257" s="1614" t="s">
        <v>5129</v>
      </c>
      <c r="D257" s="1614" t="s">
        <v>5130</v>
      </c>
      <c r="E257" s="2519" t="s">
        <v>347</v>
      </c>
      <c r="F257" s="1613">
        <v>2.8</v>
      </c>
    </row>
    <row r="258" spans="2:6" s="2" customFormat="1" ht="26.1" customHeight="1">
      <c r="B258" s="934">
        <v>44918</v>
      </c>
      <c r="C258" s="1614" t="s">
        <v>5132</v>
      </c>
      <c r="D258" s="1614" t="s">
        <v>5131</v>
      </c>
      <c r="E258" s="2520" t="s">
        <v>347</v>
      </c>
      <c r="F258" s="1613">
        <v>2.8</v>
      </c>
    </row>
    <row r="259" spans="2:6" s="2" customFormat="1" ht="26.1" customHeight="1">
      <c r="B259" s="934">
        <v>44918</v>
      </c>
      <c r="C259" s="1614" t="s">
        <v>5133</v>
      </c>
      <c r="D259" s="1614" t="s">
        <v>5134</v>
      </c>
      <c r="E259" s="2520" t="s">
        <v>347</v>
      </c>
      <c r="F259" s="1613">
        <v>2.8</v>
      </c>
    </row>
    <row r="260" spans="2:6" s="2" customFormat="1" ht="26.1" customHeight="1">
      <c r="B260" s="934">
        <v>44938</v>
      </c>
      <c r="C260" s="1614" t="s">
        <v>5135</v>
      </c>
      <c r="D260" s="1614" t="s">
        <v>5136</v>
      </c>
      <c r="E260" s="2521" t="s">
        <v>347</v>
      </c>
      <c r="F260" s="1613">
        <v>2.8</v>
      </c>
    </row>
    <row r="261" spans="2:6" s="2" customFormat="1" ht="26.1" customHeight="1">
      <c r="B261" s="934">
        <v>45093</v>
      </c>
      <c r="C261" s="1614" t="s">
        <v>5145</v>
      </c>
      <c r="D261" s="1614" t="s">
        <v>5146</v>
      </c>
      <c r="E261" s="2526" t="s">
        <v>347</v>
      </c>
      <c r="F261" s="1613">
        <v>2.8</v>
      </c>
    </row>
    <row r="262" spans="2:6" s="2" customFormat="1" ht="26.1" customHeight="1">
      <c r="B262" s="934">
        <v>45093</v>
      </c>
      <c r="C262" s="1614" t="s">
        <v>5147</v>
      </c>
      <c r="D262" s="1614" t="s">
        <v>5148</v>
      </c>
      <c r="E262" s="2526" t="s">
        <v>347</v>
      </c>
      <c r="F262" s="1613">
        <v>2.8</v>
      </c>
    </row>
    <row r="263" spans="2:6" s="2" customFormat="1" ht="26.1" customHeight="1">
      <c r="B263" s="934">
        <v>45093</v>
      </c>
      <c r="C263" s="1614" t="s">
        <v>5149</v>
      </c>
      <c r="D263" s="1614" t="s">
        <v>5150</v>
      </c>
      <c r="E263" s="2526" t="s">
        <v>347</v>
      </c>
      <c r="F263" s="1613">
        <v>2.8</v>
      </c>
    </row>
    <row r="264" spans="2:6" s="2" customFormat="1" ht="26.1" customHeight="1">
      <c r="B264" s="934">
        <v>45093</v>
      </c>
      <c r="C264" s="1614" t="s">
        <v>5151</v>
      </c>
      <c r="D264" s="1614" t="s">
        <v>5152</v>
      </c>
      <c r="E264" s="2526" t="s">
        <v>347</v>
      </c>
      <c r="F264" s="1613">
        <v>2.8</v>
      </c>
    </row>
    <row r="265" spans="2:6" s="2" customFormat="1" ht="26.1" customHeight="1">
      <c r="B265" s="934">
        <v>45111</v>
      </c>
      <c r="C265" s="1614" t="s">
        <v>5153</v>
      </c>
      <c r="D265" s="1614" t="s">
        <v>5154</v>
      </c>
      <c r="E265" s="2527" t="s">
        <v>347</v>
      </c>
      <c r="F265" s="1613">
        <v>2.8</v>
      </c>
    </row>
    <row r="266" spans="2:6" s="2" customFormat="1" ht="26.1" customHeight="1">
      <c r="B266" s="934">
        <v>45111</v>
      </c>
      <c r="C266" s="1614" t="s">
        <v>5155</v>
      </c>
      <c r="D266" s="1614" t="s">
        <v>5156</v>
      </c>
      <c r="E266" s="2527" t="s">
        <v>347</v>
      </c>
      <c r="F266" s="1613">
        <v>2.8</v>
      </c>
    </row>
    <row r="267" spans="2:6" s="2" customFormat="1" ht="26.1" customHeight="1">
      <c r="B267" s="934">
        <v>45117</v>
      </c>
      <c r="C267" s="1614" t="s">
        <v>5157</v>
      </c>
      <c r="D267" s="1614" t="s">
        <v>5158</v>
      </c>
      <c r="E267" s="2528" t="s">
        <v>347</v>
      </c>
      <c r="F267" s="1613">
        <v>2.8</v>
      </c>
    </row>
    <row r="268" spans="2:6" s="2" customFormat="1" ht="26.1" customHeight="1">
      <c r="B268" s="934">
        <v>45187</v>
      </c>
      <c r="C268" s="1614" t="s">
        <v>5163</v>
      </c>
      <c r="D268" s="1614" t="s">
        <v>5164</v>
      </c>
      <c r="E268" s="2531" t="s">
        <v>347</v>
      </c>
      <c r="F268" s="1613">
        <v>2.8</v>
      </c>
    </row>
    <row r="269" spans="2:6" s="2" customFormat="1" ht="26.1" customHeight="1">
      <c r="B269" s="934">
        <v>45187</v>
      </c>
      <c r="C269" s="1614" t="s">
        <v>5165</v>
      </c>
      <c r="D269" s="1614" t="s">
        <v>5166</v>
      </c>
      <c r="E269" s="2531" t="s">
        <v>347</v>
      </c>
      <c r="F269" s="1613">
        <v>2.8</v>
      </c>
    </row>
    <row r="270" spans="2:6" s="2" customFormat="1" ht="26.1" customHeight="1">
      <c r="B270" s="934">
        <v>45187</v>
      </c>
      <c r="C270" s="1614" t="s">
        <v>5167</v>
      </c>
      <c r="D270" s="1614" t="s">
        <v>5166</v>
      </c>
      <c r="E270" s="2531" t="s">
        <v>347</v>
      </c>
      <c r="F270" s="1613">
        <v>2.8</v>
      </c>
    </row>
    <row r="271" spans="2:6" s="2" customFormat="1" ht="26.1" customHeight="1">
      <c r="B271" s="2445">
        <v>45187</v>
      </c>
      <c r="C271" s="1330" t="s">
        <v>5168</v>
      </c>
      <c r="D271" s="1330" t="s">
        <v>5169</v>
      </c>
      <c r="E271" s="2553" t="s">
        <v>347</v>
      </c>
      <c r="F271" s="2446">
        <v>2.8</v>
      </c>
    </row>
    <row r="272" spans="2:6" s="2" customFormat="1" ht="26.1" customHeight="1">
      <c r="B272" s="934">
        <v>45334</v>
      </c>
      <c r="C272" s="1614" t="s">
        <v>5176</v>
      </c>
      <c r="D272" s="1614" t="s">
        <v>5177</v>
      </c>
      <c r="E272" s="2548" t="s">
        <v>347</v>
      </c>
      <c r="F272" s="935">
        <v>2.9</v>
      </c>
    </row>
    <row r="273" spans="2:6" s="2" customFormat="1" ht="26.1" customHeight="1">
      <c r="B273" s="934">
        <v>45334</v>
      </c>
      <c r="C273" s="1614" t="s">
        <v>5178</v>
      </c>
      <c r="D273" s="1614" t="s">
        <v>5179</v>
      </c>
      <c r="E273" s="2548" t="s">
        <v>347</v>
      </c>
      <c r="F273" s="1613">
        <v>2.9</v>
      </c>
    </row>
    <row r="274" spans="2:6" s="2" customFormat="1" ht="26.1" customHeight="1">
      <c r="B274" s="934">
        <v>45334</v>
      </c>
      <c r="C274" s="1614" t="s">
        <v>5184</v>
      </c>
      <c r="D274" s="1614" t="s">
        <v>5183</v>
      </c>
      <c r="E274" s="2548" t="s">
        <v>347</v>
      </c>
      <c r="F274" s="1613">
        <v>2.9</v>
      </c>
    </row>
    <row r="275" spans="2:6" s="2" customFormat="1" ht="26.1" customHeight="1">
      <c r="B275" s="934">
        <v>45334</v>
      </c>
      <c r="C275" s="1614" t="s">
        <v>5181</v>
      </c>
      <c r="D275" s="1614" t="s">
        <v>5182</v>
      </c>
      <c r="E275" s="2548" t="s">
        <v>347</v>
      </c>
      <c r="F275" s="1613">
        <v>2.9</v>
      </c>
    </row>
    <row r="276" spans="2:6" s="2" customFormat="1" ht="26.1" customHeight="1">
      <c r="B276" s="934">
        <v>45420</v>
      </c>
      <c r="C276" s="1614" t="s">
        <v>5186</v>
      </c>
      <c r="D276" s="1614" t="s">
        <v>5187</v>
      </c>
      <c r="E276" s="2549" t="s">
        <v>347</v>
      </c>
      <c r="F276" s="1613">
        <v>2.91</v>
      </c>
    </row>
    <row r="277" spans="2:6" s="2" customFormat="1" ht="26.1" customHeight="1">
      <c r="B277" s="934">
        <v>45420</v>
      </c>
      <c r="C277" s="1614" t="s">
        <v>5188</v>
      </c>
      <c r="D277" s="1614" t="s">
        <v>5189</v>
      </c>
      <c r="E277" s="2554" t="s">
        <v>347</v>
      </c>
      <c r="F277" s="1613">
        <v>2.91</v>
      </c>
    </row>
    <row r="278" spans="2:6" s="2" customFormat="1" ht="26.1" customHeight="1">
      <c r="B278" s="934">
        <v>45420</v>
      </c>
      <c r="C278" s="1614" t="s">
        <v>5192</v>
      </c>
      <c r="D278" s="1614" t="s">
        <v>5193</v>
      </c>
      <c r="E278" s="2555" t="s">
        <v>347</v>
      </c>
      <c r="F278" s="1613">
        <v>2.91</v>
      </c>
    </row>
    <row r="279" spans="2:6" s="2" customFormat="1" ht="26.1" customHeight="1">
      <c r="B279" s="934">
        <v>45470</v>
      </c>
      <c r="C279" s="1614" t="s">
        <v>5194</v>
      </c>
      <c r="D279" s="1614" t="s">
        <v>5195</v>
      </c>
      <c r="E279" s="2556" t="s">
        <v>347</v>
      </c>
      <c r="F279" s="1613">
        <v>2.92</v>
      </c>
    </row>
    <row r="280" spans="2:6" s="2" customFormat="1" ht="26.1" customHeight="1">
      <c r="B280" s="936">
        <v>45476</v>
      </c>
      <c r="C280" s="1614" t="s">
        <v>5196</v>
      </c>
      <c r="D280" s="1614" t="s">
        <v>5197</v>
      </c>
      <c r="E280" s="2557" t="s">
        <v>347</v>
      </c>
      <c r="F280" s="1613">
        <v>2.93</v>
      </c>
    </row>
    <row r="281" spans="2:6" s="2" customFormat="1" ht="26.1" customHeight="1">
      <c r="B281" s="936">
        <v>45545</v>
      </c>
      <c r="C281" s="1614" t="s">
        <v>5198</v>
      </c>
      <c r="D281" s="1614" t="s">
        <v>5199</v>
      </c>
      <c r="E281" s="2558" t="s">
        <v>347</v>
      </c>
      <c r="F281" s="1613">
        <v>2.94</v>
      </c>
    </row>
    <row r="282" spans="2:6" s="2" customFormat="1" ht="26.1" customHeight="1">
      <c r="B282" s="936">
        <v>45804</v>
      </c>
      <c r="C282" s="1614" t="s">
        <v>5201</v>
      </c>
      <c r="D282" s="1614" t="s">
        <v>5200</v>
      </c>
      <c r="E282" s="2561" t="s">
        <v>347</v>
      </c>
      <c r="F282" s="937">
        <v>2.95</v>
      </c>
    </row>
    <row r="283" spans="2:6" s="2" customFormat="1" ht="26.1" customHeight="1">
      <c r="B283" s="936">
        <v>45996</v>
      </c>
      <c r="C283" s="1614" t="s">
        <v>5315</v>
      </c>
      <c r="D283" s="1614" t="s">
        <v>5238</v>
      </c>
      <c r="E283" s="2568" t="s">
        <v>347</v>
      </c>
      <c r="F283" s="937">
        <v>2.96</v>
      </c>
    </row>
    <row r="284" spans="2:6" s="2" customFormat="1" ht="26.1" customHeight="1">
      <c r="B284" s="936">
        <v>45996</v>
      </c>
      <c r="C284" s="1614" t="s">
        <v>5315</v>
      </c>
      <c r="D284" s="1614" t="s">
        <v>5238</v>
      </c>
      <c r="E284" s="2568" t="s">
        <v>347</v>
      </c>
      <c r="F284" s="937">
        <v>2.96</v>
      </c>
    </row>
    <row r="285" spans="2:6" s="2" customFormat="1" ht="26.1" customHeight="1">
      <c r="B285" s="936">
        <v>45996</v>
      </c>
      <c r="C285" s="1614" t="s">
        <v>5239</v>
      </c>
      <c r="D285" s="1614" t="s">
        <v>5240</v>
      </c>
      <c r="E285" s="2568" t="s">
        <v>347</v>
      </c>
      <c r="F285" s="937">
        <v>2.96</v>
      </c>
    </row>
    <row r="286" spans="2:6" s="2" customFormat="1" ht="26.1" customHeight="1">
      <c r="B286" s="936">
        <v>45996</v>
      </c>
      <c r="C286" s="1614" t="s">
        <v>5241</v>
      </c>
      <c r="D286" s="1614" t="s">
        <v>5242</v>
      </c>
      <c r="E286" s="2568" t="s">
        <v>347</v>
      </c>
      <c r="F286" s="937">
        <v>2.96</v>
      </c>
    </row>
    <row r="287" spans="2:6" s="2" customFormat="1" ht="26.1" customHeight="1">
      <c r="B287" s="936">
        <v>45996</v>
      </c>
      <c r="C287" s="1614" t="s">
        <v>5314</v>
      </c>
      <c r="D287" s="1614" t="s">
        <v>5256</v>
      </c>
      <c r="E287" s="2568" t="s">
        <v>347</v>
      </c>
      <c r="F287" s="937">
        <v>2.96</v>
      </c>
    </row>
    <row r="288" spans="2:6" s="2" customFormat="1" ht="26.1" customHeight="1">
      <c r="B288" s="936">
        <v>45996</v>
      </c>
      <c r="C288" s="1614" t="s">
        <v>5243</v>
      </c>
      <c r="D288" s="1614" t="s">
        <v>5244</v>
      </c>
      <c r="E288" s="2569" t="s">
        <v>347</v>
      </c>
      <c r="F288" s="937">
        <v>2.96</v>
      </c>
    </row>
    <row r="289" spans="2:6" s="2" customFormat="1" ht="26.1" customHeight="1">
      <c r="B289" s="936">
        <v>45999</v>
      </c>
      <c r="C289" s="1614" t="s">
        <v>5250</v>
      </c>
      <c r="D289" s="1614" t="s">
        <v>5251</v>
      </c>
      <c r="E289" s="2584" t="s">
        <v>347</v>
      </c>
      <c r="F289" s="937">
        <v>2.96</v>
      </c>
    </row>
    <row r="290" spans="2:6" s="2" customFormat="1" ht="26.1" customHeight="1">
      <c r="B290" s="934">
        <v>46002</v>
      </c>
      <c r="C290" s="1614" t="s">
        <v>5313</v>
      </c>
      <c r="D290" s="1614" t="s">
        <v>5255</v>
      </c>
      <c r="E290" s="2588" t="s">
        <v>347</v>
      </c>
      <c r="F290" s="937">
        <v>2.96</v>
      </c>
    </row>
    <row r="291" spans="2:6" s="2" customFormat="1" ht="26.1" customHeight="1">
      <c r="B291" s="934">
        <v>46007</v>
      </c>
      <c r="C291" s="1614" t="s">
        <v>5312</v>
      </c>
      <c r="D291" s="1614" t="s">
        <v>5280</v>
      </c>
      <c r="E291" s="2589" t="s">
        <v>347</v>
      </c>
      <c r="F291" s="937">
        <v>2.96</v>
      </c>
    </row>
    <row r="292" spans="2:6" s="2" customFormat="1" ht="26.1" customHeight="1">
      <c r="B292" s="934">
        <v>46007</v>
      </c>
      <c r="C292" s="1614" t="s">
        <v>5311</v>
      </c>
      <c r="D292" s="1614" t="s">
        <v>5281</v>
      </c>
      <c r="E292" s="2589" t="s">
        <v>347</v>
      </c>
      <c r="F292" s="937">
        <v>2.96</v>
      </c>
    </row>
    <row r="293" spans="2:6" s="2" customFormat="1" ht="26.1" customHeight="1">
      <c r="B293" s="934">
        <v>46009</v>
      </c>
      <c r="C293" s="1614" t="s">
        <v>5310</v>
      </c>
      <c r="D293" s="1614" t="s">
        <v>5282</v>
      </c>
      <c r="E293" s="2593" t="s">
        <v>347</v>
      </c>
      <c r="F293" s="937">
        <v>2.96</v>
      </c>
    </row>
    <row r="294" spans="2:6" s="2" customFormat="1" ht="26.1" customHeight="1">
      <c r="B294" s="934">
        <v>46270</v>
      </c>
      <c r="C294" s="1614" t="s">
        <v>5309</v>
      </c>
      <c r="D294" s="1614" t="s">
        <v>5290</v>
      </c>
      <c r="E294" s="2601" t="s">
        <v>347</v>
      </c>
      <c r="F294" s="937">
        <v>2.97</v>
      </c>
    </row>
    <row r="295" spans="2:6" s="2" customFormat="1" ht="26.1" customHeight="1">
      <c r="B295" s="934">
        <v>46277</v>
      </c>
      <c r="C295" s="1614" t="s">
        <v>5316</v>
      </c>
      <c r="D295" s="1614" t="s">
        <v>5317</v>
      </c>
      <c r="E295" s="2602" t="s">
        <v>5318</v>
      </c>
      <c r="F295" s="937">
        <v>2.97</v>
      </c>
    </row>
    <row r="296" spans="2:6" s="2" customFormat="1" ht="26.1" customHeight="1">
      <c r="B296" s="934">
        <v>46277</v>
      </c>
      <c r="C296" s="1614" t="s">
        <v>5319</v>
      </c>
      <c r="D296" s="1614" t="s">
        <v>5321</v>
      </c>
      <c r="E296" s="2602" t="s">
        <v>5320</v>
      </c>
      <c r="F296" s="937">
        <v>2.97</v>
      </c>
    </row>
    <row r="297" spans="2:6" s="2" customFormat="1" ht="26.1" customHeight="1">
      <c r="B297" s="934"/>
      <c r="E297" s="935"/>
      <c r="F297" s="937"/>
    </row>
    <row r="298" spans="2:6" s="2" customFormat="1" ht="26.1" customHeight="1">
      <c r="B298" s="934"/>
      <c r="E298" s="935"/>
      <c r="F298" s="937"/>
    </row>
    <row r="299" spans="2:6" s="2" customFormat="1" ht="26.1" customHeight="1">
      <c r="B299" s="934"/>
      <c r="E299" s="935"/>
      <c r="F299" s="937"/>
    </row>
    <row r="300" spans="2:6" s="2" customFormat="1" ht="26.1" customHeight="1">
      <c r="B300" s="934"/>
      <c r="E300" s="935"/>
      <c r="F300" s="937"/>
    </row>
    <row r="301" spans="2:6" s="2" customFormat="1" ht="26.1" customHeight="1">
      <c r="B301" s="934"/>
      <c r="E301" s="935"/>
      <c r="F301" s="937"/>
    </row>
    <row r="302" spans="2:6" s="2" customFormat="1" ht="26.1" customHeight="1">
      <c r="B302" s="934"/>
      <c r="E302" s="935"/>
      <c r="F302" s="937"/>
    </row>
    <row r="303" spans="2:6" s="2" customFormat="1" ht="26.1" customHeight="1">
      <c r="B303" s="934"/>
      <c r="E303" s="935"/>
      <c r="F303" s="937"/>
    </row>
    <row r="304" spans="2:6" s="2" customFormat="1" ht="26.1" customHeight="1">
      <c r="B304" s="934"/>
      <c r="E304" s="935"/>
      <c r="F304" s="937"/>
    </row>
    <row r="305" spans="2:6" s="2" customFormat="1" ht="26.1" customHeight="1">
      <c r="B305" s="934"/>
      <c r="E305" s="935"/>
      <c r="F305" s="937"/>
    </row>
    <row r="306" spans="2:6" s="2" customFormat="1" ht="26.1" customHeight="1">
      <c r="B306" s="934"/>
      <c r="E306" s="935"/>
      <c r="F306" s="937"/>
    </row>
    <row r="307" spans="2:6" s="2" customFormat="1" ht="26.1" customHeight="1">
      <c r="B307" s="934"/>
      <c r="E307" s="935"/>
      <c r="F307" s="937"/>
    </row>
    <row r="308" spans="2:6" s="2" customFormat="1" ht="26.1" customHeight="1">
      <c r="B308" s="934"/>
      <c r="E308" s="935"/>
      <c r="F308" s="937"/>
    </row>
    <row r="309" spans="2:6" s="2" customFormat="1" ht="26.1" customHeight="1">
      <c r="B309" s="934"/>
      <c r="E309" s="935"/>
      <c r="F309" s="937"/>
    </row>
    <row r="310" spans="2:6" s="2" customFormat="1" ht="26.1" customHeight="1">
      <c r="B310" s="934"/>
      <c r="E310" s="935"/>
      <c r="F310" s="937"/>
    </row>
    <row r="311" spans="2:6" s="2" customFormat="1" ht="26.1" customHeight="1">
      <c r="B311" s="934"/>
      <c r="E311" s="935"/>
      <c r="F311" s="937"/>
    </row>
    <row r="312" spans="2:6" s="2" customFormat="1" ht="26.1" customHeight="1">
      <c r="B312" s="934"/>
      <c r="E312" s="935"/>
      <c r="F312" s="937"/>
    </row>
    <row r="313" spans="2:6" s="2" customFormat="1" ht="26.1" customHeight="1">
      <c r="B313" s="934"/>
      <c r="E313" s="935"/>
      <c r="F313" s="937"/>
    </row>
    <row r="314" spans="2:6" s="2" customFormat="1" ht="26.1" customHeight="1">
      <c r="B314" s="934"/>
      <c r="E314" s="935"/>
      <c r="F314" s="937"/>
    </row>
    <row r="315" spans="2:6" s="2" customFormat="1" ht="26.1" customHeight="1">
      <c r="B315" s="934"/>
      <c r="E315" s="935"/>
      <c r="F315" s="937"/>
    </row>
    <row r="316" spans="2:6" s="2" customFormat="1" ht="26.1" customHeight="1">
      <c r="B316" s="934"/>
      <c r="E316" s="935"/>
      <c r="F316" s="937"/>
    </row>
    <row r="317" spans="2:6" s="2" customFormat="1" ht="26.1" customHeight="1">
      <c r="B317" s="934"/>
      <c r="E317" s="935"/>
      <c r="F317" s="937"/>
    </row>
    <row r="318" spans="2:6" s="2" customFormat="1" ht="26.1" customHeight="1">
      <c r="B318" s="934"/>
      <c r="E318" s="935"/>
      <c r="F318" s="937"/>
    </row>
    <row r="319" spans="2:6" s="2" customFormat="1" ht="26.1" customHeight="1">
      <c r="B319" s="934"/>
      <c r="E319" s="935"/>
      <c r="F319" s="937"/>
    </row>
    <row r="320" spans="2:6" s="2" customFormat="1" ht="26.1" customHeight="1">
      <c r="B320" s="934"/>
      <c r="E320" s="935"/>
      <c r="F320" s="937"/>
    </row>
    <row r="321" spans="2:6" s="2" customFormat="1" ht="26.1" customHeight="1">
      <c r="B321" s="934"/>
      <c r="E321" s="935"/>
      <c r="F321" s="937"/>
    </row>
    <row r="322" spans="2:6" s="2" customFormat="1" ht="26.1" customHeight="1">
      <c r="B322" s="934"/>
      <c r="E322" s="935"/>
      <c r="F322" s="937"/>
    </row>
    <row r="323" spans="2:6" s="2" customFormat="1" ht="26.1" customHeight="1">
      <c r="B323" s="934"/>
      <c r="E323" s="935"/>
      <c r="F323" s="937"/>
    </row>
    <row r="324" spans="2:6" s="2" customFormat="1" ht="26.1" customHeight="1">
      <c r="B324" s="934"/>
      <c r="E324" s="935"/>
      <c r="F324" s="937"/>
    </row>
    <row r="325" spans="2:6" s="2" customFormat="1" ht="26.1" customHeight="1">
      <c r="B325" s="934"/>
      <c r="E325" s="935"/>
      <c r="F325" s="937"/>
    </row>
    <row r="326" spans="2:6" s="2" customFormat="1" ht="26.1" customHeight="1">
      <c r="B326" s="934"/>
      <c r="E326" s="935"/>
      <c r="F326" s="937"/>
    </row>
    <row r="327" spans="2:6" s="2" customFormat="1" ht="26.1" customHeight="1">
      <c r="B327" s="934"/>
      <c r="E327" s="935"/>
      <c r="F327" s="937"/>
    </row>
    <row r="328" spans="2:6" s="2" customFormat="1" ht="26.1" customHeight="1">
      <c r="B328" s="934"/>
      <c r="E328" s="935"/>
      <c r="F328" s="937"/>
    </row>
    <row r="329" spans="2:6" s="2" customFormat="1" ht="26.1" customHeight="1">
      <c r="B329" s="934"/>
      <c r="E329" s="935"/>
      <c r="F329" s="937"/>
    </row>
    <row r="330" spans="2:6" s="2" customFormat="1" ht="26.1" customHeight="1">
      <c r="B330" s="934"/>
      <c r="E330" s="935"/>
      <c r="F330" s="937"/>
    </row>
    <row r="331" spans="2:6" s="2" customFormat="1" ht="26.1" customHeight="1">
      <c r="B331" s="934"/>
      <c r="E331" s="935"/>
      <c r="F331" s="937"/>
    </row>
    <row r="332" spans="2:6" s="2" customFormat="1" ht="26.1" customHeight="1">
      <c r="B332" s="934"/>
      <c r="E332" s="935"/>
      <c r="F332" s="937"/>
    </row>
    <row r="333" spans="2:6" s="2" customFormat="1" ht="26.1" customHeight="1">
      <c r="B333" s="934"/>
      <c r="E333" s="935"/>
      <c r="F333" s="937"/>
    </row>
    <row r="334" spans="2:6" s="2" customFormat="1" ht="26.1" customHeight="1">
      <c r="B334" s="934"/>
      <c r="E334" s="935"/>
      <c r="F334" s="937"/>
    </row>
    <row r="335" spans="2:6" s="2" customFormat="1" ht="26.1" customHeight="1">
      <c r="B335" s="934"/>
      <c r="E335" s="935"/>
      <c r="F335" s="937"/>
    </row>
    <row r="336" spans="2:6" s="2" customFormat="1" ht="26.1" customHeight="1">
      <c r="B336" s="934"/>
      <c r="E336" s="935"/>
      <c r="F336" s="937"/>
    </row>
    <row r="337" spans="2:6" s="2" customFormat="1" ht="26.1" customHeight="1">
      <c r="B337" s="934"/>
      <c r="E337" s="935"/>
      <c r="F337" s="937"/>
    </row>
    <row r="338" spans="2:6" s="2" customFormat="1" ht="26.1" customHeight="1">
      <c r="B338" s="934"/>
      <c r="E338" s="935"/>
      <c r="F338" s="937"/>
    </row>
    <row r="339" spans="2:6" s="2" customFormat="1" ht="26.1" customHeight="1">
      <c r="B339" s="934"/>
      <c r="E339" s="935"/>
      <c r="F339" s="935"/>
    </row>
    <row r="340" spans="2:6" s="2" customFormat="1" ht="26.1" customHeight="1">
      <c r="B340" s="934"/>
      <c r="E340" s="935"/>
      <c r="F340" s="935"/>
    </row>
    <row r="341" spans="2:6" s="2" customFormat="1" ht="26.1" customHeight="1">
      <c r="B341" s="934"/>
      <c r="E341" s="935"/>
      <c r="F341" s="935"/>
    </row>
    <row r="342" spans="2:6" s="2" customFormat="1" ht="26.1" customHeight="1">
      <c r="B342" s="934"/>
      <c r="E342" s="935"/>
      <c r="F342" s="935"/>
    </row>
    <row r="343" spans="2:6" s="2" customFormat="1" ht="26.1" customHeight="1">
      <c r="B343" s="934"/>
      <c r="E343" s="935"/>
      <c r="F343" s="935"/>
    </row>
    <row r="344" spans="2:6" s="2" customFormat="1" ht="26.1" customHeight="1">
      <c r="B344" s="934"/>
      <c r="E344" s="935"/>
      <c r="F344" s="935"/>
    </row>
    <row r="345" spans="2:6" s="2" customFormat="1" ht="26.1" customHeight="1">
      <c r="B345" s="934"/>
      <c r="E345" s="935"/>
      <c r="F345" s="935"/>
    </row>
    <row r="346" spans="2:6" s="2" customFormat="1" ht="26.1" customHeight="1">
      <c r="B346" s="934"/>
      <c r="E346" s="935"/>
      <c r="F346" s="935"/>
    </row>
    <row r="347" spans="2:6" s="2" customFormat="1" ht="26.1" customHeight="1">
      <c r="B347" s="934"/>
      <c r="E347" s="935"/>
      <c r="F347" s="935"/>
    </row>
    <row r="348" spans="2:6" s="2" customFormat="1" ht="26.1" customHeight="1">
      <c r="B348" s="934"/>
      <c r="E348" s="935"/>
      <c r="F348" s="935"/>
    </row>
    <row r="349" spans="2:6" s="2" customFormat="1" ht="26.1" customHeight="1">
      <c r="B349" s="934"/>
      <c r="E349" s="935"/>
      <c r="F349" s="935"/>
    </row>
    <row r="350" spans="2:6" s="2" customFormat="1" ht="26.1" customHeight="1">
      <c r="B350" s="934"/>
      <c r="E350" s="935"/>
      <c r="F350" s="935"/>
    </row>
    <row r="351" spans="2:6" s="2" customFormat="1" ht="26.1" customHeight="1">
      <c r="B351" s="934"/>
      <c r="E351" s="935"/>
      <c r="F351" s="935"/>
    </row>
    <row r="352" spans="2:6" s="2" customFormat="1" ht="26.1" customHeight="1">
      <c r="B352" s="934"/>
      <c r="E352" s="935"/>
      <c r="F352" s="935"/>
    </row>
    <row r="353" spans="2:6" s="2" customFormat="1" ht="26.1" customHeight="1">
      <c r="B353" s="934"/>
      <c r="E353" s="935"/>
      <c r="F353" s="935"/>
    </row>
    <row r="354" spans="2:6" s="2" customFormat="1" ht="26.1" customHeight="1">
      <c r="B354" s="934"/>
      <c r="E354" s="935"/>
      <c r="F354" s="935"/>
    </row>
    <row r="355" spans="2:6" s="2" customFormat="1" ht="26.1" customHeight="1">
      <c r="B355" s="934"/>
      <c r="E355" s="935"/>
      <c r="F355" s="935"/>
    </row>
    <row r="356" spans="2:6" s="2" customFormat="1" ht="26.1" customHeight="1">
      <c r="B356" s="934"/>
      <c r="E356" s="935"/>
      <c r="F356" s="935"/>
    </row>
    <row r="357" spans="2:6" s="2" customFormat="1" ht="26.1" customHeight="1">
      <c r="B357" s="934"/>
      <c r="E357" s="935"/>
      <c r="F357" s="935"/>
    </row>
    <row r="358" spans="2:6" s="2" customFormat="1" ht="26.1" customHeight="1">
      <c r="B358" s="934"/>
      <c r="E358" s="935"/>
      <c r="F358" s="935"/>
    </row>
    <row r="359" spans="2:6" s="2" customFormat="1" ht="26.1" customHeight="1">
      <c r="B359" s="934"/>
      <c r="E359" s="935"/>
      <c r="F359" s="935"/>
    </row>
    <row r="360" spans="2:6" s="2" customFormat="1" ht="26.1" customHeight="1">
      <c r="B360" s="934"/>
      <c r="E360" s="935"/>
      <c r="F360" s="935"/>
    </row>
    <row r="361" spans="2:6" s="2" customFormat="1" ht="26.1" customHeight="1">
      <c r="B361" s="934"/>
      <c r="E361" s="935"/>
      <c r="F361" s="935"/>
    </row>
    <row r="362" spans="2:6" s="2" customFormat="1" ht="26.1" customHeight="1">
      <c r="B362" s="934"/>
      <c r="E362" s="935"/>
      <c r="F362" s="935"/>
    </row>
    <row r="363" spans="2:6" s="2" customFormat="1" ht="26.1" customHeight="1">
      <c r="B363" s="934"/>
      <c r="E363" s="935"/>
      <c r="F363" s="935"/>
    </row>
    <row r="364" spans="2:6" s="2" customFormat="1" ht="26.1" customHeight="1">
      <c r="B364" s="934"/>
      <c r="E364" s="935"/>
      <c r="F364" s="935"/>
    </row>
    <row r="365" spans="2:6" s="2" customFormat="1" ht="26.1" customHeight="1">
      <c r="B365" s="934"/>
      <c r="E365" s="935"/>
      <c r="F365" s="935"/>
    </row>
    <row r="366" spans="2:6" s="2" customFormat="1" ht="26.1" customHeight="1">
      <c r="B366" s="934"/>
      <c r="E366" s="935"/>
      <c r="F366" s="935"/>
    </row>
    <row r="367" spans="2:6" s="2" customFormat="1" ht="26.1" customHeight="1">
      <c r="B367" s="934"/>
      <c r="E367" s="935"/>
      <c r="F367" s="935"/>
    </row>
    <row r="368" spans="2:6" s="2" customFormat="1" ht="26.1" customHeight="1">
      <c r="B368" s="934"/>
      <c r="E368" s="935"/>
      <c r="F368" s="935"/>
    </row>
    <row r="369" spans="2:6" s="2" customFormat="1" ht="26.1" customHeight="1">
      <c r="B369" s="934"/>
      <c r="E369" s="935"/>
      <c r="F369" s="935"/>
    </row>
    <row r="370" spans="2:6" s="2" customFormat="1" ht="26.1" customHeight="1">
      <c r="B370" s="934"/>
      <c r="E370" s="935"/>
      <c r="F370" s="935"/>
    </row>
    <row r="371" spans="2:6" s="2" customFormat="1" ht="26.1" customHeight="1">
      <c r="B371" s="934"/>
      <c r="E371" s="935"/>
      <c r="F371" s="935"/>
    </row>
    <row r="372" spans="2:6" s="2" customFormat="1" ht="26.1" customHeight="1">
      <c r="B372" s="934"/>
      <c r="E372" s="935"/>
      <c r="F372" s="935"/>
    </row>
    <row r="373" spans="2:6" s="2" customFormat="1" ht="26.1" customHeight="1">
      <c r="B373" s="934"/>
      <c r="E373" s="935"/>
      <c r="F373" s="935"/>
    </row>
    <row r="374" spans="2:6" s="2" customFormat="1" ht="26.1" customHeight="1">
      <c r="B374" s="936"/>
      <c r="E374" s="935"/>
      <c r="F374" s="935"/>
    </row>
    <row r="375" spans="2:6" s="2" customFormat="1" ht="26.1" customHeight="1">
      <c r="B375" s="936"/>
      <c r="E375" s="935"/>
      <c r="F375" s="935"/>
    </row>
    <row r="376" spans="2:6" s="2" customFormat="1" ht="26.1" customHeight="1">
      <c r="B376" s="936"/>
      <c r="E376" s="935"/>
      <c r="F376" s="935"/>
    </row>
    <row r="377" spans="2:6" s="2" customFormat="1" ht="26.1" customHeight="1">
      <c r="B377" s="934"/>
      <c r="E377" s="935"/>
      <c r="F377" s="937"/>
    </row>
    <row r="378" spans="2:6" s="2" customFormat="1" ht="26.1" customHeight="1">
      <c r="B378" s="934"/>
      <c r="E378" s="935"/>
      <c r="F378" s="935"/>
    </row>
    <row r="379" spans="2:6" s="2" customFormat="1" ht="26.1" customHeight="1">
      <c r="B379" s="934"/>
      <c r="E379" s="935"/>
      <c r="F379" s="935"/>
    </row>
    <row r="380" spans="2:6" s="2" customFormat="1" ht="26.1" customHeight="1">
      <c r="B380" s="934"/>
      <c r="E380" s="935"/>
      <c r="F380" s="935"/>
    </row>
    <row r="381" spans="2:6" s="2" customFormat="1" ht="26.1" customHeight="1">
      <c r="B381" s="934"/>
      <c r="E381" s="935"/>
      <c r="F381" s="935"/>
    </row>
    <row r="382" spans="2:6" s="2" customFormat="1" ht="26.1" customHeight="1">
      <c r="B382" s="934"/>
      <c r="E382" s="935"/>
      <c r="F382" s="935"/>
    </row>
    <row r="383" spans="2:6" s="2" customFormat="1" ht="26.1" customHeight="1">
      <c r="B383" s="934"/>
      <c r="E383" s="935"/>
      <c r="F383" s="935"/>
    </row>
    <row r="384" spans="2:6" s="2" customFormat="1" ht="26.1" customHeight="1">
      <c r="B384" s="934"/>
      <c r="E384" s="935"/>
      <c r="F384" s="935"/>
    </row>
    <row r="385" spans="2:6" s="2" customFormat="1" ht="26.1" customHeight="1">
      <c r="B385" s="934"/>
      <c r="E385" s="935"/>
      <c r="F385" s="935"/>
    </row>
    <row r="386" spans="2:6" s="2" customFormat="1" ht="26.1" customHeight="1">
      <c r="B386" s="934"/>
      <c r="E386" s="935"/>
      <c r="F386" s="935"/>
    </row>
    <row r="387" spans="2:6" s="2" customFormat="1" ht="26.1" customHeight="1">
      <c r="B387" s="934"/>
      <c r="E387" s="935"/>
      <c r="F387" s="935"/>
    </row>
    <row r="388" spans="2:6" s="2" customFormat="1" ht="26.1" customHeight="1">
      <c r="B388" s="934"/>
      <c r="E388" s="935"/>
      <c r="F388" s="935"/>
    </row>
    <row r="389" spans="2:6" s="2" customFormat="1" ht="26.1" customHeight="1">
      <c r="B389" s="934"/>
      <c r="E389" s="935"/>
      <c r="F389" s="935"/>
    </row>
    <row r="390" spans="2:6" s="2" customFormat="1" ht="26.1" customHeight="1">
      <c r="B390" s="934"/>
      <c r="E390" s="935"/>
      <c r="F390" s="935"/>
    </row>
    <row r="391" spans="2:6" s="2" customFormat="1" ht="26.1" customHeight="1">
      <c r="B391" s="934"/>
      <c r="E391" s="935"/>
      <c r="F391" s="935"/>
    </row>
    <row r="392" spans="2:6" s="2" customFormat="1" ht="26.1" customHeight="1">
      <c r="B392" s="934"/>
      <c r="E392" s="935"/>
      <c r="F392" s="935"/>
    </row>
    <row r="393" spans="2:6" s="2" customFormat="1" ht="26.1" customHeight="1">
      <c r="B393" s="934"/>
      <c r="E393" s="935"/>
      <c r="F393" s="935"/>
    </row>
    <row r="394" spans="2:6" s="2" customFormat="1" ht="26.1" customHeight="1">
      <c r="B394" s="934"/>
      <c r="E394" s="935"/>
      <c r="F394" s="935"/>
    </row>
    <row r="395" spans="2:6" s="2" customFormat="1" ht="26.1" customHeight="1">
      <c r="B395" s="934"/>
      <c r="E395" s="935"/>
      <c r="F395" s="935"/>
    </row>
    <row r="396" spans="2:6" s="2" customFormat="1" ht="26.1" customHeight="1">
      <c r="B396" s="934"/>
      <c r="E396" s="935"/>
      <c r="F396" s="935"/>
    </row>
    <row r="397" spans="2:6" s="2" customFormat="1" ht="26.1" customHeight="1">
      <c r="B397" s="934"/>
      <c r="E397" s="935"/>
      <c r="F397" s="935"/>
    </row>
    <row r="398" spans="2:6" s="2" customFormat="1" ht="26.1" customHeight="1">
      <c r="B398" s="934"/>
      <c r="C398" s="938"/>
      <c r="D398" s="939"/>
      <c r="E398" s="935"/>
      <c r="F398" s="935"/>
    </row>
    <row r="399" spans="2:6" s="2" customFormat="1" ht="26.1" customHeight="1">
      <c r="B399" s="934"/>
      <c r="C399" s="939"/>
      <c r="D399" s="939"/>
      <c r="E399" s="944"/>
      <c r="F399" s="935"/>
    </row>
    <row r="400" spans="2:6" s="939" customFormat="1" ht="26.1" customHeight="1">
      <c r="B400" s="940"/>
      <c r="E400" s="944"/>
      <c r="F400" s="935"/>
    </row>
    <row r="401" spans="2:6" s="939" customFormat="1" ht="26.1" customHeight="1">
      <c r="B401" s="940"/>
      <c r="E401" s="944"/>
      <c r="F401" s="935"/>
    </row>
    <row r="402" spans="2:6" s="939" customFormat="1" ht="26.1" customHeight="1">
      <c r="B402" s="940"/>
      <c r="E402" s="944"/>
      <c r="F402" s="935"/>
    </row>
    <row r="403" spans="2:6" s="939" customFormat="1" ht="26.1" customHeight="1">
      <c r="B403" s="940"/>
      <c r="E403" s="944"/>
      <c r="F403" s="935"/>
    </row>
    <row r="404" spans="2:6" s="939" customFormat="1" ht="26.1" customHeight="1">
      <c r="B404" s="940"/>
      <c r="E404" s="944"/>
      <c r="F404" s="935"/>
    </row>
    <row r="405" spans="2:6" s="939" customFormat="1" ht="26.1" customHeight="1">
      <c r="B405" s="940"/>
      <c r="E405" s="944"/>
      <c r="F405" s="935"/>
    </row>
    <row r="406" spans="2:6" s="939" customFormat="1" ht="26.1" customHeight="1">
      <c r="B406" s="940"/>
      <c r="E406" s="944"/>
      <c r="F406" s="935"/>
    </row>
    <row r="407" spans="2:6" s="939" customFormat="1" ht="26.1" customHeight="1">
      <c r="B407" s="940"/>
      <c r="E407" s="944"/>
      <c r="F407" s="935"/>
    </row>
    <row r="408" spans="2:6" s="939" customFormat="1" ht="26.1" customHeight="1">
      <c r="B408" s="940"/>
      <c r="E408" s="944"/>
      <c r="F408" s="935"/>
    </row>
    <row r="409" spans="2:6" s="2" customFormat="1" ht="26.1" customHeight="1">
      <c r="B409" s="934"/>
      <c r="C409" s="939"/>
      <c r="E409" s="944"/>
      <c r="F409" s="935"/>
    </row>
    <row r="410" spans="2:6" s="2" customFormat="1" ht="26.1" customHeight="1">
      <c r="B410" s="934"/>
      <c r="C410" s="939"/>
      <c r="E410" s="944"/>
      <c r="F410" s="935"/>
    </row>
    <row r="411" spans="2:6" s="2" customFormat="1" ht="26.1" customHeight="1">
      <c r="B411" s="934"/>
      <c r="C411" s="939"/>
      <c r="E411" s="944"/>
      <c r="F411" s="935"/>
    </row>
    <row r="412" spans="2:6" s="2" customFormat="1" ht="26.1" customHeight="1">
      <c r="B412" s="934"/>
      <c r="C412" s="939"/>
      <c r="E412" s="944"/>
      <c r="F412" s="935"/>
    </row>
  </sheetData>
  <sheetProtection password="C616" sheet="1" objects="1" scenarios="1"/>
  <phoneticPr fontId="7" type="noConversion"/>
  <pageMargins left="0.78740157480314965" right="0.7874015748031496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92"/>
  <sheetViews>
    <sheetView zoomScaleNormal="100" workbookViewId="0"/>
  </sheetViews>
  <sheetFormatPr baseColWidth="10" defaultColWidth="11.5703125" defaultRowHeight="12.75"/>
  <cols>
    <col min="1" max="1" width="3" style="1236" customWidth="1"/>
    <col min="2" max="2" width="21.140625" style="1236" customWidth="1"/>
    <col min="3" max="3" width="9.5703125" style="1236" customWidth="1"/>
    <col min="4" max="4" width="7.28515625" style="1236" customWidth="1"/>
    <col min="5" max="5" width="6" style="1236" customWidth="1"/>
    <col min="6" max="9" width="12.7109375" style="1236" customWidth="1"/>
    <col min="10" max="10" width="3" style="1236" customWidth="1"/>
    <col min="11" max="15" width="10.7109375" style="1236" hidden="1" customWidth="1"/>
    <col min="16" max="16" width="1.85546875" style="1236" hidden="1" customWidth="1"/>
    <col min="17" max="17" width="29.28515625" style="1236" hidden="1" customWidth="1"/>
    <col min="18" max="19" width="10.7109375" style="1236" hidden="1" customWidth="1"/>
    <col min="20" max="20" width="19.5703125" style="1236" hidden="1" customWidth="1"/>
    <col min="21" max="22" width="10.7109375" style="1236" hidden="1" customWidth="1"/>
    <col min="23" max="23" width="11.7109375" style="1236" hidden="1" customWidth="1"/>
    <col min="24" max="26" width="10.7109375" style="1236" hidden="1" customWidth="1"/>
    <col min="27" max="27" width="15.5703125" style="1236" hidden="1" customWidth="1"/>
    <col min="28" max="28" width="16.7109375" style="1236" hidden="1" customWidth="1"/>
    <col min="29" max="32" width="10.7109375" style="1236" hidden="1" customWidth="1"/>
    <col min="33" max="33" width="31.28515625" style="1236" hidden="1" customWidth="1"/>
    <col min="34" max="35" width="10.7109375" style="1236" hidden="1" customWidth="1"/>
    <col min="36" max="36" width="11.5703125" style="1236" hidden="1" customWidth="1"/>
    <col min="37" max="44" width="11.5703125" style="1236" customWidth="1"/>
    <col min="45" max="16384" width="11.5703125" style="1236"/>
  </cols>
  <sheetData>
    <row r="1" spans="1:46" ht="8.25" customHeight="1"/>
    <row r="2" spans="1:46" ht="17.25" customHeight="1">
      <c r="B2" s="2080"/>
      <c r="C2" s="2226"/>
      <c r="D2" s="2226"/>
      <c r="E2" s="2226"/>
      <c r="F2" s="3106" t="str">
        <f>Uebersetzung!$D$607</f>
        <v>Informations complémentaires</v>
      </c>
      <c r="G2" s="3106"/>
      <c r="H2" s="3106"/>
      <c r="I2" s="3107"/>
      <c r="J2" s="2222"/>
    </row>
    <row r="3" spans="1:46" ht="17.25" customHeight="1">
      <c r="B3" s="2082"/>
      <c r="C3" s="2083"/>
      <c r="D3" s="2083"/>
      <c r="E3" s="2083"/>
      <c r="F3" s="3108" t="str">
        <f>Uebersetzung!$D$610</f>
        <v>Construction</v>
      </c>
      <c r="G3" s="3108"/>
      <c r="H3" s="3108"/>
      <c r="I3" s="3109"/>
      <c r="J3" s="2223"/>
      <c r="Q3" s="2268" t="s">
        <v>650</v>
      </c>
      <c r="R3" s="2269"/>
      <c r="S3" s="2269"/>
      <c r="T3" s="2269"/>
      <c r="U3" s="2269"/>
      <c r="V3" s="2269"/>
      <c r="W3" s="2269"/>
      <c r="X3" s="2269"/>
      <c r="Y3" s="2270"/>
      <c r="AA3" s="3085" t="s">
        <v>4577</v>
      </c>
      <c r="AB3" s="3086"/>
      <c r="AC3" s="3084" t="s">
        <v>4647</v>
      </c>
      <c r="AD3" s="3084"/>
      <c r="AE3" s="2399">
        <v>3.67</v>
      </c>
      <c r="AF3" s="2090"/>
    </row>
    <row r="4" spans="1:46" ht="9.9499999999999993" customHeight="1">
      <c r="B4" s="2084"/>
      <c r="C4" s="2085"/>
      <c r="D4" s="2085"/>
      <c r="E4" s="2085"/>
      <c r="F4" s="2085"/>
      <c r="G4" s="2085"/>
      <c r="H4" s="2086"/>
      <c r="I4" s="2225"/>
      <c r="J4" s="2224"/>
      <c r="Q4" s="2271"/>
      <c r="R4" s="2272"/>
      <c r="S4" s="2272"/>
      <c r="T4" s="2272"/>
      <c r="U4" s="2272"/>
      <c r="V4" s="2272"/>
      <c r="W4" s="2272"/>
      <c r="X4" s="2272"/>
      <c r="Y4" s="2273"/>
      <c r="AA4" s="3087"/>
      <c r="AB4" s="3088"/>
      <c r="AC4" s="3088"/>
      <c r="AD4" s="3088"/>
      <c r="AE4" s="3113"/>
      <c r="AF4" s="2090"/>
      <c r="AG4" s="2088" t="s">
        <v>4738</v>
      </c>
      <c r="AH4" s="2083"/>
      <c r="AI4" s="2083"/>
      <c r="AJ4" s="2083"/>
      <c r="AK4" s="2083"/>
      <c r="AL4" s="2083"/>
    </row>
    <row r="5" spans="1:46">
      <c r="Q5" s="2274"/>
      <c r="R5" s="2275"/>
      <c r="S5" s="2275"/>
      <c r="T5" s="2275"/>
      <c r="U5" s="2275"/>
      <c r="V5" s="2275"/>
      <c r="W5" s="2275"/>
      <c r="X5" s="2275"/>
      <c r="Y5" s="2276"/>
      <c r="AA5" s="3089"/>
      <c r="AB5" s="3090"/>
      <c r="AC5" s="3090"/>
      <c r="AD5" s="3090"/>
      <c r="AE5" s="3114"/>
      <c r="AF5" s="2090"/>
      <c r="AG5" s="2089"/>
      <c r="AH5" s="2090"/>
      <c r="AI5" s="2090"/>
      <c r="AJ5" s="2091"/>
      <c r="AK5" s="2092"/>
      <c r="AL5" s="2092"/>
    </row>
    <row r="6" spans="1:46" ht="17.25" customHeight="1">
      <c r="B6" s="2094" t="str">
        <f>Entrées!B13</f>
        <v>Données sur le bâtiment</v>
      </c>
      <c r="C6" s="2081"/>
      <c r="D6" s="2081"/>
      <c r="E6" s="2081"/>
      <c r="F6" s="2081"/>
      <c r="G6" s="2081"/>
      <c r="H6" s="2081"/>
      <c r="I6" s="2095"/>
      <c r="Q6" s="2080"/>
      <c r="R6" s="2065" t="s">
        <v>4156</v>
      </c>
      <c r="S6" s="2065" t="s">
        <v>4157</v>
      </c>
      <c r="T6" s="2097" t="s">
        <v>4156</v>
      </c>
      <c r="U6" s="2098" t="s">
        <v>4157</v>
      </c>
      <c r="V6" s="2065" t="s">
        <v>4156</v>
      </c>
      <c r="W6" s="2065" t="s">
        <v>4157</v>
      </c>
      <c r="X6" s="2097" t="s">
        <v>4156</v>
      </c>
      <c r="Y6" s="2096" t="s">
        <v>4157</v>
      </c>
      <c r="AA6" s="2082"/>
      <c r="AB6" s="2400" t="s">
        <v>3251</v>
      </c>
      <c r="AC6" s="2401" t="s">
        <v>3251</v>
      </c>
      <c r="AD6" s="2400" t="s">
        <v>3251</v>
      </c>
      <c r="AE6" s="2401" t="s">
        <v>3251</v>
      </c>
      <c r="AF6" s="2090"/>
      <c r="AG6" s="2392" t="str">
        <f>Uebersetzung!D33</f>
        <v>Surface de référence énergétique SRE</v>
      </c>
      <c r="AH6" s="2236">
        <f>summe_ebf</f>
        <v>0</v>
      </c>
      <c r="AI6" s="2236"/>
      <c r="AJ6" s="2393" t="str">
        <f>E11</f>
        <v>m2</v>
      </c>
      <c r="AK6" s="2185"/>
      <c r="AL6" s="2089"/>
    </row>
    <row r="7" spans="1:46">
      <c r="B7" s="2084"/>
      <c r="C7" s="2085"/>
      <c r="D7" s="2085"/>
      <c r="E7" s="2085"/>
      <c r="F7" s="2085"/>
      <c r="G7" s="2085"/>
      <c r="H7" s="2085"/>
      <c r="I7" s="2102"/>
      <c r="Q7" s="2082"/>
      <c r="R7" s="2066" t="s">
        <v>4579</v>
      </c>
      <c r="S7" s="2066" t="s">
        <v>4580</v>
      </c>
      <c r="T7" s="2104" t="s">
        <v>4579</v>
      </c>
      <c r="U7" s="2105" t="s">
        <v>4580</v>
      </c>
      <c r="V7" s="2066" t="s">
        <v>4579</v>
      </c>
      <c r="W7" s="2066" t="s">
        <v>4580</v>
      </c>
      <c r="X7" s="2104" t="s">
        <v>4579</v>
      </c>
      <c r="Y7" s="2103" t="s">
        <v>4580</v>
      </c>
      <c r="AA7" s="2082"/>
      <c r="AB7" s="2066" t="s">
        <v>4580</v>
      </c>
      <c r="AC7" s="2103" t="s">
        <v>4580</v>
      </c>
      <c r="AD7" s="2066" t="s">
        <v>4580</v>
      </c>
      <c r="AE7" s="2103" t="s">
        <v>4580</v>
      </c>
      <c r="AF7" s="2090"/>
      <c r="AG7" s="2106" t="str">
        <f>Entrées!B46</f>
        <v>Besoins pour le chauffage effectif avec l'installation de ventilation</v>
      </c>
      <c r="AH7" s="2090">
        <f>Entrées!K46*IF(Einheiten=2,3.6,1)</f>
        <v>0</v>
      </c>
      <c r="AI7" s="2090"/>
      <c r="AJ7" s="2107" t="s">
        <v>191</v>
      </c>
      <c r="AK7" s="2185"/>
      <c r="AL7" s="2090"/>
    </row>
    <row r="8" spans="1:46" s="2089" customFormat="1" ht="18.75" customHeight="1">
      <c r="A8" s="2108" t="str">
        <f>IF(B8&lt;&gt;"","T"&amp;ROW(),"")</f>
        <v>T8</v>
      </c>
      <c r="B8" s="2109" t="str">
        <f>Uebersetzung!D29</f>
        <v>Zone</v>
      </c>
      <c r="C8" s="2110"/>
      <c r="D8" s="2110"/>
      <c r="E8" s="2110"/>
      <c r="F8" s="2111">
        <v>1</v>
      </c>
      <c r="G8" s="2111">
        <v>2</v>
      </c>
      <c r="H8" s="2111">
        <v>3</v>
      </c>
      <c r="I8" s="2112">
        <v>4</v>
      </c>
      <c r="J8" s="2113"/>
      <c r="K8" s="2111">
        <v>1</v>
      </c>
      <c r="L8" s="2111">
        <v>2</v>
      </c>
      <c r="M8" s="2111">
        <v>3</v>
      </c>
      <c r="N8" s="2114">
        <v>4</v>
      </c>
      <c r="O8" s="2112" t="str">
        <f>Uebersetzung!D30</f>
        <v>Somme</v>
      </c>
      <c r="Q8" s="2067" t="s">
        <v>312</v>
      </c>
      <c r="R8" s="3115">
        <v>1</v>
      </c>
      <c r="S8" s="3116"/>
      <c r="T8" s="3115">
        <v>2</v>
      </c>
      <c r="U8" s="3116"/>
      <c r="V8" s="3115">
        <v>3</v>
      </c>
      <c r="W8" s="3116"/>
      <c r="X8" s="3115">
        <v>4</v>
      </c>
      <c r="Y8" s="3116"/>
      <c r="AA8" s="2067" t="s">
        <v>312</v>
      </c>
      <c r="AB8" s="2079">
        <v>1</v>
      </c>
      <c r="AC8" s="2079">
        <v>2</v>
      </c>
      <c r="AD8" s="2079">
        <v>3</v>
      </c>
      <c r="AE8" s="2079">
        <v>4</v>
      </c>
      <c r="AF8" s="2090"/>
      <c r="AG8" s="2106" t="str">
        <f>MINERGIE!B17</f>
        <v>Eau chaude, valeur calculée</v>
      </c>
      <c r="AH8" s="2283">
        <f>qw*3.6</f>
        <v>0</v>
      </c>
      <c r="AI8" s="2090"/>
      <c r="AJ8" s="2107" t="s">
        <v>191</v>
      </c>
      <c r="AK8" s="2185"/>
      <c r="AL8" s="2090"/>
      <c r="AQ8" s="1236"/>
      <c r="AT8" s="1236"/>
    </row>
    <row r="9" spans="1:46" s="2089" customFormat="1" ht="18.75" customHeight="1">
      <c r="A9" s="2108" t="str">
        <f>IF(B11&lt;&gt;"","T"&amp;ROW(),"")</f>
        <v>T9</v>
      </c>
      <c r="B9" s="2115" t="str">
        <f>Uebersetzung!D31</f>
        <v>Catégorie d'ouvrage</v>
      </c>
      <c r="C9" s="2116"/>
      <c r="D9" s="2116"/>
      <c r="E9" s="2116"/>
      <c r="F9" s="2117" t="str">
        <f>GebKat1</f>
        <v xml:space="preserve"> </v>
      </c>
      <c r="G9" s="2117" t="str">
        <f>GebKat2</f>
        <v/>
      </c>
      <c r="H9" s="2117" t="str">
        <f>GebKat3</f>
        <v/>
      </c>
      <c r="I9" s="2118" t="str">
        <f>GebKat4</f>
        <v/>
      </c>
      <c r="J9" s="2090"/>
      <c r="K9" s="2119" t="str">
        <f>IF(Entrées!F16="","",Entrées!F16)</f>
        <v xml:space="preserve"> </v>
      </c>
      <c r="L9" s="2119" t="str">
        <f>IF(Entrées!G16="","",Entrées!G16)</f>
        <v/>
      </c>
      <c r="M9" s="2120" t="str">
        <f>IF(Entrées!H16="","",Entrées!H16)</f>
        <v/>
      </c>
      <c r="N9" s="2120" t="str">
        <f>IF(Entrées!I16="","",Entrées!I16)</f>
        <v/>
      </c>
      <c r="O9" s="2121"/>
      <c r="Q9" s="2122" t="s">
        <v>4582</v>
      </c>
      <c r="R9" s="2068" t="str">
        <f>IF(K12=$R21,VLOOKUP(K9,mx_basiswert_neubau,2,FALSE),"")</f>
        <v/>
      </c>
      <c r="S9" s="2068" t="str">
        <f>IF($K12=R21,VLOOKUP($K9,mx_basiswert_neubau,3,FALSE),"")</f>
        <v/>
      </c>
      <c r="T9" s="2124" t="str">
        <f>IF($L$12=$R21,VLOOKUP($L$9,mx_basiswert_neubau,2,FALSE),"")</f>
        <v/>
      </c>
      <c r="U9" s="2125" t="str">
        <f>IF($L$12=$R21,VLOOKUP($L$9,mx_basiswert_neubau,3,FALSE),"")</f>
        <v/>
      </c>
      <c r="V9" s="2068" t="str">
        <f>IF($M$12=$R21,VLOOKUP($M$9,mx_basiswert_neubau,2,FALSE),"")</f>
        <v/>
      </c>
      <c r="W9" s="2068" t="str">
        <f>IF($M$12=$R21,VLOOKUP($M$9,mx_basiswert_neubau,3,FALSE),"")</f>
        <v/>
      </c>
      <c r="X9" s="2124" t="str">
        <f>IF($N$12=$R21,VLOOKUP($N$9,mx_basiswert_neubau,2,FALSE),"")</f>
        <v/>
      </c>
      <c r="Y9" s="2123" t="str">
        <f>IF($N$12=$R21,VLOOKUP($N$9,mx_basiswert_neubau,3,FALSE),"")</f>
        <v/>
      </c>
      <c r="AA9" s="2227" t="s">
        <v>4582</v>
      </c>
      <c r="AB9" s="2068" t="str">
        <f>IF($K12=R21,VLOOKUP($K9,mx_basiswert_neubau,4,FALSE),"")</f>
        <v/>
      </c>
      <c r="AC9" s="2123" t="str">
        <f>IF($L$12=$R21,VLOOKUP($L$9,mx_basiswert_neubau,4,FALSE),"")</f>
        <v/>
      </c>
      <c r="AD9" s="2068" t="str">
        <f>IF($M$12=$R21,VLOOKUP($M$9,mx_basiswert_neubau,4,FALSE),"")</f>
        <v/>
      </c>
      <c r="AE9" s="2123" t="str">
        <f>IF($N$12=$R21,VLOOKUP($N$9,mx_basiswert_neubau,4,FALSE),"")</f>
        <v/>
      </c>
      <c r="AG9" s="2126" t="s">
        <v>4513</v>
      </c>
      <c r="AH9" s="2091" t="e">
        <f>VLOOKUP(Entrées!I14,tab_hgt,2,FALSE)</f>
        <v>#N/A</v>
      </c>
      <c r="AI9" s="2091"/>
      <c r="AJ9" s="2107" t="s">
        <v>4649</v>
      </c>
      <c r="AK9" s="2284"/>
      <c r="AL9" s="2127"/>
      <c r="AQ9" s="1236"/>
      <c r="AT9" s="1236"/>
    </row>
    <row r="10" spans="1:46" s="2089" customFormat="1" ht="18.75" customHeight="1">
      <c r="A10" s="2108" t="str">
        <f>IF(B12&lt;&gt;"","T"&amp;ROW(),"")</f>
        <v>T10</v>
      </c>
      <c r="B10" s="2128" t="str">
        <f>Uebersetzung!D608</f>
        <v>Type de justification</v>
      </c>
      <c r="C10" s="2129"/>
      <c r="D10" s="2129"/>
      <c r="E10" s="2130"/>
      <c r="F10" s="3110" t="str">
        <f>Entrées!E14</f>
        <v>Preuve officielle</v>
      </c>
      <c r="G10" s="3111"/>
      <c r="H10" s="3111"/>
      <c r="I10" s="3112"/>
      <c r="J10" s="2090"/>
      <c r="Q10" s="2106"/>
      <c r="R10" s="2069"/>
      <c r="S10" s="2070"/>
      <c r="T10" s="2090"/>
      <c r="U10" s="2090"/>
      <c r="V10" s="2069"/>
      <c r="W10" s="2070"/>
      <c r="X10" s="2090"/>
      <c r="Y10" s="2131"/>
      <c r="AA10" s="2277" t="s">
        <v>4189</v>
      </c>
      <c r="AB10" s="2071" t="e">
        <f>VLOOKUP($F$28,mx_spannweite,3,FALSE)</f>
        <v>#N/A</v>
      </c>
      <c r="AC10" s="2140" t="e">
        <f>VLOOKUP($F$28,mx_spannweite,3,FALSE)</f>
        <v>#N/A</v>
      </c>
      <c r="AD10" s="2071" t="e">
        <f>VLOOKUP($F$28,mx_spannweite,3,FALSE)</f>
        <v>#N/A</v>
      </c>
      <c r="AE10" s="2140" t="e">
        <f>VLOOKUP($F$28,mx_spannweite,3,FALSE)</f>
        <v>#N/A</v>
      </c>
      <c r="AG10" s="2126" t="s">
        <v>4583</v>
      </c>
      <c r="AH10" s="2091">
        <v>8.6400000000000005E-2</v>
      </c>
      <c r="AI10" s="2091"/>
      <c r="AJ10" s="2107" t="s">
        <v>4650</v>
      </c>
      <c r="AK10" s="2185"/>
      <c r="AL10" s="2090"/>
      <c r="AM10" s="2090"/>
      <c r="AN10" s="2090"/>
      <c r="AO10" s="2090"/>
      <c r="AQ10" s="1236"/>
      <c r="AT10" s="1236"/>
    </row>
    <row r="11" spans="1:46" s="2089" customFormat="1" ht="18.75" customHeight="1">
      <c r="A11" s="2108" t="str">
        <f>IF(B12&lt;&gt;"","T"&amp;ROW(),"")</f>
        <v>T11</v>
      </c>
      <c r="B11" s="2128" t="str">
        <f>Uebersetzung!D33</f>
        <v>Surface de référence énergétique SRE</v>
      </c>
      <c r="C11" s="2132"/>
      <c r="D11" s="2133" t="s">
        <v>4584</v>
      </c>
      <c r="E11" s="2134" t="s">
        <v>4585</v>
      </c>
      <c r="F11" s="3094">
        <f>summe_ebf</f>
        <v>0</v>
      </c>
      <c r="G11" s="3095"/>
      <c r="H11" s="3095"/>
      <c r="I11" s="3096"/>
      <c r="J11" s="2093"/>
      <c r="K11" s="2135">
        <f>Entrées!O2</f>
        <v>0</v>
      </c>
      <c r="L11" s="2135">
        <f>Entrées!P2</f>
        <v>0</v>
      </c>
      <c r="M11" s="2135">
        <f>Entrées!Q2</f>
        <v>0</v>
      </c>
      <c r="N11" s="2136">
        <f>Entrées!R2</f>
        <v>0</v>
      </c>
      <c r="O11" s="2137">
        <f>SUM(K11:N11)</f>
        <v>0</v>
      </c>
      <c r="Q11" s="2138" t="s">
        <v>4343</v>
      </c>
      <c r="R11" s="2068" t="e">
        <f>INDEX(Oeko!$AS$9:$BE$9,1,Oeko!AU7*3)</f>
        <v>#VALUE!</v>
      </c>
      <c r="S11" s="2068"/>
      <c r="T11" s="2124" t="e">
        <f>INDEX(Oeko!$AS$9:$BE$9,1,Oeko!AX7*3)</f>
        <v>#VALUE!</v>
      </c>
      <c r="U11" s="2139"/>
      <c r="V11" s="2068" t="e">
        <f>INDEX(Oeko!$AS$9:$BE$9,1,Oeko!BA7*3)</f>
        <v>#VALUE!</v>
      </c>
      <c r="W11" s="2071"/>
      <c r="X11" s="2124" t="e">
        <f>INDEX(Oeko!$AS$9:$BE$9,1,Oeko!BD7*3)</f>
        <v>#VALUE!</v>
      </c>
      <c r="Y11" s="2140"/>
      <c r="AA11" s="2126" t="s">
        <v>4206</v>
      </c>
      <c r="AB11" s="2279" t="e">
        <f ca="1">INDEX(INDIRECT(INDEX(mx_matrixbezeichnungen_c_speicherung,MATCH(Construction!$F27,Oeko!B14:B20,0),MATCH(Construction!$K9,Oeko!$C$13:$N$13,0))),MATCH(S12,Oeko!$B$307:$B$579,),MATCH(AB10,Oeko!$D$305:$BK$305,0))</f>
        <v>#N/A</v>
      </c>
      <c r="AC11" s="2238" t="e">
        <f ca="1">INDEX(INDIRECT(INDEX(mx_matrixbezeichnungen_c_speicherung,MATCH(Construction!$F27,Oeko!B14:B20,0),MATCH(Construction!$L9,Oeko!$C$13:$N$13,0))),MATCH(U12,Oeko!$B$307:$B$579,),MATCH(AC10,Oeko!$D$305:$BK$305,0))</f>
        <v>#N/A</v>
      </c>
      <c r="AD11" s="2279" t="e">
        <f ca="1">INDEX(INDIRECT(INDEX(mx_matrixbezeichnungen_c_speicherung,MATCH(Construction!$F27,Oeko!B14:B20,0),MATCH(Construction!$M9,Oeko!$C$13:$N$13,0))),MATCH(W12,Oeko!$B$307:$B$579,),MATCH(AD10,Oeko!$D$305:$BK$305,0))</f>
        <v>#N/A</v>
      </c>
      <c r="AE11" s="2238" t="e">
        <f ca="1">INDEX(INDIRECT(INDEX(mx_matrixbezeichnungen_c_speicherung,MATCH(Construction!$F27,Oeko!B14:B20,0),MATCH(Construction!$N9,Oeko!$C$13:$N$13,0))),MATCH(Y12,Oeko!$B$307:$B$579,),MATCH(AE10,Oeko!$D$305:$BK$305,0))</f>
        <v>#N/A</v>
      </c>
      <c r="AG11" s="2126" t="s">
        <v>4586</v>
      </c>
      <c r="AH11" s="2091" t="e">
        <f>22-VLOOKUP(Entrées!I14,tab_hgt,3,FALSE)</f>
        <v>#N/A</v>
      </c>
      <c r="AI11" s="2091"/>
      <c r="AJ11" s="2107" t="s">
        <v>1696</v>
      </c>
      <c r="AK11" s="2185"/>
      <c r="AL11" s="2090"/>
      <c r="AM11" s="2090"/>
      <c r="AN11" s="2090"/>
      <c r="AQ11" s="1236"/>
      <c r="AT11" s="1236"/>
    </row>
    <row r="12" spans="1:46" s="2089" customFormat="1" ht="18.75" customHeight="1">
      <c r="A12" s="2108" t="str">
        <f t="shared" ref="A12:A31" si="0">IF(B12&lt;&gt;"","T"&amp;ROW(),"")</f>
        <v>T12</v>
      </c>
      <c r="B12" s="2141" t="str">
        <f>Uebersetzung!D34</f>
        <v>Nouvelle construction</v>
      </c>
      <c r="C12" s="2142"/>
      <c r="D12" s="2142"/>
      <c r="E12" s="2143"/>
      <c r="F12" s="3097" t="str">
        <f>IF(AlleZonenNeu,Standardwerte!AA48,Standardwerte!AA49)</f>
        <v>non</v>
      </c>
      <c r="G12" s="3098"/>
      <c r="H12" s="3098"/>
      <c r="I12" s="3099"/>
      <c r="J12" s="2093"/>
      <c r="K12" s="2144" t="str">
        <f>Entrées!F21</f>
        <v xml:space="preserve"> </v>
      </c>
      <c r="L12" s="2144">
        <f>Entrées!G21</f>
        <v>0</v>
      </c>
      <c r="M12" s="2144">
        <f>Entrées!H21</f>
        <v>0</v>
      </c>
      <c r="N12" s="2145">
        <f>Entrées!I21</f>
        <v>0</v>
      </c>
      <c r="O12" s="2146">
        <f>Entrées!J21</f>
        <v>0</v>
      </c>
      <c r="Q12" s="2122" t="s">
        <v>4587</v>
      </c>
      <c r="R12" s="2252" t="e">
        <f>Oeko!AU6</f>
        <v>#VALUE!</v>
      </c>
      <c r="S12" s="2068" t="e">
        <f>R12</f>
        <v>#VALUE!</v>
      </c>
      <c r="T12" s="2253" t="e">
        <f>Oeko!AX6</f>
        <v>#VALUE!</v>
      </c>
      <c r="U12" s="2254" t="e">
        <f>T12</f>
        <v>#VALUE!</v>
      </c>
      <c r="V12" s="2255" t="e">
        <f>Oeko!BA6</f>
        <v>#VALUE!</v>
      </c>
      <c r="W12" s="2256" t="e">
        <f>V12</f>
        <v>#VALUE!</v>
      </c>
      <c r="X12" s="2253" t="e">
        <f>Oeko!BD6</f>
        <v>#VALUE!</v>
      </c>
      <c r="Y12" s="2168" t="e">
        <f>X12</f>
        <v>#VALUE!</v>
      </c>
      <c r="AA12" s="2126" t="s">
        <v>4029</v>
      </c>
      <c r="AB12" s="2074" t="e">
        <f ca="1">IF(F27=Oeko!$A$260,1,INDEX(INDIRECT(INDEX(mx_matrixbezeichnungen_c_speicherung,MATCH(Construction!$F27,Oeko!B14:B20,0),MATCH(Construction!$K9,Oeko!$C$13:$N$13,0))),MATCH(CONCATENATE($B$29&amp;" "&amp;$F$29),Oeko!$C$307:$C$579,0),MATCH(AB10,Oeko!$D$305:$BK$305,0)))</f>
        <v>#N/A</v>
      </c>
      <c r="AC12" s="2179" t="e">
        <f ca="1">IF(F27=Oeko!$A$260,1,INDEX(INDIRECT(INDEX(mx_matrixbezeichnungen_c_speicherung,MATCH(Construction!$F27,Oeko!B14:B20,0),MATCH(Construction!$L9,Oeko!$C$13:$N$13,0))),MATCH(CONCATENATE($B$29&amp;" "&amp;$F29),Oeko!$C$307:$C$579,0),MATCH(AC10,Oeko!$D$305:$BK$305,0)))</f>
        <v>#N/A</v>
      </c>
      <c r="AD12" s="2074" t="e">
        <f ca="1">IF(F27=Oeko!$A$260,1,INDEX(INDIRECT(INDEX(mx_matrixbezeichnungen_c_speicherung,MATCH(Construction!$F27,Oeko!B14:B20,0),MATCH(Construction!$M9,Oeko!$C$13:$N$13,0))),MATCH(CONCATENATE($B$29&amp;" "&amp;$F29),Oeko!$C$307:$C$579,0),MATCH(AD10,Oeko!$D$305:$BK$305,0)))</f>
        <v>#N/A</v>
      </c>
      <c r="AE12" s="2179" t="e">
        <f ca="1">IF(F27=Oeko!$A$260,1,INDEX(INDIRECT(INDEX(mx_matrixbezeichnungen_c_speicherung,MATCH(Construction!$F27,Oeko!B14:B20,0),MATCH(Construction!$N9,Oeko!$C$13:$N$13,0))),MATCH(CONCATENATE($B$29&amp;" "&amp;$F29),Oeko!$C$307:$C$579,0),MATCH(AE10,Oeko!$D$305:$BK$305,0)))</f>
        <v>#N/A</v>
      </c>
      <c r="AG12" s="2126" t="s">
        <v>4652</v>
      </c>
      <c r="AH12" s="2282">
        <f>IF((qh+qw)&gt;0,IF((qw*SUM(U13:U16)+qh*SUM(T13:T16))&gt;0,((R13*T13+R14*T14+R15*T15+R16*T16)*qh+(R13*U13+R14*U14+R15*U15+R16*U16)*qw)/(qw*SUM(U13:U16)+qh*SUM(T13:T16)),1),1)</f>
        <v>1</v>
      </c>
      <c r="AI12" s="2090"/>
      <c r="AJ12" s="2131"/>
      <c r="AK12" s="2185"/>
      <c r="AL12" s="2090"/>
      <c r="AM12" s="2090"/>
      <c r="AN12" s="2090"/>
      <c r="AO12" s="2090"/>
      <c r="AQ12" s="1236"/>
      <c r="AT12" s="1236"/>
    </row>
    <row r="13" spans="1:46" s="2089" customFormat="1" ht="18.75" customHeight="1">
      <c r="A13" s="2108" t="str">
        <f t="shared" si="0"/>
        <v>T13</v>
      </c>
      <c r="B13" s="2141" t="str">
        <f>Uebersetzung!D357</f>
        <v>Facteur d'enveloppe</v>
      </c>
      <c r="C13" s="2142"/>
      <c r="D13" s="2147" t="s">
        <v>4588</v>
      </c>
      <c r="E13" s="2148"/>
      <c r="F13" s="3100" t="str">
        <f>O13</f>
        <v/>
      </c>
      <c r="G13" s="3101"/>
      <c r="H13" s="3101"/>
      <c r="I13" s="3102"/>
      <c r="J13" s="2149"/>
      <c r="K13" s="2144">
        <f>Entrées!F23</f>
        <v>0</v>
      </c>
      <c r="L13" s="2144">
        <f>Entrées!G23</f>
        <v>0</v>
      </c>
      <c r="M13" s="2144">
        <f>Entrées!H23</f>
        <v>0</v>
      </c>
      <c r="N13" s="2144">
        <f>Entrées!I23</f>
        <v>0</v>
      </c>
      <c r="O13" s="2150" t="str">
        <f>Entrées!K23</f>
        <v/>
      </c>
      <c r="Q13" s="2138" t="str">
        <f>Justificatif!H6&amp;"  A"</f>
        <v>Rendement / COPa  A</v>
      </c>
      <c r="R13" s="2168">
        <f>IF(OR(F15=$AA$23,F15=$AA$24),WirkungsgradA,0)</f>
        <v>0</v>
      </c>
      <c r="T13" s="2318">
        <f>IF(OR(F15=$AA$23,F15=$AA$24),Justificatif!J8/100,0)</f>
        <v>0</v>
      </c>
      <c r="U13" s="2318">
        <f>IF(OR(F15=$AA$23,F15=$AA$24),Justificatif!L8/100,0)</f>
        <v>0</v>
      </c>
      <c r="V13" s="2257"/>
      <c r="W13" s="2257"/>
      <c r="X13" s="2257"/>
      <c r="Y13" s="2258"/>
      <c r="AA13" s="2126" t="s">
        <v>4603</v>
      </c>
      <c r="AB13" s="2074" t="e">
        <f ca="1">INDEX(INDIRECT(INDEX(mx_matrixbezeichnungen_c_speicherung,MATCH(Construction!$F$27,Oeko!B14:B20,0),MATCH(Construction!$K$9,Oeko!$C$13:$N$13,0))),MATCH(S24,Oeko!$C$307:$C$579,0),MATCH(AB$10,Oeko!$D$305:$BK$305,0))</f>
        <v>#N/A</v>
      </c>
      <c r="AC13" s="2179" t="e">
        <f ca="1">INDEX(INDIRECT(INDEX(mx_matrixbezeichnungen_c_speicherung,MATCH(Construction!$F27,Oeko!B14:B20,0),MATCH(Construction!$L$9,Oeko!$C$13:$N$13,0))),MATCH(U24,Oeko!$C$307:$C$579,0),MATCH(AC$10,Oeko!$D$305:$BK$305,0))</f>
        <v>#N/A</v>
      </c>
      <c r="AD13" s="2074" t="e">
        <f ca="1">INDEX(INDIRECT(INDEX(mx_matrixbezeichnungen_c_speicherung,MATCH(Construction!$F27,Oeko!B14:B20,0),MATCH(Construction!$M$9,Oeko!$C$13:$N$13,0))),MATCH(W24,Oeko!$C$307:$C$579,0),MATCH(AD$10,Oeko!$D$305:$BK$305,0))</f>
        <v>#N/A</v>
      </c>
      <c r="AE13" s="2179" t="e">
        <f ca="1">INDEX(INDIRECT(INDEX(mx_matrixbezeichnungen_c_speicherung,MATCH(Construction!$F27,Oeko!B14:B20,0),MATCH(Construction!$N$9,Oeko!$C$13:$N$13,0))),MATCH(Y24,Oeko!$C$307:$C$579,0),MATCH(AE$10,Oeko!$D$305:$BK$305,0))</f>
        <v>#N/A</v>
      </c>
      <c r="AG13" s="2106" t="s">
        <v>4756</v>
      </c>
      <c r="AH13" s="2090">
        <v>2</v>
      </c>
      <c r="AI13" s="2090"/>
      <c r="AJ13" s="2131" t="s">
        <v>4757</v>
      </c>
      <c r="AK13" s="2185"/>
      <c r="AL13" s="2090"/>
      <c r="AM13" s="2090"/>
      <c r="AN13" s="2090"/>
      <c r="AO13" s="2090"/>
      <c r="AQ13" s="1236"/>
      <c r="AT13" s="1236"/>
    </row>
    <row r="14" spans="1:46" s="2089" customFormat="1" ht="18.75" customHeight="1">
      <c r="A14" s="2108" t="str">
        <f t="shared" si="0"/>
        <v>T14</v>
      </c>
      <c r="B14" s="2141" t="str">
        <f>Uebersetzung!D463</f>
        <v>Autoproduction d‘électricité</v>
      </c>
      <c r="C14" s="2142"/>
      <c r="D14" s="2152"/>
      <c r="E14" s="2147" t="s">
        <v>1858</v>
      </c>
      <c r="F14" s="3103">
        <f>MINERGIE!E117</f>
        <v>0</v>
      </c>
      <c r="G14" s="3104"/>
      <c r="H14" s="3104"/>
      <c r="I14" s="3105"/>
      <c r="J14" s="2149"/>
      <c r="Q14" s="2138" t="str">
        <f>Justificatif!H6&amp;"  B"</f>
        <v>Rendement / COPa  B</v>
      </c>
      <c r="R14" s="2174">
        <f>IF(OR(F16=$AA$23,F16=$AA$24),WirkungsgradB,)</f>
        <v>0</v>
      </c>
      <c r="T14" s="2319">
        <f>IF(OR(F16=$AA$23,F16=$AA$24),Justificatif!J12/100,0)</f>
        <v>0</v>
      </c>
      <c r="U14" s="2319">
        <f>IF(OR(F16=$AA$23,F16=$AA$24),Justificatif!L12/100,0)</f>
        <v>0</v>
      </c>
      <c r="V14" s="2092"/>
      <c r="W14" s="2092"/>
      <c r="X14" s="2092"/>
      <c r="Y14" s="2259"/>
      <c r="AA14" s="2126" t="s">
        <v>4033</v>
      </c>
      <c r="AB14" s="2074" t="e">
        <f ca="1">INDEX(INDIRECT(INDEX(mx_matrixbezeichnungen_c_speicherung,MATCH(Construction!$F$27,Oeko!B14:B20,0),MATCH(Construction!$K$9,Oeko!$C$13:$N$13,0))),MATCH($F25,Oeko!$C$307:$C$579,0),MATCH(AB$10,Oeko!$D$305:$BK$305,0))</f>
        <v>#N/A</v>
      </c>
      <c r="AC14" s="2179" t="e">
        <f ca="1">INDEX(INDIRECT(INDEX(mx_matrixbezeichnungen_c_speicherung,MATCH(Construction!$F27,Oeko!B14:B20,0),MATCH(Construction!$L$9,Oeko!$C$13:$N$13,0))),MATCH($F25,Oeko!$C$307:$C$579,0),MATCH(AC$10,Oeko!$D$305:$BK$305,0))</f>
        <v>#N/A</v>
      </c>
      <c r="AD14" s="2074" t="e">
        <f ca="1">INDEX(INDIRECT(INDEX(mx_matrixbezeichnungen_c_speicherung,MATCH(Construction!$F27,Oeko!B14:B20,0),MATCH(Construction!$M$9,Oeko!$C$13:$N$13,0))),MATCH($F25,Oeko!$C$307:$C$579,0),MATCH(AD$10,Oeko!$D$305:$BK$305,0))</f>
        <v>#N/A</v>
      </c>
      <c r="AE14" s="2179" t="e">
        <f ca="1">INDEX(INDIRECT(INDEX(mx_matrixbezeichnungen_c_speicherung,MATCH(Construction!$F27,Oeko!B14:B20,0),MATCH(Construction!$N$9,Oeko!$C$13:$N$13,0))),MATCH($F25,Oeko!$C$307:$C$579,0),MATCH(AE$10,Oeko!$D$305:$BK$305,0))</f>
        <v>#N/A</v>
      </c>
      <c r="AG14" s="2126" t="s">
        <v>4589</v>
      </c>
      <c r="AH14" s="2370" t="e">
        <f>(((((AH7*1.25)*AH6)/(AH9*14/24*AH10)*AH11)/1000)+qw*AH6/8760*1.5)/(24-AH13)*24</f>
        <v>#N/A</v>
      </c>
      <c r="AI14" s="2151"/>
      <c r="AJ14" s="2107" t="s">
        <v>4590</v>
      </c>
      <c r="AK14" s="2185"/>
      <c r="AL14" s="2090"/>
      <c r="AM14" s="2090"/>
      <c r="AN14" s="2090"/>
      <c r="AO14" s="2090"/>
      <c r="AQ14" s="1236"/>
      <c r="AT14" s="1236"/>
    </row>
    <row r="15" spans="1:46" s="2089" customFormat="1" ht="18.75" customHeight="1">
      <c r="A15" s="2108" t="str">
        <f t="shared" si="0"/>
        <v>T15</v>
      </c>
      <c r="B15" s="2141" t="str">
        <f>Justificatif!B7</f>
        <v>Production de chaleur A</v>
      </c>
      <c r="C15" s="2142"/>
      <c r="D15" s="2154"/>
      <c r="E15" s="2154"/>
      <c r="F15" s="3091" t="str">
        <f>Justificatif!B8</f>
        <v xml:space="preserve">  </v>
      </c>
      <c r="G15" s="3092"/>
      <c r="H15" s="3092"/>
      <c r="I15" s="3093"/>
      <c r="J15" s="2093"/>
      <c r="K15" s="2122" t="s">
        <v>4592</v>
      </c>
      <c r="L15" s="2110"/>
      <c r="M15" s="2110"/>
      <c r="N15" s="2140" t="b">
        <f>IF(Zonen=0,FALSE,IF(AND(Zonen&gt;0,_neu1=FALSE),FALSE,IF(AND(Zonen&gt;1,_neu2=FALSE),FALSE,IF(AND(Zonen&gt;2,_neu3=FALSE),FALSE,IF(AND(Zonen&gt;3,_neu4=FALSE),FALSE,TRUE)))))</f>
        <v>0</v>
      </c>
      <c r="Q15" s="2138" t="str">
        <f>Justificatif!H6&amp;"  C"</f>
        <v>Rendement / COPa  C</v>
      </c>
      <c r="R15" s="2174">
        <f>IF(OR(F17=$AA$23,F17=$AA$24),WirkungsgradC,0)</f>
        <v>0</v>
      </c>
      <c r="T15" s="2319">
        <f>IF(OR(F17=$AA$23,F17=$AA$24),Justificatif!J16/100,0)</f>
        <v>0</v>
      </c>
      <c r="U15" s="2319">
        <f>IF(OR(F17=$AA$23,F17=$AA$24),Justificatif!L16/100,0)</f>
        <v>0</v>
      </c>
      <c r="V15" s="2092"/>
      <c r="W15" s="2092"/>
      <c r="X15" s="2092"/>
      <c r="Y15" s="2259"/>
      <c r="AA15" s="2126" t="s">
        <v>4034</v>
      </c>
      <c r="AB15" s="2074" t="e">
        <f ca="1">INDEX(INDIRECT(INDEX(mx_matrixbezeichnungen_c_speicherung,MATCH(Construction!$F$27,Oeko!B14:B20,0),MATCH(Construction!$K$9,Oeko!$C$13:$N$13,0))),MATCH($F24,Oeko!$C$307:$C$579,0),MATCH(AB$10,Oeko!$D$305:$BK$305,0))</f>
        <v>#N/A</v>
      </c>
      <c r="AC15" s="2179" t="e">
        <f ca="1">INDEX(INDIRECT(INDEX(mx_matrixbezeichnungen_c_speicherung,MATCH(Construction!$F27,Oeko!B14:B20,0),MATCH(Construction!$L$9,Oeko!$C$13:$N$13,0))),MATCH($F24,Oeko!$C$307:$C$579,0),MATCH(AC$10,Oeko!$D$305:$BK$305,0))</f>
        <v>#N/A</v>
      </c>
      <c r="AD15" s="2074" t="e">
        <f ca="1">INDEX(INDIRECT(INDEX(mx_matrixbezeichnungen_c_speicherung,MATCH(Construction!$F27,Oeko!B14:B20,0),MATCH(Construction!$M$9,Oeko!$C$13:$N$13,0))),MATCH($F24,Oeko!$C$307:$C$579,0),MATCH(AD$10,Oeko!$D$305:$BK$305,0))</f>
        <v>#N/A</v>
      </c>
      <c r="AE15" s="2179" t="e">
        <f ca="1">INDEX(INDIRECT(INDEX(mx_matrixbezeichnungen_c_speicherung,MATCH(Construction!$F27,Oeko!B14:B20,0),MATCH(Construction!$N$9,Oeko!$C$13:$N$13,0))),MATCH($F24,Oeko!$C$307:$C$579,0),MATCH(AE$10,Oeko!$D$305:$BK$305,0))</f>
        <v>#N/A</v>
      </c>
      <c r="AG15" s="2106" t="s">
        <v>4591</v>
      </c>
      <c r="AH15" s="2283" t="e">
        <f>AH14-(AH14/AH12)</f>
        <v>#N/A</v>
      </c>
      <c r="AI15" s="2153"/>
      <c r="AJ15" s="2107" t="s">
        <v>4590</v>
      </c>
      <c r="AK15" s="2160"/>
      <c r="AQ15" s="1236"/>
      <c r="AT15" s="1236"/>
    </row>
    <row r="16" spans="1:46" s="2089" customFormat="1" ht="18.75" customHeight="1">
      <c r="A16" s="2108" t="str">
        <f t="shared" si="0"/>
        <v>T16</v>
      </c>
      <c r="B16" s="2141" t="str">
        <f>Justificatif!B11</f>
        <v>Production de chaleur B</v>
      </c>
      <c r="C16" s="2142"/>
      <c r="D16" s="2154"/>
      <c r="E16" s="2154"/>
      <c r="F16" s="3091" t="str">
        <f>Justificatif!B12</f>
        <v xml:space="preserve">  </v>
      </c>
      <c r="G16" s="3092"/>
      <c r="H16" s="3092"/>
      <c r="I16" s="3093"/>
      <c r="J16" s="2093"/>
      <c r="K16" s="3148" t="s">
        <v>4607</v>
      </c>
      <c r="L16" s="3149"/>
      <c r="M16" s="3150"/>
      <c r="N16" s="2228" t="b">
        <f>IF(GF_1&lt;EBF,TRUE,FALSE)</f>
        <v>0</v>
      </c>
      <c r="Q16" s="2122" t="str">
        <f>Justificatif!H6&amp;"  D"</f>
        <v>Rendement / COPa  D</v>
      </c>
      <c r="R16" s="2174">
        <f>IF(OR(F18=$AA$23,F18=$AA$24),WirkungsgradD,0)</f>
        <v>0</v>
      </c>
      <c r="T16" s="2319">
        <f>IF(OR(F18=$AA$23,F18=$AA$24),Justificatif!J20/100,0)</f>
        <v>0</v>
      </c>
      <c r="U16" s="2319">
        <f>IF(OR(F18=$AA$23,F18=$AA$24),Justificatif!L20/100,0)</f>
        <v>0</v>
      </c>
      <c r="V16" s="2092"/>
      <c r="W16" s="2092"/>
      <c r="X16" s="2092"/>
      <c r="Y16" s="2259"/>
      <c r="Z16" s="2126"/>
      <c r="AA16" s="2126"/>
      <c r="AB16" s="2280"/>
      <c r="AC16" s="2239"/>
      <c r="AD16" s="2280"/>
      <c r="AE16" s="2239"/>
      <c r="AG16" s="2126" t="s">
        <v>4737</v>
      </c>
      <c r="AH16" s="2090">
        <v>35</v>
      </c>
      <c r="AI16" s="2090"/>
      <c r="AJ16" s="2107" t="s">
        <v>4593</v>
      </c>
      <c r="AK16" s="2160"/>
      <c r="AQ16" s="1236"/>
      <c r="AT16" s="1236"/>
    </row>
    <row r="17" spans="1:46" s="2089" customFormat="1" ht="18.75" customHeight="1">
      <c r="A17" s="2108" t="str">
        <f t="shared" si="0"/>
        <v>T17</v>
      </c>
      <c r="B17" s="2141" t="str">
        <f>Justificatif!B15</f>
        <v>Production de chaleur C</v>
      </c>
      <c r="C17" s="2142"/>
      <c r="D17" s="2154"/>
      <c r="E17" s="2154"/>
      <c r="F17" s="3091" t="str">
        <f>Justificatif!B16</f>
        <v xml:space="preserve">  </v>
      </c>
      <c r="G17" s="3092"/>
      <c r="H17" s="3092"/>
      <c r="I17" s="3093"/>
      <c r="J17" s="2093"/>
      <c r="Q17" s="2251" t="str">
        <f>Justificatif!H6&amp;"  E"</f>
        <v>Rendement / COPa  E</v>
      </c>
      <c r="R17" s="2316">
        <f>WirkungsgradE</f>
        <v>0</v>
      </c>
      <c r="T17" s="2317" t="s">
        <v>4651</v>
      </c>
      <c r="U17" s="2317" t="s">
        <v>4653</v>
      </c>
      <c r="V17" s="2261"/>
      <c r="W17" s="2261"/>
      <c r="X17" s="2162"/>
      <c r="Y17" s="2237"/>
      <c r="AA17" s="2228" t="s">
        <v>4648</v>
      </c>
      <c r="AB17" s="2281">
        <f>IFERROR(IF($K$12=$R$21,SUM(AB9,(AB9*AB11)-AB9,(AB9*AB12)-AB9,(AB9*AB13)-AB9,(AB9*AB14)-AB9,(AB9*AB15)-AB9,IF($F$30=$S$21,0,(AB9*Steigungsfaktor_Einlagen_MGHG)-AB9)),0),0)</f>
        <v>0</v>
      </c>
      <c r="AC17" s="2278">
        <f>IFERROR(IF($K$12=$R$21,SUM(AC9,(AC9*AC11)-AC9,(AC9*AC12)-AC9,(AC9*AC13)-AC9,(AC9*AC14)-AC9,(AC9*AC15)-AC9,IF($F$30=$S$21,0,(AC9*Steigungsfaktor_Einlagen_MGHG)-AC9)),0),0)</f>
        <v>0</v>
      </c>
      <c r="AD17" s="2281">
        <f>IFERROR(IF($K$12=$R$21,SUM(AD9,(AD9*AD11)-AD9,(AD9*AD12)-AD9,(AD9*AD13)-AD9,(AD9*AD14)-AD9,(AD9*AD15)-AD9,IF($F$30=$S$21,0,(AD9*Steigungsfaktor_Einlagen_MGHG)-AD9)),0),0)</f>
        <v>0</v>
      </c>
      <c r="AE17" s="2278">
        <f>IFERROR(IF($K$12=$R$21,SUM(AE9,(AE9*AE11)-AE9,(AE9*AE12)-AE9,(AE9*AE13)-AE9,(AE9*AE14)-AE9,(AE9*AE15)-AE9,IF($F$30=$S$21,0,(AE9*Steigungsfaktor_Einlagen_MGHG)-AE9)),0),0)</f>
        <v>0</v>
      </c>
      <c r="AG17" s="2156" t="s">
        <v>4596</v>
      </c>
      <c r="AH17" s="2394">
        <f>ROUNDUP(IFERROR((AH15*1000)/AH16,0),0)</f>
        <v>0</v>
      </c>
      <c r="AI17" s="2394"/>
      <c r="AJ17" s="2157" t="s">
        <v>1496</v>
      </c>
      <c r="AK17" s="2160"/>
      <c r="AQ17" s="1236"/>
      <c r="AT17" s="1236"/>
    </row>
    <row r="18" spans="1:46" s="2089" customFormat="1" ht="18.75" customHeight="1">
      <c r="A18" s="2108" t="str">
        <f t="shared" si="0"/>
        <v>T18</v>
      </c>
      <c r="B18" s="2231" t="str">
        <f>Justificatif!B19</f>
        <v>Production de chaleur D</v>
      </c>
      <c r="C18" s="2232"/>
      <c r="D18" s="2233"/>
      <c r="E18" s="2233"/>
      <c r="F18" s="3117">
        <f>Justificatif!B20</f>
        <v>0</v>
      </c>
      <c r="G18" s="3118"/>
      <c r="H18" s="3118"/>
      <c r="I18" s="3119"/>
      <c r="J18" s="2093"/>
      <c r="K18" s="2155"/>
      <c r="Q18" s="2138" t="s">
        <v>4594</v>
      </c>
      <c r="R18" s="2345">
        <f>IF(AlleZonenNeu,IF($AD$21&gt;0,($AD$21*NRE_erdwaermesonde)/(summe_ebf*Lebensdauer_erdwaermesonde),0),0)</f>
        <v>0</v>
      </c>
      <c r="S18" s="2345">
        <f>IF(AlleZonenNeu,IF($AD$21&gt;0,($AD$21*CO2_erdwaermesonde)/(summe_ebf*Lebensdauer_erdwaermesonde),0),0)</f>
        <v>0</v>
      </c>
      <c r="T18" s="2138" t="s">
        <v>4595</v>
      </c>
      <c r="U18" s="2236"/>
      <c r="V18" s="2236"/>
      <c r="W18" s="2236"/>
      <c r="X18" s="2236"/>
      <c r="Y18" s="2101"/>
      <c r="AG18" s="2186" t="s">
        <v>4733</v>
      </c>
      <c r="AH18" s="2226">
        <f>IF(OR(Justificatif!M8=19,Justificatif!M8=20),Justificatif!G9,0)</f>
        <v>0</v>
      </c>
      <c r="AI18" s="2366">
        <f>IF(AH18&gt;0,1,0)</f>
        <v>0</v>
      </c>
      <c r="AJ18" s="2095" t="b">
        <f>IF($AI$23&gt;0,IF(AND(AH18&gt;0,$AH$23/$AI$23=AH18),TRUE,FALSE),FALSE)</f>
        <v>0</v>
      </c>
      <c r="AK18" s="1236"/>
      <c r="AL18" s="1236"/>
      <c r="AM18" s="1236"/>
      <c r="AN18" s="1236"/>
      <c r="AO18" s="1236"/>
      <c r="AQ18" s="1236"/>
      <c r="AT18" s="1236"/>
    </row>
    <row r="19" spans="1:46" s="2089" customFormat="1" ht="18.75" customHeight="1">
      <c r="A19" s="2108" t="str">
        <f t="shared" si="0"/>
        <v>T19</v>
      </c>
      <c r="B19" s="2158" t="str">
        <f>Justificatif!B23</f>
        <v>Report autres productions de chaleur</v>
      </c>
      <c r="C19" s="2159"/>
      <c r="D19" s="2159"/>
      <c r="E19" s="2159"/>
      <c r="F19" s="3127">
        <f>Justificatif!B24</f>
        <v>0</v>
      </c>
      <c r="G19" s="3128"/>
      <c r="H19" s="3128"/>
      <c r="I19" s="3129"/>
      <c r="K19" s="2155"/>
      <c r="Q19" s="2227" t="s">
        <v>4597</v>
      </c>
      <c r="R19" s="2068">
        <f>IF(AlleZonenNeu,IF(MINERGIE!$E$117="",0,MINERGIE!$E$117*NRE_PV/(summe_ebf*Lebensdauer_PV)),0)</f>
        <v>0</v>
      </c>
      <c r="S19" s="2068">
        <f>IF(AlleZonenNeu,IF(MINERGIE!$E$117="",0,MINERGIE!$E$117*CO2_PV/(summe_ebf*Lebensdauer_PV)),0)</f>
        <v>0</v>
      </c>
      <c r="T19" s="2126" t="s">
        <v>4595</v>
      </c>
      <c r="U19" s="2090"/>
      <c r="V19" s="2090"/>
      <c r="W19" s="2090"/>
      <c r="X19" s="2090"/>
      <c r="Y19" s="2131"/>
      <c r="AA19" s="2289" t="s">
        <v>4210</v>
      </c>
      <c r="AB19" s="2290"/>
      <c r="AC19" s="2290"/>
      <c r="AD19" s="2291"/>
      <c r="AG19" s="2367" t="s">
        <v>4734</v>
      </c>
      <c r="AH19" s="2083">
        <f>IF(OR(Justificatif!M12=19,Justificatif!M12=20),Justificatif!G13,0)</f>
        <v>0</v>
      </c>
      <c r="AI19" s="2368">
        <f t="shared" ref="AI19:AI22" si="1">IF(AH19&gt;0,1,0)</f>
        <v>0</v>
      </c>
      <c r="AJ19" s="2369" t="b">
        <f t="shared" ref="AJ19:AJ21" si="2">IF($AI$23&gt;0,IF(AND(AH19&gt;0,$AH$23/$AI$23=AH19),TRUE,FALSE),FALSE)</f>
        <v>0</v>
      </c>
      <c r="AK19" s="1236"/>
      <c r="AL19" s="1236"/>
      <c r="AM19" s="1236"/>
      <c r="AN19" s="1236"/>
      <c r="AO19" s="1236"/>
      <c r="AQ19" s="1236"/>
      <c r="AT19" s="1236"/>
    </row>
    <row r="20" spans="1:46" s="2089" customFormat="1" ht="17.25" customHeight="1">
      <c r="A20" s="2108"/>
      <c r="B20" s="2094" t="str">
        <f>Uebersetzung!D609</f>
        <v>Données saisies par l'utilisateur</v>
      </c>
      <c r="C20" s="2100"/>
      <c r="D20" s="2100"/>
      <c r="E20" s="2100"/>
      <c r="F20" s="3120" t="str">
        <f>IF(M32,Fehler1,"")</f>
        <v/>
      </c>
      <c r="G20" s="3120"/>
      <c r="H20" s="3120"/>
      <c r="I20" s="3121"/>
      <c r="P20" s="2089">
        <v>1</v>
      </c>
      <c r="Q20" s="2099"/>
      <c r="R20" s="2090"/>
      <c r="S20" s="2090"/>
      <c r="T20" s="2090"/>
      <c r="U20" s="2090"/>
      <c r="V20" s="2090"/>
      <c r="W20" s="2090"/>
      <c r="X20" s="2090"/>
      <c r="Y20" s="2131"/>
      <c r="AA20" s="2300" t="s">
        <v>4214</v>
      </c>
      <c r="AB20" s="2301" t="s">
        <v>4215</v>
      </c>
      <c r="AC20" s="2361" t="s">
        <v>4216</v>
      </c>
      <c r="AD20" s="2363" t="s">
        <v>4732</v>
      </c>
      <c r="AG20" s="2367" t="s">
        <v>4735</v>
      </c>
      <c r="AH20" s="2083">
        <f>IF(OR(Justificatif!M16=19,Justificatif!M16=20),Justificatif!G17,0)</f>
        <v>0</v>
      </c>
      <c r="AI20" s="2368">
        <f t="shared" si="1"/>
        <v>0</v>
      </c>
      <c r="AJ20" s="2369" t="b">
        <f t="shared" si="2"/>
        <v>0</v>
      </c>
      <c r="AK20" s="1236"/>
      <c r="AL20" s="1236"/>
      <c r="AM20" s="1236"/>
      <c r="AN20" s="1236"/>
      <c r="AO20" s="1236"/>
      <c r="AQ20" s="1236"/>
      <c r="AT20" s="1236"/>
    </row>
    <row r="21" spans="1:46" s="2089" customFormat="1" ht="12.75" customHeight="1">
      <c r="A21" s="2108"/>
      <c r="B21" s="2161"/>
      <c r="C21" s="2162"/>
      <c r="D21" s="2162"/>
      <c r="E21" s="2162"/>
      <c r="F21" s="2163"/>
      <c r="G21" s="2163"/>
      <c r="H21" s="2163"/>
      <c r="I21" s="2157"/>
      <c r="K21" s="2166" t="s">
        <v>177</v>
      </c>
      <c r="L21" s="2166" t="s">
        <v>4599</v>
      </c>
      <c r="M21" s="2166" t="s">
        <v>832</v>
      </c>
      <c r="P21" s="2089">
        <v>2</v>
      </c>
      <c r="Q21" s="2126" t="s">
        <v>310</v>
      </c>
      <c r="R21" s="2090" t="str">
        <f>IF(AlleZonenNeu,Uebersetzung!D25,"")</f>
        <v/>
      </c>
      <c r="S21" s="2090" t="str">
        <f>Oeko!V4</f>
        <v>Epaisseur des dalles &lt;= 24 cm</v>
      </c>
      <c r="T21" s="2090" t="b">
        <v>1</v>
      </c>
      <c r="U21" s="2090"/>
      <c r="V21" s="2090"/>
      <c r="W21" s="2090"/>
      <c r="X21" s="2090"/>
      <c r="Y21" s="2131"/>
      <c r="AA21" s="2302">
        <v>130</v>
      </c>
      <c r="AB21" s="2303">
        <v>28.1</v>
      </c>
      <c r="AC21" s="2362">
        <v>50</v>
      </c>
      <c r="AD21" s="2364">
        <f>IF(AH23=0,AH17,IF(AJ23,AH23/AI23,AH23))</f>
        <v>0</v>
      </c>
      <c r="AG21" s="2367" t="s">
        <v>4736</v>
      </c>
      <c r="AH21" s="2085">
        <f>IF(OR(Justificatif!M20=19,Justificatif!M20=20),Justificatif!G21,0)</f>
        <v>0</v>
      </c>
      <c r="AI21" s="2365">
        <f t="shared" si="1"/>
        <v>0</v>
      </c>
      <c r="AJ21" s="2102" t="b">
        <f t="shared" si="2"/>
        <v>0</v>
      </c>
      <c r="AQ21" s="1236"/>
      <c r="AT21" s="1236"/>
    </row>
    <row r="22" spans="1:46" s="2089" customFormat="1" ht="18.75" hidden="1" customHeight="1">
      <c r="A22" s="2108" t="str">
        <f t="shared" si="0"/>
        <v>T22</v>
      </c>
      <c r="B22" s="2109" t="str">
        <f>B8</f>
        <v>Zone</v>
      </c>
      <c r="C22" s="2110"/>
      <c r="D22" s="2110"/>
      <c r="E22" s="2110"/>
      <c r="F22" s="2111">
        <v>1</v>
      </c>
      <c r="G22" s="2111"/>
      <c r="H22" s="2111"/>
      <c r="I22" s="2114"/>
      <c r="J22" s="2113"/>
      <c r="Q22" s="2126" t="s">
        <v>311</v>
      </c>
      <c r="R22" s="2090" t="str">
        <f>IF(AlleZonenNeu,Uebersetzung!D26,"")</f>
        <v/>
      </c>
      <c r="S22" s="2090" t="str">
        <f>Oeko!V5</f>
        <v>Epaisseur des dalles &gt; 24 cm</v>
      </c>
      <c r="T22" s="2090" t="b">
        <v>0</v>
      </c>
      <c r="U22" s="2090"/>
      <c r="V22" s="2090"/>
      <c r="W22" s="2090"/>
      <c r="X22" s="2090"/>
      <c r="Y22" s="2131"/>
      <c r="AA22" s="2297"/>
      <c r="AB22" s="2298"/>
      <c r="AC22" s="2298"/>
      <c r="AD22" s="2294"/>
      <c r="AG22" s="2106"/>
      <c r="AH22" s="2090"/>
      <c r="AI22" s="2368">
        <f t="shared" si="1"/>
        <v>0</v>
      </c>
      <c r="AJ22" s="2369" t="e">
        <f t="shared" ref="AJ22" si="3">IF(AND(AH22&gt;0,$AH$23/$AI$23=AH22),TRUE,FALSE)</f>
        <v>#DIV/0!</v>
      </c>
      <c r="AQ22" s="1236"/>
      <c r="AT22" s="1236"/>
    </row>
    <row r="23" spans="1:46" s="2089" customFormat="1" ht="18.75" customHeight="1">
      <c r="A23" s="2108" t="str">
        <f t="shared" si="0"/>
        <v>T23</v>
      </c>
      <c r="B23" s="3122" t="str">
        <f>Uebersetzung!D611</f>
        <v>Surface de plancher</v>
      </c>
      <c r="C23" s="3123"/>
      <c r="D23" s="2164" t="str">
        <f>Uebersetzung!D699</f>
        <v>SP</v>
      </c>
      <c r="E23" s="2165" t="s">
        <v>4585</v>
      </c>
      <c r="F23" s="3124"/>
      <c r="G23" s="3125"/>
      <c r="H23" s="3125"/>
      <c r="I23" s="3126"/>
      <c r="J23" s="2093"/>
      <c r="M23" s="2169" t="b">
        <f>IF(AND(AlleZonenNeu,OR(GF_1="",GF_1=0)),TRUE,FALSE)</f>
        <v>0</v>
      </c>
      <c r="Q23" s="2229"/>
      <c r="R23" s="2162"/>
      <c r="S23" s="2162"/>
      <c r="T23" s="2162"/>
      <c r="U23" s="2162"/>
      <c r="V23" s="2162"/>
      <c r="W23" s="2162"/>
      <c r="X23" s="2162"/>
      <c r="Y23" s="2237"/>
      <c r="AA23" s="2292" t="str">
        <f>Uebersetzung!D174</f>
        <v>Pompe à chaleur géothermique, que chauffage</v>
      </c>
      <c r="AB23" s="2299"/>
      <c r="AC23" s="2299"/>
      <c r="AD23" s="2293"/>
      <c r="AG23" s="2156"/>
      <c r="AH23" s="2162">
        <f>SUM(AH18:AH21)</f>
        <v>0</v>
      </c>
      <c r="AI23" s="2261">
        <f>SUM(AI18:AI21)</f>
        <v>0</v>
      </c>
      <c r="AJ23" s="2237" t="b">
        <f>OR(AJ18,AJ19,AJ20,AJ21)</f>
        <v>0</v>
      </c>
      <c r="AQ23" s="1236"/>
      <c r="AT23" s="1236"/>
    </row>
    <row r="24" spans="1:46" s="2089" customFormat="1" ht="18.75" customHeight="1">
      <c r="A24" s="2108" t="str">
        <f>IF(B24&lt;&gt;"","T"&amp;ROW(),"")</f>
        <v>T24</v>
      </c>
      <c r="B24" s="3137" t="str">
        <f>Uebersetzung!D619</f>
        <v>Fouille</v>
      </c>
      <c r="C24" s="3138"/>
      <c r="D24" s="2142"/>
      <c r="E24" s="2167" t="str">
        <f t="shared" ref="E24:E31" si="4">IF(M24,Fehler1,"")</f>
        <v/>
      </c>
      <c r="F24" s="3139"/>
      <c r="G24" s="3140"/>
      <c r="H24" s="3140"/>
      <c r="I24" s="3141"/>
      <c r="J24" s="2093"/>
      <c r="K24" s="2168">
        <f>IF(OR(AlleZonenNeu=FALSE,F24=""),1,VLOOKUP(F24,Oeko!AF12:AH18,3,FALSE))</f>
        <v>1</v>
      </c>
      <c r="L24" s="2099" t="b">
        <f>IF(K24=1,FALSE,TRUE)</f>
        <v>0</v>
      </c>
      <c r="M24" s="2175" t="b">
        <f t="shared" ref="M24:M30" si="5">IF(AND(AlleZonenNeu,L24=FALSE),TRUE,FALSE)</f>
        <v>0</v>
      </c>
      <c r="N24" s="2155"/>
      <c r="Q24" s="2156" t="s">
        <v>4031</v>
      </c>
      <c r="R24" s="2263" t="str">
        <f>IF(L26,VLOOKUP($F$26,tab_ug,2,FALSE),"")</f>
        <v/>
      </c>
      <c r="S24" s="2264" t="str">
        <f>IF(L26,VLOOKUP($F$26,tab_ug,2,FALSE),"")</f>
        <v/>
      </c>
      <c r="T24" s="2267" t="str">
        <f>IF(L26,VLOOKUP($F26,tab_ug,2,FALSE),"")</f>
        <v/>
      </c>
      <c r="U24" s="2262" t="str">
        <f>IF(L26,VLOOKUP($F26,tab_ug,2,FALSE),"")</f>
        <v/>
      </c>
      <c r="V24" s="2263" t="str">
        <f>IF(L26,VLOOKUP($F26,tab_ug,2,FALSE),"")</f>
        <v/>
      </c>
      <c r="W24" s="2264" t="str">
        <f>IF(L26,VLOOKUP($F26,tab_ug,2,FALSE),"")</f>
        <v/>
      </c>
      <c r="X24" s="2265" t="str">
        <f>IF(L26,VLOOKUP($F26,tab_ug,2,FALSE),"")</f>
        <v/>
      </c>
      <c r="Y24" s="2266" t="str">
        <f>IF(L26,VLOOKUP($F26,tab_ug,2,FALSE),"")</f>
        <v/>
      </c>
      <c r="AA24" s="2304" t="str">
        <f>Uebersetzung!D175</f>
        <v>Pompe à chaleur géothermique, qu'eau chaude</v>
      </c>
      <c r="AB24" s="2295"/>
      <c r="AC24" s="2295"/>
      <c r="AD24" s="2296"/>
      <c r="AK24" s="1236"/>
      <c r="AL24" s="1236"/>
      <c r="AM24" s="1236"/>
      <c r="AN24" s="1236"/>
      <c r="AO24" s="1236"/>
      <c r="AQ24" s="1236"/>
      <c r="AT24" s="1236"/>
    </row>
    <row r="25" spans="1:46" s="2089" customFormat="1" ht="18.75" customHeight="1">
      <c r="A25" s="2108" t="str">
        <f>IF(B25&lt;&gt;"","T"&amp;ROW(),"")</f>
        <v>T25</v>
      </c>
      <c r="B25" s="3137" t="str">
        <f>Uebersetzung!D618</f>
        <v>Fondation</v>
      </c>
      <c r="C25" s="3138"/>
      <c r="D25" s="2132"/>
      <c r="E25" s="2167" t="str">
        <f t="shared" si="4"/>
        <v/>
      </c>
      <c r="F25" s="3142"/>
      <c r="G25" s="3143"/>
      <c r="H25" s="3143"/>
      <c r="I25" s="3144"/>
      <c r="J25" s="2093"/>
      <c r="K25" s="2174">
        <f>IF(OR(AlleZonenNeu=FALSE,F25=""),1,VLOOKUP(F25,Oeko!AC12:AE17,3,FALSE))</f>
        <v>1</v>
      </c>
      <c r="L25" s="2106" t="b">
        <f t="shared" ref="L25:L30" si="6">IF(K25=1,FALSE,TRUE)</f>
        <v>0</v>
      </c>
      <c r="M25" s="2175" t="b">
        <f t="shared" si="5"/>
        <v>0</v>
      </c>
      <c r="Q25" s="2170" t="s">
        <v>4600</v>
      </c>
      <c r="R25" s="2072" t="e">
        <f>VLOOKUP($F$28,Oeko!$AJ$13:$AL$19,2,FALSE)</f>
        <v>#N/A</v>
      </c>
      <c r="S25" s="2073" t="e">
        <f>VLOOKUP($F$28,Oeko!$AJ$13:$AL$19,3,FALSE)</f>
        <v>#N/A</v>
      </c>
      <c r="T25" s="2172" t="e">
        <f>VLOOKUP($F$28,Oeko!$AJ$13:$AL$19,2,FALSE)</f>
        <v>#N/A</v>
      </c>
      <c r="U25" s="2173" t="e">
        <f>VLOOKUP($F$28,Oeko!$AJ$13:$AL$19,3,FALSE)</f>
        <v>#N/A</v>
      </c>
      <c r="V25" s="2072" t="e">
        <f>VLOOKUP($F$28,Oeko!$AJ$13:$AL$19,2,FALSE)</f>
        <v>#N/A</v>
      </c>
      <c r="W25" s="2073" t="e">
        <f>VLOOKUP($F$28,Oeko!$AJ$13:$AL$19,3,FALSE)</f>
        <v>#N/A</v>
      </c>
      <c r="X25" s="2235" t="e">
        <f>VLOOKUP($F$28,Oeko!$AJ$13:$AL$19,2,FALSE)</f>
        <v>#N/A</v>
      </c>
      <c r="Y25" s="2171" t="e">
        <f>VLOOKUP($F$28,Oeko!$AJ$13:$AL$19,3,FALSE)</f>
        <v>#N/A</v>
      </c>
      <c r="AK25" s="1236"/>
      <c r="AL25" s="1236"/>
      <c r="AM25" s="1236"/>
      <c r="AN25" s="1236"/>
      <c r="AO25" s="1236"/>
      <c r="AQ25" s="1236"/>
      <c r="AT25" s="1236"/>
    </row>
    <row r="26" spans="1:46" s="2089" customFormat="1" ht="24" customHeight="1">
      <c r="A26" s="2108" t="str">
        <f>IF(B26&lt;&gt;"","T"&amp;ROW(),"")</f>
        <v>T26</v>
      </c>
      <c r="B26" s="3137" t="str">
        <f>Uebersetzung!D616</f>
        <v>Composition du sous sol</v>
      </c>
      <c r="C26" s="3138"/>
      <c r="D26" s="2142"/>
      <c r="E26" s="2167" t="str">
        <f t="shared" si="4"/>
        <v/>
      </c>
      <c r="F26" s="3145"/>
      <c r="G26" s="3146"/>
      <c r="H26" s="3146"/>
      <c r="I26" s="3147"/>
      <c r="J26" s="2093"/>
      <c r="K26" s="2174">
        <f>IF(OR(AlleZonenNeu=FALSE,F26=""),1,VLOOKUP(F26,Oeko!Y12:AB17,4,FALSE))</f>
        <v>1</v>
      </c>
      <c r="L26" s="2106" t="b">
        <f t="shared" si="6"/>
        <v>0</v>
      </c>
      <c r="M26" s="2175" t="b">
        <f t="shared" si="5"/>
        <v>0</v>
      </c>
      <c r="Q26" s="2122" t="s">
        <v>4206</v>
      </c>
      <c r="R26" s="2242">
        <f ca="1">IF(L27,INDEX(INDIRECT(INDEX(mx_matrixbezeichnungen,MATCH(Construction!$F27,Oeko!$B$4:$B$10,0),MATCH(Construction!$K9,Oeko!$C$3:$N$3,0))),MATCH(R12,Oeko!$B$26:$B$298,),MATCH(R25,Oeko!$D$24:$DS$24,0)),1)</f>
        <v>1</v>
      </c>
      <c r="S26" s="2240">
        <f ca="1">IF(L27,INDEX(INDIRECT(INDEX(mx_matrixbezeichnungen,MATCH(Construction!$F27,Oeko!$B$4:$B$10,0),MATCH(Construction!$K9,Oeko!$C$3:$N$3,0))),MATCH(S12,Oeko!$B$26:$B$298,),MATCH(S25,Oeko!$D$24:$DS$24,0)),1)</f>
        <v>1</v>
      </c>
      <c r="T26" s="2245">
        <f ca="1">IF(L27,INDEX(INDIRECT(INDEX(mx_matrixbezeichnungen,MATCH(Construction!$F27,Oeko!$B$4:$B$10,0),MATCH(Construction!$L9,Oeko!$C$3:$N$3,0))),MATCH(T12,Oeko!$B$26:$B$298,),MATCH(T25,Oeko!$D$24:$DS$24,0)),1)</f>
        <v>1</v>
      </c>
      <c r="U26" s="2243">
        <f ca="1">IF(L27,INDEX(INDIRECT(INDEX(mx_matrixbezeichnungen,MATCH(Construction!$F27,Oeko!$B$4:$B$10,0),MATCH(Construction!$L9,Oeko!$C$3:$N$3,0))),MATCH(U12,Oeko!$B$26:$B$298,),MATCH(U25,Oeko!$D$24:$DS$24,0)),1)</f>
        <v>1</v>
      </c>
      <c r="V26" s="2242">
        <f ca="1">IF(L27,INDEX(INDIRECT(INDEX(mx_matrixbezeichnungen,MATCH(Construction!$F27,Oeko!$B$4:$B$10,0),MATCH(Construction!$M9,Oeko!$C$3:$N$3,0))),MATCH(V12,Oeko!$B$26:$B$298,),MATCH(V25,Oeko!$D$24:$DS$24,0)),1)</f>
        <v>1</v>
      </c>
      <c r="W26" s="2240">
        <f ca="1">IF(L27,INDEX(INDIRECT(INDEX(mx_matrixbezeichnungen,MATCH(Construction!$F27,Oeko!$B$4:$B$10,0),MATCH(Construction!$M9,Oeko!$C$3:$N$3,0))),MATCH(W12,Oeko!$B$26:$B$298,),MATCH(W25,Oeko!$D$24:$DS$24,0)),1)</f>
        <v>1</v>
      </c>
      <c r="X26" s="2245">
        <f ca="1">IF(L27,INDEX(INDIRECT(INDEX(mx_matrixbezeichnungen,MATCH(Construction!$F27,Oeko!$B$4:$B$10,0),MATCH(Construction!$N9,Oeko!$C$3:$N$3,0))),MATCH(X12,Oeko!$B$26:$B$298,),MATCH(X25,Oeko!$D$24:$DS$24,0)),1)</f>
        <v>1</v>
      </c>
      <c r="Y26" s="2245">
        <f ca="1">IF(L27,INDEX(INDIRECT(INDEX(mx_matrixbezeichnungen,MATCH(Construction!$F27,Oeko!$B$4:$B$10,0),MATCH(Construction!$N9,Oeko!$C$3:$N$3,0))),MATCH(Y12,Oeko!$B$26:$B$298,),MATCH(Y25,Oeko!$D$24:$DS$24,0)),1)</f>
        <v>1</v>
      </c>
      <c r="Z26" s="2155" t="s">
        <v>4601</v>
      </c>
      <c r="AK26" s="1236"/>
      <c r="AL26" s="1236"/>
      <c r="AM26" s="1236"/>
      <c r="AN26" s="1236"/>
      <c r="AO26" s="1236"/>
      <c r="AQ26" s="1236"/>
      <c r="AT26" s="1236"/>
    </row>
    <row r="27" spans="1:46" s="2089" customFormat="1" ht="18.75" customHeight="1">
      <c r="A27" s="2108" t="str">
        <f t="shared" si="0"/>
        <v>T27</v>
      </c>
      <c r="B27" s="3137" t="str">
        <f>Uebersetzung!D612</f>
        <v>Typologie de construction</v>
      </c>
      <c r="C27" s="3138"/>
      <c r="D27" s="2142"/>
      <c r="E27" s="2167" t="str">
        <f t="shared" si="4"/>
        <v/>
      </c>
      <c r="F27" s="3139"/>
      <c r="G27" s="3140"/>
      <c r="H27" s="3140"/>
      <c r="I27" s="3141"/>
      <c r="J27" s="2176"/>
      <c r="K27" s="2174">
        <f>IF(OR(AlleZonenNeu=FALSE,F27=""),1,VLOOKUP(F27,Oeko!P12:T19,5,FALSE))</f>
        <v>1</v>
      </c>
      <c r="L27" s="2106" t="b">
        <f t="shared" si="6"/>
        <v>0</v>
      </c>
      <c r="M27" s="2175" t="b">
        <f t="shared" si="5"/>
        <v>0</v>
      </c>
      <c r="Q27" s="2122" t="s">
        <v>4029</v>
      </c>
      <c r="R27" s="2074">
        <f ca="1">IF(L29,IF(F27=Oeko!$A$260,1,INDEX(INDIRECT(INDEX(mx_matrixbezeichnungen,MATCH(Construction!$F27,Oeko!$B$4:$B$10,0),MATCH(Construction!$K9,Oeko!$C$3:$N$3,0))),MATCH(CONCATENATE($B$29&amp;" "&amp;$F$29),Oeko!$C$26:$C$298,0),MATCH(R25,Oeko!$D$24:$DS$24,0))),1)</f>
        <v>1</v>
      </c>
      <c r="S27" s="2241">
        <f ca="1">IF(L29,IF(F27=Oeko!$A$260,1,INDEX(INDIRECT(INDEX(mx_matrixbezeichnungen,MATCH(Construction!$F27,Oeko!$B$4:$B$10,0),MATCH(Construction!$K9,Oeko!$C$3:$N$3,0))),MATCH(CONCATENATE($B$29&amp;" "&amp;$F$29),Oeko!$C$26:$C$298,0),MATCH(S25,Oeko!$D$24:$DS$24,0))),1)</f>
        <v>1</v>
      </c>
      <c r="T27" s="2179">
        <f ca="1">IF(L29,IF(F27=Oeko!$A$260,1,INDEX(INDIRECT(INDEX(mx_matrixbezeichnungen,MATCH(Construction!$F27,Oeko!$B$4:$B$10,0),MATCH(Construction!$L9,Oeko!$C$3:$N$3,0))),MATCH(CONCATENATE($B$29&amp;" "&amp;$F$29),Oeko!$C$26:$C$298,0),MATCH(T25,Oeko!$D$24:$DS$24,0))),1)</f>
        <v>1</v>
      </c>
      <c r="U27" s="2244">
        <f ca="1">IF(L29,IF(F27=Oeko!$A$260,1,INDEX(INDIRECT(INDEX(mx_matrixbezeichnungen,MATCH(Construction!$F27,Oeko!$B$4:$B$10,0),MATCH(Construction!$L9,Oeko!$C$3:$N$3,0))),MATCH(CONCATENATE($B$29&amp;" "&amp;$F29),Oeko!$C$26:$C$298,0),MATCH(U25,Oeko!$D$24:$DS$24,0))),1)</f>
        <v>1</v>
      </c>
      <c r="V27" s="2074">
        <f ca="1">IF(L29,IF(F27=Oeko!$A$260,1,INDEX(INDIRECT(INDEX(mx_matrixbezeichnungen,MATCH(Construction!$F27,Oeko!$B$4:$B$10,0),MATCH(Construction!$M9,Oeko!$C$3:$N$3,0))),MATCH(CONCATENATE($B$29&amp;" "&amp;$F29),Oeko!$C$26:$C$298,0),MATCH(V25,Oeko!$D$24:$DS$24,0))),1)</f>
        <v>1</v>
      </c>
      <c r="W27" s="2241">
        <f ca="1">IF(L29,IF(F27=Oeko!$A$260,1,INDEX(INDIRECT(INDEX(mx_matrixbezeichnungen,MATCH(Construction!$F27,Oeko!$B$4:$B$10,0),MATCH(Construction!$M9,Oeko!$C$3:$N$3,0))),MATCH(CONCATENATE($B$29&amp;" "&amp;$F29),Oeko!$C$26:$C$298,0),MATCH(W25,Oeko!$D$24:$DS$24,0))),1)</f>
        <v>1</v>
      </c>
      <c r="X27" s="2179">
        <f ca="1">IF(L29,IF(F27=Oeko!$A$260,1,INDEX(INDIRECT(INDEX(mx_matrixbezeichnungen,MATCH(Construction!$F27,Oeko!$B$4:$B$10,0),MATCH(Construction!$N9,Oeko!$C$3:$N$3,0))),MATCH(CONCATENATE($B$29&amp;" "&amp;$F29),Oeko!$C$26:$C$298,0),MATCH(X25,Oeko!$D$24:$DS$24,0))),1)</f>
        <v>1</v>
      </c>
      <c r="Y27" s="2179">
        <f ca="1">IF(L29,IF(F27=Oeko!$A$260,1,INDEX(INDIRECT(INDEX(mx_matrixbezeichnungen,MATCH(Construction!$F27,Oeko!$B$4:$B$10,0),MATCH(Construction!$N9,Oeko!$C$3:$N$3,0))),MATCH(CONCATENATE($B$29&amp;" "&amp;$F29),Oeko!$C$26:$C$298,0),MATCH(Y25,Oeko!$D$24:$DS$24,0))),1)</f>
        <v>1</v>
      </c>
      <c r="Z27" s="2155" t="s">
        <v>4602</v>
      </c>
      <c r="AA27" s="3075" t="s">
        <v>319</v>
      </c>
      <c r="AB27" s="3076"/>
      <c r="AC27" s="3076"/>
      <c r="AD27" s="3076"/>
      <c r="AG27" s="2285" t="s">
        <v>4578</v>
      </c>
      <c r="AH27" s="2226"/>
      <c r="AI27" s="2095"/>
      <c r="AK27" s="1236"/>
      <c r="AL27" s="1236"/>
      <c r="AM27" s="1236"/>
      <c r="AN27" s="1236"/>
      <c r="AO27" s="1236"/>
      <c r="AQ27" s="1236"/>
      <c r="AT27" s="1236"/>
    </row>
    <row r="28" spans="1:46" s="2089" customFormat="1" ht="18.75" customHeight="1">
      <c r="A28" s="2108" t="str">
        <f>IF(B28&lt;&gt;"","T"&amp;ROW(),"")</f>
        <v>T28</v>
      </c>
      <c r="B28" s="3137" t="str">
        <f>Uebersetzung!D617</f>
        <v>Structure porteuse</v>
      </c>
      <c r="C28" s="3138"/>
      <c r="D28" s="2142"/>
      <c r="E28" s="2167" t="str">
        <f t="shared" si="4"/>
        <v/>
      </c>
      <c r="F28" s="3142"/>
      <c r="G28" s="3143"/>
      <c r="H28" s="3143"/>
      <c r="I28" s="3144"/>
      <c r="J28" s="2176"/>
      <c r="K28" s="2174">
        <f>IF(OR(AlleZonenNeu=FALSE,F28=""),1,VLOOKUP(F28,Oeko!AI12:AM17,5,FALSE))</f>
        <v>1</v>
      </c>
      <c r="L28" s="2106" t="b">
        <f t="shared" si="6"/>
        <v>0</v>
      </c>
      <c r="M28" s="2175" t="b">
        <f t="shared" si="5"/>
        <v>0</v>
      </c>
      <c r="Q28" s="2122" t="s">
        <v>4603</v>
      </c>
      <c r="R28" s="2074">
        <f ca="1">IF(L26,INDEX(INDIRECT(INDEX(mx_matrixbezeichnungen,MATCH(Construction!$F$27,Oeko!$B$4:$B$10,0),MATCH(Construction!$K$9,Oeko!$C$3:$N$3,0))),MATCH(R24,Oeko!$C$26:$C$298,0),MATCH(R$25,Oeko!$D$24:$DS$24,0)),1)</f>
        <v>1</v>
      </c>
      <c r="S28" s="2241">
        <f ca="1">IF(L26,INDEX(INDIRECT(INDEX(mx_matrixbezeichnungen,MATCH(Construction!$F$27,Oeko!$B$4:$B$10,0),MATCH(Construction!$K$9,Oeko!$C$3:$N$3,0))),MATCH(S24,Oeko!$C$26:$C$298,0),MATCH(S$25,Oeko!$D$24:$DS$24,0)),1)</f>
        <v>1</v>
      </c>
      <c r="T28" s="2179">
        <f ca="1">IF(L26,INDEX(INDIRECT(INDEX(mx_matrixbezeichnungen,MATCH(Construction!$F27,Oeko!$B$4:$B$10,0),MATCH(Construction!$L$9,Oeko!$C$3:$N$3,0))),MATCH(T24,Oeko!$C$26:$C$298,0),MATCH(T$25,Oeko!$D$24:$DS$24,0)),1)</f>
        <v>1</v>
      </c>
      <c r="U28" s="2244">
        <f ca="1">IF(L26,INDEX(INDIRECT(INDEX(mx_matrixbezeichnungen,MATCH(Construction!$F27,Oeko!$B$4:$B$10,0),MATCH(Construction!$L$9,Oeko!$C$3:$N$3,0))),MATCH(U24,Oeko!$C$26:$C$298,0),MATCH(U$25,Oeko!$D$24:$DS$24,0)),1)</f>
        <v>1</v>
      </c>
      <c r="V28" s="2074">
        <f ca="1">IF(L26,INDEX(INDIRECT(INDEX(mx_matrixbezeichnungen,MATCH(Construction!$F27,Oeko!$B$4:$B$10,0),MATCH(Construction!$M$9,Oeko!$C$3:$N$3,0))),MATCH(V24,Oeko!$C$26:$C$298,0),MATCH(V$25,Oeko!$D$24:$DS$24,0)),1)</f>
        <v>1</v>
      </c>
      <c r="W28" s="2241">
        <f ca="1">IF(L26,INDEX(INDIRECT(INDEX(mx_matrixbezeichnungen,MATCH(Construction!$F27,Oeko!$B$4:$B$10,0),MATCH(Construction!$M$9,Oeko!$C$3:$N$3,0))),MATCH(W24,Oeko!$C$26:$C$298,0),MATCH(W$25,Oeko!$D$24:$DS$24,0)),1)</f>
        <v>1</v>
      </c>
      <c r="X28" s="2179">
        <f ca="1">IF(L26,INDEX(INDIRECT(INDEX(mx_matrixbezeichnungen,MATCH(Construction!$F27,Oeko!$B$4:$B$10,0),MATCH(Construction!$N$9,Oeko!$C$3:$N$3,0))),MATCH(X24,Oeko!$C$26:$C$298,0),MATCH(X$25,Oeko!$D$24:$DS$24,0)),1)</f>
        <v>1</v>
      </c>
      <c r="Y28" s="2179">
        <f ca="1">IF(L26,INDEX(INDIRECT(INDEX(mx_matrixbezeichnungen,MATCH(Construction!$F27,Oeko!$B$4:$B$10,0),MATCH(Construction!$N$9,Oeko!$C$3:$N$3,0))),MATCH(Y24,Oeko!$C$26:$C$298,0),MATCH(Y$25,Oeko!$D$24:$DS$24,0)),1)</f>
        <v>1</v>
      </c>
      <c r="Z28" s="2155" t="s">
        <v>4602</v>
      </c>
      <c r="AA28" s="1948" t="s">
        <v>4153</v>
      </c>
      <c r="AB28" s="2305" t="s">
        <v>4154</v>
      </c>
      <c r="AC28" s="3077" t="s">
        <v>4155</v>
      </c>
      <c r="AD28" s="3078"/>
      <c r="AG28" s="2260">
        <f>MINERGIE!E117*flaeche_pro_kW_PV</f>
        <v>0</v>
      </c>
      <c r="AH28" s="2093" t="s">
        <v>321</v>
      </c>
      <c r="AI28" s="2259"/>
      <c r="AK28" s="1236"/>
      <c r="AL28" s="1236"/>
      <c r="AM28" s="1236"/>
      <c r="AN28" s="1236"/>
      <c r="AO28" s="1236"/>
      <c r="AQ28" s="1236"/>
      <c r="AT28" s="1236"/>
    </row>
    <row r="29" spans="1:46" s="2089" customFormat="1" ht="18.75" customHeight="1">
      <c r="A29" s="2108" t="str">
        <f>IF(B29&lt;&gt;"","T"&amp;ROW(),"")</f>
        <v>T29</v>
      </c>
      <c r="B29" s="3137" t="str">
        <f>Uebersetzung!D614</f>
        <v>Proportion de fenêtres</v>
      </c>
      <c r="C29" s="3138"/>
      <c r="D29" s="2177" t="s">
        <v>2482</v>
      </c>
      <c r="E29" s="2167" t="str">
        <f t="shared" si="4"/>
        <v/>
      </c>
      <c r="F29" s="3158"/>
      <c r="G29" s="3159"/>
      <c r="H29" s="3159"/>
      <c r="I29" s="3160"/>
      <c r="J29" s="2176"/>
      <c r="K29" s="2174">
        <f>IF(OR(AlleZonenNeu=FALSE,F29=""),1,VLOOKUP(F29,Oeko!U9:W20,3,FALSE))</f>
        <v>1</v>
      </c>
      <c r="L29" s="2106" t="b">
        <f t="shared" si="6"/>
        <v>0</v>
      </c>
      <c r="M29" s="2175" t="b">
        <f t="shared" si="5"/>
        <v>0</v>
      </c>
      <c r="P29" s="1236"/>
      <c r="Q29" s="2122" t="s">
        <v>4033</v>
      </c>
      <c r="R29" s="2074">
        <f ca="1">IF(L25,INDEX(INDIRECT(INDEX(mx_matrixbezeichnungen,MATCH(Construction!$F$27,Oeko!$B$4:$B$10,0),MATCH(Construction!$K$9,Oeko!$C$3:$N$3,0))),MATCH($F25,Oeko!$C$26:$C$298,0),MATCH(R$25,Oeko!$D$24:$DS$24,0)),1)</f>
        <v>1</v>
      </c>
      <c r="S29" s="2241">
        <f ca="1">IF(L25,INDEX(INDIRECT(INDEX(mx_matrixbezeichnungen,MATCH(Construction!$F$27,Oeko!$B$4:$B$10,0),MATCH(Construction!$K$9,Oeko!$C$3:$N$3,0))),MATCH($F25,Oeko!$C$26:$C$298,0),MATCH(S$25,Oeko!$D$24:$DS$24,0)),1)</f>
        <v>1</v>
      </c>
      <c r="T29" s="2179">
        <f ca="1">IF(L25,INDEX(INDIRECT(INDEX(mx_matrixbezeichnungen,MATCH(Construction!$F27,Oeko!$B$4:$B$10,0),MATCH(Construction!$L$9,Oeko!$C$3:$N$3,0))),MATCH($F25,Oeko!$C$26:$C$298,0),MATCH(T$25,Oeko!$D$24:$DS$24,0)),1)</f>
        <v>1</v>
      </c>
      <c r="U29" s="2244">
        <f ca="1">IF(L25,INDEX(INDIRECT(INDEX(mx_matrixbezeichnungen,MATCH(Construction!$F27,Oeko!$B$4:$B$10,0),MATCH(Construction!$L$9,Oeko!$C$3:$N$3,0))),MATCH($F25,Oeko!$C$26:$C$298,0),MATCH(U$25,Oeko!$D$24:$DS$24,0)),1)</f>
        <v>1</v>
      </c>
      <c r="V29" s="2074">
        <f ca="1">IF(L25,INDEX(INDIRECT(INDEX(mx_matrixbezeichnungen,MATCH(Construction!$F27,Oeko!$B$4:$B$10,0),MATCH(Construction!$M$9,Oeko!$C$3:$N$3,0))),MATCH($F25,Oeko!$C$26:$C$298,0),MATCH(V$25,Oeko!$D$24:$DS$24,0)),1)</f>
        <v>1</v>
      </c>
      <c r="W29" s="2241">
        <f ca="1">IF(L25,INDEX(INDIRECT(INDEX(mx_matrixbezeichnungen,MATCH(Construction!$F27,Oeko!$B$4:$B$10,0),MATCH(Construction!$M$9,Oeko!$C$3:$N$3,0))),MATCH($F25,Oeko!$C$26:$C$298,0),MATCH(W$25,Oeko!$D$24:$DS$24,0)),1)</f>
        <v>1</v>
      </c>
      <c r="X29" s="2179">
        <f ca="1">IF(L25,INDEX(INDIRECT(INDEX(mx_matrixbezeichnungen,MATCH(Construction!$F27,Oeko!$B$4:$B$10,0),MATCH(Construction!$N$9,Oeko!$C$3:$N$3,0))),MATCH($F25,Oeko!$C$26:$C$298,0),MATCH(X$25,Oeko!$D$24:$DS$24,0)),1)</f>
        <v>1</v>
      </c>
      <c r="Y29" s="2179">
        <f ca="1">IF(L25,INDEX(INDIRECT(INDEX(mx_matrixbezeichnungen,MATCH(Construction!$F27,Oeko!$B$4:$B$10,0),MATCH(Construction!$N$9,Oeko!$C$3:$N$3,0))),MATCH($F25,Oeko!$C$26:$C$298,0),MATCH(Y$25,Oeko!$D$24:$DS$24,0)),1)</f>
        <v>1</v>
      </c>
      <c r="Z29" s="2155" t="s">
        <v>4602</v>
      </c>
      <c r="AA29" s="2302">
        <v>7390</v>
      </c>
      <c r="AB29" s="2303">
        <v>2080</v>
      </c>
      <c r="AC29" s="3079">
        <v>30</v>
      </c>
      <c r="AD29" s="3080"/>
      <c r="AG29" s="2106"/>
      <c r="AH29" s="2090"/>
      <c r="AI29" s="2131"/>
      <c r="AK29" s="1236"/>
      <c r="AL29" s="1236"/>
      <c r="AM29" s="1236"/>
      <c r="AN29" s="1236"/>
      <c r="AO29" s="1236"/>
      <c r="AQ29" s="1236"/>
      <c r="AT29" s="1236"/>
    </row>
    <row r="30" spans="1:46" s="2089" customFormat="1" ht="18.75" customHeight="1">
      <c r="A30" s="2108" t="str">
        <f>IF(B30&lt;&gt;"","T"&amp;ROW(),"")</f>
        <v>T30</v>
      </c>
      <c r="B30" s="2141" t="str">
        <f>Uebersetzung!D615</f>
        <v>Epaisseur des dalles</v>
      </c>
      <c r="C30" s="2406"/>
      <c r="D30" s="2178"/>
      <c r="E30" s="2167" t="str">
        <f t="shared" si="4"/>
        <v/>
      </c>
      <c r="F30" s="3158"/>
      <c r="G30" s="3159"/>
      <c r="H30" s="3159"/>
      <c r="I30" s="3160"/>
      <c r="J30" s="2176"/>
      <c r="K30" s="2174">
        <f>IF(OR(AlleZonenNeu=FALSE,F30=""),1,VLOOKUP(F30,Oeko!U3:W5,3,FALSE))</f>
        <v>1</v>
      </c>
      <c r="L30" s="2106" t="b">
        <f t="shared" si="6"/>
        <v>0</v>
      </c>
      <c r="M30" s="2175" t="b">
        <f t="shared" si="5"/>
        <v>0</v>
      </c>
      <c r="P30" s="1236"/>
      <c r="Q30" s="2122" t="s">
        <v>4034</v>
      </c>
      <c r="R30" s="2074">
        <f ca="1">IF(L24,INDEX(INDIRECT(INDEX(mx_matrixbezeichnungen,MATCH(Construction!$F$27,Oeko!$B$4:$B$10,0),MATCH(Construction!$K$9,Oeko!$C$3:$N$3,0))),MATCH($F24,Oeko!$C$26:$C$298,0),MATCH(R$25,Oeko!$D$24:$DS$24,0)),1)</f>
        <v>1</v>
      </c>
      <c r="S30" s="2241">
        <f ca="1">IF(L24,INDEX(INDIRECT(INDEX(mx_matrixbezeichnungen,MATCH(Construction!$F$27,Oeko!$B$4:$B$10,0),MATCH(Construction!$K$9,Oeko!$C$3:$N$3,0))),MATCH($F24,Oeko!$C$26:$C$298,0),MATCH(S$25,Oeko!$D$24:$DS$24,0)),1)</f>
        <v>1</v>
      </c>
      <c r="T30" s="2179">
        <f ca="1">IF(L24,INDEX(INDIRECT(INDEX(mx_matrixbezeichnungen,MATCH(Construction!$F27,Oeko!$B$4:$B$10,0),MATCH(Construction!$L$9,Oeko!$C$3:$N$3,0))),MATCH($F24,Oeko!$C$26:$C$298,0),MATCH(T$25,Oeko!$D$24:$DS$24,0)),1)</f>
        <v>1</v>
      </c>
      <c r="U30" s="2244">
        <f ca="1">IF(L24,INDEX(INDIRECT(INDEX(mx_matrixbezeichnungen,MATCH(Construction!$F27,Oeko!$B$4:$B$10,0),MATCH(Construction!$L$9,Oeko!$C$3:$N$3,0))),MATCH($F24,Oeko!$C$26:$C$298,0),MATCH(U$25,Oeko!$D$24:$DS$24,0)),1)</f>
        <v>1</v>
      </c>
      <c r="V30" s="2074">
        <f ca="1">IF(L24,INDEX(INDIRECT(INDEX(mx_matrixbezeichnungen,MATCH(Construction!$F27,Oeko!$B$4:$B$10,0),MATCH(Construction!$M$9,Oeko!$C$3:$N$3,0))),MATCH($F24,Oeko!$C$26:$C$298,0),MATCH(V$25,Oeko!$D$24:$DS$24,0)),1)</f>
        <v>1</v>
      </c>
      <c r="W30" s="2241">
        <f ca="1">IF(L24,INDEX(INDIRECT(INDEX(mx_matrixbezeichnungen,MATCH(Construction!$F27,Oeko!$B$4:$B$10,0),MATCH(Construction!$M$9,Oeko!$C$3:$N$3,0))),MATCH($F24,Oeko!$C$26:$C$298,0),MATCH(W$25,Oeko!$D$24:$DS$24,0)),1)</f>
        <v>1</v>
      </c>
      <c r="X30" s="2179">
        <f ca="1">IF(L24,INDEX(INDIRECT(INDEX(mx_matrixbezeichnungen,MATCH(Construction!$F27,Oeko!$B$4:$B$10,0),MATCH(Construction!$N$9,Oeko!$C$3:$N$3,0))),MATCH($F24,Oeko!$C$26:$C$298,0),MATCH(X$25,Oeko!$D$24:$DS$24,0)),1)</f>
        <v>1</v>
      </c>
      <c r="Y30" s="2179">
        <f ca="1">IF(L24,INDEX(INDIRECT(INDEX(mx_matrixbezeichnungen,MATCH(Construction!$F27,Oeko!$B$4:$B$10,0),MATCH(Construction!$N$9,Oeko!$C$3:$N$3,0))),MATCH($F24,Oeko!$C$26:$C$298,0),MATCH(Y$25,Oeko!$D$24:$DS$24,0)),1)</f>
        <v>1</v>
      </c>
      <c r="Z30" s="2155" t="s">
        <v>4602</v>
      </c>
      <c r="AG30" s="2286" t="s">
        <v>4581</v>
      </c>
      <c r="AH30" s="2090"/>
      <c r="AI30" s="2131"/>
      <c r="AK30" s="1236"/>
      <c r="AL30" s="1236"/>
      <c r="AM30" s="1236"/>
      <c r="AN30" s="1236"/>
      <c r="AO30" s="1236"/>
      <c r="AQ30" s="1236"/>
      <c r="AT30" s="1236"/>
    </row>
    <row r="31" spans="1:46" s="2089" customFormat="1" ht="18.75" customHeight="1">
      <c r="A31" s="2108" t="str">
        <f t="shared" si="0"/>
        <v>T31</v>
      </c>
      <c r="B31" s="2158" t="str">
        <f>Uebersetzung!D613</f>
        <v>Emploi de béton enrichi en CO2</v>
      </c>
      <c r="C31" s="2180"/>
      <c r="D31" s="2159"/>
      <c r="E31" s="2181" t="str">
        <f t="shared" si="4"/>
        <v/>
      </c>
      <c r="F31" s="3130"/>
      <c r="G31" s="3131"/>
      <c r="H31" s="3131"/>
      <c r="I31" s="3132"/>
      <c r="J31" s="2176"/>
      <c r="K31" s="2182">
        <f>IF(OR(AlleZonenNeu=FALSE,F31=""),1,VLOOKUP(F31,R21:T22,3,FALSE))</f>
        <v>1</v>
      </c>
      <c r="L31" s="2229" t="b">
        <f>AlleZonenNeu</f>
        <v>0</v>
      </c>
      <c r="M31" s="2183" t="b">
        <f>IF(AND(AlleZonenNeu,F31=""),TRUE,FALSE)</f>
        <v>0</v>
      </c>
      <c r="P31" s="1236"/>
      <c r="Q31" s="2344" t="s">
        <v>4703</v>
      </c>
      <c r="R31" s="2330">
        <f>IF($F$30=$S$21,1,Steigungsfaktor_Einlagen_EPnren)</f>
        <v>1.0465289999999998</v>
      </c>
      <c r="S31" s="2330">
        <f>IF($F$30=$S$21,1,Steigungsfaktor_Einlagen_MGHG)</f>
        <v>1.0567839999999999</v>
      </c>
      <c r="T31" s="2331">
        <f>IF($F$30=$S$21,1,Steigungsfaktor_Einlagen_EPnren)</f>
        <v>1.0465289999999998</v>
      </c>
      <c r="U31" s="2331">
        <f>IF($F$30=$S$21,1,Steigungsfaktor_Einlagen_MGHG)</f>
        <v>1.0567839999999999</v>
      </c>
      <c r="V31" s="2330">
        <f>IF($F$30=$S$21,1,Steigungsfaktor_Einlagen_EPnren)</f>
        <v>1.0465289999999998</v>
      </c>
      <c r="W31" s="2330">
        <f>IF($F$30=$S$21,1,Steigungsfaktor_Einlagen_MGHG)</f>
        <v>1.0567839999999999</v>
      </c>
      <c r="X31" s="2331">
        <f>IF($F$30=$S$21,1,Steigungsfaktor_Einlagen_EPnren)</f>
        <v>1.0465289999999998</v>
      </c>
      <c r="Y31" s="2329">
        <f>IF($F$30=$S$21,1,Steigungsfaktor_Einlagen_MGHG)</f>
        <v>1.0567839999999999</v>
      </c>
      <c r="Z31" s="2155"/>
      <c r="AA31" s="3081" t="s">
        <v>4139</v>
      </c>
      <c r="AB31" s="3082"/>
      <c r="AC31" s="3082"/>
      <c r="AD31" s="3083"/>
      <c r="AG31" s="2106" t="str">
        <f>Uebersetzung!D559</f>
        <v>Minergie avec SIA 380/1:2016</v>
      </c>
      <c r="AH31" s="2090"/>
      <c r="AI31" s="2131" t="str">
        <f>IF(Entrées!E14="","",IF(OR(Entrées!E14=Construction!AG31,Entrées!E14=Construction!AG32),"ME","ME-P/A"))</f>
        <v>ME-P/A</v>
      </c>
      <c r="AK31" s="1236"/>
      <c r="AL31" s="1236"/>
      <c r="AM31" s="1236"/>
      <c r="AN31" s="1236"/>
      <c r="AO31" s="1236"/>
      <c r="AQ31" s="1236"/>
      <c r="AT31" s="1236"/>
    </row>
    <row r="32" spans="1:46" s="2089" customFormat="1" ht="18.75" customHeight="1">
      <c r="A32" s="2184"/>
      <c r="B32" s="2185"/>
      <c r="C32" s="2090"/>
      <c r="D32" s="2090"/>
      <c r="E32" s="2090"/>
      <c r="F32" s="3133"/>
      <c r="G32" s="3133"/>
      <c r="H32" s="3133"/>
      <c r="I32" s="3133"/>
      <c r="J32" s="2176"/>
      <c r="K32" s="1236"/>
      <c r="M32" s="2089" t="b">
        <f>OR(M23,M24,M25,M26,M27,M28,M29,M30,M31)</f>
        <v>0</v>
      </c>
      <c r="P32" s="1236"/>
      <c r="Q32" s="2138" t="s">
        <v>4604</v>
      </c>
      <c r="R32" s="2247">
        <f>IFERROR(IF($K$12=$R$21,SUM(R9,(R9*R26)-R9,(R9*R27)-R9,(R9*R28)-R9,(R9*R29)-R9,(R9*R30)-R9,IF($F$30=$S$21,0,(R9*Steigungsfaktor_Einlagen_EPnren)-R9)),0),0)</f>
        <v>0</v>
      </c>
      <c r="S32" s="2248">
        <f>IFERROR(IF($K$12=$R$21,SUM(S9,(S9*S26)-S9,(S9*S27)-S9,(S9*S28)-S9,(S9*S29)-S9,(S9*S30)-S9,IF($F$30=$S$21,0,(S9*Steigungsfaktor_Einlagen_MGHG)-S9)),0),0)</f>
        <v>0</v>
      </c>
      <c r="T32" s="2249">
        <f>IFERROR(IF($K$12=$R$21,SUM(T9,(T9*T26)-T9,(T9*T27)-T9,(T9*T28)-T9,(T9*T29)-T9,(T9*T30)-T9,IF($F$30=$S$21,0,(T9*Steigungsfaktor_Einlagen_EPnren)-T9)),0),0)</f>
        <v>0</v>
      </c>
      <c r="U32" s="2250">
        <f>IFERROR(IF($K$12=$R$21,SUM(U9,(U9*U26)-U9,(U9*U27)-U9,(U9*U28)-U9,(U9*U29)-U9,(U9*U30)-U9,IF($F$30=$S$21,0,(U9*Steigungsfaktor_Einlagen_MGHG)-U9)),0),0)</f>
        <v>0</v>
      </c>
      <c r="V32" s="2247">
        <f>IFERROR(IF($K$12=$R$21,SUM(V9,(V9*V26)-V9,(V9*V27)-V9,(V9*V28)-V9,(V9*V29)-V9,(V9*V30)-V9,IF($F$30=$S$21,0,(V9*Steigungsfaktor_Einlagen_EPnren)-V9)),0),0)</f>
        <v>0</v>
      </c>
      <c r="W32" s="2248">
        <f>IFERROR(IF($K$12=$R$21,SUM(W9,(W9*W26)-W9,(W9*W27)-W9,(W9*W28)-W9,(W9*W29)-W9,(W9*W30)-W9,IF($F$30=$S$21,0,(W9*Steigungsfaktor_Einlagen_MGHG)-W9)),0),0)</f>
        <v>0</v>
      </c>
      <c r="X32" s="2246">
        <f>IFERROR(IF($K$12=$R$21,SUM(X9,(X9*X26)-X9,(X9*X27)-X9,(X9*X28)-X9,(X9*X29)-X9,(X9*X30)-X9,IF($F$30=$S$21,0,(X9*Steigungsfaktor_Einlagen_EPnren)-X9)),0),0)</f>
        <v>0</v>
      </c>
      <c r="Y32" s="2328">
        <f>IFERROR(IF($K$12=$R$21,SUM(Y9,(Y9*Y26)-Y9,(Y9*Y27)-Y9,(Y9*Y28)-Y9,(Y9*Y29)-Y9,(Y9*Y30)-Y9,IF($F$30=$S$21,0,(Y9*Steigungsfaktor_Einlagen_MGHG)-Y9)),0),0)</f>
        <v>0</v>
      </c>
      <c r="Z32" s="2083"/>
      <c r="AA32" s="2306"/>
      <c r="AB32" s="2236"/>
      <c r="AC32" s="2300" t="s">
        <v>4156</v>
      </c>
      <c r="AD32" s="2301" t="s">
        <v>4157</v>
      </c>
      <c r="AE32" s="2083"/>
      <c r="AF32" s="2083"/>
      <c r="AG32" s="2229" t="str">
        <f>Uebersetzung!D562</f>
        <v>Minergie avec SIA 380/1:2009</v>
      </c>
      <c r="AH32" s="2287"/>
      <c r="AI32" s="2288"/>
      <c r="AJ32" s="1236"/>
      <c r="AK32" s="1236"/>
      <c r="AL32" s="1236"/>
      <c r="AM32" s="1236"/>
      <c r="AN32" s="1236"/>
      <c r="AO32" s="1236"/>
      <c r="AQ32" s="1236"/>
      <c r="AT32" s="1236"/>
    </row>
    <row r="33" spans="1:46" s="2089" customFormat="1" ht="18.75" customHeight="1">
      <c r="A33" s="2108" t="str">
        <f>IF(B33&lt;&gt;"","T"&amp;ROW(),"")</f>
        <v>T33</v>
      </c>
      <c r="B33" s="2109" t="str">
        <f>Uebersetzung!D293</f>
        <v>Respect des exigences:</v>
      </c>
      <c r="C33" s="2190"/>
      <c r="D33" s="2190"/>
      <c r="E33" s="2190"/>
      <c r="F33" s="3134" t="str">
        <f>Uebersetzung!D680</f>
        <v>Valeur indidactive GES Construction</v>
      </c>
      <c r="G33" s="3135"/>
      <c r="H33" s="3136" t="str">
        <f>Uebersetzung!D295</f>
        <v>Valeur calculée</v>
      </c>
      <c r="I33" s="3135"/>
      <c r="J33" s="2191"/>
      <c r="K33" s="1236"/>
      <c r="L33" s="1236"/>
      <c r="M33" s="1236"/>
      <c r="N33" s="1236"/>
      <c r="O33" s="1236"/>
      <c r="P33" s="1236"/>
      <c r="Q33" s="2186" t="s">
        <v>4605</v>
      </c>
      <c r="R33" s="2075">
        <f>IF(R32=0,0,IFERROR(ROUND(((ebf_1*VLOOKUP(GebKat1,MxEcoGWPE_N,2,FALSE)+(GF_1-ebf_1)*GWPE1unbeh+((PVflaeche*ebf_1)/summe_ebf)*GWPEpv+N("ThermieFlaeche*GWPEthermie"))/ebf_1+IF(Laenge_Erdsonde&gt;0,IF(En_Standard="ME",GWPEerdsonde1,GWPEerdsonde2),0))/3.6,1),""))</f>
        <v>0</v>
      </c>
      <c r="S33" s="2075">
        <f>IF(S32=0,0,IFERROR(ROUND(((ebf_1*VLOOKUP(GebKat1,MxEcoGWTH_N,2,FALSE)+(GF_1-ebf_1)*GWTH1unbeh+((PVflaeche*ebf_1)/summe_ebf)*GWTHpv+N("ThermieFlaeche*GWTHthermie"))/ebf_1+IF(Laenge_Erdsonde&gt;0,IF(En_Standard="ME",GWTHerdsonde1,GWTHerdsonde2),0)),2),""))</f>
        <v>0</v>
      </c>
      <c r="T33" s="2188">
        <f>IF(T32=0,0,IFERROR(ROUND(((ebf_2*VLOOKUP(GebKat2,MxEcoGWPE_N,2,FALSE)+(GF_1-ebf_2)*GWPE1unbeh+((PVflaeche*ebf_2)/summe_ebf)*GWPEpv+N("ThermieFlaeche*GWPEthermie"))/ebf_2+IF(Laenge_Erdsonde&gt;0,IF(En_Standard="ME",GWPEerdsonde1,GWPEerdsonde2),0))/3.6,1),""))</f>
        <v>0</v>
      </c>
      <c r="U33" s="2189">
        <f>IF(U32=0,0,IFERROR(ROUND(((ebf_2*VLOOKUP(GebKat2,MxEcoGWTH_N,2,FALSE)+(GF_1-ebf_2)*GWTH1unbeh+((PVflaeche*ebf_2)/summe_ebf)*GWTHpv+N("ThermieFlaeche*GWTHthermie"))/ebf_2+IF(Laenge_Erdsonde&gt;0,IF(En_Standard="ME",GWTHerdsonde1,GWTHerdsonde2),0)),2),""))</f>
        <v>0</v>
      </c>
      <c r="V33" s="2075">
        <f>IF(V32=0,0,IFERROR(ROUND(((ebf_3*VLOOKUP(GebKat3,MxEcoGWPE_N,2,FALSE)+(GF_1-ebf_3)*GWPE1unbeh+((PVflaeche*ebf_3)/summe_ebf)*GWPEpv+N("ThermieFlaeche*GWPEthermie"))/ebf_3+IF(Laenge_Erdsonde&gt;0,IF(En_Standard="ME",GWPEerdsonde1,GWPEerdsonde2),0))/3.6,1),""))</f>
        <v>0</v>
      </c>
      <c r="W33" s="2075">
        <f>IF(W32=0,0,IFERROR(ROUND(((ebf_3*VLOOKUP(GebKat3,MxEcoGWTH_N,2,FALSE)+(GF_1-ebf_3)*GWTH1unbeh+((PVflaeche*ebf_3)/summe_ebf)*GWTHpv+N("ThermieFlaeche*GWTHthermie"))/ebf_3+IF(Laenge_Erdsonde&gt;0,IF(En_Standard="ME",GWTHerdsonde1,GWTHerdsonde2),0)),2),""))</f>
        <v>0</v>
      </c>
      <c r="X33" s="2187">
        <f>IF(X32=0,0,IFERROR(ROUND(((ebf_4*VLOOKUP(GebKat4,MxEcoGWPE_N,2,FALSE)+(GF_1-ebf_4)*GWPE1unbeh+((PVflaeche*ebf_4)/summe_ebf)*GWPEpv+N("ThermieFlaeche*GWPEthermie"))/ebf_4+IF(Laenge_Erdsonde&gt;0,IF(En_Standard="ME",GWPEerdsonde1,GWPEerdsonde2),0))/3.6,1),""))</f>
        <v>0</v>
      </c>
      <c r="Y33" s="2187">
        <f>IF(Y32=0,0,IFERROR(ROUND(((ebf_4*VLOOKUP(GebKat4,MxEcoGWTH_N,2,FALSE)+(GF_1-ebf_4)*GWTH1unbeh+((PVflaeche*ebf_4)/summe_ebf)*GWTHpv+N("ThermieFlaeche*GWTHthermie"))/ebf_4+IF(Laenge_Erdsonde&gt;0,IF(En_Standard="ME",GWTHerdsonde1,GWTHerdsonde2),0)),2),""))</f>
        <v>0</v>
      </c>
      <c r="Z33" s="2083"/>
      <c r="AA33" s="2307" t="s">
        <v>4172</v>
      </c>
      <c r="AB33" s="2090"/>
      <c r="AC33" s="2312">
        <v>1.0229999999999999</v>
      </c>
      <c r="AD33" s="2313">
        <v>1.028</v>
      </c>
      <c r="AE33" s="2083"/>
      <c r="AF33" s="2083"/>
      <c r="AG33" s="1236"/>
      <c r="AH33" s="1236"/>
      <c r="AI33" s="1236"/>
      <c r="AJ33" s="1236"/>
      <c r="AK33" s="1236"/>
      <c r="AL33" s="1236"/>
      <c r="AM33" s="1236"/>
      <c r="AN33" s="1236"/>
      <c r="AO33" s="1236"/>
      <c r="AQ33" s="1236"/>
      <c r="AT33" s="1236"/>
    </row>
    <row r="34" spans="1:46" s="2089" customFormat="1" ht="18.75" customHeight="1">
      <c r="A34" s="2108" t="str">
        <f>IF(B34&lt;&gt;"","T"&amp;ROW(),"")</f>
        <v>T34</v>
      </c>
      <c r="B34" s="3156" t="str">
        <f>Uebersetzung!D656</f>
        <v>Emissions de gaz à effet de serre</v>
      </c>
      <c r="C34" s="3157"/>
      <c r="D34" s="2196"/>
      <c r="E34" s="2197"/>
      <c r="F34" s="2198">
        <f>IF(summe_ebf&gt;0,(S34*ebf_1+U34*ebf_2+W34*ebf_3+Y34*ebf_4)/summe_ebf,0)</f>
        <v>0</v>
      </c>
      <c r="G34" s="2199" t="s">
        <v>4752</v>
      </c>
      <c r="H34" s="2198">
        <f>IF(summe_ebf&gt;0,((S32*ebf_1+U32*ebf_2+W32*ebf_3+Y32*ebf_4)/summe_ebf)+SUM(S18:S19),0)</f>
        <v>0</v>
      </c>
      <c r="I34" s="2200" t="s">
        <v>4749</v>
      </c>
      <c r="J34" s="2191"/>
      <c r="K34" s="1236"/>
      <c r="L34" s="1236"/>
      <c r="M34" s="1236"/>
      <c r="N34" s="1236"/>
      <c r="O34" s="1236"/>
      <c r="P34" s="1236"/>
      <c r="Q34" s="2192" t="s">
        <v>4606</v>
      </c>
      <c r="R34" s="2076">
        <f>IF(R32=0,0,IFERROR(ROUND(((ebf_1*VLOOKUP(GebKat1,MxEcoGWPE_N,3,FALSE)+(GF_1-ebf_1)*GWPE2unbeh+((PVflaeche*ebf_1)/summe_ebf)*GWPEpv+N("ThermieFlaeche*GWPEthermie"))/ebf_1+IF(Laenge_Erdsonde&gt;0,IF(En_Standard="ME",GWPEerdsonde1,GWPEerdsonde2),0))/3.6,1),""))</f>
        <v>0</v>
      </c>
      <c r="S34" s="2076">
        <f>IF(S32=0,0,IFERROR(ROUND(((ebf_1*VLOOKUP(GebKat1,MxEcoGWTH_N,3,FALSE)+(GF_1-ebf_1)*GWTH2unbeh+((PVflaeche*ebf_1)/summe_ebf)*GWTHpv+N("ThermieFlaeche*GWTHthermie"))/ebf_1+IF(Laenge_Erdsonde&gt;0,IF(En_Standard="ME",GWTHerdsonde1,GWTHerdsonde2),0)),2),""))</f>
        <v>0</v>
      </c>
      <c r="T34" s="2194">
        <f>IF(T32=0,0,IFERROR(ROUND(((ebf_2*VLOOKUP(GebKat2,MxEcoGWPE_N,3,FALSE)+(GF_1-ebf_2)*GWPE2unbeh+((PVflaeche*ebf_2)/summe_ebf)*GWPEpv+N("ThermieFlaeche*GWPEthermie"))/ebf_2+IF(Laenge_Erdsonde&gt;0,IF(En_Standard="ME",GWPEerdsonde1,GWPEerdsonde2),0))/3.6,1),""))</f>
        <v>0</v>
      </c>
      <c r="U34" s="2195">
        <f>IF(U32=0,0,IFERROR(ROUND(((ebf_2*VLOOKUP(GebKat2,MxEcoGWTH_N,3,FALSE)+(GF_1-ebf_2)*GWTH2unbeh+((PVflaeche*ebf_2)/summe_ebf)*GWTHpv+N("ThermieFlaeche*GWTHthermie"))/ebf_2+IF(Laenge_Erdsonde&gt;0,IF(En_Standard="ME",GWTHerdsonde1,GWTHerdsonde2),0)),2),""))</f>
        <v>0</v>
      </c>
      <c r="V34" s="2076">
        <f>IF(V32=0,0,IFERROR(ROUND(((ebf_3*VLOOKUP(GebKat3,MxEcoGWPE_N,3,FALSE)+(GF_1-ebf_3)*GWPE2unbeh+((PVflaeche*ebf_3)/summe_ebf)*GWPEpv+N("ThermieFlaeche*GWPEthermie"))/ebf_3+IF(Laenge_Erdsonde&gt;0,IF(En_Standard="ME",GWPEerdsonde1,GWPEerdsonde2),0))/3.6,1),""))</f>
        <v>0</v>
      </c>
      <c r="W34" s="2076">
        <f>IF(W32=0,0,IFERROR(ROUND(((ebf_3*VLOOKUP(GebKat3,MxEcoGWTH_N,3,FALSE)+(GF_1-ebf_3)*GWTH2unbeh+((PVflaeche*ebf_3)/summe_ebf)*GWTHpv+N("ThermieFlaeche*GWTHthermie"))/ebf_3+IF(Laenge_Erdsonde&gt;0,IF(En_Standard="ME",GWTHerdsonde1,GWTHerdsonde2),0)),2),""))</f>
        <v>0</v>
      </c>
      <c r="X34" s="2193">
        <f>IF(X32=0,0,IFERROR(ROUND(((ebf_4*VLOOKUP(GebKat4,MxEcoGWPE_N,3,FALSE)+(GF_1-ebf_4)*GWPE2unbeh+((PVflaeche*ebf_4)/summe_ebf)*GWPEpv+N("ThermieFlaeche*GWPEthermie"))/ebf_4+IF(Laenge_Erdsonde&gt;0,IF(En_Standard="ME",GWPEerdsonde1,GWPEerdsonde2),0))/3.6,1),""))</f>
        <v>0</v>
      </c>
      <c r="Y34" s="2193">
        <f>IF(Y32=0,0,IFERROR(ROUND(((ebf_4*VLOOKUP(GebKat4,MxEcoGWTH_N,3,FALSE)+(GF_1-ebf_4)*GWTH2unbeh+((PVflaeche*ebf_4)/summe_ebf)*GWTHpv+N("ThermieFlaeche*GWTHthermie"))/ebf_4+IF(Laenge_Erdsonde&gt;0,IF(En_Standard="ME",GWTHerdsonde1,GWTHerdsonde2),0)),2),""))</f>
        <v>0</v>
      </c>
      <c r="Z34" s="2083"/>
      <c r="AA34" s="2308" t="s">
        <v>4190</v>
      </c>
      <c r="AB34" s="2162"/>
      <c r="AC34" s="2314">
        <v>1.0229999999999999</v>
      </c>
      <c r="AD34" s="2315">
        <v>1.028</v>
      </c>
      <c r="AE34" s="1236"/>
      <c r="AF34" s="2083"/>
      <c r="AG34" s="1236"/>
      <c r="AH34" s="1236"/>
      <c r="AI34" s="1236"/>
      <c r="AJ34" s="1236"/>
      <c r="AK34" s="1236"/>
      <c r="AL34" s="1236"/>
      <c r="AM34" s="1236"/>
      <c r="AN34" s="1236"/>
      <c r="AO34" s="1236"/>
      <c r="AQ34" s="1236"/>
      <c r="AT34" s="1236"/>
    </row>
    <row r="35" spans="1:46" s="2089" customFormat="1" ht="18.75" customHeight="1">
      <c r="A35" s="2108" t="str">
        <f>IF(B35&lt;&gt;"","T"&amp;ROW(),"")</f>
        <v>T35</v>
      </c>
      <c r="B35" s="3152" t="str">
        <f>Uebersetzung!D657</f>
        <v>Energie grise</v>
      </c>
      <c r="C35" s="3153"/>
      <c r="D35" s="2196"/>
      <c r="E35" s="2197"/>
      <c r="F35" s="2201">
        <f>IF(summe_ebf&gt;0,(R34*ebf_1+T34*ebf_2+V34*ebf_3+X34*ebf_4)/summe_ebf,0)</f>
        <v>0</v>
      </c>
      <c r="G35" s="2202" t="s">
        <v>4751</v>
      </c>
      <c r="H35" s="2201">
        <f>IF(summe_ebf&gt;0,((R32*ebf_1+T32*ebf_2+V32*ebf_3+X32*ebf_4)/summe_ebf)+SUM(R18:R19),0)</f>
        <v>0</v>
      </c>
      <c r="I35" s="2203" t="s">
        <v>4750</v>
      </c>
      <c r="J35" s="2090"/>
      <c r="K35" s="1236"/>
      <c r="L35" s="1236"/>
      <c r="M35" s="1236"/>
      <c r="N35" s="1236"/>
      <c r="O35" s="1236"/>
      <c r="P35" s="1236"/>
      <c r="AA35" s="2309" t="s">
        <v>4205</v>
      </c>
      <c r="AB35" s="2110"/>
      <c r="AC35" s="2310">
        <f>AC33*AC34</f>
        <v>1.0465289999999998</v>
      </c>
      <c r="AD35" s="2311">
        <f>AD33*AD34</f>
        <v>1.0567839999999999</v>
      </c>
      <c r="AF35" s="2083"/>
      <c r="AG35" s="1236"/>
      <c r="AH35" s="1236"/>
      <c r="AI35" s="1236"/>
      <c r="AJ35" s="1236"/>
      <c r="AK35" s="1236"/>
      <c r="AL35" s="1236"/>
      <c r="AM35" s="1236"/>
      <c r="AN35" s="1236"/>
      <c r="AO35" s="1236"/>
      <c r="AQ35" s="1236"/>
      <c r="AT35" s="1236"/>
    </row>
    <row r="36" spans="1:46" s="2089" customFormat="1" ht="18.75" customHeight="1">
      <c r="A36" s="2108" t="str">
        <f>IF(B36&lt;&gt;"","T"&amp;ROW(),"")</f>
        <v>T36</v>
      </c>
      <c r="B36" s="3154" t="str">
        <f>Uebersetzung!D654</f>
        <v>Carbone stocké</v>
      </c>
      <c r="C36" s="3155"/>
      <c r="D36" s="2204"/>
      <c r="E36" s="2205"/>
      <c r="F36" s="2206" t="s">
        <v>51</v>
      </c>
      <c r="G36" s="2207"/>
      <c r="H36" s="2208">
        <f>IF(summe_ebf&gt;0,IF(SUM(AB17:AE17)&gt;0,((AB17*ebf_1+AC17*ebf_2+AD17*ebf_3+AE17*ebf_4)/summe_ebf)*AE3,0),0)</f>
        <v>0</v>
      </c>
      <c r="I36" s="2209" t="s">
        <v>4749</v>
      </c>
      <c r="J36" s="2090"/>
      <c r="K36" s="1236"/>
      <c r="L36" s="1236"/>
      <c r="M36" s="1236"/>
      <c r="N36" s="1236"/>
      <c r="O36" s="1236"/>
      <c r="P36" s="1236"/>
      <c r="AA36" s="2210"/>
      <c r="AF36" s="1236"/>
      <c r="AG36" s="1236"/>
      <c r="AH36" s="1236"/>
      <c r="AI36" s="1236"/>
      <c r="AJ36" s="1236"/>
      <c r="AK36" s="1236"/>
      <c r="AL36" s="1236"/>
      <c r="AM36" s="1236"/>
      <c r="AN36" s="1236"/>
      <c r="AO36" s="1236"/>
      <c r="AQ36" s="1236"/>
      <c r="AT36" s="1236"/>
    </row>
    <row r="37" spans="1:46" s="2089" customFormat="1" ht="18.75" customHeight="1">
      <c r="J37" s="2090"/>
      <c r="K37" s="1236"/>
      <c r="L37" s="1236"/>
      <c r="M37" s="1236"/>
      <c r="N37" s="1236"/>
      <c r="O37" s="1236"/>
      <c r="P37" s="1236"/>
      <c r="Q37" s="2155"/>
      <c r="S37" s="1236"/>
      <c r="T37" s="1236"/>
      <c r="U37" s="1236"/>
      <c r="V37" s="1236"/>
      <c r="W37" s="1236"/>
      <c r="X37" s="1236"/>
      <c r="Y37" s="2211"/>
      <c r="Z37" s="1236"/>
      <c r="AA37" s="1236"/>
      <c r="AB37" s="1236"/>
      <c r="AC37" s="1236"/>
      <c r="AD37" s="1236"/>
      <c r="AE37" s="1236"/>
      <c r="AF37" s="1236"/>
      <c r="AG37" s="1236"/>
      <c r="AH37" s="1236"/>
      <c r="AI37" s="1236"/>
      <c r="AJ37" s="1236"/>
      <c r="AK37" s="1236"/>
      <c r="AL37" s="1236"/>
      <c r="AM37" s="1236"/>
      <c r="AN37" s="1236"/>
      <c r="AO37" s="1236"/>
      <c r="AQ37" s="1236"/>
      <c r="AT37" s="1236"/>
    </row>
    <row r="38" spans="1:46" s="2089" customFormat="1" ht="6" customHeight="1">
      <c r="J38" s="2090"/>
      <c r="K38" s="1236"/>
      <c r="L38" s="1236"/>
      <c r="M38" s="1236"/>
      <c r="N38" s="1236"/>
      <c r="O38" s="1236"/>
      <c r="P38" s="1236"/>
      <c r="Q38" s="1236"/>
      <c r="R38" s="1236"/>
      <c r="S38" s="1236"/>
      <c r="T38" s="1236"/>
      <c r="U38" s="1236"/>
      <c r="V38" s="1236"/>
      <c r="W38" s="1236"/>
      <c r="X38" s="1236"/>
      <c r="Y38" s="1236"/>
      <c r="Z38" s="1236"/>
      <c r="AA38" s="1236"/>
      <c r="AB38" s="1236"/>
      <c r="AC38" s="1236"/>
      <c r="AD38" s="1236"/>
      <c r="AE38" s="1236"/>
      <c r="AF38" s="1236"/>
      <c r="AG38" s="1236"/>
      <c r="AH38" s="1236"/>
      <c r="AI38" s="1236"/>
      <c r="AJ38" s="1236"/>
      <c r="AK38" s="1236"/>
      <c r="AL38" s="1236"/>
      <c r="AM38" s="1236"/>
      <c r="AN38" s="1236"/>
      <c r="AO38" s="1236"/>
      <c r="AQ38" s="1236"/>
      <c r="AT38" s="1236"/>
    </row>
    <row r="39" spans="1:46" ht="20.25" customHeight="1">
      <c r="A39" s="2108"/>
      <c r="B39" s="1236" t="str">
        <f>Uebersetzung!D681</f>
        <v>Visualisation des GES pendant la construction</v>
      </c>
      <c r="F39" s="1299"/>
      <c r="L39" s="1777"/>
      <c r="Q39" s="2087"/>
      <c r="R39" s="2083"/>
      <c r="S39" s="2083"/>
      <c r="T39" s="2083"/>
      <c r="U39" s="2083"/>
      <c r="V39" s="2083"/>
      <c r="W39" s="2083"/>
      <c r="X39" s="2083"/>
      <c r="Y39" s="2083"/>
      <c r="Z39" s="2083"/>
    </row>
    <row r="40" spans="1:46" ht="20.25" customHeight="1">
      <c r="A40" s="2184"/>
      <c r="E40" s="1600">
        <f>F34</f>
        <v>0</v>
      </c>
      <c r="F40" s="1488">
        <v>0.7</v>
      </c>
      <c r="G40" s="2083"/>
      <c r="H40" s="2083"/>
      <c r="I40" s="2083"/>
      <c r="R40" s="2211"/>
    </row>
    <row r="41" spans="1:46" ht="20.25" customHeight="1">
      <c r="A41" s="2083"/>
      <c r="B41" s="1236" t="str">
        <f>B34</f>
        <v>Emissions de gaz à effet de serre</v>
      </c>
      <c r="C41" s="1600">
        <f>H34</f>
        <v>0</v>
      </c>
      <c r="D41" s="1236">
        <v>0</v>
      </c>
      <c r="E41" s="1600">
        <f>F34</f>
        <v>0</v>
      </c>
      <c r="F41" s="1488">
        <v>1</v>
      </c>
      <c r="G41" s="2083"/>
      <c r="H41" s="2087"/>
      <c r="I41" s="2087"/>
      <c r="J41" s="2113"/>
      <c r="R41" s="2089"/>
      <c r="T41" s="2211"/>
    </row>
    <row r="42" spans="1:46" ht="20.25" customHeight="1">
      <c r="A42" s="2083"/>
      <c r="B42" s="1236" t="str">
        <f>B36</f>
        <v>Carbone stocké</v>
      </c>
      <c r="C42" s="1600">
        <f>D42</f>
        <v>0</v>
      </c>
      <c r="D42" s="1600">
        <f>H36</f>
        <v>0</v>
      </c>
      <c r="E42" s="1600">
        <f>F34</f>
        <v>0</v>
      </c>
      <c r="F42" s="1488">
        <v>1.3</v>
      </c>
      <c r="G42" s="2083"/>
      <c r="H42" s="2083"/>
      <c r="I42" s="2083"/>
      <c r="R42" s="2089"/>
      <c r="AA42" s="2213"/>
      <c r="AB42" s="2213"/>
      <c r="AC42" s="2213"/>
      <c r="AD42" s="2213"/>
      <c r="AE42" s="2213"/>
      <c r="AF42" s="2213"/>
    </row>
    <row r="43" spans="1:46" ht="20.25" customHeight="1">
      <c r="A43" s="2083"/>
      <c r="D43" s="1600"/>
      <c r="E43" s="2083"/>
      <c r="F43" s="1488"/>
      <c r="G43" s="2083"/>
      <c r="H43" s="2083"/>
      <c r="I43" s="2083"/>
      <c r="J43" s="2212"/>
      <c r="R43" s="2089"/>
    </row>
    <row r="44" spans="1:46" ht="20.25" customHeight="1">
      <c r="A44" s="2083"/>
      <c r="B44" s="2214" t="s">
        <v>5108</v>
      </c>
      <c r="C44" s="2083" t="str">
        <f>Uebersetzung!D719</f>
        <v>Carbone  [kg C/m2]</v>
      </c>
      <c r="D44" s="2083"/>
      <c r="E44" s="2083"/>
      <c r="F44" s="2083"/>
      <c r="G44" s="2083"/>
      <c r="H44" s="2083"/>
      <c r="I44" s="2083"/>
      <c r="J44" s="2212"/>
      <c r="R44" s="2089"/>
    </row>
    <row r="45" spans="1:46" ht="23.1" customHeight="1">
      <c r="A45" s="2184" t="str">
        <f>IF(B45&lt;&gt;"","T"&amp;ROW(),"")</f>
        <v/>
      </c>
      <c r="B45" s="2215"/>
      <c r="C45" s="2216"/>
      <c r="D45" s="2216"/>
      <c r="E45" s="2216"/>
      <c r="F45" s="2083"/>
      <c r="G45" s="2083"/>
      <c r="H45" s="2083"/>
      <c r="I45" s="2083"/>
      <c r="R45" s="2089"/>
    </row>
    <row r="46" spans="1:46" ht="23.1" customHeight="1">
      <c r="A46" s="2184" t="str">
        <f>IF(B46&lt;&gt;"","T"&amp;ROW(),"")</f>
        <v/>
      </c>
      <c r="B46" s="2215"/>
      <c r="C46" s="2216"/>
      <c r="D46" s="2216"/>
      <c r="E46" s="2216"/>
      <c r="F46" s="2083"/>
      <c r="G46" s="2083"/>
      <c r="H46" s="2083"/>
      <c r="I46" s="2083"/>
    </row>
    <row r="47" spans="1:46">
      <c r="A47" s="2083"/>
      <c r="B47" s="2083"/>
      <c r="C47" s="2083"/>
      <c r="D47" s="2083"/>
      <c r="E47" s="2083"/>
      <c r="F47" s="2217"/>
      <c r="G47" s="2218"/>
      <c r="H47" s="2083"/>
      <c r="I47" s="2083"/>
    </row>
    <row r="53" spans="2:6">
      <c r="E53" s="2215"/>
      <c r="F53" s="2083"/>
    </row>
    <row r="54" spans="2:6">
      <c r="E54" s="2215"/>
      <c r="F54" s="2083"/>
    </row>
    <row r="55" spans="2:6">
      <c r="E55" s="2215"/>
      <c r="F55" s="2083"/>
    </row>
    <row r="56" spans="2:6">
      <c r="B56" s="2083"/>
      <c r="C56" s="2215"/>
      <c r="D56" s="2215"/>
      <c r="E56" s="2215"/>
      <c r="F56" s="2083"/>
    </row>
    <row r="57" spans="2:6">
      <c r="B57" s="2083"/>
      <c r="C57" s="2215"/>
      <c r="D57" s="2215"/>
      <c r="E57" s="2215"/>
      <c r="F57" s="2083"/>
    </row>
    <row r="58" spans="2:6">
      <c r="B58" s="2083"/>
      <c r="C58" s="3151"/>
      <c r="D58" s="3151"/>
      <c r="E58" s="3151"/>
      <c r="F58" s="2083"/>
    </row>
    <row r="59" spans="2:6">
      <c r="B59" s="2083"/>
      <c r="C59" s="3151"/>
      <c r="D59" s="3151"/>
      <c r="E59" s="3151"/>
      <c r="F59" s="2083"/>
    </row>
    <row r="60" spans="2:6">
      <c r="B60" s="2083"/>
      <c r="C60" s="3151"/>
      <c r="D60" s="3151"/>
      <c r="E60" s="3151"/>
      <c r="F60" s="2083"/>
    </row>
    <row r="61" spans="2:6">
      <c r="B61" s="2083"/>
      <c r="C61" s="3151"/>
      <c r="D61" s="3151"/>
      <c r="E61" s="3151"/>
      <c r="F61" s="2083"/>
    </row>
    <row r="62" spans="2:6">
      <c r="B62" s="2083"/>
      <c r="C62" s="3151"/>
      <c r="D62" s="3151"/>
      <c r="E62" s="3151"/>
      <c r="F62" s="2083"/>
    </row>
    <row r="63" spans="2:6">
      <c r="B63" s="2083"/>
      <c r="C63" s="2083"/>
      <c r="D63" s="2083"/>
      <c r="E63" s="2083"/>
      <c r="F63" s="2083"/>
    </row>
    <row r="64" spans="2:6">
      <c r="B64" s="2083"/>
      <c r="C64" s="2083"/>
      <c r="D64" s="2083"/>
      <c r="E64" s="2083"/>
      <c r="F64" s="2083"/>
    </row>
    <row r="65" spans="1:10" hidden="1">
      <c r="A65" s="2108" t="str">
        <f>IF(B65&lt;&gt;"","T"&amp;ROW(),"")</f>
        <v>T65</v>
      </c>
      <c r="B65" s="2115" t="str">
        <f>Uebersetzung!D620</f>
        <v>Ampleur de l'intervention dans le toit</v>
      </c>
      <c r="C65" s="2110"/>
      <c r="D65" s="2110"/>
      <c r="E65" s="2110"/>
      <c r="F65" s="2077"/>
      <c r="G65" s="2077"/>
      <c r="H65" s="2077"/>
      <c r="I65" s="2077"/>
      <c r="J65" s="2121"/>
    </row>
    <row r="66" spans="1:10" hidden="1">
      <c r="A66" s="2108" t="str">
        <f>IF(B66&lt;&gt;"","T"&amp;ROW(),"")</f>
        <v>T66</v>
      </c>
      <c r="B66" s="2219" t="str">
        <f>Uebersetzung!D621</f>
        <v>Ampleur de l'intervention dans la façade</v>
      </c>
      <c r="C66" s="2159"/>
      <c r="D66" s="2159"/>
      <c r="E66" s="2159"/>
      <c r="F66" s="2078"/>
      <c r="G66" s="2078"/>
      <c r="H66" s="2078"/>
      <c r="I66" s="2078"/>
      <c r="J66" s="2220"/>
    </row>
    <row r="67" spans="1:10" hidden="1">
      <c r="A67" s="2108" t="str">
        <f>IF(B67&lt;&gt;"","T"&amp;ROW(),"")</f>
        <v>T67</v>
      </c>
      <c r="B67" s="2219" t="str">
        <f>Uebersetzung!D622</f>
        <v>Ampleur de l'intervention dans l'extension</v>
      </c>
      <c r="C67" s="2159"/>
      <c r="D67" s="2159"/>
      <c r="E67" s="2159"/>
      <c r="F67" s="2078"/>
      <c r="G67" s="2078"/>
      <c r="H67" s="2078"/>
      <c r="I67" s="2078"/>
      <c r="J67" s="2220"/>
    </row>
    <row r="68" spans="1:10" hidden="1">
      <c r="A68" s="2108" t="str">
        <f>IF(B68&lt;&gt;"","T"&amp;ROW(),"")</f>
        <v>T68</v>
      </c>
      <c r="B68" s="2219" t="str">
        <f>Uebersetzung!D623</f>
        <v>Remplacement des fenêtres</v>
      </c>
      <c r="C68" s="2159"/>
      <c r="D68" s="2159"/>
      <c r="E68" s="2221" t="s">
        <v>2482</v>
      </c>
      <c r="F68" s="2078"/>
      <c r="G68" s="2078"/>
      <c r="H68" s="2078"/>
      <c r="I68" s="2078"/>
      <c r="J68" s="2220"/>
    </row>
    <row r="69" spans="1:10" hidden="1">
      <c r="A69" s="2108" t="str">
        <f>IF(B69&lt;&gt;"","T"&amp;ROW(),"")</f>
        <v>T69</v>
      </c>
      <c r="B69" s="2115" t="str">
        <f>Uebersetzung!D624</f>
        <v>Ampleur de l'intervention sur les installations techniques</v>
      </c>
      <c r="C69" s="2159"/>
      <c r="D69" s="2159"/>
      <c r="E69" s="2159"/>
      <c r="F69" s="2078"/>
      <c r="G69" s="2078"/>
      <c r="H69" s="2078"/>
      <c r="I69" s="2078"/>
      <c r="J69" s="2220"/>
    </row>
    <row r="70" spans="1:10" hidden="1"/>
    <row r="71" spans="1:10" hidden="1"/>
    <row r="72" spans="1:10" hidden="1"/>
    <row r="73" spans="1:10" hidden="1"/>
    <row r="74" spans="1:10" hidden="1"/>
    <row r="75" spans="1:10" hidden="1"/>
    <row r="76" spans="1:10" hidden="1"/>
    <row r="77" spans="1:10" hidden="1"/>
    <row r="78" spans="1:10" hidden="1"/>
    <row r="79" spans="1:10" hidden="1"/>
    <row r="80" spans="1:10" hidden="1"/>
    <row r="81" hidden="1"/>
    <row r="82" hidden="1"/>
    <row r="83" hidden="1"/>
    <row r="84" hidden="1"/>
    <row r="85" hidden="1"/>
    <row r="86" hidden="1"/>
    <row r="87" hidden="1"/>
    <row r="88" hidden="1"/>
    <row r="89" hidden="1"/>
    <row r="90" hidden="1"/>
    <row r="91" hidden="1"/>
    <row r="92" hidden="1"/>
  </sheetData>
  <sheetProtection password="C616" sheet="1" objects="1" scenarios="1"/>
  <mergeCells count="53">
    <mergeCell ref="K16:M16"/>
    <mergeCell ref="C62:E62"/>
    <mergeCell ref="B35:C35"/>
    <mergeCell ref="B36:C36"/>
    <mergeCell ref="C58:E58"/>
    <mergeCell ref="C59:E59"/>
    <mergeCell ref="C60:E60"/>
    <mergeCell ref="C61:E61"/>
    <mergeCell ref="B34:C34"/>
    <mergeCell ref="B27:C27"/>
    <mergeCell ref="F27:I27"/>
    <mergeCell ref="B28:C28"/>
    <mergeCell ref="F28:I28"/>
    <mergeCell ref="B29:C29"/>
    <mergeCell ref="F29:I29"/>
    <mergeCell ref="F30:I30"/>
    <mergeCell ref="F31:I31"/>
    <mergeCell ref="F32:I32"/>
    <mergeCell ref="F33:G33"/>
    <mergeCell ref="H33:I33"/>
    <mergeCell ref="B24:C24"/>
    <mergeCell ref="F24:I24"/>
    <mergeCell ref="B25:C25"/>
    <mergeCell ref="F25:I25"/>
    <mergeCell ref="B26:C26"/>
    <mergeCell ref="F26:I26"/>
    <mergeCell ref="F16:I16"/>
    <mergeCell ref="F17:I17"/>
    <mergeCell ref="F18:I18"/>
    <mergeCell ref="F20:I20"/>
    <mergeCell ref="B23:C23"/>
    <mergeCell ref="F23:I23"/>
    <mergeCell ref="F19:I19"/>
    <mergeCell ref="F2:I2"/>
    <mergeCell ref="F3:I3"/>
    <mergeCell ref="F10:I10"/>
    <mergeCell ref="AE4:AE5"/>
    <mergeCell ref="V8:W8"/>
    <mergeCell ref="X8:Y8"/>
    <mergeCell ref="T8:U8"/>
    <mergeCell ref="R8:S8"/>
    <mergeCell ref="F15:I15"/>
    <mergeCell ref="F11:I11"/>
    <mergeCell ref="F12:I12"/>
    <mergeCell ref="F13:I13"/>
    <mergeCell ref="F14:I14"/>
    <mergeCell ref="AA27:AD27"/>
    <mergeCell ref="AC28:AD28"/>
    <mergeCell ref="AC29:AD29"/>
    <mergeCell ref="AA31:AD31"/>
    <mergeCell ref="AC3:AD3"/>
    <mergeCell ref="AA3:AB3"/>
    <mergeCell ref="AA4:AD5"/>
  </mergeCells>
  <conditionalFormatting sqref="A19:I19">
    <cfRule type="expression" dxfId="16" priority="3">
      <formula>OR(AlleZonenNeu=FALSE,$F$19=0,$F$19="")</formula>
    </cfRule>
  </conditionalFormatting>
  <conditionalFormatting sqref="B19:I19">
    <cfRule type="expression" dxfId="15" priority="2">
      <formula>OR(AlleZonenNeu=FALSE,$F$19=0,$F$19="")</formula>
    </cfRule>
  </conditionalFormatting>
  <conditionalFormatting sqref="F10">
    <cfRule type="expression" dxfId="14" priority="16" stopIfTrue="1">
      <formula>F10=0</formula>
    </cfRule>
  </conditionalFormatting>
  <conditionalFormatting sqref="F23">
    <cfRule type="expression" dxfId="13" priority="22">
      <formula>OR(K9="",AlleZonenNeu=FALSE)</formula>
    </cfRule>
  </conditionalFormatting>
  <conditionalFormatting sqref="F24:F31">
    <cfRule type="expression" dxfId="12" priority="24">
      <formula>AlleZonenNeu</formula>
    </cfRule>
  </conditionalFormatting>
  <conditionalFormatting sqref="F11:I11">
    <cfRule type="expression" dxfId="11" priority="12">
      <formula>AlleZonenNeu=FALSE</formula>
    </cfRule>
  </conditionalFormatting>
  <conditionalFormatting sqref="F13:I13">
    <cfRule type="expression" dxfId="10" priority="11">
      <formula>AlleZonenNeu=FALSE</formula>
    </cfRule>
  </conditionalFormatting>
  <conditionalFormatting sqref="F14:I14">
    <cfRule type="expression" dxfId="9" priority="10">
      <formula>AlleZonenNeu=FALSE</formula>
    </cfRule>
  </conditionalFormatting>
  <conditionalFormatting sqref="F15:I15">
    <cfRule type="expression" dxfId="8" priority="9">
      <formula>OR(AlleZonenNeu=FALSE,$F$15=0,$F$15="")</formula>
    </cfRule>
  </conditionalFormatting>
  <conditionalFormatting sqref="F16:I16">
    <cfRule type="expression" dxfId="7" priority="8">
      <formula>OR(AlleZonenNeu=FALSE,$F$16=0,$F$16="")</formula>
    </cfRule>
  </conditionalFormatting>
  <conditionalFormatting sqref="F17:I17">
    <cfRule type="expression" dxfId="6" priority="7">
      <formula>OR(AlleZonenNeu=FALSE,$F$17=0,$F$17="")</formula>
    </cfRule>
  </conditionalFormatting>
  <conditionalFormatting sqref="F18:I18">
    <cfRule type="expression" dxfId="5" priority="6">
      <formula>OR(AlleZonenNeu=FALSE,$F$18=0,$F$18="")</formula>
    </cfRule>
  </conditionalFormatting>
  <conditionalFormatting sqref="F23:I23">
    <cfRule type="expression" dxfId="4" priority="5">
      <formula>AND($N$16=TRUE,F23&lt;&gt;0)</formula>
    </cfRule>
  </conditionalFormatting>
  <conditionalFormatting sqref="F65:I69">
    <cfRule type="expression" dxfId="3" priority="668">
      <formula>K$12=$R$22</formula>
    </cfRule>
  </conditionalFormatting>
  <conditionalFormatting sqref="F13:K14 J11:J14">
    <cfRule type="expression" dxfId="2" priority="17" stopIfTrue="1">
      <formula>F11=0</formula>
    </cfRule>
  </conditionalFormatting>
  <conditionalFormatting sqref="H34:H35">
    <cfRule type="expression" dxfId="1" priority="13">
      <formula>H34&lt;F34</formula>
    </cfRule>
  </conditionalFormatting>
  <conditionalFormatting sqref="J23:J26">
    <cfRule type="expression" dxfId="0" priority="15">
      <formula>J23=0</formula>
    </cfRule>
  </conditionalFormatting>
  <dataValidations disablePrompts="1" count="6">
    <dataValidation type="custom" allowBlank="1" showInputMessage="1" showErrorMessage="1" error="Die Geschossfläche muss grösser als die EBF sein." sqref="F23:I23">
      <formula1>F23&gt;=F11</formula1>
    </dataValidation>
    <dataValidation type="list" allowBlank="1" showInputMessage="1" showErrorMessage="1" sqref="F31:I31">
      <formula1>$R$21:$R$22</formula1>
    </dataValidation>
    <dataValidation type="list" allowBlank="1" showInputMessage="1" showErrorMessage="1" sqref="F67:I67">
      <formula1>IF(K$12=$R$22,tab_eingriffstiefe_ausbau,"")</formula1>
    </dataValidation>
    <dataValidation type="list" allowBlank="1" showInputMessage="1" showErrorMessage="1" sqref="F68:I68">
      <formula1>IF(K$12=$R$22,tab_fensteranteil,"")</formula1>
    </dataValidation>
    <dataValidation type="list" allowBlank="1" showInputMessage="1" showErrorMessage="1" sqref="F69:I69">
      <formula1>IF(K$12=$R$22,tab_eingriffstiefe_technik,"")</formula1>
    </dataValidation>
    <dataValidation type="list" allowBlank="1" showInputMessage="1" showErrorMessage="1" sqref="F65:I66">
      <formula1>IF(K$12=$R$22,tab_eingriffstiefe_baulich,"")</formula1>
    </dataValidation>
  </dataValidations>
  <pageMargins left="0.39370078740157483" right="0.31496062992125984" top="0.39370078740157483" bottom="0.31496062992125984" header="0.23622047244094491" footer="0.27559055118110237"/>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14:formula1>
            <xm:f>Oeko!$AI$12:$AI$17</xm:f>
          </x14:formula1>
          <xm:sqref>F28:I28</xm:sqref>
        </x14:dataValidation>
        <x14:dataValidation type="list" allowBlank="1" showInputMessage="1" showErrorMessage="1">
          <x14:formula1>
            <xm:f>Oeko!$Y$12:$Y$17</xm:f>
          </x14:formula1>
          <xm:sqref>F26:I26</xm:sqref>
        </x14:dataValidation>
        <x14:dataValidation type="list" allowBlank="1" showInputMessage="1" showErrorMessage="1">
          <x14:formula1>
            <xm:f>Oeko!$AC$12:$AC$17</xm:f>
          </x14:formula1>
          <xm:sqref>F25:I25</xm:sqref>
        </x14:dataValidation>
        <x14:dataValidation type="list" allowBlank="1" showInputMessage="1" showErrorMessage="1">
          <x14:formula1>
            <xm:f>Oeko!$AF$12:$AF$18</xm:f>
          </x14:formula1>
          <xm:sqref>F24:I24</xm:sqref>
        </x14:dataValidation>
        <x14:dataValidation type="list" allowBlank="1" showInputMessage="1" showErrorMessage="1">
          <x14:formula1>
            <xm:f>Oeko!$P$12:$P$19</xm:f>
          </x14:formula1>
          <xm:sqref>F27:I27</xm:sqref>
        </x14:dataValidation>
        <x14:dataValidation type="list" allowBlank="1" showInputMessage="1" showErrorMessage="1">
          <x14:formula1>
            <xm:f>Oeko!$U$3:$U$5</xm:f>
          </x14:formula1>
          <xm:sqref>F30:I30</xm:sqref>
        </x14:dataValidation>
        <x14:dataValidation type="list" allowBlank="1" showInputMessage="1" showErrorMessage="1">
          <x14:formula1>
            <xm:f>Oeko!$U$9:$U$20</xm:f>
          </x14:formula1>
          <xm:sqref>F29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I751"/>
  <sheetViews>
    <sheetView zoomScale="120" zoomScaleNormal="120" workbookViewId="0">
      <pane xSplit="1" topLeftCell="B1" activePane="topRight" state="frozen"/>
      <selection activeCell="A294" sqref="A294"/>
      <selection pane="topRight" activeCell="C1" sqref="C1"/>
    </sheetView>
  </sheetViews>
  <sheetFormatPr baseColWidth="10" defaultColWidth="11.5703125" defaultRowHeight="25.9" customHeight="1"/>
  <cols>
    <col min="1" max="1" width="6.85546875" style="401" customWidth="1"/>
    <col min="2" max="2" width="12.7109375" style="929" customWidth="1"/>
    <col min="3" max="3" width="12.140625" style="929" customWidth="1"/>
    <col min="4" max="4" width="46.28515625" style="401" customWidth="1"/>
    <col min="5" max="5" width="51.28515625" style="402" customWidth="1"/>
    <col min="6" max="6" width="46.28515625" style="902" customWidth="1"/>
    <col min="7" max="7" width="46.28515625" style="403" customWidth="1"/>
    <col min="8" max="16384" width="11.5703125" style="404"/>
  </cols>
  <sheetData>
    <row r="1" spans="1:9" s="396" customFormat="1" ht="25.9" customHeight="1">
      <c r="A1" s="897">
        <f>VLOOKUP(C1,H1:I3,2)</f>
        <v>2</v>
      </c>
      <c r="B1" s="928" t="s">
        <v>839</v>
      </c>
      <c r="C1" s="933" t="s">
        <v>134</v>
      </c>
      <c r="D1" s="2550">
        <v>2026</v>
      </c>
      <c r="E1" s="1873" t="s">
        <v>136</v>
      </c>
      <c r="F1" s="907"/>
      <c r="G1" s="907"/>
      <c r="H1" s="404" t="str">
        <f>E3</f>
        <v>deutsch</v>
      </c>
      <c r="I1" s="898">
        <v>1</v>
      </c>
    </row>
    <row r="2" spans="1:9" ht="34.5" customHeight="1">
      <c r="A2" s="2552">
        <v>1</v>
      </c>
      <c r="B2" s="2551">
        <v>2023</v>
      </c>
      <c r="C2" s="2522">
        <v>2022.4</v>
      </c>
      <c r="D2" s="1341" t="s">
        <v>2091</v>
      </c>
      <c r="E2" s="404"/>
      <c r="F2" s="907"/>
      <c r="G2" s="907"/>
      <c r="H2" s="404" t="str">
        <f>F3</f>
        <v>französisch</v>
      </c>
      <c r="I2" s="898">
        <v>2</v>
      </c>
    </row>
    <row r="3" spans="1:9" s="400" customFormat="1" ht="25.9" customHeight="1">
      <c r="A3" s="397"/>
      <c r="B3" s="930" t="s">
        <v>620</v>
      </c>
      <c r="C3" s="930" t="s">
        <v>621</v>
      </c>
      <c r="D3" s="397" t="s">
        <v>698</v>
      </c>
      <c r="E3" s="398" t="s">
        <v>133</v>
      </c>
      <c r="F3" s="903" t="s">
        <v>134</v>
      </c>
      <c r="G3" s="399" t="s">
        <v>135</v>
      </c>
      <c r="H3" s="404" t="str">
        <f>G3</f>
        <v>italienisch</v>
      </c>
      <c r="I3" s="898">
        <v>3</v>
      </c>
    </row>
    <row r="4" spans="1:9" ht="25.9" customHeight="1">
      <c r="A4" s="401">
        <v>1</v>
      </c>
      <c r="B4" s="929" t="s">
        <v>53</v>
      </c>
      <c r="C4" s="929" t="s">
        <v>1079</v>
      </c>
      <c r="D4" s="899" t="str">
        <f>INDEX($E$4:$G$503,$A4,$A$1)</f>
        <v>v2.97</v>
      </c>
      <c r="E4" s="1433" t="s">
        <v>5289</v>
      </c>
      <c r="F4" s="902" t="str">
        <f>E4</f>
        <v>v2.97</v>
      </c>
      <c r="G4" s="403" t="str">
        <f>E4</f>
        <v>v2.97</v>
      </c>
      <c r="H4" s="2523">
        <f>IF(C2="",B2&amp;"."&amp;A2,C2)</f>
        <v>2022.4</v>
      </c>
    </row>
    <row r="5" spans="1:9" ht="25.9" customHeight="1">
      <c r="A5" s="401">
        <v>2</v>
      </c>
      <c r="B5" s="929" t="s">
        <v>53</v>
      </c>
      <c r="C5" s="929" t="s">
        <v>841</v>
      </c>
      <c r="D5" s="899" t="str">
        <f t="shared" ref="D5:D68" si="0">INDEX($E$4:$G$503,$A5,$A$1)</f>
        <v>Formulaire EN101b, v2.97, à utiliser jusqu'au 31 décembre 2026</v>
      </c>
      <c r="E5" s="429" t="str">
        <f>IF(OR(MUKEN,bern),IF(bern,"Formular EN-101 BE, "&amp;E4,"Formular EN101b, "&amp;E4&amp;", zu verwenden bis 31. Dezember "&amp;$D$1),"MINERGIE-Nachweisformular "&amp;$H$4&amp;", zu verwenden bis 31. Dezember "&amp;$B$2)</f>
        <v>Formular EN101b, v2.97, zu verwenden bis 31. Dezember 2026</v>
      </c>
      <c r="F5" s="902" t="str">
        <f>IF(OR(MUKEN,bern),IF(bern,"Formulaire EN-101 BE, "&amp;E4,"Formulaire EN101b, "&amp;E4&amp;", à utiliser jusqu'au 31 décembre "&amp;$D$1),"Formulaire MINERGIE "&amp;$H$4&amp;", à utiliser jusqu'au 31 décembre "&amp;$B$2)</f>
        <v>Formulaire EN101b, v2.97, à utiliser jusqu'au 31 décembre 2026</v>
      </c>
      <c r="G5" s="403" t="str">
        <f>IF(OR(MUKEN,bern),"Formulario EN101b, "&amp;E4&amp;", da utilizzare fino al 31. 12. "&amp;$D$1,"Formulario MINERGIE "&amp;$H$4&amp;", da utilizzare fino al 31. 12. "&amp;$B$2)</f>
        <v>Formulario EN101b, v2.97, da utilizzare fino al 31. 12. 2026</v>
      </c>
    </row>
    <row r="6" spans="1:9" ht="25.9" customHeight="1">
      <c r="A6" s="401">
        <v>3</v>
      </c>
      <c r="B6" s="929" t="s">
        <v>53</v>
      </c>
      <c r="C6" s="929" t="s">
        <v>842</v>
      </c>
      <c r="D6" s="899" t="str">
        <f t="shared" si="0"/>
        <v>Justificatif énergétique</v>
      </c>
      <c r="E6" s="402" t="s">
        <v>755</v>
      </c>
      <c r="F6" s="2338" t="s">
        <v>1488</v>
      </c>
      <c r="G6" s="403" t="s">
        <v>1235</v>
      </c>
    </row>
    <row r="7" spans="1:9" ht="25.9" customHeight="1">
      <c r="A7" s="401">
        <v>4</v>
      </c>
      <c r="B7" s="929" t="s">
        <v>53</v>
      </c>
      <c r="C7" s="929" t="s">
        <v>843</v>
      </c>
      <c r="D7" s="899" t="str">
        <f t="shared" si="0"/>
        <v>Besoin d'énergie</v>
      </c>
      <c r="E7" s="402" t="s">
        <v>1686</v>
      </c>
      <c r="F7" s="2338" t="s">
        <v>1687</v>
      </c>
      <c r="G7" s="403" t="s">
        <v>1688</v>
      </c>
    </row>
    <row r="8" spans="1:9" ht="25.9" customHeight="1">
      <c r="A8" s="401">
        <v>5</v>
      </c>
      <c r="B8" s="929" t="s">
        <v>53</v>
      </c>
      <c r="C8" s="929" t="s">
        <v>844</v>
      </c>
      <c r="D8" s="899" t="str">
        <f t="shared" si="0"/>
        <v>Preuve calculée</v>
      </c>
      <c r="E8" s="402" t="s">
        <v>756</v>
      </c>
      <c r="F8" s="2338" t="s">
        <v>1489</v>
      </c>
      <c r="G8" s="403" t="s">
        <v>1236</v>
      </c>
    </row>
    <row r="9" spans="1:9" ht="25.9" customHeight="1">
      <c r="A9" s="401">
        <v>6</v>
      </c>
      <c r="B9" s="929" t="s">
        <v>53</v>
      </c>
      <c r="C9" s="929" t="s">
        <v>845</v>
      </c>
      <c r="D9" s="899" t="str">
        <f t="shared" si="0"/>
        <v>Commune:</v>
      </c>
      <c r="E9" s="402" t="s">
        <v>796</v>
      </c>
      <c r="F9" s="2338" t="s">
        <v>1490</v>
      </c>
      <c r="G9" s="403" t="s">
        <v>1237</v>
      </c>
    </row>
    <row r="10" spans="1:9" ht="26.1" customHeight="1">
      <c r="A10" s="401">
        <v>7</v>
      </c>
      <c r="B10" s="929" t="s">
        <v>53</v>
      </c>
      <c r="C10" s="929" t="s">
        <v>1205</v>
      </c>
      <c r="D10" s="899" t="str">
        <f t="shared" si="0"/>
        <v>N° cadastre:</v>
      </c>
      <c r="E10" s="402" t="s">
        <v>799</v>
      </c>
      <c r="F10" s="2338" t="s">
        <v>1491</v>
      </c>
      <c r="G10" s="403" t="s">
        <v>1238</v>
      </c>
    </row>
    <row r="11" spans="1:9" ht="26.1" customHeight="1">
      <c r="A11" s="401">
        <v>8</v>
      </c>
      <c r="B11" s="929" t="s">
        <v>53</v>
      </c>
      <c r="C11" s="929" t="s">
        <v>1048</v>
      </c>
      <c r="D11" s="899" t="str">
        <f t="shared" si="0"/>
        <v>N° bâtiment:</v>
      </c>
      <c r="E11" s="402" t="s">
        <v>798</v>
      </c>
      <c r="F11" s="2338" t="s">
        <v>1492</v>
      </c>
      <c r="G11" s="403" t="s">
        <v>1239</v>
      </c>
    </row>
    <row r="12" spans="1:9" ht="26.1" customHeight="1">
      <c r="A12" s="401">
        <v>9</v>
      </c>
      <c r="B12" s="929" t="s">
        <v>53</v>
      </c>
      <c r="C12" s="929" t="s">
        <v>838</v>
      </c>
      <c r="D12" s="899" t="str">
        <f t="shared" si="0"/>
        <v>Canton:</v>
      </c>
      <c r="E12" s="471" t="s">
        <v>617</v>
      </c>
      <c r="F12" s="904" t="s">
        <v>837</v>
      </c>
      <c r="G12" s="403" t="s">
        <v>1240</v>
      </c>
    </row>
    <row r="13" spans="1:9" ht="26.1" customHeight="1">
      <c r="A13" s="401">
        <v>10</v>
      </c>
      <c r="B13" s="929" t="s">
        <v>53</v>
      </c>
      <c r="C13" s="929" t="s">
        <v>848</v>
      </c>
      <c r="D13" s="899" t="str">
        <f t="shared" si="0"/>
        <v>Objet:</v>
      </c>
      <c r="E13" s="402" t="s">
        <v>797</v>
      </c>
      <c r="F13" s="2338" t="s">
        <v>1493</v>
      </c>
      <c r="G13" s="403" t="s">
        <v>1241</v>
      </c>
    </row>
    <row r="14" spans="1:9" ht="26.1" customHeight="1">
      <c r="A14" s="401">
        <v>11</v>
      </c>
      <c r="B14" s="929" t="s">
        <v>53</v>
      </c>
      <c r="C14" s="929" t="s">
        <v>849</v>
      </c>
      <c r="D14" s="899" t="str">
        <f t="shared" si="0"/>
        <v>Données sur le bâtiment</v>
      </c>
      <c r="E14" s="402" t="s">
        <v>489</v>
      </c>
      <c r="F14" s="2338" t="s">
        <v>1494</v>
      </c>
      <c r="G14" s="403" t="s">
        <v>1242</v>
      </c>
    </row>
    <row r="15" spans="1:9" ht="26.1" customHeight="1">
      <c r="A15" s="401">
        <v>12</v>
      </c>
      <c r="B15" s="929" t="s">
        <v>53</v>
      </c>
      <c r="C15" s="929" t="s">
        <v>389</v>
      </c>
      <c r="D15" s="899" t="str">
        <f t="shared" si="0"/>
        <v xml:space="preserve">Altitude: </v>
      </c>
      <c r="E15" s="402" t="s">
        <v>828</v>
      </c>
      <c r="F15" s="2338" t="s">
        <v>1495</v>
      </c>
      <c r="G15" s="403" t="s">
        <v>1243</v>
      </c>
    </row>
    <row r="16" spans="1:9" s="907" customFormat="1" ht="26.1" customHeight="1">
      <c r="A16" s="401">
        <v>13</v>
      </c>
      <c r="B16" s="929" t="s">
        <v>53</v>
      </c>
      <c r="C16" s="929" t="s">
        <v>851</v>
      </c>
      <c r="D16" s="899" t="str">
        <f t="shared" si="0"/>
        <v>m</v>
      </c>
      <c r="E16" s="2536" t="s">
        <v>251</v>
      </c>
      <c r="F16" s="2537" t="s">
        <v>1496</v>
      </c>
      <c r="G16" s="2538" t="s">
        <v>3446</v>
      </c>
    </row>
    <row r="17" spans="1:7" ht="26.1" customHeight="1">
      <c r="A17" s="401">
        <v>14</v>
      </c>
      <c r="B17" s="929" t="s">
        <v>53</v>
      </c>
      <c r="C17" s="929" t="s">
        <v>466</v>
      </c>
      <c r="D17" s="899" t="str">
        <f t="shared" si="0"/>
        <v>(Selon la norme SIA 380/1)</v>
      </c>
      <c r="E17" s="402" t="s">
        <v>824</v>
      </c>
      <c r="F17" s="2338" t="s">
        <v>1497</v>
      </c>
      <c r="G17" s="403" t="s">
        <v>1244</v>
      </c>
    </row>
    <row r="18" spans="1:7" ht="26.1" customHeight="1">
      <c r="A18" s="401">
        <v>15</v>
      </c>
      <c r="B18" s="929" t="s">
        <v>53</v>
      </c>
      <c r="C18" s="929" t="s">
        <v>850</v>
      </c>
      <c r="D18" s="899" t="str">
        <f t="shared" si="0"/>
        <v>Justificatif pour:</v>
      </c>
      <c r="E18" s="402" t="s">
        <v>829</v>
      </c>
      <c r="F18" s="2338" t="s">
        <v>1498</v>
      </c>
      <c r="G18" s="403" t="s">
        <v>1245</v>
      </c>
    </row>
    <row r="19" spans="1:7" ht="26.1" customHeight="1">
      <c r="A19" s="401">
        <v>16</v>
      </c>
      <c r="B19" s="929" t="s">
        <v>622</v>
      </c>
      <c r="C19" s="929" t="s">
        <v>855</v>
      </c>
      <c r="D19" s="899" t="str">
        <f t="shared" si="0"/>
        <v>Preuve officielle</v>
      </c>
      <c r="E19" s="402" t="s">
        <v>826</v>
      </c>
      <c r="F19" s="2338" t="s">
        <v>1499</v>
      </c>
      <c r="G19" s="403" t="s">
        <v>1246</v>
      </c>
    </row>
    <row r="20" spans="1:7" ht="26.1" customHeight="1">
      <c r="A20" s="401">
        <v>17</v>
      </c>
      <c r="B20" s="929" t="s">
        <v>622</v>
      </c>
      <c r="C20" s="929" t="s">
        <v>856</v>
      </c>
      <c r="D20" s="899" t="str">
        <f t="shared" si="0"/>
        <v>MINERGIE</v>
      </c>
      <c r="E20" s="402" t="s">
        <v>313</v>
      </c>
      <c r="F20" s="2338" t="s">
        <v>313</v>
      </c>
      <c r="G20" s="403" t="s">
        <v>313</v>
      </c>
    </row>
    <row r="21" spans="1:7" ht="26.1" customHeight="1">
      <c r="A21" s="401">
        <v>18</v>
      </c>
      <c r="B21" s="929" t="s">
        <v>622</v>
      </c>
      <c r="C21" s="929" t="s">
        <v>857</v>
      </c>
      <c r="D21" s="899" t="str">
        <f t="shared" si="0"/>
        <v>MINERGIE-P</v>
      </c>
      <c r="E21" s="402" t="s">
        <v>652</v>
      </c>
      <c r="F21" s="2338" t="s">
        <v>652</v>
      </c>
      <c r="G21" s="403" t="s">
        <v>652</v>
      </c>
    </row>
    <row r="22" spans="1:7" ht="26.1" customHeight="1">
      <c r="A22" s="401">
        <v>19</v>
      </c>
      <c r="B22" s="929" t="s">
        <v>622</v>
      </c>
      <c r="C22" s="929" t="s">
        <v>858</v>
      </c>
      <c r="D22" s="899" t="str">
        <f t="shared" si="0"/>
        <v>MINERGIE-A</v>
      </c>
      <c r="E22" s="402" t="s">
        <v>827</v>
      </c>
      <c r="F22" s="2338" t="s">
        <v>827</v>
      </c>
      <c r="G22" s="403" t="s">
        <v>827</v>
      </c>
    </row>
    <row r="23" spans="1:7" ht="26.1" customHeight="1">
      <c r="A23" s="401">
        <v>20</v>
      </c>
      <c r="B23" s="929" t="s">
        <v>313</v>
      </c>
      <c r="C23" s="929" t="s">
        <v>1844</v>
      </c>
      <c r="D23" s="899" t="str">
        <f t="shared" si="0"/>
        <v>satisfait</v>
      </c>
      <c r="E23" s="402" t="s">
        <v>676</v>
      </c>
      <c r="F23" s="2338" t="s">
        <v>1500</v>
      </c>
      <c r="G23" s="403" t="s">
        <v>1247</v>
      </c>
    </row>
    <row r="24" spans="1:7" ht="26.1" customHeight="1">
      <c r="A24" s="401">
        <v>21</v>
      </c>
      <c r="B24" s="929" t="s">
        <v>313</v>
      </c>
      <c r="C24" s="929" t="s">
        <v>1845</v>
      </c>
      <c r="D24" s="899" t="str">
        <f t="shared" si="0"/>
        <v>non satisfait</v>
      </c>
      <c r="E24" s="402" t="s">
        <v>677</v>
      </c>
      <c r="F24" s="2338" t="s">
        <v>1501</v>
      </c>
      <c r="G24" s="403" t="s">
        <v>1248</v>
      </c>
    </row>
    <row r="25" spans="1:7" ht="26.1" customHeight="1">
      <c r="A25" s="401">
        <v>22</v>
      </c>
      <c r="B25" s="929" t="s">
        <v>622</v>
      </c>
      <c r="C25" s="929" t="s">
        <v>859</v>
      </c>
      <c r="D25" s="899" t="str">
        <f t="shared" si="0"/>
        <v>oui</v>
      </c>
      <c r="E25" s="402" t="s">
        <v>120</v>
      </c>
      <c r="F25" s="2338" t="s">
        <v>329</v>
      </c>
      <c r="G25" s="403" t="s">
        <v>1249</v>
      </c>
    </row>
    <row r="26" spans="1:7" ht="26.1" customHeight="1">
      <c r="A26" s="401">
        <v>23</v>
      </c>
      <c r="B26" s="929" t="s">
        <v>622</v>
      </c>
      <c r="C26" s="929" t="s">
        <v>860</v>
      </c>
      <c r="D26" s="899" t="str">
        <f t="shared" si="0"/>
        <v>non</v>
      </c>
      <c r="E26" s="905" t="s">
        <v>122</v>
      </c>
      <c r="F26" s="906" t="s">
        <v>330</v>
      </c>
      <c r="G26" s="403" t="s">
        <v>1250</v>
      </c>
    </row>
    <row r="27" spans="1:7" ht="26.1" customHeight="1">
      <c r="A27" s="401">
        <v>24</v>
      </c>
      <c r="B27" s="929" t="s">
        <v>1747</v>
      </c>
      <c r="C27" s="929" t="s">
        <v>412</v>
      </c>
      <c r="D27" s="899" t="str">
        <f t="shared" si="0"/>
        <v>n.a.</v>
      </c>
      <c r="E27" s="402" t="s">
        <v>216</v>
      </c>
      <c r="F27" s="2338" t="s">
        <v>216</v>
      </c>
      <c r="G27" s="403" t="s">
        <v>216</v>
      </c>
    </row>
    <row r="28" spans="1:7" ht="26.1" customHeight="1">
      <c r="A28" s="401">
        <v>25</v>
      </c>
      <c r="B28" s="929" t="s">
        <v>53</v>
      </c>
      <c r="C28" s="929" t="s">
        <v>847</v>
      </c>
      <c r="D28" s="899" t="str">
        <f t="shared" si="0"/>
        <v>Station climat.</v>
      </c>
      <c r="E28" s="402" t="s">
        <v>719</v>
      </c>
      <c r="F28" s="2338" t="s">
        <v>1502</v>
      </c>
      <c r="G28" s="403" t="s">
        <v>1251</v>
      </c>
    </row>
    <row r="29" spans="1:7" ht="26.1" customHeight="1">
      <c r="A29" s="401">
        <v>26</v>
      </c>
      <c r="B29" s="929" t="s">
        <v>53</v>
      </c>
      <c r="C29" s="929" t="s">
        <v>862</v>
      </c>
      <c r="D29" s="899" t="str">
        <f t="shared" si="0"/>
        <v>Zone</v>
      </c>
      <c r="E29" s="402" t="s">
        <v>312</v>
      </c>
      <c r="F29" s="2338" t="s">
        <v>312</v>
      </c>
      <c r="G29" s="403" t="s">
        <v>312</v>
      </c>
    </row>
    <row r="30" spans="1:7" ht="26.1" customHeight="1">
      <c r="A30" s="401">
        <v>27</v>
      </c>
      <c r="B30" s="929" t="s">
        <v>53</v>
      </c>
      <c r="C30" s="929" t="s">
        <v>863</v>
      </c>
      <c r="D30" s="899" t="str">
        <f t="shared" si="0"/>
        <v>Somme</v>
      </c>
      <c r="E30" s="402" t="s">
        <v>490</v>
      </c>
      <c r="F30" s="2338" t="s">
        <v>1503</v>
      </c>
      <c r="G30" s="403" t="s">
        <v>1252</v>
      </c>
    </row>
    <row r="31" spans="1:7" ht="26.1" customHeight="1">
      <c r="A31" s="401">
        <v>28</v>
      </c>
      <c r="B31" s="929" t="s">
        <v>53</v>
      </c>
      <c r="C31" s="929" t="s">
        <v>853</v>
      </c>
      <c r="D31" s="899" t="str">
        <f t="shared" si="0"/>
        <v>Catégorie d'ouvrage</v>
      </c>
      <c r="E31" s="402" t="s">
        <v>331</v>
      </c>
      <c r="F31" s="2338" t="s">
        <v>1504</v>
      </c>
      <c r="G31" s="403" t="s">
        <v>1253</v>
      </c>
    </row>
    <row r="32" spans="1:7" ht="26.1" customHeight="1">
      <c r="A32" s="401">
        <v>29</v>
      </c>
      <c r="B32" s="929" t="s">
        <v>53</v>
      </c>
      <c r="C32" s="929" t="s">
        <v>854</v>
      </c>
      <c r="D32" s="899" t="str">
        <f t="shared" si="0"/>
        <v>Avec eau chaude?</v>
      </c>
      <c r="E32" s="402" t="s">
        <v>364</v>
      </c>
      <c r="F32" s="2338" t="s">
        <v>1505</v>
      </c>
      <c r="G32" s="403" t="s">
        <v>1254</v>
      </c>
    </row>
    <row r="33" spans="1:7" ht="26.1" customHeight="1">
      <c r="A33" s="401">
        <v>30</v>
      </c>
      <c r="B33" s="929" t="s">
        <v>53</v>
      </c>
      <c r="C33" s="929" t="s">
        <v>488</v>
      </c>
      <c r="D33" s="899" t="str">
        <f t="shared" si="0"/>
        <v>Surface de référence énergétique SRE</v>
      </c>
      <c r="E33" s="402" t="s">
        <v>137</v>
      </c>
      <c r="F33" s="2338" t="s">
        <v>1506</v>
      </c>
      <c r="G33" s="403" t="s">
        <v>1255</v>
      </c>
    </row>
    <row r="34" spans="1:7" ht="26.1" customHeight="1">
      <c r="A34" s="401">
        <v>31</v>
      </c>
      <c r="B34" s="929" t="s">
        <v>53</v>
      </c>
      <c r="C34" s="929" t="s">
        <v>549</v>
      </c>
      <c r="D34" s="899" t="str">
        <f t="shared" si="0"/>
        <v>Nouvelle construction</v>
      </c>
      <c r="E34" s="402" t="s">
        <v>650</v>
      </c>
      <c r="F34" s="2338" t="s">
        <v>1507</v>
      </c>
      <c r="G34" s="403" t="s">
        <v>1256</v>
      </c>
    </row>
    <row r="35" spans="1:7" ht="26.1" customHeight="1">
      <c r="A35" s="401">
        <v>32</v>
      </c>
      <c r="B35" s="929" t="s">
        <v>53</v>
      </c>
      <c r="C35" s="929" t="s">
        <v>864</v>
      </c>
      <c r="D35" s="899" t="str">
        <f t="shared" si="0"/>
        <v>(moyenne)</v>
      </c>
      <c r="E35" s="402" t="s">
        <v>492</v>
      </c>
      <c r="F35" s="2338" t="s">
        <v>1508</v>
      </c>
      <c r="G35" s="403" t="s">
        <v>1257</v>
      </c>
    </row>
    <row r="36" spans="1:7" ht="26.1" customHeight="1">
      <c r="A36" s="401">
        <v>33</v>
      </c>
      <c r="B36" s="929" t="s">
        <v>53</v>
      </c>
      <c r="C36" s="929" t="s">
        <v>549</v>
      </c>
      <c r="D36" s="899" t="str">
        <f t="shared" si="0"/>
        <v>Nouvelle construction</v>
      </c>
      <c r="E36" s="402" t="s">
        <v>650</v>
      </c>
      <c r="F36" s="2338" t="s">
        <v>1507</v>
      </c>
      <c r="G36" s="403" t="s">
        <v>1256</v>
      </c>
    </row>
    <row r="37" spans="1:7" ht="26.1" customHeight="1">
      <c r="A37" s="401">
        <v>34</v>
      </c>
      <c r="B37" s="929" t="s">
        <v>53</v>
      </c>
      <c r="C37" s="929" t="s">
        <v>551</v>
      </c>
      <c r="D37" s="899" t="str">
        <f t="shared" si="0"/>
        <v>Besoins pour chauffage avec renouvellement d'air normal</v>
      </c>
      <c r="E37" s="402" t="s">
        <v>702</v>
      </c>
      <c r="F37" s="2338" t="s">
        <v>1509</v>
      </c>
      <c r="G37" s="403" t="s">
        <v>1258</v>
      </c>
    </row>
    <row r="38" spans="1:7" ht="26.1" customHeight="1">
      <c r="A38" s="401">
        <v>35</v>
      </c>
      <c r="B38" s="929" t="s">
        <v>53</v>
      </c>
      <c r="C38" s="929" t="s">
        <v>865</v>
      </c>
      <c r="D38" s="899" t="str">
        <f t="shared" si="0"/>
        <v>Installations de ventilation et de climatisation</v>
      </c>
      <c r="E38" s="402" t="s">
        <v>514</v>
      </c>
      <c r="F38" s="2338" t="s">
        <v>255</v>
      </c>
      <c r="G38" s="403" t="s">
        <v>2740</v>
      </c>
    </row>
    <row r="39" spans="1:7" ht="46.5" customHeight="1">
      <c r="A39" s="401">
        <v>36</v>
      </c>
      <c r="B39" s="929" t="s">
        <v>53</v>
      </c>
      <c r="C39" s="929" t="s">
        <v>866</v>
      </c>
      <c r="D39" s="899" t="str">
        <f t="shared" si="0"/>
        <v>Le débit d'air neuf thermiquement actif calculé en F45-I45 est à introduire dans le calcul des besoins de chaleur pour le chauffage (SIA 380/1)</v>
      </c>
      <c r="E39" s="402" t="s">
        <v>1691</v>
      </c>
      <c r="F39" s="2338" t="s">
        <v>3447</v>
      </c>
      <c r="G39" s="403" t="s">
        <v>1259</v>
      </c>
    </row>
    <row r="40" spans="1:7" ht="26.1" customHeight="1">
      <c r="A40" s="401">
        <v>37</v>
      </c>
      <c r="B40" s="929" t="s">
        <v>53</v>
      </c>
      <c r="C40" s="929" t="s">
        <v>867</v>
      </c>
      <c r="D40" s="899" t="str">
        <f t="shared" si="0"/>
        <v>Données pour installation de ventilation standard</v>
      </c>
      <c r="E40" s="402" t="s">
        <v>835</v>
      </c>
      <c r="F40" s="2338" t="s">
        <v>1510</v>
      </c>
      <c r="G40" s="403" t="s">
        <v>2739</v>
      </c>
    </row>
    <row r="41" spans="1:7" ht="26.1" customHeight="1">
      <c r="A41" s="401">
        <v>38</v>
      </c>
      <c r="B41" s="929" t="s">
        <v>53</v>
      </c>
      <c r="C41" s="929" t="s">
        <v>513</v>
      </c>
      <c r="D41" s="899" t="str">
        <f t="shared" si="0"/>
        <v>Type d'installation de ventilation standard</v>
      </c>
      <c r="E41" s="402" t="s">
        <v>634</v>
      </c>
      <c r="F41" s="2338" t="s">
        <v>1511</v>
      </c>
      <c r="G41" s="403" t="s">
        <v>2741</v>
      </c>
    </row>
    <row r="42" spans="1:7" ht="26.1" customHeight="1">
      <c r="A42" s="401">
        <v>39</v>
      </c>
      <c r="B42" s="929" t="s">
        <v>53</v>
      </c>
      <c r="C42" s="929" t="s">
        <v>870</v>
      </c>
      <c r="D42" s="899" t="str">
        <f t="shared" si="0"/>
        <v>Locaux avec air fourni ou nombre de personnes</v>
      </c>
      <c r="E42" s="402" t="s">
        <v>869</v>
      </c>
      <c r="F42" s="2338" t="s">
        <v>1512</v>
      </c>
      <c r="G42" s="403" t="s">
        <v>2742</v>
      </c>
    </row>
    <row r="43" spans="1:7" ht="26.1" customHeight="1">
      <c r="A43" s="401">
        <v>40</v>
      </c>
      <c r="B43" s="929" t="s">
        <v>53</v>
      </c>
      <c r="C43" s="929" t="s">
        <v>870</v>
      </c>
      <c r="D43" s="899" t="str">
        <f t="shared" si="0"/>
        <v>Nombre de locaux avec air fourni</v>
      </c>
      <c r="E43" s="402" t="s">
        <v>211</v>
      </c>
      <c r="F43" s="2338" t="s">
        <v>1513</v>
      </c>
      <c r="G43" s="403" t="s">
        <v>2743</v>
      </c>
    </row>
    <row r="44" spans="1:7" ht="26.1" customHeight="1">
      <c r="A44" s="401">
        <v>41</v>
      </c>
      <c r="B44" s="929" t="s">
        <v>53</v>
      </c>
      <c r="C44" s="929" t="s">
        <v>870</v>
      </c>
      <c r="D44" s="899" t="str">
        <f t="shared" si="0"/>
        <v>Nombre de personnes</v>
      </c>
      <c r="E44" s="402" t="s">
        <v>30</v>
      </c>
      <c r="F44" s="2338" t="s">
        <v>1514</v>
      </c>
      <c r="G44" s="403" t="s">
        <v>2744</v>
      </c>
    </row>
    <row r="45" spans="1:7" ht="26.1" customHeight="1">
      <c r="A45" s="401">
        <v>42</v>
      </c>
      <c r="B45" s="929" t="s">
        <v>53</v>
      </c>
      <c r="C45" s="929" t="s">
        <v>97</v>
      </c>
      <c r="D45" s="899" t="str">
        <f t="shared" si="0"/>
        <v>Récupération de chaleur-Echangeur de chaleur</v>
      </c>
      <c r="E45" s="402" t="s">
        <v>130</v>
      </c>
      <c r="F45" s="2338" t="s">
        <v>1515</v>
      </c>
      <c r="G45" s="403" t="s">
        <v>1260</v>
      </c>
    </row>
    <row r="46" spans="1:7" ht="26.1" customHeight="1">
      <c r="A46" s="401">
        <v>43</v>
      </c>
      <c r="B46" s="929" t="s">
        <v>53</v>
      </c>
      <c r="C46" s="929" t="s">
        <v>438</v>
      </c>
      <c r="D46" s="899" t="str">
        <f t="shared" si="0"/>
        <v>Débit d'air nominal</v>
      </c>
      <c r="E46" s="402" t="s">
        <v>553</v>
      </c>
      <c r="F46" s="2338" t="s">
        <v>1516</v>
      </c>
      <c r="G46" s="403" t="s">
        <v>1261</v>
      </c>
    </row>
    <row r="47" spans="1:7" ht="25.9" customHeight="1">
      <c r="A47" s="401">
        <v>44</v>
      </c>
      <c r="B47" s="929" t="s">
        <v>53</v>
      </c>
      <c r="C47" s="929" t="s">
        <v>98</v>
      </c>
      <c r="D47" s="899" t="str">
        <f t="shared" si="0"/>
        <v>Entrainement de ventilateur avec</v>
      </c>
      <c r="E47" s="402" t="s">
        <v>339</v>
      </c>
      <c r="F47" s="2338" t="s">
        <v>1517</v>
      </c>
      <c r="G47" s="403" t="s">
        <v>1262</v>
      </c>
    </row>
    <row r="48" spans="1:7" ht="25.9" customHeight="1">
      <c r="A48" s="401">
        <v>45</v>
      </c>
      <c r="B48" s="929" t="s">
        <v>53</v>
      </c>
      <c r="C48" s="929" t="s">
        <v>868</v>
      </c>
      <c r="D48" s="899" t="str">
        <f t="shared" si="0"/>
        <v>Petite installation avec valeurs standard</v>
      </c>
      <c r="E48" s="402" t="s">
        <v>182</v>
      </c>
      <c r="F48" s="2338" t="s">
        <v>1518</v>
      </c>
      <c r="G48" s="403" t="s">
        <v>1263</v>
      </c>
    </row>
    <row r="49" spans="1:7" ht="26.1" customHeight="1">
      <c r="A49" s="401">
        <v>46</v>
      </c>
      <c r="B49" s="929" t="s">
        <v>53</v>
      </c>
      <c r="C49" s="929" t="s">
        <v>873</v>
      </c>
      <c r="D49" s="899" t="str">
        <f t="shared" si="0"/>
        <v>Débit d'air neuf thermiquement actif</v>
      </c>
      <c r="E49" s="402" t="s">
        <v>535</v>
      </c>
      <c r="F49" s="2338" t="s">
        <v>1519</v>
      </c>
      <c r="G49" s="403" t="s">
        <v>2748</v>
      </c>
    </row>
    <row r="50" spans="1:7" ht="26.1" customHeight="1">
      <c r="A50" s="401">
        <v>47</v>
      </c>
      <c r="B50" s="929" t="s">
        <v>53</v>
      </c>
      <c r="C50" s="929" t="s">
        <v>872</v>
      </c>
      <c r="D50" s="899" t="str">
        <f t="shared" si="0"/>
        <v>Besoins d'électricité pour la ventilation et la protection antigel</v>
      </c>
      <c r="E50" s="402" t="s">
        <v>181</v>
      </c>
      <c r="F50" s="2338" t="s">
        <v>1520</v>
      </c>
      <c r="G50" s="403" t="s">
        <v>1264</v>
      </c>
    </row>
    <row r="51" spans="1:7" ht="26.1" customHeight="1">
      <c r="A51" s="401">
        <v>48</v>
      </c>
      <c r="B51" s="929" t="s">
        <v>53</v>
      </c>
      <c r="C51" s="929" t="s">
        <v>871</v>
      </c>
      <c r="D51" s="899" t="str">
        <f t="shared" si="0"/>
        <v>Besoins d'électricité pour la climatisation et l'humidification</v>
      </c>
      <c r="E51" s="402" t="s">
        <v>141</v>
      </c>
      <c r="F51" s="2338" t="s">
        <v>256</v>
      </c>
      <c r="G51" s="403" t="s">
        <v>2745</v>
      </c>
    </row>
    <row r="52" spans="1:7" ht="26.1" customHeight="1">
      <c r="A52" s="401">
        <v>49</v>
      </c>
      <c r="B52" s="929" t="s">
        <v>53</v>
      </c>
      <c r="C52" s="929" t="s">
        <v>878</v>
      </c>
      <c r="D52" s="899" t="str">
        <f t="shared" si="0"/>
        <v>Besoins d'électricité exploitation</v>
      </c>
      <c r="E52" s="402" t="s">
        <v>486</v>
      </c>
      <c r="F52" s="2338" t="s">
        <v>156</v>
      </c>
      <c r="G52" s="403" t="s">
        <v>1265</v>
      </c>
    </row>
    <row r="53" spans="1:7" ht="26.1" customHeight="1">
      <c r="A53" s="401">
        <v>50</v>
      </c>
      <c r="B53" s="929" t="s">
        <v>53</v>
      </c>
      <c r="C53" s="929" t="s">
        <v>380</v>
      </c>
      <c r="D53" s="899" t="str">
        <f t="shared" si="0"/>
        <v>Calcul externe</v>
      </c>
      <c r="E53" s="402" t="s">
        <v>771</v>
      </c>
      <c r="F53" s="2338" t="s">
        <v>840</v>
      </c>
      <c r="G53" s="403" t="s">
        <v>1266</v>
      </c>
    </row>
    <row r="54" spans="1:7" ht="26.1" customHeight="1">
      <c r="A54" s="401">
        <v>51</v>
      </c>
      <c r="B54" s="929" t="s">
        <v>53</v>
      </c>
      <c r="C54" s="929" t="s">
        <v>487</v>
      </c>
      <c r="D54" s="899" t="str">
        <f t="shared" si="0"/>
        <v>Rafraîchissement et/ou humidification ?</v>
      </c>
      <c r="E54" s="402" t="s">
        <v>143</v>
      </c>
      <c r="F54" s="2338" t="s">
        <v>257</v>
      </c>
      <c r="G54" s="403" t="s">
        <v>2746</v>
      </c>
    </row>
    <row r="55" spans="1:7" ht="26.1" customHeight="1">
      <c r="A55" s="401">
        <v>52</v>
      </c>
      <c r="B55" s="929" t="s">
        <v>53</v>
      </c>
      <c r="C55" s="929" t="s">
        <v>881</v>
      </c>
      <c r="D55" s="899" t="str">
        <f t="shared" si="0"/>
        <v>Y aura-t-il un rafraîchissement ou une humidification?</v>
      </c>
      <c r="E55" s="402" t="s">
        <v>144</v>
      </c>
      <c r="F55" s="2338" t="s">
        <v>258</v>
      </c>
      <c r="G55" s="403" t="s">
        <v>2747</v>
      </c>
    </row>
    <row r="56" spans="1:7" ht="26.1" customHeight="1">
      <c r="A56" s="401">
        <v>53</v>
      </c>
      <c r="B56" s="929" t="s">
        <v>53</v>
      </c>
      <c r="C56" s="929" t="s">
        <v>878</v>
      </c>
      <c r="D56" s="899" t="str">
        <f t="shared" si="0"/>
        <v>Besoins d'électricité pour le transport du froid et pour les auxiliaires</v>
      </c>
      <c r="E56" s="402" t="s">
        <v>3609</v>
      </c>
      <c r="F56" s="2338" t="s">
        <v>3611</v>
      </c>
      <c r="G56" s="403" t="s">
        <v>3610</v>
      </c>
    </row>
    <row r="57" spans="1:7" ht="26.1" customHeight="1">
      <c r="A57" s="401">
        <v>54</v>
      </c>
      <c r="B57" s="929" t="s">
        <v>53</v>
      </c>
      <c r="C57" s="929" t="s">
        <v>705</v>
      </c>
      <c r="D57" s="899" t="str">
        <f t="shared" si="0"/>
        <v>Qh avec débit d'air thermiquement actif</v>
      </c>
      <c r="E57" s="402" t="s">
        <v>1689</v>
      </c>
      <c r="F57" s="2338" t="s">
        <v>83</v>
      </c>
      <c r="G57" s="403" t="s">
        <v>1267</v>
      </c>
    </row>
    <row r="58" spans="1:7" ht="26.1" customHeight="1">
      <c r="A58" s="401">
        <v>55</v>
      </c>
      <c r="B58" s="929" t="s">
        <v>53</v>
      </c>
      <c r="C58" s="929" t="s">
        <v>879</v>
      </c>
      <c r="D58" s="899" t="str">
        <f t="shared" si="0"/>
        <v>Débit d'air neuf thermiquement actif</v>
      </c>
      <c r="E58" s="402" t="s">
        <v>33</v>
      </c>
      <c r="F58" s="2338" t="s">
        <v>1519</v>
      </c>
      <c r="G58" s="403" t="s">
        <v>2748</v>
      </c>
    </row>
    <row r="59" spans="1:7" ht="48.75" customHeight="1">
      <c r="A59" s="401">
        <v>56</v>
      </c>
      <c r="B59" s="929" t="s">
        <v>53</v>
      </c>
      <c r="C59" s="929" t="s">
        <v>882</v>
      </c>
      <c r="D59" s="899" t="str">
        <f t="shared" si="0"/>
        <v>Débit d'air spécifique thermiquement actif Vth selon SIA 380/1: cette valeur doit correspondre à celle donnée pour le calcul de la demande d'énergie de chauffage avec aération effective.</v>
      </c>
      <c r="E59" s="402" t="s">
        <v>118</v>
      </c>
      <c r="F59" s="2338" t="s">
        <v>48</v>
      </c>
      <c r="G59" s="403" t="s">
        <v>3448</v>
      </c>
    </row>
    <row r="60" spans="1:7" ht="25.9" customHeight="1">
      <c r="A60" s="401">
        <v>57</v>
      </c>
      <c r="B60" s="929" t="s">
        <v>53</v>
      </c>
      <c r="C60" s="929" t="s">
        <v>880</v>
      </c>
      <c r="D60" s="899" t="str">
        <f t="shared" si="0"/>
        <v>Besoins pour le chauffage effectif avec l'installation de ventilation</v>
      </c>
      <c r="E60" s="402" t="s">
        <v>190</v>
      </c>
      <c r="F60" s="2338" t="s">
        <v>1521</v>
      </c>
      <c r="G60" s="403" t="s">
        <v>1268</v>
      </c>
    </row>
    <row r="61" spans="1:7" ht="52.5" customHeight="1">
      <c r="A61" s="401">
        <v>58</v>
      </c>
      <c r="B61" s="929" t="s">
        <v>53</v>
      </c>
      <c r="C61" s="929" t="s">
        <v>883</v>
      </c>
      <c r="D61" s="899" t="str">
        <f t="shared" si="0"/>
        <v>Entrée obligatoire: Qh,eff ou Qh,corr
à reporter du calcul SIA 380/1 les besoins de chaleur pour le chauffage Qh,eff avec débit d’air neuf thermiquement actif Vth.</v>
      </c>
      <c r="E61" s="402" t="s">
        <v>3515</v>
      </c>
      <c r="F61" s="2338" t="s">
        <v>3514</v>
      </c>
      <c r="G61" s="403" t="s">
        <v>3516</v>
      </c>
    </row>
    <row r="62" spans="1:7" ht="40.5" customHeight="1">
      <c r="A62" s="401">
        <v>59</v>
      </c>
      <c r="B62" s="929" t="s">
        <v>53</v>
      </c>
      <c r="C62" s="929" t="s">
        <v>885</v>
      </c>
      <c r="D62" s="899" t="str">
        <f t="shared" si="0"/>
        <v>Indiquer ici le résulat d'un calcul externe (sur une feuille séparée).
Entrée obligatoire pour les installation de climatisation.</v>
      </c>
      <c r="E62" s="402" t="s">
        <v>884</v>
      </c>
      <c r="F62" s="2338" t="s">
        <v>1522</v>
      </c>
      <c r="G62" s="403" t="s">
        <v>1269</v>
      </c>
    </row>
    <row r="63" spans="1:7" ht="100.5" customHeight="1">
      <c r="A63" s="401">
        <v>60</v>
      </c>
      <c r="B63" s="929" t="s">
        <v>53</v>
      </c>
      <c r="C63" s="929" t="s">
        <v>888</v>
      </c>
      <c r="D63" s="899" t="str">
        <f t="shared" si="0"/>
        <v>A toujours calculer sans eau chaude sanitaire: restaurants, installations sportives, piscines couvertes.
A toujours calculer avec eau chaude sanitaire: habitats individuels et collectifs, hôpitaux.
Les administrations, écoles, commerces, lieux de rassemblement, industries et entrepôts peuvent être calculés sans eau chaude s'il n'existe pas de système de distribution d'eau chaude (p. ex. uniquement des petits chauffe-eau individules dans les locaux de nettoyage d'une école).</v>
      </c>
      <c r="E63" s="402" t="s">
        <v>887</v>
      </c>
      <c r="F63" s="2338" t="s">
        <v>3449</v>
      </c>
      <c r="G63" s="403" t="s">
        <v>3450</v>
      </c>
    </row>
    <row r="64" spans="1:7" ht="60" customHeight="1">
      <c r="A64" s="401">
        <v>61</v>
      </c>
      <c r="B64" s="929" t="s">
        <v>53</v>
      </c>
      <c r="C64" s="929" t="s">
        <v>889</v>
      </c>
      <c r="D64" s="899" t="str">
        <f t="shared" si="0"/>
        <v>Justificatif énergétique:
Seules les nouvelles constructions sont considérées dans le justificatif énergétique.
Minergie:
Année de construction (achèvement) à partir de 2000.</v>
      </c>
      <c r="E64" s="402" t="s">
        <v>1217</v>
      </c>
      <c r="F64" s="2338" t="s">
        <v>2749</v>
      </c>
      <c r="G64" s="403" t="s">
        <v>1270</v>
      </c>
    </row>
    <row r="65" spans="1:7" ht="25.9" customHeight="1">
      <c r="A65" s="401">
        <v>62</v>
      </c>
      <c r="B65" s="929" t="s">
        <v>53</v>
      </c>
      <c r="C65" s="929" t="s">
        <v>886</v>
      </c>
      <c r="D65" s="899" t="str">
        <f t="shared" si="0"/>
        <v>Surface de référence énergétique AE, doit être reprise du calcul SIA 380/1.</v>
      </c>
      <c r="E65" s="402" t="s">
        <v>139</v>
      </c>
      <c r="F65" s="2338" t="s">
        <v>254</v>
      </c>
      <c r="G65" s="403" t="s">
        <v>1271</v>
      </c>
    </row>
    <row r="66" spans="1:7" ht="96" customHeight="1">
      <c r="A66" s="401">
        <v>63</v>
      </c>
      <c r="B66" s="929" t="s">
        <v>53</v>
      </c>
      <c r="C66" s="929" t="s">
        <v>890</v>
      </c>
      <c r="D66" s="899" t="str">
        <f t="shared" si="0"/>
        <v xml:space="preserve">Installation de ventilation:
Pour les petites installations avec des valeurs standard, il peut être répondu "oui" et le calcul sera fortement simplifié. Cela n'est valable que pour l'habitat jusqu'à 2000 m2 et l'administration et les écoles jusqu'à 1000 m2.
Pour tous les autres cas, un calcul externe est à faire et le résultat à indiquer dans la rubrique "Calcul externe".
</v>
      </c>
      <c r="E66" s="402" t="s">
        <v>891</v>
      </c>
      <c r="F66" s="2338" t="s">
        <v>1523</v>
      </c>
      <c r="G66" s="403" t="s">
        <v>1272</v>
      </c>
    </row>
    <row r="67" spans="1:7" ht="25.9" customHeight="1">
      <c r="A67" s="401">
        <v>64</v>
      </c>
      <c r="B67" s="929" t="s">
        <v>53</v>
      </c>
      <c r="C67" s="929" t="s">
        <v>893</v>
      </c>
      <c r="D67" s="899" t="str">
        <f t="shared" si="0"/>
        <v>Entrée possible que pour l'habitat jusqu'à 2000 m2 et l'administration et les écoles jusqu'à 1000 m2.</v>
      </c>
      <c r="E67" s="402" t="s">
        <v>892</v>
      </c>
      <c r="F67" s="2338" t="s">
        <v>1524</v>
      </c>
      <c r="G67" s="403" t="s">
        <v>1273</v>
      </c>
    </row>
    <row r="68" spans="1:7" ht="133.5" customHeight="1">
      <c r="A68" s="401">
        <v>65</v>
      </c>
      <c r="B68" s="929" t="s">
        <v>53</v>
      </c>
      <c r="C68" s="929" t="s">
        <v>328</v>
      </c>
      <c r="D68" s="899" t="str">
        <f t="shared" si="0"/>
        <v xml:space="preserve">Choix de la ventilation:
- Aucune: pas de ventilation mécanique controlée
- Fourni/repris: installation sans récupération de chaleur
- Double flux: VMC avec récupération de chaleur
- FOU/REP+PAC: air fourni et pompe à chaleur sur l'air repris
- REP: installation d'air repris sans récupération de chaleur
- REP+PAC: pompe à chaleur sur l'air repris
- Local: App. de ventilation par local avec récup. de chaleur
- Fen. auto: Aération automatique par les fenêtres </v>
      </c>
      <c r="E68" s="402" t="s">
        <v>894</v>
      </c>
      <c r="F68" s="2338" t="s">
        <v>1525</v>
      </c>
      <c r="G68" s="403" t="s">
        <v>3451</v>
      </c>
    </row>
    <row r="69" spans="1:7" ht="67.5" customHeight="1">
      <c r="A69" s="401">
        <v>66</v>
      </c>
      <c r="B69" s="929" t="s">
        <v>53</v>
      </c>
      <c r="C69" s="929" t="s">
        <v>895</v>
      </c>
      <c r="D69" s="899" t="str">
        <f t="shared" ref="D69:D132" si="1">INDEX($E$4:$G$503,$A69,$A$1)</f>
        <v>Nombre de pièces avec air fourni:
Données obligatoires que pour l'habitat.
Nombre de personnes (total par zones).
Données obligatoires pour administration ou écoles.
Seront utilisées pour le calcul de l'air fourni.</v>
      </c>
      <c r="E69" s="402" t="s">
        <v>896</v>
      </c>
      <c r="F69" s="2338" t="s">
        <v>3452</v>
      </c>
      <c r="G69" s="403" t="s">
        <v>1274</v>
      </c>
    </row>
    <row r="70" spans="1:7" ht="114.75" customHeight="1">
      <c r="A70" s="401">
        <v>67</v>
      </c>
      <c r="B70" s="929" t="s">
        <v>53</v>
      </c>
      <c r="C70" s="929" t="s">
        <v>898</v>
      </c>
      <c r="D70" s="899" t="str">
        <f t="shared" si="1"/>
        <v>Données pour les petites installations avec des valeurs standard:
Le type de récupération de chaleur sera utilisé pour le calcul du taux de récupération. Selon le choix de l'appareil de ventilation, les possibilités sont les suivantes:
- Pas de récupération de chaleur
- Echangeur à courant croisé
- Echangeur à contre-courant
- Echangeur rotatif</v>
      </c>
      <c r="E70" s="402" t="s">
        <v>897</v>
      </c>
      <c r="F70" s="2338" t="s">
        <v>3453</v>
      </c>
      <c r="G70" s="403" t="s">
        <v>1275</v>
      </c>
    </row>
    <row r="71" spans="1:7" ht="42" customHeight="1">
      <c r="A71" s="401">
        <v>68</v>
      </c>
      <c r="B71" s="929" t="s">
        <v>53</v>
      </c>
      <c r="C71" s="929" t="s">
        <v>900</v>
      </c>
      <c r="D71" s="899" t="str">
        <f t="shared" si="1"/>
        <v>Données pour les petites installations avec des valeurs standard:
Moteurs des ventilateurs: à courant alternatif (AC) ou à courant continu (DC)</v>
      </c>
      <c r="E71" s="402" t="s">
        <v>899</v>
      </c>
      <c r="F71" s="2338" t="s">
        <v>1526</v>
      </c>
      <c r="G71" s="403" t="s">
        <v>1276</v>
      </c>
    </row>
    <row r="72" spans="1:7" ht="26.1" customHeight="1">
      <c r="A72" s="401">
        <v>69</v>
      </c>
      <c r="B72" s="929" t="s">
        <v>622</v>
      </c>
      <c r="C72" s="929" t="s">
        <v>901</v>
      </c>
      <c r="D72" s="899" t="str">
        <f t="shared" si="1"/>
        <v>donnée manquante</v>
      </c>
      <c r="E72" s="402" t="s">
        <v>833</v>
      </c>
      <c r="F72" s="2338" t="s">
        <v>1527</v>
      </c>
      <c r="G72" s="403" t="s">
        <v>1277</v>
      </c>
    </row>
    <row r="73" spans="1:7" ht="26.1" customHeight="1">
      <c r="A73" s="401">
        <v>70</v>
      </c>
      <c r="B73" s="929" t="s">
        <v>622</v>
      </c>
      <c r="C73" s="929" t="s">
        <v>902</v>
      </c>
      <c r="D73" s="899" t="str">
        <f t="shared" si="1"/>
        <v>donnée erronée</v>
      </c>
      <c r="E73" s="402" t="s">
        <v>834</v>
      </c>
      <c r="F73" s="2338" t="s">
        <v>3454</v>
      </c>
      <c r="G73" s="403" t="s">
        <v>1278</v>
      </c>
    </row>
    <row r="74" spans="1:7" ht="25.9" customHeight="1">
      <c r="A74" s="401">
        <v>71</v>
      </c>
      <c r="B74" s="929" t="s">
        <v>53</v>
      </c>
      <c r="C74" s="929" t="s">
        <v>904</v>
      </c>
      <c r="D74" s="900" t="str">
        <f t="shared" si="1"/>
        <v>Exigence primaire pas requise</v>
      </c>
      <c r="E74" s="908" t="s">
        <v>903</v>
      </c>
      <c r="F74" s="904" t="s">
        <v>1528</v>
      </c>
      <c r="G74" s="472" t="s">
        <v>1279</v>
      </c>
    </row>
    <row r="75" spans="1:7" ht="25.9" customHeight="1">
      <c r="A75" s="401">
        <v>72</v>
      </c>
      <c r="B75" s="929" t="s">
        <v>53</v>
      </c>
      <c r="C75" s="929" t="s">
        <v>904</v>
      </c>
      <c r="D75" s="899" t="str">
        <f t="shared" si="1"/>
        <v>Exigence 2 pas satisfaite</v>
      </c>
      <c r="E75" s="402" t="s">
        <v>905</v>
      </c>
      <c r="F75" s="2338" t="s">
        <v>1529</v>
      </c>
      <c r="G75" s="403" t="s">
        <v>1280</v>
      </c>
    </row>
    <row r="76" spans="1:7" ht="25.9" customHeight="1">
      <c r="A76" s="401">
        <v>73</v>
      </c>
      <c r="D76" s="899" t="str">
        <f t="shared" si="1"/>
        <v>Donnée manque</v>
      </c>
      <c r="E76" s="402" t="s">
        <v>534</v>
      </c>
      <c r="F76" s="2338" t="s">
        <v>538</v>
      </c>
      <c r="G76" s="403" t="s">
        <v>1277</v>
      </c>
    </row>
    <row r="77" spans="1:7" ht="25.9" customHeight="1">
      <c r="A77" s="401">
        <v>74</v>
      </c>
      <c r="D77" s="899" t="str">
        <f t="shared" si="1"/>
        <v>Remarque: dans la feuille 'Entrée' une installation de ventilation avec PAC intégrée a été choisie</v>
      </c>
      <c r="E77" s="402" t="s">
        <v>24</v>
      </c>
      <c r="F77" s="2338" t="s">
        <v>539</v>
      </c>
      <c r="G77" s="403" t="s">
        <v>1281</v>
      </c>
    </row>
    <row r="78" spans="1:7" ht="25.9" customHeight="1">
      <c r="A78" s="401">
        <v>75</v>
      </c>
      <c r="B78" s="929" t="s">
        <v>622</v>
      </c>
      <c r="C78" s="929" t="s">
        <v>874</v>
      </c>
      <c r="D78" s="899" t="str">
        <f t="shared" si="1"/>
        <v>Refroidissement</v>
      </c>
      <c r="E78" s="402" t="s">
        <v>369</v>
      </c>
      <c r="F78" s="2338" t="s">
        <v>94</v>
      </c>
      <c r="G78" s="403" t="s">
        <v>1282</v>
      </c>
    </row>
    <row r="79" spans="1:7" ht="25.9" customHeight="1">
      <c r="A79" s="401">
        <v>76</v>
      </c>
      <c r="B79" s="929" t="s">
        <v>622</v>
      </c>
      <c r="C79" s="929" t="s">
        <v>875</v>
      </c>
      <c r="D79" s="899" t="str">
        <f t="shared" si="1"/>
        <v>Humidification</v>
      </c>
      <c r="E79" s="402" t="s">
        <v>108</v>
      </c>
      <c r="F79" s="2338" t="s">
        <v>95</v>
      </c>
      <c r="G79" s="403" t="s">
        <v>1283</v>
      </c>
    </row>
    <row r="80" spans="1:7" ht="25.9" customHeight="1">
      <c r="A80" s="401">
        <v>77</v>
      </c>
      <c r="B80" s="929" t="s">
        <v>622</v>
      </c>
      <c r="C80" s="929" t="s">
        <v>876</v>
      </c>
      <c r="D80" s="899" t="str">
        <f t="shared" si="1"/>
        <v>Refr. + humid.</v>
      </c>
      <c r="E80" s="402" t="s">
        <v>109</v>
      </c>
      <c r="F80" s="2338" t="s">
        <v>96</v>
      </c>
      <c r="G80" s="403" t="s">
        <v>1284</v>
      </c>
    </row>
    <row r="81" spans="1:7" ht="25.9" customHeight="1">
      <c r="A81" s="401">
        <v>78</v>
      </c>
      <c r="B81" s="929" t="s">
        <v>622</v>
      </c>
      <c r="C81" s="929" t="s">
        <v>877</v>
      </c>
      <c r="D81" s="899" t="str">
        <f t="shared" si="1"/>
        <v>aucune</v>
      </c>
      <c r="E81" s="402" t="s">
        <v>708</v>
      </c>
      <c r="F81" s="2338" t="s">
        <v>1530</v>
      </c>
      <c r="G81" s="403" t="s">
        <v>1285</v>
      </c>
    </row>
    <row r="82" spans="1:7" ht="26.1" customHeight="1">
      <c r="A82" s="401">
        <v>79</v>
      </c>
      <c r="B82" s="929" t="s">
        <v>622</v>
      </c>
      <c r="C82" s="929" t="s">
        <v>906</v>
      </c>
      <c r="D82" s="899" t="str">
        <f t="shared" si="1"/>
        <v>Habitat collectif</v>
      </c>
      <c r="E82" s="402" t="s">
        <v>332</v>
      </c>
      <c r="F82" s="2338" t="s">
        <v>1532</v>
      </c>
      <c r="G82" s="403" t="s">
        <v>1286</v>
      </c>
    </row>
    <row r="83" spans="1:7" ht="26.1" customHeight="1">
      <c r="A83" s="401">
        <v>80</v>
      </c>
      <c r="B83" s="929" t="s">
        <v>622</v>
      </c>
      <c r="C83" s="929" t="s">
        <v>907</v>
      </c>
      <c r="D83" s="899" t="str">
        <f t="shared" si="1"/>
        <v>Habitat individuel</v>
      </c>
      <c r="E83" s="402" t="s">
        <v>333</v>
      </c>
      <c r="F83" s="2338" t="s">
        <v>1531</v>
      </c>
      <c r="G83" s="403" t="s">
        <v>1287</v>
      </c>
    </row>
    <row r="84" spans="1:7" ht="26.1" customHeight="1">
      <c r="A84" s="401">
        <v>81</v>
      </c>
      <c r="B84" s="929" t="s">
        <v>622</v>
      </c>
      <c r="C84" s="929" t="s">
        <v>908</v>
      </c>
      <c r="D84" s="899" t="str">
        <f t="shared" si="1"/>
        <v>Administration</v>
      </c>
      <c r="E84" s="402" t="s">
        <v>1</v>
      </c>
      <c r="F84" s="2338" t="s">
        <v>1533</v>
      </c>
      <c r="G84" s="403" t="s">
        <v>1288</v>
      </c>
    </row>
    <row r="85" spans="1:7" ht="26.1" customHeight="1">
      <c r="A85" s="401">
        <v>82</v>
      </c>
      <c r="B85" s="929" t="s">
        <v>622</v>
      </c>
      <c r="C85" s="929" t="s">
        <v>909</v>
      </c>
      <c r="D85" s="899" t="str">
        <f t="shared" si="1"/>
        <v>Ecole</v>
      </c>
      <c r="E85" s="402" t="s">
        <v>340</v>
      </c>
      <c r="F85" s="2338" t="s">
        <v>1534</v>
      </c>
      <c r="G85" s="403" t="s">
        <v>1289</v>
      </c>
    </row>
    <row r="86" spans="1:7" ht="26.1" customHeight="1">
      <c r="A86" s="401">
        <v>83</v>
      </c>
      <c r="B86" s="929" t="s">
        <v>622</v>
      </c>
      <c r="C86" s="929" t="s">
        <v>910</v>
      </c>
      <c r="D86" s="899" t="str">
        <f t="shared" si="1"/>
        <v>Commerce</v>
      </c>
      <c r="E86" s="402" t="s">
        <v>237</v>
      </c>
      <c r="F86" s="2338" t="s">
        <v>1535</v>
      </c>
      <c r="G86" s="403" t="s">
        <v>1290</v>
      </c>
    </row>
    <row r="87" spans="1:7" ht="26.1" customHeight="1">
      <c r="A87" s="401">
        <v>84</v>
      </c>
      <c r="B87" s="929" t="s">
        <v>622</v>
      </c>
      <c r="C87" s="929" t="s">
        <v>911</v>
      </c>
      <c r="D87" s="899" t="str">
        <f t="shared" si="1"/>
        <v>Restaurant</v>
      </c>
      <c r="E87" s="402" t="s">
        <v>830</v>
      </c>
      <c r="F87" s="2338" t="s">
        <v>830</v>
      </c>
      <c r="G87" s="403" t="s">
        <v>1291</v>
      </c>
    </row>
    <row r="88" spans="1:7" ht="26.1" customHeight="1">
      <c r="A88" s="401">
        <v>85</v>
      </c>
      <c r="B88" s="929" t="s">
        <v>622</v>
      </c>
      <c r="C88" s="929" t="s">
        <v>912</v>
      </c>
      <c r="D88" s="899" t="str">
        <f t="shared" si="1"/>
        <v>Lieu de rassemblement</v>
      </c>
      <c r="E88" s="402" t="s">
        <v>831</v>
      </c>
      <c r="F88" s="2338" t="s">
        <v>1536</v>
      </c>
      <c r="G88" s="403" t="s">
        <v>1292</v>
      </c>
    </row>
    <row r="89" spans="1:7" ht="25.9" customHeight="1">
      <c r="A89" s="401">
        <v>86</v>
      </c>
      <c r="B89" s="929" t="s">
        <v>622</v>
      </c>
      <c r="C89" s="929" t="s">
        <v>913</v>
      </c>
      <c r="D89" s="899" t="str">
        <f t="shared" si="1"/>
        <v>Hôpital</v>
      </c>
      <c r="E89" s="402" t="s">
        <v>238</v>
      </c>
      <c r="F89" s="2338" t="s">
        <v>1537</v>
      </c>
      <c r="G89" s="403" t="s">
        <v>1293</v>
      </c>
    </row>
    <row r="90" spans="1:7" ht="25.9" customHeight="1">
      <c r="A90" s="401">
        <v>87</v>
      </c>
      <c r="B90" s="929" t="s">
        <v>622</v>
      </c>
      <c r="C90" s="929" t="s">
        <v>914</v>
      </c>
      <c r="D90" s="899" t="str">
        <f t="shared" si="1"/>
        <v>Industrie</v>
      </c>
      <c r="E90" s="402" t="s">
        <v>491</v>
      </c>
      <c r="F90" s="2338" t="s">
        <v>491</v>
      </c>
      <c r="G90" s="403" t="s">
        <v>491</v>
      </c>
    </row>
    <row r="91" spans="1:7" ht="25.9" customHeight="1">
      <c r="A91" s="401">
        <v>88</v>
      </c>
      <c r="B91" s="929" t="s">
        <v>622</v>
      </c>
      <c r="C91" s="929" t="s">
        <v>915</v>
      </c>
      <c r="D91" s="899" t="str">
        <f t="shared" si="1"/>
        <v>Entrepôt</v>
      </c>
      <c r="E91" s="402" t="s">
        <v>239</v>
      </c>
      <c r="F91" s="2338" t="s">
        <v>1538</v>
      </c>
      <c r="G91" s="403" t="s">
        <v>1294</v>
      </c>
    </row>
    <row r="92" spans="1:7" ht="25.9" customHeight="1">
      <c r="A92" s="401">
        <v>89</v>
      </c>
      <c r="B92" s="929" t="s">
        <v>622</v>
      </c>
      <c r="C92" s="929" t="s">
        <v>916</v>
      </c>
      <c r="D92" s="899" t="str">
        <f t="shared" si="1"/>
        <v>Installation sportive</v>
      </c>
      <c r="E92" s="402" t="s">
        <v>240</v>
      </c>
      <c r="F92" s="2338" t="s">
        <v>1539</v>
      </c>
      <c r="G92" s="403" t="s">
        <v>1295</v>
      </c>
    </row>
    <row r="93" spans="1:7" ht="25.9" customHeight="1">
      <c r="A93" s="401">
        <v>90</v>
      </c>
      <c r="B93" s="929" t="s">
        <v>622</v>
      </c>
      <c r="C93" s="929" t="s">
        <v>917</v>
      </c>
      <c r="D93" s="899" t="str">
        <f t="shared" si="1"/>
        <v>Piscine couverte</v>
      </c>
      <c r="E93" s="402" t="str">
        <f>IF(bern,".","Hallenbad")</f>
        <v>Hallenbad</v>
      </c>
      <c r="F93" s="2338" t="str">
        <f>IF(bern,".","Piscine couverte")</f>
        <v>Piscine couverte</v>
      </c>
      <c r="G93" s="403" t="str">
        <f>IF(bern,".","Piscine")</f>
        <v>Piscine</v>
      </c>
    </row>
    <row r="94" spans="1:7" ht="26.1" customHeight="1">
      <c r="A94" s="401">
        <v>91</v>
      </c>
      <c r="B94" s="929" t="s">
        <v>622</v>
      </c>
      <c r="C94" s="929" t="s">
        <v>918</v>
      </c>
      <c r="D94" s="899" t="str">
        <f t="shared" si="1"/>
        <v>Pas de ventilation</v>
      </c>
      <c r="E94" s="402" t="s">
        <v>806</v>
      </c>
      <c r="F94" s="2338" t="s">
        <v>1540</v>
      </c>
      <c r="G94" s="403" t="s">
        <v>1296</v>
      </c>
    </row>
    <row r="95" spans="1:7" ht="26.1" customHeight="1">
      <c r="A95" s="401">
        <v>92</v>
      </c>
      <c r="B95" s="929" t="s">
        <v>622</v>
      </c>
      <c r="C95" s="929" t="s">
        <v>919</v>
      </c>
      <c r="D95" s="899" t="str">
        <f t="shared" si="1"/>
        <v>FOU/REP sans RC</v>
      </c>
      <c r="E95" s="402" t="s">
        <v>812</v>
      </c>
      <c r="F95" s="2338" t="s">
        <v>3624</v>
      </c>
      <c r="G95" s="403" t="s">
        <v>1297</v>
      </c>
    </row>
    <row r="96" spans="1:7" ht="26.1" customHeight="1">
      <c r="A96" s="401">
        <v>93</v>
      </c>
      <c r="B96" s="929" t="s">
        <v>622</v>
      </c>
      <c r="C96" s="929" t="s">
        <v>920</v>
      </c>
      <c r="D96" s="899" t="str">
        <f t="shared" si="1"/>
        <v>Double flux</v>
      </c>
      <c r="E96" s="402" t="s">
        <v>807</v>
      </c>
      <c r="F96" s="2338" t="s">
        <v>1541</v>
      </c>
      <c r="G96" s="403" t="s">
        <v>1298</v>
      </c>
    </row>
    <row r="97" spans="1:7" ht="26.1" customHeight="1">
      <c r="A97" s="401">
        <v>94</v>
      </c>
      <c r="B97" s="929" t="s">
        <v>622</v>
      </c>
      <c r="C97" s="929" t="s">
        <v>921</v>
      </c>
      <c r="D97" s="899" t="str">
        <f t="shared" si="1"/>
        <v>FOU/REP+PAC</v>
      </c>
      <c r="E97" s="402" t="s">
        <v>810</v>
      </c>
      <c r="F97" s="2338" t="s">
        <v>1542</v>
      </c>
      <c r="G97" s="403" t="s">
        <v>1299</v>
      </c>
    </row>
    <row r="98" spans="1:7" ht="26.1" customHeight="1">
      <c r="A98" s="401">
        <v>95</v>
      </c>
      <c r="B98" s="929" t="s">
        <v>622</v>
      </c>
      <c r="C98" s="929" t="s">
        <v>922</v>
      </c>
      <c r="D98" s="899" t="str">
        <f t="shared" si="1"/>
        <v>REP</v>
      </c>
      <c r="E98" s="402" t="s">
        <v>813</v>
      </c>
      <c r="F98" s="2338" t="s">
        <v>1543</v>
      </c>
      <c r="G98" s="403" t="s">
        <v>1300</v>
      </c>
    </row>
    <row r="99" spans="1:7" ht="26.1" customHeight="1">
      <c r="A99" s="401">
        <v>96</v>
      </c>
      <c r="B99" s="929" t="s">
        <v>622</v>
      </c>
      <c r="C99" s="929" t="s">
        <v>923</v>
      </c>
      <c r="D99" s="899" t="str">
        <f t="shared" si="1"/>
        <v>REP+PAC</v>
      </c>
      <c r="E99" s="402" t="s">
        <v>811</v>
      </c>
      <c r="F99" s="2338" t="s">
        <v>1544</v>
      </c>
      <c r="G99" s="403" t="s">
        <v>1301</v>
      </c>
    </row>
    <row r="100" spans="1:7" ht="26.1" customHeight="1">
      <c r="A100" s="401">
        <v>97</v>
      </c>
      <c r="B100" s="929" t="s">
        <v>622</v>
      </c>
      <c r="C100" s="929" t="s">
        <v>924</v>
      </c>
      <c r="D100" s="899" t="str">
        <f t="shared" si="1"/>
        <v>Par Local</v>
      </c>
      <c r="E100" s="402" t="s">
        <v>460</v>
      </c>
      <c r="F100" s="2338" t="s">
        <v>3623</v>
      </c>
      <c r="G100" s="403" t="s">
        <v>1302</v>
      </c>
    </row>
    <row r="101" spans="1:7" ht="26.1" customHeight="1">
      <c r="A101" s="401">
        <v>98</v>
      </c>
      <c r="B101" s="929" t="s">
        <v>622</v>
      </c>
      <c r="C101" s="929" t="s">
        <v>925</v>
      </c>
      <c r="D101" s="899" t="str">
        <f t="shared" si="1"/>
        <v>Fen. auto</v>
      </c>
      <c r="E101" s="402" t="s">
        <v>461</v>
      </c>
      <c r="F101" s="2338" t="s">
        <v>1545</v>
      </c>
      <c r="G101" s="403" t="s">
        <v>1303</v>
      </c>
    </row>
    <row r="102" spans="1:7" ht="26.1" customHeight="1">
      <c r="A102" s="401">
        <v>99</v>
      </c>
      <c r="B102" s="929" t="s">
        <v>622</v>
      </c>
      <c r="C102" s="929" t="s">
        <v>926</v>
      </c>
      <c r="D102" s="899" t="str">
        <f t="shared" si="1"/>
        <v>Pas de récup.</v>
      </c>
      <c r="E102" s="402" t="s">
        <v>214</v>
      </c>
      <c r="F102" s="2338" t="s">
        <v>1546</v>
      </c>
      <c r="G102" s="403" t="s">
        <v>1304</v>
      </c>
    </row>
    <row r="103" spans="1:7" ht="26.1" customHeight="1">
      <c r="A103" s="909">
        <v>100</v>
      </c>
      <c r="B103" s="929" t="s">
        <v>622</v>
      </c>
      <c r="C103" s="929" t="s">
        <v>927</v>
      </c>
      <c r="D103" s="910" t="str">
        <f t="shared" si="1"/>
        <v>Courant croisé</v>
      </c>
      <c r="E103" s="402" t="s">
        <v>352</v>
      </c>
      <c r="F103" s="2338" t="s">
        <v>1547</v>
      </c>
      <c r="G103" s="913" t="s">
        <v>1305</v>
      </c>
    </row>
    <row r="104" spans="1:7" s="914" customFormat="1" ht="26.1" customHeight="1">
      <c r="A104" s="401">
        <v>101</v>
      </c>
      <c r="B104" s="929" t="s">
        <v>622</v>
      </c>
      <c r="C104" s="929" t="s">
        <v>928</v>
      </c>
      <c r="D104" s="899" t="str">
        <f t="shared" si="1"/>
        <v>Contre-courant</v>
      </c>
      <c r="E104" s="402" t="s">
        <v>353</v>
      </c>
      <c r="F104" s="2338" t="s">
        <v>1548</v>
      </c>
      <c r="G104" s="403" t="s">
        <v>1306</v>
      </c>
    </row>
    <row r="105" spans="1:7" ht="26.1" customHeight="1">
      <c r="A105" s="470">
        <v>102</v>
      </c>
      <c r="B105" s="929" t="s">
        <v>622</v>
      </c>
      <c r="C105" s="929" t="s">
        <v>929</v>
      </c>
      <c r="D105" s="900" t="str">
        <f t="shared" si="1"/>
        <v>Rotatif</v>
      </c>
      <c r="E105" s="402" t="s">
        <v>631</v>
      </c>
      <c r="F105" s="2338" t="s">
        <v>1549</v>
      </c>
      <c r="G105" s="472" t="s">
        <v>1307</v>
      </c>
    </row>
    <row r="106" spans="1:7" ht="26.1" customHeight="1">
      <c r="A106" s="401">
        <v>103</v>
      </c>
      <c r="B106" s="929" t="s">
        <v>622</v>
      </c>
      <c r="C106" s="929" t="s">
        <v>930</v>
      </c>
      <c r="D106" s="899" t="str">
        <f t="shared" si="1"/>
        <v>Circulation-KVS</v>
      </c>
      <c r="E106" s="402" t="s">
        <v>131</v>
      </c>
      <c r="F106" s="2338" t="s">
        <v>1550</v>
      </c>
      <c r="G106" s="403" t="s">
        <v>1308</v>
      </c>
    </row>
    <row r="107" spans="1:7" ht="26.1" customHeight="1">
      <c r="A107" s="401">
        <v>104</v>
      </c>
      <c r="B107" s="929" t="s">
        <v>622</v>
      </c>
      <c r="C107" s="929" t="s">
        <v>931</v>
      </c>
      <c r="D107" s="899" t="str">
        <f t="shared" si="1"/>
        <v>Moteur AC</v>
      </c>
      <c r="E107" s="402" t="s">
        <v>643</v>
      </c>
      <c r="F107" s="2338" t="s">
        <v>1551</v>
      </c>
      <c r="G107" s="403" t="s">
        <v>1309</v>
      </c>
    </row>
    <row r="108" spans="1:7" ht="26.1" customHeight="1">
      <c r="A108" s="401">
        <v>105</v>
      </c>
      <c r="B108" s="929" t="s">
        <v>622</v>
      </c>
      <c r="C108" s="929" t="s">
        <v>932</v>
      </c>
      <c r="D108" s="899" t="str">
        <f t="shared" si="1"/>
        <v>Moteur DC/EC</v>
      </c>
      <c r="E108" s="402" t="s">
        <v>644</v>
      </c>
      <c r="F108" s="2338" t="s">
        <v>1552</v>
      </c>
      <c r="G108" s="403" t="s">
        <v>1310</v>
      </c>
    </row>
    <row r="109" spans="1:7" ht="26.1" customHeight="1">
      <c r="A109" s="401">
        <v>106</v>
      </c>
      <c r="B109" s="929" t="s">
        <v>706</v>
      </c>
      <c r="C109" s="929" t="s">
        <v>3813</v>
      </c>
      <c r="D109" s="899" t="str">
        <f t="shared" si="1"/>
        <v>Taux de couverture trop haut</v>
      </c>
      <c r="E109" s="402" t="s">
        <v>25</v>
      </c>
      <c r="F109" s="2338" t="s">
        <v>540</v>
      </c>
      <c r="G109" s="403" t="s">
        <v>1311</v>
      </c>
    </row>
    <row r="110" spans="1:7" ht="26.1" customHeight="1">
      <c r="A110" s="401">
        <v>107</v>
      </c>
      <c r="D110" s="899" t="str">
        <f t="shared" si="1"/>
        <v>Chauffage choisi</v>
      </c>
      <c r="E110" s="402" t="s">
        <v>26</v>
      </c>
      <c r="F110" s="2338" t="s">
        <v>541</v>
      </c>
      <c r="G110" s="403" t="s">
        <v>1312</v>
      </c>
    </row>
    <row r="111" spans="1:7" ht="26.1" customHeight="1">
      <c r="A111" s="401">
        <v>108</v>
      </c>
      <c r="D111" s="899" t="str">
        <f t="shared" si="1"/>
        <v>Eau chaude choisie</v>
      </c>
      <c r="E111" s="402" t="s">
        <v>27</v>
      </c>
      <c r="F111" s="2338" t="s">
        <v>542</v>
      </c>
      <c r="G111" s="403" t="s">
        <v>1313</v>
      </c>
    </row>
    <row r="112" spans="1:7" ht="26.1" customHeight="1">
      <c r="A112" s="401">
        <v>109</v>
      </c>
      <c r="D112" s="899" t="str">
        <f t="shared" si="1"/>
        <v>Calcul annexé</v>
      </c>
      <c r="E112" s="402" t="s">
        <v>28</v>
      </c>
      <c r="F112" s="2338" t="s">
        <v>543</v>
      </c>
      <c r="G112" s="403" t="s">
        <v>1314</v>
      </c>
    </row>
    <row r="113" spans="1:7" ht="26.1" customHeight="1">
      <c r="A113" s="401">
        <v>110</v>
      </c>
      <c r="D113" s="899" t="str">
        <f t="shared" si="1"/>
        <v>Choisir un chauffage électrique complémentaire de l'ECS</v>
      </c>
      <c r="E113" s="402" t="s">
        <v>187</v>
      </c>
      <c r="F113" s="2338" t="s">
        <v>544</v>
      </c>
      <c r="G113" s="403" t="s">
        <v>1315</v>
      </c>
    </row>
    <row r="114" spans="1:7" ht="26.1" customHeight="1">
      <c r="A114" s="401">
        <v>111</v>
      </c>
      <c r="D114" s="899" t="str">
        <f t="shared" si="1"/>
        <v>Calcul externe annexé</v>
      </c>
      <c r="E114" s="402" t="s">
        <v>448</v>
      </c>
      <c r="F114" s="2338" t="s">
        <v>537</v>
      </c>
      <c r="G114" s="403" t="s">
        <v>1316</v>
      </c>
    </row>
    <row r="115" spans="1:7" ht="35.25" customHeight="1">
      <c r="A115" s="909">
        <v>112</v>
      </c>
      <c r="B115" s="931"/>
      <c r="C115" s="931"/>
      <c r="D115" s="910" t="str">
        <f t="shared" si="1"/>
        <v>Remarque: dans la feuille 'Entrée' une installation de ventilation avec PAC intégrée a été choisie
-&gt; choisir une PAC avec air fourni comme mode de production de chaleur</v>
      </c>
      <c r="E115" s="402" t="s">
        <v>262</v>
      </c>
      <c r="F115" s="2338" t="s">
        <v>154</v>
      </c>
      <c r="G115" s="913" t="s">
        <v>1317</v>
      </c>
    </row>
    <row r="116" spans="1:7" s="914" customFormat="1" ht="25.9" customHeight="1">
      <c r="A116" s="401">
        <v>113</v>
      </c>
      <c r="B116" s="929" t="s">
        <v>53</v>
      </c>
      <c r="C116" s="929" t="s">
        <v>947</v>
      </c>
      <c r="D116" s="899" t="str">
        <f t="shared" si="1"/>
        <v>1) Joindre un calcul externe et introduire les valeurs aux cellules F40 - I43</v>
      </c>
      <c r="E116" s="911" t="s">
        <v>1115</v>
      </c>
      <c r="F116" s="912" t="s">
        <v>1116</v>
      </c>
      <c r="G116" s="403" t="s">
        <v>1318</v>
      </c>
    </row>
    <row r="117" spans="1:7" ht="25.9" customHeight="1">
      <c r="A117" s="470">
        <v>114</v>
      </c>
      <c r="B117" s="929" t="s">
        <v>53</v>
      </c>
      <c r="C117" s="901" t="s">
        <v>1203</v>
      </c>
      <c r="D117" s="900" t="str">
        <f t="shared" si="1"/>
        <v>EGID:</v>
      </c>
      <c r="E117" s="402" t="s">
        <v>1204</v>
      </c>
      <c r="F117" s="2338" t="s">
        <v>1319</v>
      </c>
      <c r="G117" s="472" t="s">
        <v>1319</v>
      </c>
    </row>
    <row r="118" spans="1:7" ht="25.9" customHeight="1">
      <c r="A118" s="401">
        <v>115</v>
      </c>
      <c r="B118" s="929" t="s">
        <v>622</v>
      </c>
      <c r="C118" s="929" t="s">
        <v>54</v>
      </c>
      <c r="D118" s="899" t="str">
        <f t="shared" si="1"/>
        <v>Argovie</v>
      </c>
      <c r="E118" s="402" t="s">
        <v>610</v>
      </c>
      <c r="F118" s="2338" t="s">
        <v>558</v>
      </c>
      <c r="G118" s="403" t="s">
        <v>1320</v>
      </c>
    </row>
    <row r="119" spans="1:7" ht="25.9" customHeight="1">
      <c r="A119" s="401">
        <v>116</v>
      </c>
      <c r="B119" s="929" t="s">
        <v>622</v>
      </c>
      <c r="C119" s="929" t="s">
        <v>55</v>
      </c>
      <c r="D119" s="899" t="str">
        <f t="shared" si="1"/>
        <v>Appenzell Rhodes-Intérieures</v>
      </c>
      <c r="E119" s="402" t="s">
        <v>611</v>
      </c>
      <c r="F119" s="2338" t="s">
        <v>559</v>
      </c>
      <c r="G119" s="403" t="s">
        <v>1321</v>
      </c>
    </row>
    <row r="120" spans="1:7" ht="25.9" customHeight="1">
      <c r="A120" s="401">
        <v>117</v>
      </c>
      <c r="B120" s="929" t="s">
        <v>622</v>
      </c>
      <c r="C120" s="929" t="s">
        <v>56</v>
      </c>
      <c r="D120" s="899" t="str">
        <f t="shared" si="1"/>
        <v>Appenzell Rhodes-Extérieures</v>
      </c>
      <c r="E120" s="402" t="s">
        <v>612</v>
      </c>
      <c r="F120" s="2338" t="s">
        <v>1711</v>
      </c>
      <c r="G120" s="403" t="s">
        <v>1322</v>
      </c>
    </row>
    <row r="121" spans="1:7" ht="25.9" customHeight="1">
      <c r="A121" s="401">
        <v>118</v>
      </c>
      <c r="B121" s="929" t="s">
        <v>622</v>
      </c>
      <c r="C121" s="929" t="s">
        <v>57</v>
      </c>
      <c r="D121" s="899" t="str">
        <f t="shared" si="1"/>
        <v>Berne</v>
      </c>
      <c r="E121" s="402" t="s">
        <v>280</v>
      </c>
      <c r="F121" s="2338" t="s">
        <v>560</v>
      </c>
      <c r="G121" s="403" t="s">
        <v>1323</v>
      </c>
    </row>
    <row r="122" spans="1:7" ht="25.9" customHeight="1">
      <c r="A122" s="401">
        <v>119</v>
      </c>
      <c r="B122" s="929" t="s">
        <v>622</v>
      </c>
      <c r="C122" s="929" t="s">
        <v>58</v>
      </c>
      <c r="D122" s="899" t="str">
        <f t="shared" si="1"/>
        <v>Bâle-Campagne</v>
      </c>
      <c r="E122" s="402" t="s">
        <v>613</v>
      </c>
      <c r="F122" s="2338" t="s">
        <v>561</v>
      </c>
      <c r="G122" s="403" t="s">
        <v>1324</v>
      </c>
    </row>
    <row r="123" spans="1:7" ht="25.9" customHeight="1">
      <c r="A123" s="401">
        <v>120</v>
      </c>
      <c r="B123" s="929" t="s">
        <v>622</v>
      </c>
      <c r="C123" s="929" t="s">
        <v>59</v>
      </c>
      <c r="D123" s="899" t="str">
        <f t="shared" si="1"/>
        <v>Bâle-Ville</v>
      </c>
      <c r="E123" s="402" t="s">
        <v>614</v>
      </c>
      <c r="F123" s="2338" t="s">
        <v>562</v>
      </c>
      <c r="G123" s="403" t="s">
        <v>1325</v>
      </c>
    </row>
    <row r="124" spans="1:7" ht="25.9" customHeight="1">
      <c r="A124" s="401">
        <v>121</v>
      </c>
      <c r="B124" s="929" t="s">
        <v>622</v>
      </c>
      <c r="C124" s="929" t="s">
        <v>60</v>
      </c>
      <c r="D124" s="899" t="str">
        <f t="shared" si="1"/>
        <v>Fribourg</v>
      </c>
      <c r="E124" s="402" t="s">
        <v>283</v>
      </c>
      <c r="F124" s="2338" t="s">
        <v>283</v>
      </c>
      <c r="G124" s="403" t="s">
        <v>1326</v>
      </c>
    </row>
    <row r="125" spans="1:7" ht="25.9" customHeight="1">
      <c r="A125" s="401">
        <v>122</v>
      </c>
      <c r="B125" s="929" t="s">
        <v>622</v>
      </c>
      <c r="C125" s="929" t="s">
        <v>61</v>
      </c>
      <c r="D125" s="899" t="str">
        <f t="shared" si="1"/>
        <v>Genève</v>
      </c>
      <c r="E125" s="402" t="s">
        <v>284</v>
      </c>
      <c r="F125" s="2338" t="s">
        <v>284</v>
      </c>
      <c r="G125" s="403" t="s">
        <v>1327</v>
      </c>
    </row>
    <row r="126" spans="1:7" ht="25.9" customHeight="1">
      <c r="A126" s="401">
        <v>123</v>
      </c>
      <c r="B126" s="929" t="s">
        <v>622</v>
      </c>
      <c r="C126" s="929" t="s">
        <v>62</v>
      </c>
      <c r="D126" s="899" t="str">
        <f t="shared" si="1"/>
        <v>Glaris</v>
      </c>
      <c r="E126" s="402" t="s">
        <v>288</v>
      </c>
      <c r="F126" s="2338" t="s">
        <v>563</v>
      </c>
      <c r="G126" s="403" t="s">
        <v>1328</v>
      </c>
    </row>
    <row r="127" spans="1:7" ht="25.9" customHeight="1">
      <c r="A127" s="401">
        <v>124</v>
      </c>
      <c r="B127" s="929" t="s">
        <v>622</v>
      </c>
      <c r="C127" s="929" t="s">
        <v>63</v>
      </c>
      <c r="D127" s="899" t="str">
        <f t="shared" si="1"/>
        <v>Grisons</v>
      </c>
      <c r="E127" s="402" t="s">
        <v>453</v>
      </c>
      <c r="F127" s="2338" t="s">
        <v>1712</v>
      </c>
      <c r="G127" s="403" t="s">
        <v>1329</v>
      </c>
    </row>
    <row r="128" spans="1:7" ht="25.9" customHeight="1">
      <c r="A128" s="401">
        <v>125</v>
      </c>
      <c r="B128" s="929" t="s">
        <v>622</v>
      </c>
      <c r="C128" s="929" t="s">
        <v>861</v>
      </c>
      <c r="D128" s="899" t="str">
        <f t="shared" si="1"/>
        <v>Jura</v>
      </c>
      <c r="E128" s="402" t="s">
        <v>435</v>
      </c>
      <c r="F128" s="2338" t="s">
        <v>435</v>
      </c>
      <c r="G128" s="403" t="s">
        <v>1330</v>
      </c>
    </row>
    <row r="129" spans="1:7" ht="25.9" customHeight="1">
      <c r="A129" s="401">
        <v>126</v>
      </c>
      <c r="B129" s="929" t="s">
        <v>622</v>
      </c>
      <c r="C129" s="929" t="s">
        <v>64</v>
      </c>
      <c r="D129" s="899" t="str">
        <f t="shared" si="1"/>
        <v>Lucerne</v>
      </c>
      <c r="E129" s="402" t="s">
        <v>281</v>
      </c>
      <c r="F129" s="2338" t="s">
        <v>564</v>
      </c>
      <c r="G129" s="403" t="s">
        <v>1331</v>
      </c>
    </row>
    <row r="130" spans="1:7" ht="25.9" customHeight="1">
      <c r="A130" s="401">
        <v>127</v>
      </c>
      <c r="B130" s="929" t="s">
        <v>622</v>
      </c>
      <c r="C130" s="929" t="s">
        <v>65</v>
      </c>
      <c r="D130" s="899" t="str">
        <f t="shared" si="1"/>
        <v>Neuchâtel</v>
      </c>
      <c r="E130" s="402" t="s">
        <v>436</v>
      </c>
      <c r="F130" s="2338" t="s">
        <v>287</v>
      </c>
      <c r="G130" s="403" t="s">
        <v>287</v>
      </c>
    </row>
    <row r="131" spans="1:7" ht="25.9" customHeight="1">
      <c r="A131" s="401">
        <v>128</v>
      </c>
      <c r="B131" s="929" t="s">
        <v>622</v>
      </c>
      <c r="C131" s="929" t="s">
        <v>66</v>
      </c>
      <c r="D131" s="899" t="str">
        <f t="shared" si="1"/>
        <v>Nidwald</v>
      </c>
      <c r="E131" s="402" t="s">
        <v>451</v>
      </c>
      <c r="F131" s="2338" t="s">
        <v>565</v>
      </c>
      <c r="G131" s="403" t="s">
        <v>1332</v>
      </c>
    </row>
    <row r="132" spans="1:7" ht="25.9" customHeight="1">
      <c r="A132" s="401">
        <v>129</v>
      </c>
      <c r="B132" s="929" t="s">
        <v>622</v>
      </c>
      <c r="C132" s="929" t="s">
        <v>67</v>
      </c>
      <c r="D132" s="899" t="str">
        <f t="shared" si="1"/>
        <v>Obwald</v>
      </c>
      <c r="E132" s="402" t="s">
        <v>450</v>
      </c>
      <c r="F132" s="2338" t="s">
        <v>566</v>
      </c>
      <c r="G132" s="403" t="s">
        <v>1333</v>
      </c>
    </row>
    <row r="133" spans="1:7" ht="25.9" customHeight="1">
      <c r="A133" s="401">
        <v>130</v>
      </c>
      <c r="B133" s="929" t="s">
        <v>622</v>
      </c>
      <c r="C133" s="929" t="s">
        <v>68</v>
      </c>
      <c r="D133" s="899" t="str">
        <f t="shared" ref="D133:D196" si="2">INDEX($E$4:$G$503,$A133,$A$1)</f>
        <v>St-Gall</v>
      </c>
      <c r="E133" s="402" t="s">
        <v>276</v>
      </c>
      <c r="F133" s="2338" t="s">
        <v>567</v>
      </c>
      <c r="G133" s="403" t="s">
        <v>1334</v>
      </c>
    </row>
    <row r="134" spans="1:7" ht="25.9" customHeight="1">
      <c r="A134" s="401">
        <v>131</v>
      </c>
      <c r="B134" s="929" t="s">
        <v>622</v>
      </c>
      <c r="C134" s="929" t="s">
        <v>69</v>
      </c>
      <c r="D134" s="899" t="str">
        <f t="shared" si="2"/>
        <v>Schaffhouse</v>
      </c>
      <c r="E134" s="402" t="s">
        <v>274</v>
      </c>
      <c r="F134" s="2338" t="s">
        <v>568</v>
      </c>
      <c r="G134" s="403" t="s">
        <v>1335</v>
      </c>
    </row>
    <row r="135" spans="1:7" ht="25.9" customHeight="1">
      <c r="A135" s="401">
        <v>132</v>
      </c>
      <c r="B135" s="929" t="s">
        <v>622</v>
      </c>
      <c r="C135" s="929" t="s">
        <v>70</v>
      </c>
      <c r="D135" s="899" t="str">
        <f t="shared" si="2"/>
        <v>Soleure</v>
      </c>
      <c r="E135" s="402" t="s">
        <v>263</v>
      </c>
      <c r="F135" s="2338" t="s">
        <v>569</v>
      </c>
      <c r="G135" s="403" t="s">
        <v>1336</v>
      </c>
    </row>
    <row r="136" spans="1:7" ht="25.9" customHeight="1">
      <c r="A136" s="401">
        <v>133</v>
      </c>
      <c r="B136" s="929" t="s">
        <v>622</v>
      </c>
      <c r="C136" s="929" t="s">
        <v>71</v>
      </c>
      <c r="D136" s="899" t="str">
        <f t="shared" si="2"/>
        <v>Schwytz</v>
      </c>
      <c r="E136" s="402" t="s">
        <v>449</v>
      </c>
      <c r="F136" s="2338" t="s">
        <v>570</v>
      </c>
      <c r="G136" s="403" t="s">
        <v>1337</v>
      </c>
    </row>
    <row r="137" spans="1:7" ht="25.9" customHeight="1">
      <c r="A137" s="401">
        <v>134</v>
      </c>
      <c r="B137" s="929" t="s">
        <v>622</v>
      </c>
      <c r="C137" s="929" t="s">
        <v>72</v>
      </c>
      <c r="D137" s="899" t="str">
        <f t="shared" si="2"/>
        <v>Thurgovie</v>
      </c>
      <c r="E137" s="402" t="s">
        <v>434</v>
      </c>
      <c r="F137" s="2338" t="s">
        <v>571</v>
      </c>
      <c r="G137" s="403" t="s">
        <v>1338</v>
      </c>
    </row>
    <row r="138" spans="1:7" ht="25.9" customHeight="1">
      <c r="A138" s="401">
        <v>135</v>
      </c>
      <c r="B138" s="929" t="s">
        <v>622</v>
      </c>
      <c r="C138" s="929" t="s">
        <v>73</v>
      </c>
      <c r="D138" s="899" t="str">
        <f t="shared" si="2"/>
        <v>Tessin</v>
      </c>
      <c r="E138" s="402" t="s">
        <v>454</v>
      </c>
      <c r="F138" s="2338" t="s">
        <v>454</v>
      </c>
      <c r="G138" s="403" t="s">
        <v>1339</v>
      </c>
    </row>
    <row r="139" spans="1:7" ht="25.9" customHeight="1">
      <c r="A139" s="401">
        <v>136</v>
      </c>
      <c r="B139" s="929" t="s">
        <v>622</v>
      </c>
      <c r="C139" s="929" t="s">
        <v>74</v>
      </c>
      <c r="D139" s="899" t="str">
        <f t="shared" si="2"/>
        <v>Uri</v>
      </c>
      <c r="E139" s="402" t="s">
        <v>452</v>
      </c>
      <c r="F139" s="2338" t="s">
        <v>452</v>
      </c>
      <c r="G139" s="403" t="s">
        <v>452</v>
      </c>
    </row>
    <row r="140" spans="1:7" ht="25.9" customHeight="1">
      <c r="A140" s="401">
        <v>137</v>
      </c>
      <c r="B140" s="929" t="s">
        <v>622</v>
      </c>
      <c r="C140" s="929" t="s">
        <v>75</v>
      </c>
      <c r="D140" s="899" t="str">
        <f t="shared" si="2"/>
        <v>Vaud</v>
      </c>
      <c r="E140" s="402" t="s">
        <v>615</v>
      </c>
      <c r="F140" s="2338" t="s">
        <v>572</v>
      </c>
      <c r="G140" s="403" t="s">
        <v>572</v>
      </c>
    </row>
    <row r="141" spans="1:7" ht="25.9" customHeight="1">
      <c r="A141" s="401">
        <v>138</v>
      </c>
      <c r="B141" s="929" t="s">
        <v>622</v>
      </c>
      <c r="C141" s="929" t="s">
        <v>76</v>
      </c>
      <c r="D141" s="899" t="str">
        <f t="shared" si="2"/>
        <v>Valais</v>
      </c>
      <c r="E141" s="402" t="s">
        <v>431</v>
      </c>
      <c r="F141" s="2338" t="s">
        <v>573</v>
      </c>
      <c r="G141" s="403" t="s">
        <v>1340</v>
      </c>
    </row>
    <row r="142" spans="1:7" ht="25.9" customHeight="1">
      <c r="A142" s="401">
        <v>139</v>
      </c>
      <c r="B142" s="929" t="s">
        <v>622</v>
      </c>
      <c r="C142" s="929" t="s">
        <v>77</v>
      </c>
      <c r="D142" s="899" t="str">
        <f t="shared" si="2"/>
        <v>Zoug</v>
      </c>
      <c r="E142" s="402" t="s">
        <v>432</v>
      </c>
      <c r="F142" s="2338" t="s">
        <v>574</v>
      </c>
      <c r="G142" s="403" t="s">
        <v>1341</v>
      </c>
    </row>
    <row r="143" spans="1:7" ht="25.9" customHeight="1">
      <c r="A143" s="401">
        <v>140</v>
      </c>
      <c r="B143" s="929" t="s">
        <v>622</v>
      </c>
      <c r="C143" s="929" t="s">
        <v>78</v>
      </c>
      <c r="D143" s="899" t="str">
        <f t="shared" si="2"/>
        <v>Zurich</v>
      </c>
      <c r="E143" s="402" t="s">
        <v>433</v>
      </c>
      <c r="F143" s="2338" t="s">
        <v>575</v>
      </c>
      <c r="G143" s="403" t="s">
        <v>1342</v>
      </c>
    </row>
    <row r="144" spans="1:7" ht="25.9" customHeight="1">
      <c r="A144" s="401">
        <v>141</v>
      </c>
      <c r="B144" s="929" t="s">
        <v>622</v>
      </c>
      <c r="C144" s="929" t="s">
        <v>79</v>
      </c>
      <c r="D144" s="899" t="str">
        <f t="shared" si="2"/>
        <v>Principauté du Liechtenstein</v>
      </c>
      <c r="E144" s="402" t="s">
        <v>616</v>
      </c>
      <c r="F144" s="2338" t="s">
        <v>576</v>
      </c>
      <c r="G144" s="403" t="s">
        <v>1343</v>
      </c>
    </row>
    <row r="145" spans="1:7" ht="25.9" customHeight="1">
      <c r="A145" s="401">
        <v>142</v>
      </c>
      <c r="B145" s="929" t="s">
        <v>622</v>
      </c>
      <c r="C145" s="929" t="s">
        <v>548</v>
      </c>
      <c r="D145" s="899" t="str">
        <f t="shared" si="2"/>
        <v>spécial</v>
      </c>
      <c r="E145" s="402" t="s">
        <v>547</v>
      </c>
      <c r="F145" s="2338" t="s">
        <v>577</v>
      </c>
      <c r="G145" s="403" t="s">
        <v>1344</v>
      </c>
    </row>
    <row r="146" spans="1:7" ht="25.9" customHeight="1">
      <c r="A146" s="401">
        <v>143</v>
      </c>
      <c r="B146" s="929" t="s">
        <v>53</v>
      </c>
      <c r="C146" s="929" t="s">
        <v>933</v>
      </c>
      <c r="D146" s="899" t="str">
        <f t="shared" si="2"/>
        <v>Signature</v>
      </c>
      <c r="E146" s="402" t="s">
        <v>761</v>
      </c>
      <c r="F146" s="2338" t="s">
        <v>1553</v>
      </c>
      <c r="G146" s="403" t="s">
        <v>1345</v>
      </c>
    </row>
    <row r="147" spans="1:7" ht="25.9" customHeight="1">
      <c r="A147" s="401">
        <v>144</v>
      </c>
      <c r="B147" s="929" t="s">
        <v>53</v>
      </c>
      <c r="C147" s="929" t="s">
        <v>934</v>
      </c>
      <c r="D147" s="899" t="str">
        <f t="shared" si="2"/>
        <v>Justificatif établi par:</v>
      </c>
      <c r="E147" s="402" t="s">
        <v>762</v>
      </c>
      <c r="F147" s="2338" t="s">
        <v>1554</v>
      </c>
      <c r="G147" s="403" t="s">
        <v>1346</v>
      </c>
    </row>
    <row r="148" spans="1:7" ht="25.9" customHeight="1">
      <c r="A148" s="401">
        <v>145</v>
      </c>
      <c r="B148" s="929" t="s">
        <v>53</v>
      </c>
      <c r="C148" s="929" t="s">
        <v>935</v>
      </c>
      <c r="D148" s="899" t="str">
        <f t="shared" si="2"/>
        <v>Contrôle du justificatif/Contrôle privé:</v>
      </c>
      <c r="E148" s="402" t="s">
        <v>763</v>
      </c>
      <c r="F148" s="2338" t="s">
        <v>1555</v>
      </c>
      <c r="G148" s="403" t="s">
        <v>1347</v>
      </c>
    </row>
    <row r="149" spans="1:7" ht="25.9" customHeight="1">
      <c r="A149" s="401">
        <v>146</v>
      </c>
      <c r="B149" s="929" t="s">
        <v>53</v>
      </c>
      <c r="C149" s="929" t="s">
        <v>936</v>
      </c>
      <c r="D149" s="899" t="str">
        <f t="shared" si="2"/>
        <v>Certifié complet et correct</v>
      </c>
      <c r="E149" s="402" t="s">
        <v>764</v>
      </c>
      <c r="F149" s="2338" t="s">
        <v>1556</v>
      </c>
      <c r="G149" s="403" t="s">
        <v>1348</v>
      </c>
    </row>
    <row r="150" spans="1:7" ht="25.9" customHeight="1">
      <c r="A150" s="401">
        <v>147</v>
      </c>
      <c r="B150" s="929" t="s">
        <v>53</v>
      </c>
      <c r="C150" s="929" t="s">
        <v>937</v>
      </c>
      <c r="D150" s="899" t="str">
        <f t="shared" si="2"/>
        <v>Nom et adresse</v>
      </c>
      <c r="E150" s="402" t="s">
        <v>765</v>
      </c>
      <c r="F150" s="2338" t="s">
        <v>1557</v>
      </c>
      <c r="G150" s="403" t="s">
        <v>1349</v>
      </c>
    </row>
    <row r="151" spans="1:7" ht="25.9" customHeight="1">
      <c r="A151" s="401">
        <v>148</v>
      </c>
      <c r="B151" s="929" t="s">
        <v>53</v>
      </c>
      <c r="C151" s="929" t="s">
        <v>938</v>
      </c>
      <c r="D151" s="899" t="str">
        <f t="shared" si="2"/>
        <v>ou tampon de l'entreprise</v>
      </c>
      <c r="E151" s="402" t="s">
        <v>766</v>
      </c>
      <c r="F151" s="2338" t="s">
        <v>1558</v>
      </c>
      <c r="G151" s="403" t="s">
        <v>1350</v>
      </c>
    </row>
    <row r="152" spans="1:7" ht="25.9" customHeight="1">
      <c r="A152" s="401">
        <v>149</v>
      </c>
      <c r="B152" s="929" t="s">
        <v>53</v>
      </c>
      <c r="C152" s="929" t="s">
        <v>939</v>
      </c>
      <c r="D152" s="899" t="str">
        <f t="shared" si="2"/>
        <v>Responsable, tél.:</v>
      </c>
      <c r="E152" s="402" t="s">
        <v>767</v>
      </c>
      <c r="F152" s="2338" t="s">
        <v>1559</v>
      </c>
      <c r="G152" s="403" t="s">
        <v>1351</v>
      </c>
    </row>
    <row r="153" spans="1:7" ht="25.9" customHeight="1">
      <c r="A153" s="401">
        <v>150</v>
      </c>
      <c r="B153" s="929" t="s">
        <v>53</v>
      </c>
      <c r="C153" s="929" t="s">
        <v>942</v>
      </c>
      <c r="D153" s="899" t="str">
        <f t="shared" si="2"/>
        <v>Lieu, date, signature:</v>
      </c>
      <c r="E153" s="402" t="s">
        <v>768</v>
      </c>
      <c r="F153" s="2338" t="s">
        <v>1560</v>
      </c>
      <c r="G153" s="403" t="s">
        <v>1352</v>
      </c>
    </row>
    <row r="154" spans="1:7" ht="25.9" customHeight="1">
      <c r="A154" s="401">
        <v>151</v>
      </c>
      <c r="B154" s="929" t="s">
        <v>53</v>
      </c>
      <c r="C154" s="929" t="s">
        <v>943</v>
      </c>
      <c r="D154" s="899" t="str">
        <f t="shared" si="2"/>
        <v>Contrôle d'exécution</v>
      </c>
      <c r="E154" s="402" t="s">
        <v>769</v>
      </c>
      <c r="F154" s="2338" t="s">
        <v>1561</v>
      </c>
      <c r="G154" s="403" t="s">
        <v>1353</v>
      </c>
    </row>
    <row r="155" spans="1:7" ht="25.9" customHeight="1">
      <c r="A155" s="401">
        <v>152</v>
      </c>
      <c r="B155" s="929" t="s">
        <v>53</v>
      </c>
      <c r="C155" s="929" t="s">
        <v>945</v>
      </c>
      <c r="D155" s="899" t="str">
        <f t="shared" si="2"/>
        <v>même personne</v>
      </c>
      <c r="E155" s="402" t="s">
        <v>777</v>
      </c>
      <c r="F155" s="2338" t="s">
        <v>1562</v>
      </c>
      <c r="G155" s="403" t="s">
        <v>1354</v>
      </c>
    </row>
    <row r="156" spans="1:7" ht="25.9" customHeight="1">
      <c r="A156" s="919">
        <v>153</v>
      </c>
      <c r="B156" s="932" t="s">
        <v>53</v>
      </c>
      <c r="C156" s="932" t="s">
        <v>946</v>
      </c>
      <c r="D156" s="920" t="str">
        <f t="shared" si="2"/>
        <v>ou:</v>
      </c>
      <c r="E156" s="921" t="s">
        <v>778</v>
      </c>
      <c r="F156" s="922" t="s">
        <v>1563</v>
      </c>
      <c r="G156" s="923" t="s">
        <v>1355</v>
      </c>
    </row>
    <row r="157" spans="1:7" ht="25.9" customHeight="1">
      <c r="A157" s="470">
        <v>154</v>
      </c>
      <c r="B157" s="929" t="s">
        <v>622</v>
      </c>
      <c r="C157" s="929" t="s">
        <v>948</v>
      </c>
      <c r="D157" s="900" t="str">
        <f t="shared" si="2"/>
        <v>Chaudière à mazout</v>
      </c>
      <c r="E157" s="471" t="s">
        <v>203</v>
      </c>
      <c r="F157" s="904" t="s">
        <v>1564</v>
      </c>
      <c r="G157" s="472" t="s">
        <v>1356</v>
      </c>
    </row>
    <row r="158" spans="1:7" ht="25.9" customHeight="1">
      <c r="A158" s="401">
        <v>155</v>
      </c>
      <c r="B158" s="929" t="s">
        <v>622</v>
      </c>
      <c r="C158" s="929" t="s">
        <v>949</v>
      </c>
      <c r="D158" s="899" t="str">
        <f t="shared" si="2"/>
        <v>Chaudière à mazout à condensation, que chauffage</v>
      </c>
      <c r="E158" s="402" t="s">
        <v>86</v>
      </c>
      <c r="F158" s="2338" t="s">
        <v>1565</v>
      </c>
      <c r="G158" s="403" t="s">
        <v>1357</v>
      </c>
    </row>
    <row r="159" spans="1:7" ht="25.9" customHeight="1">
      <c r="A159" s="401">
        <v>156</v>
      </c>
      <c r="B159" s="929" t="s">
        <v>622</v>
      </c>
      <c r="C159" s="929" t="s">
        <v>950</v>
      </c>
      <c r="D159" s="899" t="str">
        <f t="shared" si="2"/>
        <v xml:space="preserve">Chaudière à mazout à condensation, qu'eau chaude </v>
      </c>
      <c r="E159" s="402" t="s">
        <v>87</v>
      </c>
      <c r="F159" s="2338" t="s">
        <v>1566</v>
      </c>
      <c r="G159" s="403" t="s">
        <v>1358</v>
      </c>
    </row>
    <row r="160" spans="1:7" ht="25.9" customHeight="1">
      <c r="A160" s="401">
        <v>157</v>
      </c>
      <c r="B160" s="929" t="s">
        <v>622</v>
      </c>
      <c r="C160" s="929" t="s">
        <v>951</v>
      </c>
      <c r="D160" s="899" t="str">
        <f t="shared" si="2"/>
        <v>Chaudière à gaz</v>
      </c>
      <c r="E160" s="402" t="s">
        <v>204</v>
      </c>
      <c r="F160" s="2338" t="s">
        <v>1567</v>
      </c>
      <c r="G160" s="403" t="s">
        <v>1359</v>
      </c>
    </row>
    <row r="161" spans="1:7" ht="25.9" customHeight="1">
      <c r="A161" s="401">
        <v>158</v>
      </c>
      <c r="B161" s="929" t="s">
        <v>622</v>
      </c>
      <c r="C161" s="929" t="s">
        <v>952</v>
      </c>
      <c r="D161" s="899" t="str">
        <f t="shared" si="2"/>
        <v>Chaudière à gaz à condensation, que chauffage</v>
      </c>
      <c r="E161" s="402" t="s">
        <v>88</v>
      </c>
      <c r="F161" s="2338" t="s">
        <v>1568</v>
      </c>
      <c r="G161" s="403" t="s">
        <v>1360</v>
      </c>
    </row>
    <row r="162" spans="1:7" ht="25.9" customHeight="1">
      <c r="A162" s="401">
        <v>159</v>
      </c>
      <c r="B162" s="929" t="s">
        <v>622</v>
      </c>
      <c r="C162" s="929" t="s">
        <v>953</v>
      </c>
      <c r="D162" s="899" t="str">
        <f t="shared" si="2"/>
        <v>Chaudière à gaz à condensation, qu'eau chaude</v>
      </c>
      <c r="E162" s="402" t="s">
        <v>89</v>
      </c>
      <c r="F162" s="2338" t="s">
        <v>1569</v>
      </c>
      <c r="G162" s="403" t="s">
        <v>1361</v>
      </c>
    </row>
    <row r="163" spans="1:7" ht="26.1" customHeight="1">
      <c r="A163" s="401">
        <v>160</v>
      </c>
      <c r="B163" s="929" t="s">
        <v>622</v>
      </c>
      <c r="C163" s="929" t="s">
        <v>954</v>
      </c>
      <c r="D163" s="899" t="str">
        <f t="shared" si="2"/>
        <v>Chauffe-eau à gaz</v>
      </c>
      <c r="E163" s="402" t="s">
        <v>205</v>
      </c>
      <c r="F163" s="2338" t="s">
        <v>1570</v>
      </c>
      <c r="G163" s="403" t="s">
        <v>1362</v>
      </c>
    </row>
    <row r="164" spans="1:7" ht="26.1" customHeight="1">
      <c r="A164" s="401">
        <v>161</v>
      </c>
      <c r="B164" s="929" t="s">
        <v>622</v>
      </c>
      <c r="C164" s="929" t="s">
        <v>955</v>
      </c>
      <c r="D164" s="899" t="str">
        <f t="shared" si="2"/>
        <v>Chauffage au bois</v>
      </c>
      <c r="E164" s="402" t="s">
        <v>318</v>
      </c>
      <c r="F164" s="2338" t="s">
        <v>1571</v>
      </c>
      <c r="G164" s="403" t="s">
        <v>1363</v>
      </c>
    </row>
    <row r="165" spans="1:7" ht="26.1" customHeight="1">
      <c r="A165" s="401">
        <v>162</v>
      </c>
      <c r="B165" s="929" t="s">
        <v>622</v>
      </c>
      <c r="C165" s="929" t="s">
        <v>956</v>
      </c>
      <c r="D165" s="899" t="str">
        <f t="shared" si="2"/>
        <v>Chauffage au pellets</v>
      </c>
      <c r="E165" s="402" t="s">
        <v>22</v>
      </c>
      <c r="F165" s="2338" t="s">
        <v>1572</v>
      </c>
      <c r="G165" s="403" t="s">
        <v>1364</v>
      </c>
    </row>
    <row r="166" spans="1:7" ht="26.1" customHeight="1">
      <c r="A166" s="401">
        <v>163</v>
      </c>
      <c r="B166" s="929" t="s">
        <v>622</v>
      </c>
      <c r="C166" s="929" t="s">
        <v>957</v>
      </c>
      <c r="D166" s="899" t="str">
        <f t="shared" si="2"/>
        <v>Chaleur à distance (min. 50% énergies ren., rejets, CCF)</v>
      </c>
      <c r="E166" s="402" t="s">
        <v>1225</v>
      </c>
      <c r="F166" s="2338" t="s">
        <v>1573</v>
      </c>
      <c r="G166" s="403" t="s">
        <v>1479</v>
      </c>
    </row>
    <row r="167" spans="1:7" ht="26.1" customHeight="1">
      <c r="A167" s="401">
        <v>164</v>
      </c>
      <c r="B167" s="929" t="s">
        <v>622</v>
      </c>
      <c r="C167" s="929" t="s">
        <v>958</v>
      </c>
      <c r="D167" s="899" t="str">
        <f t="shared" si="2"/>
        <v>Chauffage central électrique</v>
      </c>
      <c r="E167" s="402" t="s">
        <v>186</v>
      </c>
      <c r="F167" s="2338" t="s">
        <v>1574</v>
      </c>
      <c r="G167" s="403" t="s">
        <v>1365</v>
      </c>
    </row>
    <row r="168" spans="1:7" ht="26.1" customHeight="1">
      <c r="A168" s="401">
        <v>165</v>
      </c>
      <c r="B168" s="929" t="s">
        <v>622</v>
      </c>
      <c r="C168" s="929" t="s">
        <v>959</v>
      </c>
      <c r="D168" s="899" t="str">
        <f t="shared" si="2"/>
        <v>Chauffage électrique direct</v>
      </c>
      <c r="E168" s="402" t="s">
        <v>45</v>
      </c>
      <c r="F168" s="2338" t="s">
        <v>1575</v>
      </c>
      <c r="G168" s="403" t="s">
        <v>1366</v>
      </c>
    </row>
    <row r="169" spans="1:7" ht="26.1" customHeight="1">
      <c r="A169" s="401">
        <v>166</v>
      </c>
      <c r="B169" s="929" t="s">
        <v>622</v>
      </c>
      <c r="C169" s="929" t="s">
        <v>960</v>
      </c>
      <c r="D169" s="899" t="str">
        <f t="shared" si="2"/>
        <v>Chauffe-eau électrique</v>
      </c>
      <c r="E169" s="402" t="s">
        <v>145</v>
      </c>
      <c r="F169" s="2338" t="s">
        <v>1576</v>
      </c>
      <c r="G169" s="403" t="s">
        <v>1367</v>
      </c>
    </row>
    <row r="170" spans="1:7" ht="26.1" customHeight="1">
      <c r="A170" s="401">
        <v>167</v>
      </c>
      <c r="B170" s="929" t="s">
        <v>622</v>
      </c>
      <c r="C170" s="929" t="s">
        <v>961</v>
      </c>
      <c r="D170" s="899" t="str">
        <f t="shared" si="2"/>
        <v>CCF (fossile) - part thermique et électrique</v>
      </c>
      <c r="E170" s="402" t="s">
        <v>707</v>
      </c>
      <c r="F170" s="2338" t="s">
        <v>1577</v>
      </c>
      <c r="G170" s="403" t="s">
        <v>1368</v>
      </c>
    </row>
    <row r="171" spans="1:7" ht="26.1" customHeight="1">
      <c r="A171" s="401">
        <v>168</v>
      </c>
      <c r="B171" s="929" t="s">
        <v>622</v>
      </c>
      <c r="C171" s="929" t="s">
        <v>962</v>
      </c>
      <c r="D171" s="899" t="str">
        <f t="shared" si="2"/>
        <v>CCF (bois) - part thermique et électrique</v>
      </c>
      <c r="E171" s="402" t="s">
        <v>458</v>
      </c>
      <c r="F171" s="2338" t="s">
        <v>1578</v>
      </c>
      <c r="G171" s="403" t="s">
        <v>1369</v>
      </c>
    </row>
    <row r="172" spans="1:7" ht="25.9" customHeight="1">
      <c r="A172" s="401">
        <v>169</v>
      </c>
      <c r="B172" s="929" t="s">
        <v>622</v>
      </c>
      <c r="C172" s="929" t="s">
        <v>963</v>
      </c>
      <c r="D172" s="899" t="str">
        <f t="shared" si="2"/>
        <v>Pompe à chaleur air-eau, que chauffage</v>
      </c>
      <c r="E172" s="402" t="s">
        <v>90</v>
      </c>
      <c r="F172" s="2338" t="s">
        <v>1713</v>
      </c>
      <c r="G172" s="403" t="s">
        <v>2750</v>
      </c>
    </row>
    <row r="173" spans="1:7" ht="25.9" customHeight="1">
      <c r="A173" s="401">
        <v>170</v>
      </c>
      <c r="B173" s="929" t="s">
        <v>622</v>
      </c>
      <c r="C173" s="929" t="s">
        <v>964</v>
      </c>
      <c r="D173" s="899" t="str">
        <f t="shared" si="2"/>
        <v>Pompe à chaleur air-eau, qu'eau chaude</v>
      </c>
      <c r="E173" s="402" t="s">
        <v>91</v>
      </c>
      <c r="F173" s="2338" t="s">
        <v>1714</v>
      </c>
      <c r="G173" s="403" t="s">
        <v>2751</v>
      </c>
    </row>
    <row r="174" spans="1:7" ht="25.9" customHeight="1">
      <c r="A174" s="401">
        <v>171</v>
      </c>
      <c r="B174" s="929" t="s">
        <v>622</v>
      </c>
      <c r="C174" s="929" t="s">
        <v>965</v>
      </c>
      <c r="D174" s="899" t="str">
        <f t="shared" si="2"/>
        <v>Pompe à chaleur géothermique, que chauffage</v>
      </c>
      <c r="E174" s="402" t="s">
        <v>92</v>
      </c>
      <c r="F174" s="2338" t="s">
        <v>1579</v>
      </c>
      <c r="G174" s="403" t="s">
        <v>1370</v>
      </c>
    </row>
    <row r="175" spans="1:7" ht="26.1" customHeight="1">
      <c r="A175" s="401">
        <v>172</v>
      </c>
      <c r="B175" s="929" t="s">
        <v>622</v>
      </c>
      <c r="C175" s="929" t="s">
        <v>966</v>
      </c>
      <c r="D175" s="899" t="str">
        <f t="shared" si="2"/>
        <v>Pompe à chaleur géothermique, qu'eau chaude</v>
      </c>
      <c r="E175" s="402" t="s">
        <v>93</v>
      </c>
      <c r="F175" s="2338" t="s">
        <v>1580</v>
      </c>
      <c r="G175" s="403" t="s">
        <v>1371</v>
      </c>
    </row>
    <row r="176" spans="1:7" ht="26.1" customHeight="1">
      <c r="A176" s="401">
        <v>173</v>
      </c>
      <c r="B176" s="929" t="s">
        <v>622</v>
      </c>
      <c r="C176" s="929" t="s">
        <v>967</v>
      </c>
      <c r="D176" s="899" t="str">
        <f t="shared" si="2"/>
        <v>Pompe à chaleur eau usée, que chauffage</v>
      </c>
      <c r="E176" s="402" t="s">
        <v>455</v>
      </c>
      <c r="F176" s="2338" t="s">
        <v>1581</v>
      </c>
      <c r="G176" s="403" t="s">
        <v>1372</v>
      </c>
    </row>
    <row r="177" spans="1:7" ht="26.1" customHeight="1">
      <c r="A177" s="401">
        <v>174</v>
      </c>
      <c r="B177" s="929" t="s">
        <v>622</v>
      </c>
      <c r="C177" s="929" t="s">
        <v>968</v>
      </c>
      <c r="D177" s="899" t="str">
        <f t="shared" si="2"/>
        <v>Pompe à chaleur eau usée, qu'eau chaude</v>
      </c>
      <c r="E177" s="402" t="s">
        <v>456</v>
      </c>
      <c r="F177" s="2338" t="s">
        <v>1582</v>
      </c>
      <c r="G177" s="403" t="s">
        <v>1373</v>
      </c>
    </row>
    <row r="178" spans="1:7" ht="26.1" customHeight="1">
      <c r="A178" s="401">
        <v>175</v>
      </c>
      <c r="B178" s="929" t="s">
        <v>622</v>
      </c>
      <c r="C178" s="929" t="s">
        <v>969</v>
      </c>
      <c r="D178" s="899" t="str">
        <f t="shared" si="2"/>
        <v>Pompe à chaleur eau-eau, que chauffage</v>
      </c>
      <c r="E178" s="402" t="s">
        <v>457</v>
      </c>
      <c r="F178" s="2338" t="s">
        <v>1583</v>
      </c>
      <c r="G178" s="403" t="s">
        <v>2752</v>
      </c>
    </row>
    <row r="179" spans="1:7" ht="26.1" customHeight="1">
      <c r="A179" s="401">
        <v>176</v>
      </c>
      <c r="B179" s="929" t="s">
        <v>622</v>
      </c>
      <c r="C179" s="929" t="s">
        <v>970</v>
      </c>
      <c r="D179" s="899" t="str">
        <f t="shared" si="2"/>
        <v>Pompe à chaleur eau-eau, qu'eau chaude</v>
      </c>
      <c r="E179" s="402" t="s">
        <v>218</v>
      </c>
      <c r="F179" s="2338" t="s">
        <v>1584</v>
      </c>
      <c r="G179" s="403" t="s">
        <v>2753</v>
      </c>
    </row>
    <row r="180" spans="1:7" ht="26.1" customHeight="1">
      <c r="A180" s="401">
        <v>177</v>
      </c>
      <c r="B180" s="929" t="s">
        <v>622</v>
      </c>
      <c r="C180" s="929" t="s">
        <v>971</v>
      </c>
      <c r="D180" s="899" t="str">
        <f t="shared" si="2"/>
        <v>Pompe à chaleur eau souterraine, directe, que chauffage</v>
      </c>
      <c r="E180" s="402" t="s">
        <v>219</v>
      </c>
      <c r="F180" s="2338" t="s">
        <v>1585</v>
      </c>
      <c r="G180" s="403" t="s">
        <v>1374</v>
      </c>
    </row>
    <row r="181" spans="1:7" ht="26.1" customHeight="1">
      <c r="A181" s="401">
        <v>178</v>
      </c>
      <c r="B181" s="929" t="s">
        <v>622</v>
      </c>
      <c r="C181" s="929" t="s">
        <v>972</v>
      </c>
      <c r="D181" s="899" t="str">
        <f t="shared" si="2"/>
        <v>Pompe à chaleur eau souterraine, directe, qu'eau chaude</v>
      </c>
      <c r="E181" s="402" t="s">
        <v>220</v>
      </c>
      <c r="F181" s="2338" t="s">
        <v>1586</v>
      </c>
      <c r="G181" s="403" t="s">
        <v>1375</v>
      </c>
    </row>
    <row r="182" spans="1:7" ht="26.1" customHeight="1">
      <c r="A182" s="401">
        <v>179</v>
      </c>
      <c r="B182" s="929" t="s">
        <v>622</v>
      </c>
      <c r="C182" s="929" t="s">
        <v>973</v>
      </c>
      <c r="D182" s="899" t="str">
        <f t="shared" si="2"/>
        <v>Pompe à chaleur eau souterraine, indirecte, que chauffage</v>
      </c>
      <c r="E182" s="402" t="s">
        <v>221</v>
      </c>
      <c r="F182" s="2338" t="s">
        <v>1587</v>
      </c>
      <c r="G182" s="403" t="s">
        <v>1376</v>
      </c>
    </row>
    <row r="183" spans="1:7" ht="26.1" customHeight="1">
      <c r="A183" s="401">
        <v>180</v>
      </c>
      <c r="B183" s="929" t="s">
        <v>622</v>
      </c>
      <c r="C183" s="929" t="s">
        <v>974</v>
      </c>
      <c r="D183" s="899" t="str">
        <f t="shared" si="2"/>
        <v>Pompe à chaleur eau souterraine, indirecte, qu'eau chaude</v>
      </c>
      <c r="E183" s="402" t="s">
        <v>222</v>
      </c>
      <c r="F183" s="2338" t="s">
        <v>1588</v>
      </c>
      <c r="G183" s="403" t="s">
        <v>1377</v>
      </c>
    </row>
    <row r="184" spans="1:7" ht="26.1" customHeight="1">
      <c r="A184" s="401">
        <v>181</v>
      </c>
      <c r="B184" s="929" t="s">
        <v>622</v>
      </c>
      <c r="C184" s="929" t="s">
        <v>975</v>
      </c>
      <c r="D184" s="899" t="str">
        <f t="shared" si="2"/>
        <v>Pompe à chaleur registre terrestre, que chauffage</v>
      </c>
      <c r="E184" s="402" t="s">
        <v>223</v>
      </c>
      <c r="F184" s="2338" t="s">
        <v>1589</v>
      </c>
      <c r="G184" s="403" t="s">
        <v>1378</v>
      </c>
    </row>
    <row r="185" spans="1:7" ht="26.1" customHeight="1">
      <c r="A185" s="401">
        <v>182</v>
      </c>
      <c r="B185" s="929" t="s">
        <v>622</v>
      </c>
      <c r="C185" s="929" t="s">
        <v>976</v>
      </c>
      <c r="D185" s="899" t="str">
        <f t="shared" si="2"/>
        <v>Pompe à chaleur registre terrestre, qu'eau chaude</v>
      </c>
      <c r="E185" s="402" t="s">
        <v>224</v>
      </c>
      <c r="F185" s="2338" t="s">
        <v>1590</v>
      </c>
      <c r="G185" s="403" t="s">
        <v>1379</v>
      </c>
    </row>
    <row r="186" spans="1:7" ht="26.1" customHeight="1">
      <c r="A186" s="401">
        <v>183</v>
      </c>
      <c r="B186" s="929" t="s">
        <v>622</v>
      </c>
      <c r="C186" s="929" t="s">
        <v>977</v>
      </c>
      <c r="D186" s="899" t="str">
        <f t="shared" si="2"/>
        <v>Capteurs solaires thermiques, que chauffage</v>
      </c>
      <c r="E186" s="402" t="s">
        <v>225</v>
      </c>
      <c r="F186" s="2338" t="s">
        <v>1591</v>
      </c>
      <c r="G186" s="403" t="s">
        <v>1380</v>
      </c>
    </row>
    <row r="187" spans="1:7" ht="26.1" customHeight="1">
      <c r="A187" s="401">
        <v>184</v>
      </c>
      <c r="B187" s="929" t="s">
        <v>622</v>
      </c>
      <c r="C187" s="929" t="s">
        <v>978</v>
      </c>
      <c r="D187" s="899" t="str">
        <f t="shared" si="2"/>
        <v>Capteurs solaires thermiques, qu'eau chaude</v>
      </c>
      <c r="E187" s="402" t="s">
        <v>226</v>
      </c>
      <c r="F187" s="2338" t="s">
        <v>1592</v>
      </c>
      <c r="G187" s="403" t="s">
        <v>1381</v>
      </c>
    </row>
    <row r="188" spans="1:7" ht="26.1" customHeight="1">
      <c r="A188" s="401">
        <v>185</v>
      </c>
      <c r="B188" s="929" t="s">
        <v>622</v>
      </c>
      <c r="C188" s="929" t="s">
        <v>979</v>
      </c>
      <c r="D188" s="899" t="str">
        <f t="shared" si="2"/>
        <v>Capteurs solaires thermiques, chauffage et eau chaude</v>
      </c>
      <c r="E188" s="402" t="s">
        <v>147</v>
      </c>
      <c r="F188" s="2338" t="s">
        <v>1593</v>
      </c>
      <c r="G188" s="403" t="s">
        <v>1382</v>
      </c>
    </row>
    <row r="189" spans="1:7" ht="26.1" customHeight="1">
      <c r="A189" s="401">
        <v>186</v>
      </c>
      <c r="B189" s="929" t="s">
        <v>622</v>
      </c>
      <c r="C189" s="929" t="s">
        <v>980</v>
      </c>
      <c r="D189" s="899" t="str">
        <f t="shared" si="2"/>
        <v>Installation photovoltaïque</v>
      </c>
      <c r="E189" s="402" t="s">
        <v>319</v>
      </c>
      <c r="F189" s="2338" t="s">
        <v>1594</v>
      </c>
      <c r="G189" s="403" t="s">
        <v>1383</v>
      </c>
    </row>
    <row r="190" spans="1:7" ht="26.1" customHeight="1">
      <c r="A190" s="401">
        <v>187</v>
      </c>
      <c r="B190" s="929" t="s">
        <v>622</v>
      </c>
      <c r="C190" s="929" t="s">
        <v>981</v>
      </c>
      <c r="D190" s="899" t="str">
        <f t="shared" si="2"/>
        <v>Rejets thermiques issus de climatisation</v>
      </c>
      <c r="E190" s="402" t="s">
        <v>3580</v>
      </c>
      <c r="F190" s="2338" t="s">
        <v>3587</v>
      </c>
      <c r="G190" s="403" t="s">
        <v>3588</v>
      </c>
    </row>
    <row r="191" spans="1:7" ht="26.1" customHeight="1">
      <c r="A191" s="401">
        <v>188</v>
      </c>
      <c r="B191" s="929" t="s">
        <v>622</v>
      </c>
      <c r="C191" s="929" t="s">
        <v>982</v>
      </c>
      <c r="D191" s="899" t="str">
        <f t="shared" si="2"/>
        <v>Rejets thermiques issus de froid industriel</v>
      </c>
      <c r="E191" s="402" t="s">
        <v>3581</v>
      </c>
      <c r="F191" s="2338" t="s">
        <v>2266</v>
      </c>
      <c r="G191" s="403" t="s">
        <v>2355</v>
      </c>
    </row>
    <row r="192" spans="1:7" ht="26.1" customHeight="1">
      <c r="A192" s="401">
        <v>189</v>
      </c>
      <c r="B192" s="929" t="s">
        <v>622</v>
      </c>
      <c r="C192" s="929" t="s">
        <v>983</v>
      </c>
      <c r="D192" s="899" t="str">
        <f t="shared" si="2"/>
        <v>Aération avec PAC air repris/fourni et récup. de chaleur</v>
      </c>
      <c r="E192" s="402" t="s">
        <v>373</v>
      </c>
      <c r="F192" s="2338" t="s">
        <v>578</v>
      </c>
      <c r="G192" s="403" t="s">
        <v>1386</v>
      </c>
    </row>
    <row r="193" spans="1:7" ht="26.1" customHeight="1">
      <c r="A193" s="401">
        <v>190</v>
      </c>
      <c r="B193" s="929" t="s">
        <v>622</v>
      </c>
      <c r="C193" s="929" t="s">
        <v>984</v>
      </c>
      <c r="D193" s="910" t="str">
        <f t="shared" si="2"/>
        <v>Aération avec PAC air repris/fourni sans récup. de chaleur</v>
      </c>
      <c r="E193" s="402" t="s">
        <v>372</v>
      </c>
      <c r="F193" s="2338" t="s">
        <v>579</v>
      </c>
      <c r="G193" s="403" t="s">
        <v>1387</v>
      </c>
    </row>
    <row r="194" spans="1:7" ht="26.1" customHeight="1">
      <c r="A194" s="924">
        <v>191</v>
      </c>
      <c r="B194" s="929" t="s">
        <v>622</v>
      </c>
      <c r="C194" s="929" t="s">
        <v>985</v>
      </c>
      <c r="D194" s="899" t="str">
        <f t="shared" si="2"/>
        <v>Aération air repris avec PAC (sans air fourni)</v>
      </c>
      <c r="E194" s="402" t="s">
        <v>351</v>
      </c>
      <c r="F194" s="2338" t="s">
        <v>580</v>
      </c>
      <c r="G194" s="403" t="s">
        <v>1388</v>
      </c>
    </row>
    <row r="195" spans="1:7" ht="26.1" customHeight="1">
      <c r="A195" s="401">
        <v>192</v>
      </c>
      <c r="B195" s="929" t="s">
        <v>622</v>
      </c>
      <c r="C195" s="929" t="s">
        <v>986</v>
      </c>
      <c r="D195" s="900" t="str">
        <f t="shared" si="2"/>
        <v>PAC compacte avec air fourni/repris avec récup. de chaleur</v>
      </c>
      <c r="E195" s="402" t="s">
        <v>358</v>
      </c>
      <c r="F195" s="2338" t="s">
        <v>1597</v>
      </c>
      <c r="G195" s="403" t="s">
        <v>1389</v>
      </c>
    </row>
    <row r="196" spans="1:7" ht="26.1" customHeight="1">
      <c r="A196" s="401">
        <v>193</v>
      </c>
      <c r="B196" s="929" t="s">
        <v>622</v>
      </c>
      <c r="C196" s="929" t="s">
        <v>987</v>
      </c>
      <c r="D196" s="899" t="str">
        <f t="shared" si="2"/>
        <v>PAC compacte avec air fourni/repris sans récup. de chaleur (que chauffage)</v>
      </c>
      <c r="E196" s="402" t="s">
        <v>370</v>
      </c>
      <c r="F196" s="2338" t="s">
        <v>1598</v>
      </c>
      <c r="G196" s="403" t="s">
        <v>1390</v>
      </c>
    </row>
    <row r="197" spans="1:7" ht="26.1" customHeight="1">
      <c r="A197" s="401">
        <v>194</v>
      </c>
      <c r="B197" s="929" t="s">
        <v>622</v>
      </c>
      <c r="C197" s="929" t="s">
        <v>988</v>
      </c>
      <c r="D197" s="899" t="str">
        <f t="shared" ref="D197:D260" si="3">INDEX($E$4:$G$503,$A197,$A$1)</f>
        <v>PAC compacte avec air fourni/repris sans récup. de chaleur (qu'eau chaude)</v>
      </c>
      <c r="E197" s="402" t="s">
        <v>371</v>
      </c>
      <c r="F197" s="2338" t="s">
        <v>1599</v>
      </c>
      <c r="G197" s="403" t="s">
        <v>1391</v>
      </c>
    </row>
    <row r="198" spans="1:7" ht="26.1" customHeight="1">
      <c r="A198" s="401">
        <v>195</v>
      </c>
      <c r="B198" s="929" t="s">
        <v>622</v>
      </c>
      <c r="C198" s="929" t="s">
        <v>989</v>
      </c>
      <c r="D198" s="899" t="str">
        <f t="shared" si="3"/>
        <v>Biomasse, connectée au réseau hydraulique</v>
      </c>
      <c r="E198" s="402" t="s">
        <v>498</v>
      </c>
      <c r="F198" s="2338" t="s">
        <v>158</v>
      </c>
      <c r="G198" s="403" t="s">
        <v>1392</v>
      </c>
    </row>
    <row r="199" spans="1:7" ht="26.1" customHeight="1">
      <c r="A199" s="401">
        <v>196</v>
      </c>
      <c r="B199" s="929" t="s">
        <v>622</v>
      </c>
      <c r="C199" s="929" t="s">
        <v>990</v>
      </c>
      <c r="D199" s="899" t="str">
        <f t="shared" si="3"/>
        <v>Chaleur à distance (max. 25% énergies ren., rejets, CCF)</v>
      </c>
      <c r="E199" s="402" t="s">
        <v>1223</v>
      </c>
      <c r="F199" s="2338" t="s">
        <v>1600</v>
      </c>
      <c r="G199" s="403" t="s">
        <v>1480</v>
      </c>
    </row>
    <row r="200" spans="1:7" ht="26.1" customHeight="1">
      <c r="A200" s="401">
        <v>197</v>
      </c>
      <c r="B200" s="929" t="s">
        <v>622</v>
      </c>
      <c r="C200" s="929" t="s">
        <v>991</v>
      </c>
      <c r="D200" s="899" t="str">
        <f t="shared" si="3"/>
        <v>Chaleur à distance (min. 25% énergies ren., rejets, CCF)</v>
      </c>
      <c r="E200" s="402" t="s">
        <v>1222</v>
      </c>
      <c r="F200" s="2338" t="s">
        <v>1601</v>
      </c>
      <c r="G200" s="403" t="s">
        <v>1481</v>
      </c>
    </row>
    <row r="201" spans="1:7" ht="26.1" customHeight="1">
      <c r="A201" s="401">
        <v>198</v>
      </c>
      <c r="B201" s="929" t="s">
        <v>622</v>
      </c>
      <c r="C201" s="929" t="s">
        <v>992</v>
      </c>
      <c r="D201" s="899" t="str">
        <f t="shared" si="3"/>
        <v>Chaleur à distance (min. 75% énergies ren., rejets, CCF)</v>
      </c>
      <c r="E201" s="402" t="s">
        <v>1221</v>
      </c>
      <c r="F201" s="2338" t="s">
        <v>1602</v>
      </c>
      <c r="G201" s="403" t="s">
        <v>1482</v>
      </c>
    </row>
    <row r="202" spans="1:7" ht="26.1" customHeight="1">
      <c r="A202" s="401">
        <v>199</v>
      </c>
      <c r="B202" s="929" t="s">
        <v>622</v>
      </c>
      <c r="C202" s="929" t="s">
        <v>993</v>
      </c>
      <c r="D202" s="899" t="str">
        <f t="shared" si="3"/>
        <v>Chaudière à mazout</v>
      </c>
      <c r="E202" s="402" t="s">
        <v>203</v>
      </c>
      <c r="F202" s="2338" t="s">
        <v>1564</v>
      </c>
      <c r="G202" s="403" t="s">
        <v>1356</v>
      </c>
    </row>
    <row r="203" spans="1:7" ht="26.1" customHeight="1">
      <c r="A203" s="401">
        <v>200</v>
      </c>
      <c r="B203" s="929" t="s">
        <v>622</v>
      </c>
      <c r="C203" s="929" t="s">
        <v>994</v>
      </c>
      <c r="D203" s="899" t="str">
        <f t="shared" si="3"/>
        <v>Chaudière à mazout à condensation</v>
      </c>
      <c r="E203" s="402" t="s">
        <v>471</v>
      </c>
      <c r="F203" s="2338" t="s">
        <v>1603</v>
      </c>
      <c r="G203" s="403" t="s">
        <v>1393</v>
      </c>
    </row>
    <row r="204" spans="1:7" ht="26.1" customHeight="1">
      <c r="A204" s="401">
        <v>201</v>
      </c>
      <c r="B204" s="929" t="s">
        <v>622</v>
      </c>
      <c r="C204" s="929" t="s">
        <v>995</v>
      </c>
      <c r="D204" s="899" t="str">
        <f t="shared" si="3"/>
        <v xml:space="preserve">Chaudière à mazout à condensation. Eau chaude. </v>
      </c>
      <c r="E204" s="402" t="s">
        <v>472</v>
      </c>
      <c r="F204" s="2338" t="s">
        <v>1604</v>
      </c>
      <c r="G204" s="403" t="s">
        <v>1394</v>
      </c>
    </row>
    <row r="205" spans="1:7" ht="26.1" customHeight="1">
      <c r="A205" s="401">
        <v>202</v>
      </c>
      <c r="B205" s="929" t="s">
        <v>622</v>
      </c>
      <c r="C205" s="929" t="s">
        <v>996</v>
      </c>
      <c r="D205" s="899" t="str">
        <f t="shared" si="3"/>
        <v>Chaudière à gaz</v>
      </c>
      <c r="E205" s="402" t="s">
        <v>204</v>
      </c>
      <c r="F205" s="2338" t="s">
        <v>1567</v>
      </c>
      <c r="G205" s="403" t="s">
        <v>1359</v>
      </c>
    </row>
    <row r="206" spans="1:7" ht="26.1" customHeight="1">
      <c r="A206" s="401">
        <v>203</v>
      </c>
      <c r="B206" s="929" t="s">
        <v>622</v>
      </c>
      <c r="C206" s="929" t="s">
        <v>997</v>
      </c>
      <c r="D206" s="899" t="str">
        <f t="shared" si="3"/>
        <v>Chaudière à gaz à condensation</v>
      </c>
      <c r="E206" s="402" t="s">
        <v>473</v>
      </c>
      <c r="F206" s="2338" t="s">
        <v>1605</v>
      </c>
      <c r="G206" s="403" t="s">
        <v>1395</v>
      </c>
    </row>
    <row r="207" spans="1:7" ht="26.1" customHeight="1">
      <c r="A207" s="401">
        <v>204</v>
      </c>
      <c r="B207" s="929" t="s">
        <v>622</v>
      </c>
      <c r="C207" s="929" t="s">
        <v>998</v>
      </c>
      <c r="D207" s="899" t="str">
        <f t="shared" si="3"/>
        <v>Chaudière à gaz à condensation. Eau chaude</v>
      </c>
      <c r="E207" s="402" t="s">
        <v>474</v>
      </c>
      <c r="F207" s="2338" t="s">
        <v>1606</v>
      </c>
      <c r="G207" s="403" t="s">
        <v>1396</v>
      </c>
    </row>
    <row r="208" spans="1:7" ht="26.1" customHeight="1">
      <c r="A208" s="401">
        <v>205</v>
      </c>
      <c r="B208" s="929" t="s">
        <v>622</v>
      </c>
      <c r="C208" s="929" t="s">
        <v>999</v>
      </c>
      <c r="D208" s="899" t="str">
        <f t="shared" si="3"/>
        <v>Chauffe-eau à gaz</v>
      </c>
      <c r="E208" s="402" t="s">
        <v>205</v>
      </c>
      <c r="F208" s="2338" t="s">
        <v>1570</v>
      </c>
      <c r="G208" s="403" t="s">
        <v>1362</v>
      </c>
    </row>
    <row r="209" spans="1:7" ht="26.1" customHeight="1">
      <c r="A209" s="401">
        <v>206</v>
      </c>
      <c r="B209" s="929" t="s">
        <v>622</v>
      </c>
      <c r="C209" s="929" t="s">
        <v>1000</v>
      </c>
      <c r="D209" s="899" t="str">
        <f t="shared" si="3"/>
        <v>Chauffage au bois</v>
      </c>
      <c r="E209" s="402" t="s">
        <v>318</v>
      </c>
      <c r="F209" s="2338" t="s">
        <v>1571</v>
      </c>
      <c r="G209" s="403" t="s">
        <v>1397</v>
      </c>
    </row>
    <row r="210" spans="1:7" ht="26.1" customHeight="1">
      <c r="A210" s="401">
        <v>207</v>
      </c>
      <c r="B210" s="929" t="s">
        <v>622</v>
      </c>
      <c r="C210" s="929" t="s">
        <v>1001</v>
      </c>
      <c r="D210" s="899" t="str">
        <f t="shared" si="3"/>
        <v>Chauffage au pellets</v>
      </c>
      <c r="E210" s="402" t="s">
        <v>22</v>
      </c>
      <c r="F210" s="2338" t="s">
        <v>1572</v>
      </c>
      <c r="G210" s="403" t="s">
        <v>1398</v>
      </c>
    </row>
    <row r="211" spans="1:7" ht="26.1" customHeight="1">
      <c r="A211" s="401">
        <v>208</v>
      </c>
      <c r="B211" s="929" t="s">
        <v>622</v>
      </c>
      <c r="C211" s="929" t="s">
        <v>1002</v>
      </c>
      <c r="D211" s="899" t="str">
        <f t="shared" si="3"/>
        <v>Chaleur à distance (min. 50% énergies ren.)</v>
      </c>
      <c r="E211" s="402" t="s">
        <v>1224</v>
      </c>
      <c r="F211" s="2338" t="s">
        <v>1607</v>
      </c>
      <c r="G211" s="403" t="s">
        <v>1483</v>
      </c>
    </row>
    <row r="212" spans="1:7" ht="26.1" customHeight="1">
      <c r="A212" s="401">
        <v>209</v>
      </c>
      <c r="B212" s="929" t="s">
        <v>622</v>
      </c>
      <c r="C212" s="929" t="s">
        <v>1003</v>
      </c>
      <c r="D212" s="899" t="str">
        <f t="shared" si="3"/>
        <v>Chauffage central électrique</v>
      </c>
      <c r="E212" s="402" t="s">
        <v>186</v>
      </c>
      <c r="F212" s="2338" t="s">
        <v>1574</v>
      </c>
      <c r="G212" s="403" t="s">
        <v>1365</v>
      </c>
    </row>
    <row r="213" spans="1:7" ht="26.1" customHeight="1">
      <c r="A213" s="401">
        <v>210</v>
      </c>
      <c r="B213" s="929" t="s">
        <v>622</v>
      </c>
      <c r="C213" s="929" t="s">
        <v>1004</v>
      </c>
      <c r="D213" s="899" t="str">
        <f t="shared" si="3"/>
        <v>Chauffage électrique direct</v>
      </c>
      <c r="E213" s="402" t="s">
        <v>45</v>
      </c>
      <c r="F213" s="2338" t="s">
        <v>1575</v>
      </c>
      <c r="G213" s="403" t="s">
        <v>1366</v>
      </c>
    </row>
    <row r="214" spans="1:7" ht="26.1" customHeight="1">
      <c r="A214" s="401">
        <v>211</v>
      </c>
      <c r="B214" s="929" t="s">
        <v>622</v>
      </c>
      <c r="C214" s="929" t="s">
        <v>1005</v>
      </c>
      <c r="D214" s="899" t="str">
        <f t="shared" si="3"/>
        <v>Chauffe-eau électrique</v>
      </c>
      <c r="E214" s="402" t="s">
        <v>145</v>
      </c>
      <c r="F214" s="2338" t="s">
        <v>1576</v>
      </c>
      <c r="G214" s="403" t="s">
        <v>1367</v>
      </c>
    </row>
    <row r="215" spans="1:7" ht="26.1" customHeight="1">
      <c r="A215" s="401">
        <v>212</v>
      </c>
      <c r="B215" s="929" t="s">
        <v>622</v>
      </c>
      <c r="C215" s="929" t="s">
        <v>1006</v>
      </c>
      <c r="D215" s="899" t="str">
        <f t="shared" si="3"/>
        <v>CCF (fossile) - part thermique et électrique</v>
      </c>
      <c r="E215" s="402" t="s">
        <v>383</v>
      </c>
      <c r="F215" s="2338" t="s">
        <v>1577</v>
      </c>
      <c r="G215" s="403" t="s">
        <v>1399</v>
      </c>
    </row>
    <row r="216" spans="1:7" ht="26.1" customHeight="1">
      <c r="A216" s="401">
        <v>213</v>
      </c>
      <c r="B216" s="929" t="s">
        <v>622</v>
      </c>
      <c r="C216" s="929" t="s">
        <v>1007</v>
      </c>
      <c r="D216" s="899" t="str">
        <f t="shared" si="3"/>
        <v>CCF (bois) - part thermique et électrique</v>
      </c>
      <c r="E216" s="402" t="s">
        <v>459</v>
      </c>
      <c r="F216" s="2338" t="s">
        <v>1578</v>
      </c>
      <c r="G216" s="403" t="s">
        <v>1400</v>
      </c>
    </row>
    <row r="217" spans="1:7" ht="26.1" customHeight="1">
      <c r="A217" s="401">
        <v>214</v>
      </c>
      <c r="B217" s="929" t="s">
        <v>622</v>
      </c>
      <c r="C217" s="929" t="s">
        <v>1008</v>
      </c>
      <c r="D217" s="899" t="str">
        <f t="shared" si="3"/>
        <v>Pompe à chaleur air-air, chauffage</v>
      </c>
      <c r="E217" s="402" t="s">
        <v>475</v>
      </c>
      <c r="F217" s="2338" t="s">
        <v>1608</v>
      </c>
      <c r="G217" s="403" t="s">
        <v>1401</v>
      </c>
    </row>
    <row r="218" spans="1:7" ht="26.1" customHeight="1">
      <c r="A218" s="401">
        <v>215</v>
      </c>
      <c r="B218" s="929" t="s">
        <v>622</v>
      </c>
      <c r="C218" s="929" t="s">
        <v>1009</v>
      </c>
      <c r="D218" s="899" t="str">
        <f t="shared" si="3"/>
        <v>Pompe à chaleur air-air, eau chaude</v>
      </c>
      <c r="E218" s="402" t="s">
        <v>476</v>
      </c>
      <c r="F218" s="2338" t="s">
        <v>1609</v>
      </c>
      <c r="G218" s="403" t="s">
        <v>1402</v>
      </c>
    </row>
    <row r="219" spans="1:7" ht="26.1" customHeight="1">
      <c r="A219" s="401">
        <v>216</v>
      </c>
      <c r="B219" s="929" t="s">
        <v>622</v>
      </c>
      <c r="C219" s="929" t="s">
        <v>1010</v>
      </c>
      <c r="D219" s="899" t="str">
        <f t="shared" si="3"/>
        <v>Pompe à chaleur géothermique, chauffage</v>
      </c>
      <c r="E219" s="402" t="s">
        <v>148</v>
      </c>
      <c r="F219" s="2338" t="s">
        <v>1610</v>
      </c>
      <c r="G219" s="403" t="s">
        <v>1403</v>
      </c>
    </row>
    <row r="220" spans="1:7" ht="26.1" customHeight="1">
      <c r="A220" s="401">
        <v>217</v>
      </c>
      <c r="B220" s="929" t="s">
        <v>622</v>
      </c>
      <c r="C220" s="929" t="s">
        <v>1011</v>
      </c>
      <c r="D220" s="899" t="str">
        <f t="shared" si="3"/>
        <v>Pompe à chaleur géothermique, eau chaude</v>
      </c>
      <c r="E220" s="402" t="s">
        <v>149</v>
      </c>
      <c r="F220" s="2338" t="s">
        <v>1611</v>
      </c>
      <c r="G220" s="403" t="s">
        <v>1404</v>
      </c>
    </row>
    <row r="221" spans="1:7" ht="26.1" customHeight="1">
      <c r="A221" s="401">
        <v>218</v>
      </c>
      <c r="B221" s="929" t="s">
        <v>622</v>
      </c>
      <c r="C221" s="929" t="s">
        <v>1012</v>
      </c>
      <c r="D221" s="899" t="str">
        <f t="shared" si="3"/>
        <v>Pompe à chaleur eau usée (directe), chauffage</v>
      </c>
      <c r="E221" s="402" t="s">
        <v>150</v>
      </c>
      <c r="F221" s="2338" t="s">
        <v>1612</v>
      </c>
      <c r="G221" s="403" t="s">
        <v>1405</v>
      </c>
    </row>
    <row r="222" spans="1:7" ht="26.1" customHeight="1">
      <c r="A222" s="401">
        <v>219</v>
      </c>
      <c r="B222" s="929" t="s">
        <v>622</v>
      </c>
      <c r="C222" s="929" t="s">
        <v>1013</v>
      </c>
      <c r="D222" s="899" t="str">
        <f t="shared" si="3"/>
        <v>Pompe à chaleur eau usée directe, eau chaude</v>
      </c>
      <c r="E222" s="402" t="s">
        <v>151</v>
      </c>
      <c r="F222" s="2338" t="s">
        <v>1613</v>
      </c>
      <c r="G222" s="403" t="s">
        <v>1406</v>
      </c>
    </row>
    <row r="223" spans="1:7" ht="26.1" customHeight="1">
      <c r="A223" s="401">
        <v>220</v>
      </c>
      <c r="B223" s="929" t="s">
        <v>622</v>
      </c>
      <c r="C223" s="929" t="s">
        <v>1014</v>
      </c>
      <c r="D223" s="899" t="str">
        <f t="shared" si="3"/>
        <v>Pompe à chaleur eau-eau, chauffage</v>
      </c>
      <c r="E223" s="402" t="s">
        <v>146</v>
      </c>
      <c r="F223" s="2338" t="s">
        <v>1614</v>
      </c>
      <c r="G223" s="403" t="s">
        <v>1407</v>
      </c>
    </row>
    <row r="224" spans="1:7" ht="26.1" customHeight="1">
      <c r="A224" s="401">
        <v>221</v>
      </c>
      <c r="B224" s="929" t="s">
        <v>622</v>
      </c>
      <c r="C224" s="929" t="s">
        <v>1015</v>
      </c>
      <c r="D224" s="899" t="str">
        <f t="shared" si="3"/>
        <v>Pompe à chaleur eau-eau, eau chaude</v>
      </c>
      <c r="E224" s="402" t="s">
        <v>152</v>
      </c>
      <c r="F224" s="2338" t="s">
        <v>1615</v>
      </c>
      <c r="G224" s="403" t="s">
        <v>1408</v>
      </c>
    </row>
    <row r="225" spans="1:7" ht="26.1" customHeight="1">
      <c r="A225" s="401">
        <v>222</v>
      </c>
      <c r="B225" s="929" t="s">
        <v>622</v>
      </c>
      <c r="C225" s="929" t="s">
        <v>1016</v>
      </c>
      <c r="D225" s="899" t="str">
        <f t="shared" si="3"/>
        <v>Pompe à chaleur eau souterraine, directe, chauffage</v>
      </c>
      <c r="E225" s="402" t="s">
        <v>520</v>
      </c>
      <c r="F225" s="2338" t="s">
        <v>1616</v>
      </c>
      <c r="G225" s="403" t="s">
        <v>1409</v>
      </c>
    </row>
    <row r="226" spans="1:7" ht="26.1" customHeight="1">
      <c r="A226" s="401">
        <v>223</v>
      </c>
      <c r="B226" s="929" t="s">
        <v>622</v>
      </c>
      <c r="C226" s="929" t="s">
        <v>1017</v>
      </c>
      <c r="D226" s="899" t="str">
        <f t="shared" si="3"/>
        <v>Pompe à chaleur eau souterraine, directe, eau chaude</v>
      </c>
      <c r="E226" s="402" t="s">
        <v>521</v>
      </c>
      <c r="F226" s="2338" t="s">
        <v>1617</v>
      </c>
      <c r="G226" s="403" t="s">
        <v>1410</v>
      </c>
    </row>
    <row r="227" spans="1:7" ht="26.1" customHeight="1">
      <c r="A227" s="401">
        <v>224</v>
      </c>
      <c r="B227" s="929" t="s">
        <v>622</v>
      </c>
      <c r="C227" s="929" t="s">
        <v>1018</v>
      </c>
      <c r="D227" s="899" t="str">
        <f t="shared" si="3"/>
        <v>Pompe à chaleur eau souterraine, indirecte, chauffage</v>
      </c>
      <c r="E227" s="402" t="s">
        <v>261</v>
      </c>
      <c r="F227" s="2338" t="s">
        <v>1618</v>
      </c>
      <c r="G227" s="403" t="s">
        <v>1411</v>
      </c>
    </row>
    <row r="228" spans="1:7" ht="26.1" customHeight="1">
      <c r="A228" s="401">
        <v>225</v>
      </c>
      <c r="B228" s="929" t="s">
        <v>622</v>
      </c>
      <c r="C228" s="929" t="s">
        <v>1019</v>
      </c>
      <c r="D228" s="899" t="str">
        <f t="shared" si="3"/>
        <v>Pompe à chaleur eau souterraine, indirecte, eau chaude</v>
      </c>
      <c r="E228" s="402" t="s">
        <v>437</v>
      </c>
      <c r="F228" s="2338" t="s">
        <v>1619</v>
      </c>
      <c r="G228" s="403" t="s">
        <v>1412</v>
      </c>
    </row>
    <row r="229" spans="1:7" ht="26.1" customHeight="1">
      <c r="A229" s="401">
        <v>226</v>
      </c>
      <c r="B229" s="929" t="s">
        <v>622</v>
      </c>
      <c r="C229" s="929" t="s">
        <v>1020</v>
      </c>
      <c r="D229" s="899" t="str">
        <f t="shared" si="3"/>
        <v>Pompe à chaleur registre terrestre, chauffage</v>
      </c>
      <c r="E229" s="402" t="s">
        <v>259</v>
      </c>
      <c r="F229" s="2338" t="s">
        <v>1620</v>
      </c>
      <c r="G229" s="403" t="s">
        <v>1413</v>
      </c>
    </row>
    <row r="230" spans="1:7" ht="25.9" customHeight="1">
      <c r="A230" s="401">
        <v>227</v>
      </c>
      <c r="B230" s="929" t="s">
        <v>622</v>
      </c>
      <c r="C230" s="929" t="s">
        <v>1021</v>
      </c>
      <c r="D230" s="899" t="str">
        <f t="shared" si="3"/>
        <v>Pompe à chaleur registre terrestre, eau chaude</v>
      </c>
      <c r="E230" s="402" t="s">
        <v>260</v>
      </c>
      <c r="F230" s="2338" t="s">
        <v>1621</v>
      </c>
      <c r="G230" s="403" t="s">
        <v>1414</v>
      </c>
    </row>
    <row r="231" spans="1:7" ht="25.9" customHeight="1">
      <c r="A231" s="401">
        <v>228</v>
      </c>
      <c r="B231" s="929" t="s">
        <v>622</v>
      </c>
      <c r="C231" s="929" t="s">
        <v>1022</v>
      </c>
      <c r="D231" s="899" t="str">
        <f t="shared" si="3"/>
        <v>Capteurs solaires thermiques, chauffage</v>
      </c>
      <c r="E231" s="402" t="s">
        <v>322</v>
      </c>
      <c r="F231" s="2338" t="s">
        <v>1622</v>
      </c>
      <c r="G231" s="403" t="s">
        <v>1415</v>
      </c>
    </row>
    <row r="232" spans="1:7" ht="25.9" customHeight="1">
      <c r="A232" s="401">
        <v>229</v>
      </c>
      <c r="B232" s="929" t="s">
        <v>622</v>
      </c>
      <c r="C232" s="929" t="s">
        <v>1023</v>
      </c>
      <c r="D232" s="899" t="str">
        <f t="shared" si="3"/>
        <v>Capteurs solaires thermiques, eau chaude</v>
      </c>
      <c r="E232" s="402" t="s">
        <v>522</v>
      </c>
      <c r="F232" s="2338" t="s">
        <v>1623</v>
      </c>
      <c r="G232" s="403" t="s">
        <v>1416</v>
      </c>
    </row>
    <row r="233" spans="1:7" ht="25.9" customHeight="1">
      <c r="A233" s="401">
        <v>230</v>
      </c>
      <c r="B233" s="929" t="s">
        <v>622</v>
      </c>
      <c r="C233" s="929" t="s">
        <v>1024</v>
      </c>
      <c r="D233" s="899" t="str">
        <f t="shared" si="3"/>
        <v>Capteurs solaires thermiques, chauffage et eau chaude</v>
      </c>
      <c r="E233" s="402" t="s">
        <v>523</v>
      </c>
      <c r="F233" s="2338" t="s">
        <v>1593</v>
      </c>
      <c r="G233" s="403" t="s">
        <v>1417</v>
      </c>
    </row>
    <row r="234" spans="1:7" ht="25.9" customHeight="1">
      <c r="A234" s="401">
        <v>231</v>
      </c>
      <c r="B234" s="929" t="s">
        <v>622</v>
      </c>
      <c r="C234" s="929" t="s">
        <v>1025</v>
      </c>
      <c r="D234" s="899" t="str">
        <f t="shared" si="3"/>
        <v>Installation photovoltaïque</v>
      </c>
      <c r="E234" s="402" t="s">
        <v>319</v>
      </c>
      <c r="F234" s="2338" t="s">
        <v>1594</v>
      </c>
      <c r="G234" s="403" t="s">
        <v>1383</v>
      </c>
    </row>
    <row r="235" spans="1:7" ht="25.9" customHeight="1">
      <c r="A235" s="401">
        <v>232</v>
      </c>
      <c r="B235" s="929" t="s">
        <v>622</v>
      </c>
      <c r="C235" s="929" t="s">
        <v>1026</v>
      </c>
      <c r="D235" s="899" t="str">
        <f t="shared" si="3"/>
        <v>Autre</v>
      </c>
      <c r="E235" s="402" t="s">
        <v>320</v>
      </c>
      <c r="F235" s="2338" t="s">
        <v>1595</v>
      </c>
      <c r="G235" s="403" t="s">
        <v>1384</v>
      </c>
    </row>
    <row r="236" spans="1:7" ht="25.9" customHeight="1">
      <c r="A236" s="401">
        <v>233</v>
      </c>
      <c r="B236" s="929" t="s">
        <v>622</v>
      </c>
      <c r="C236" s="929" t="s">
        <v>1027</v>
      </c>
      <c r="D236" s="899" t="str">
        <f t="shared" si="3"/>
        <v>Report</v>
      </c>
      <c r="E236" s="402" t="s">
        <v>685</v>
      </c>
      <c r="F236" s="2338" t="s">
        <v>1596</v>
      </c>
      <c r="G236" s="403" t="s">
        <v>1385</v>
      </c>
    </row>
    <row r="237" spans="1:7" ht="25.9" customHeight="1">
      <c r="A237" s="401">
        <v>234</v>
      </c>
      <c r="B237" s="929" t="s">
        <v>622</v>
      </c>
      <c r="C237" s="929" t="s">
        <v>1028</v>
      </c>
      <c r="D237" s="899" t="str">
        <f t="shared" si="3"/>
        <v>PAC air fourni/repris avec récup. de chaleur</v>
      </c>
      <c r="E237" s="402" t="s">
        <v>374</v>
      </c>
      <c r="F237" s="2338" t="s">
        <v>585</v>
      </c>
      <c r="G237" s="403" t="s">
        <v>1386</v>
      </c>
    </row>
    <row r="238" spans="1:7" ht="25.9" customHeight="1">
      <c r="A238" s="401">
        <v>235</v>
      </c>
      <c r="B238" s="929" t="s">
        <v>622</v>
      </c>
      <c r="C238" s="929" t="s">
        <v>1029</v>
      </c>
      <c r="D238" s="899" t="str">
        <f t="shared" si="3"/>
        <v>PAC air fourni/repris sans récup. de chaleur</v>
      </c>
      <c r="E238" s="402" t="s">
        <v>375</v>
      </c>
      <c r="F238" s="2338" t="s">
        <v>586</v>
      </c>
      <c r="G238" s="403" t="s">
        <v>1387</v>
      </c>
    </row>
    <row r="239" spans="1:7" ht="25.9" customHeight="1">
      <c r="A239" s="401">
        <v>236</v>
      </c>
      <c r="B239" s="929" t="s">
        <v>622</v>
      </c>
      <c r="C239" s="929" t="s">
        <v>1030</v>
      </c>
      <c r="D239" s="899" t="str">
        <f t="shared" si="3"/>
        <v>PAC air repris sans air fourni</v>
      </c>
      <c r="E239" s="402" t="s">
        <v>39</v>
      </c>
      <c r="F239" s="2338" t="s">
        <v>587</v>
      </c>
      <c r="G239" s="403" t="s">
        <v>1418</v>
      </c>
    </row>
    <row r="240" spans="1:7" ht="25.9" customHeight="1">
      <c r="A240" s="401">
        <v>237</v>
      </c>
      <c r="B240" s="929" t="s">
        <v>622</v>
      </c>
      <c r="C240" s="929" t="s">
        <v>1031</v>
      </c>
      <c r="D240" s="899" t="str">
        <f t="shared" si="3"/>
        <v>PAC compacte avec récup. de chaleur</v>
      </c>
      <c r="E240" s="402" t="s">
        <v>376</v>
      </c>
      <c r="F240" s="2338" t="s">
        <v>588</v>
      </c>
      <c r="G240" s="403" t="s">
        <v>1419</v>
      </c>
    </row>
    <row r="241" spans="1:7" ht="25.9" customHeight="1">
      <c r="A241" s="401">
        <v>238</v>
      </c>
      <c r="B241" s="929" t="s">
        <v>622</v>
      </c>
      <c r="C241" s="929" t="s">
        <v>1032</v>
      </c>
      <c r="D241" s="899" t="str">
        <f t="shared" si="3"/>
        <v>PAC compacte sans récup. de chaleur, chauffage</v>
      </c>
      <c r="E241" s="402" t="s">
        <v>377</v>
      </c>
      <c r="F241" s="2338" t="s">
        <v>589</v>
      </c>
      <c r="G241" s="403" t="s">
        <v>1420</v>
      </c>
    </row>
    <row r="242" spans="1:7" ht="25.9" customHeight="1">
      <c r="A242" s="401">
        <v>239</v>
      </c>
      <c r="B242" s="929" t="s">
        <v>622</v>
      </c>
      <c r="C242" s="929" t="s">
        <v>1033</v>
      </c>
      <c r="D242" s="899" t="str">
        <f t="shared" si="3"/>
        <v>PAC compacte sans récup. de chaleur, eau chaude</v>
      </c>
      <c r="E242" s="402" t="s">
        <v>357</v>
      </c>
      <c r="F242" s="2338" t="s">
        <v>1624</v>
      </c>
      <c r="G242" s="403" t="s">
        <v>1421</v>
      </c>
    </row>
    <row r="243" spans="1:7" ht="26.1" customHeight="1">
      <c r="A243" s="401">
        <v>240</v>
      </c>
      <c r="B243" s="929" t="s">
        <v>622</v>
      </c>
      <c r="C243" s="929" t="s">
        <v>1034</v>
      </c>
      <c r="D243" s="899" t="str">
        <f t="shared" si="3"/>
        <v>Biomasse, connectée</v>
      </c>
      <c r="E243" s="402" t="s">
        <v>497</v>
      </c>
      <c r="F243" s="2338" t="s">
        <v>157</v>
      </c>
      <c r="G243" s="403" t="s">
        <v>1422</v>
      </c>
    </row>
    <row r="244" spans="1:7" ht="25.9" customHeight="1">
      <c r="A244" s="401">
        <v>241</v>
      </c>
      <c r="B244" s="929" t="s">
        <v>622</v>
      </c>
      <c r="C244" s="929" t="s">
        <v>1035</v>
      </c>
      <c r="D244" s="899" t="str">
        <f t="shared" si="3"/>
        <v>Chaleur à distance (&lt;=25% renouvelable)</v>
      </c>
      <c r="E244" s="402" t="s">
        <v>1218</v>
      </c>
      <c r="F244" s="2338" t="s">
        <v>1625</v>
      </c>
      <c r="G244" s="403" t="s">
        <v>1484</v>
      </c>
    </row>
    <row r="245" spans="1:7" ht="25.9" customHeight="1">
      <c r="A245" s="401">
        <v>242</v>
      </c>
      <c r="B245" s="929" t="s">
        <v>622</v>
      </c>
      <c r="C245" s="929" t="s">
        <v>1036</v>
      </c>
      <c r="D245" s="899" t="str">
        <f t="shared" si="3"/>
        <v>Chaleur à distance (&gt;25% renouvelable)</v>
      </c>
      <c r="E245" s="402" t="s">
        <v>1220</v>
      </c>
      <c r="F245" s="2338" t="s">
        <v>1626</v>
      </c>
      <c r="G245" s="403" t="s">
        <v>1485</v>
      </c>
    </row>
    <row r="246" spans="1:7" ht="25.9" customHeight="1">
      <c r="A246" s="401">
        <v>243</v>
      </c>
      <c r="B246" s="929" t="s">
        <v>622</v>
      </c>
      <c r="C246" s="929" t="s">
        <v>1037</v>
      </c>
      <c r="D246" s="899" t="str">
        <f t="shared" si="3"/>
        <v>Chaleur à distance (&gt;75% renouvelable)</v>
      </c>
      <c r="E246" s="402" t="s">
        <v>1219</v>
      </c>
      <c r="F246" s="2338" t="s">
        <v>1627</v>
      </c>
      <c r="G246" s="403" t="s">
        <v>1486</v>
      </c>
    </row>
    <row r="247" spans="1:7" ht="25.9" customHeight="1">
      <c r="A247" s="401">
        <v>244</v>
      </c>
      <c r="B247" s="929" t="s">
        <v>622</v>
      </c>
      <c r="C247" s="929" t="s">
        <v>1228</v>
      </c>
      <c r="D247" s="899" t="str">
        <f t="shared" si="3"/>
        <v>L'électricité pour les PAC doit être pondérée double</v>
      </c>
      <c r="E247" s="402" t="s">
        <v>1229</v>
      </c>
      <c r="F247" s="2338" t="s">
        <v>1679</v>
      </c>
      <c r="G247" s="403" t="s">
        <v>1487</v>
      </c>
    </row>
    <row r="248" spans="1:7" ht="25.9" customHeight="1">
      <c r="A248" s="401">
        <v>245</v>
      </c>
      <c r="B248" s="929" t="s">
        <v>313</v>
      </c>
      <c r="C248" s="929" t="s">
        <v>3932</v>
      </c>
      <c r="D248" s="899" t="str">
        <f t="shared" si="3"/>
        <v>Pondération</v>
      </c>
      <c r="E248" s="402" t="s">
        <v>236</v>
      </c>
      <c r="F248" s="2338" t="s">
        <v>1657</v>
      </c>
      <c r="G248" s="403" t="s">
        <v>3455</v>
      </c>
    </row>
    <row r="249" spans="1:7" ht="25.9" customHeight="1">
      <c r="A249" s="401">
        <v>246</v>
      </c>
      <c r="B249" s="929" t="s">
        <v>622</v>
      </c>
      <c r="C249" s="929" t="s">
        <v>1039</v>
      </c>
      <c r="D249" s="899" t="str">
        <f t="shared" si="3"/>
        <v>Rendement électrique (joindre calcul)</v>
      </c>
      <c r="E249" s="402" t="s">
        <v>750</v>
      </c>
      <c r="F249" s="2338" t="s">
        <v>1628</v>
      </c>
      <c r="G249" s="403" t="s">
        <v>1423</v>
      </c>
    </row>
    <row r="250" spans="1:7" ht="25.9" customHeight="1">
      <c r="A250" s="401">
        <v>247</v>
      </c>
      <c r="B250" s="929" t="s">
        <v>622</v>
      </c>
      <c r="C250" s="929" t="s">
        <v>1040</v>
      </c>
      <c r="D250" s="899" t="str">
        <f t="shared" si="3"/>
        <v>Surface d'absorbeur [m2]</v>
      </c>
      <c r="E250" s="402" t="s">
        <v>751</v>
      </c>
      <c r="F250" s="2338" t="s">
        <v>1629</v>
      </c>
      <c r="G250" s="403" t="s">
        <v>1424</v>
      </c>
    </row>
    <row r="251" spans="1:7" ht="25.9" customHeight="1">
      <c r="A251" s="401">
        <v>248</v>
      </c>
      <c r="B251" s="929" t="s">
        <v>622</v>
      </c>
      <c r="C251" s="929" t="s">
        <v>1041</v>
      </c>
      <c r="D251" s="899" t="str">
        <f t="shared" si="3"/>
        <v>Puissance nominale [kWp]</v>
      </c>
      <c r="E251" s="402" t="s">
        <v>753</v>
      </c>
      <c r="F251" s="2338" t="s">
        <v>1630</v>
      </c>
      <c r="G251" s="403" t="s">
        <v>1425</v>
      </c>
    </row>
    <row r="252" spans="1:7" ht="25.9" customHeight="1">
      <c r="A252" s="401">
        <v>249</v>
      </c>
      <c r="B252" s="929" t="s">
        <v>622</v>
      </c>
      <c r="C252" s="929" t="s">
        <v>1042</v>
      </c>
      <c r="D252" s="899" t="str">
        <f t="shared" si="3"/>
        <v>Apport net par m2 d'absorbeur [kWh/m2]</v>
      </c>
      <c r="E252" s="402" t="s">
        <v>752</v>
      </c>
      <c r="F252" s="2338" t="s">
        <v>1631</v>
      </c>
      <c r="G252" s="403" t="s">
        <v>1426</v>
      </c>
    </row>
    <row r="253" spans="1:7" ht="25.9" customHeight="1">
      <c r="A253" s="401">
        <v>250</v>
      </c>
      <c r="B253" s="929" t="s">
        <v>622</v>
      </c>
      <c r="C253" s="929" t="s">
        <v>1043</v>
      </c>
      <c r="D253" s="899" t="str">
        <f t="shared" si="3"/>
        <v>Apport net annuel [kWh/kWp] (joindre clacul)</v>
      </c>
      <c r="E253" s="402" t="s">
        <v>1148</v>
      </c>
      <c r="F253" s="2338" t="s">
        <v>1632</v>
      </c>
      <c r="G253" s="403" t="s">
        <v>1427</v>
      </c>
    </row>
    <row r="254" spans="1:7" ht="25.9" customHeight="1">
      <c r="A254" s="401">
        <v>251</v>
      </c>
      <c r="B254" s="929" t="s">
        <v>622</v>
      </c>
      <c r="C254" s="929" t="s">
        <v>931</v>
      </c>
      <c r="D254" s="899" t="str">
        <f t="shared" si="3"/>
        <v>Moteur AC</v>
      </c>
      <c r="E254" s="402" t="s">
        <v>643</v>
      </c>
      <c r="F254" s="2338" t="s">
        <v>1551</v>
      </c>
      <c r="G254" s="403" t="s">
        <v>1309</v>
      </c>
    </row>
    <row r="255" spans="1:7" ht="25.9" customHeight="1">
      <c r="A255" s="401">
        <v>252</v>
      </c>
      <c r="B255" s="929" t="s">
        <v>622</v>
      </c>
      <c r="C255" s="929" t="s">
        <v>932</v>
      </c>
      <c r="D255" s="899" t="str">
        <f t="shared" si="3"/>
        <v>Moteur DC/EC</v>
      </c>
      <c r="E255" s="402" t="s">
        <v>644</v>
      </c>
      <c r="F255" s="2338" t="s">
        <v>1552</v>
      </c>
      <c r="G255" s="403" t="s">
        <v>1310</v>
      </c>
    </row>
    <row r="256" spans="1:7" ht="25.9" customHeight="1">
      <c r="A256" s="401">
        <v>253</v>
      </c>
      <c r="B256" s="929" t="s">
        <v>706</v>
      </c>
      <c r="C256" s="929" t="s">
        <v>1038</v>
      </c>
      <c r="D256" s="899" t="str">
        <f t="shared" si="3"/>
        <v>Production de chaleur:</v>
      </c>
      <c r="E256" s="402" t="s">
        <v>161</v>
      </c>
      <c r="F256" s="2338" t="s">
        <v>1633</v>
      </c>
      <c r="G256" s="403" t="s">
        <v>1428</v>
      </c>
    </row>
    <row r="257" spans="1:7" ht="25.9" customHeight="1">
      <c r="A257" s="401">
        <v>254</v>
      </c>
      <c r="B257" s="929" t="s">
        <v>706</v>
      </c>
      <c r="C257" s="929" t="s">
        <v>1044</v>
      </c>
      <c r="D257" s="899" t="str">
        <f t="shared" si="3"/>
        <v>Rendement / COPa</v>
      </c>
      <c r="E257" s="402" t="s">
        <v>776</v>
      </c>
      <c r="F257" s="2338" t="s">
        <v>1634</v>
      </c>
      <c r="G257" s="403" t="s">
        <v>3065</v>
      </c>
    </row>
    <row r="258" spans="1:7" ht="25.9" customHeight="1">
      <c r="A258" s="401">
        <v>255</v>
      </c>
      <c r="B258" s="929" t="s">
        <v>706</v>
      </c>
      <c r="C258" s="929" t="s">
        <v>1045</v>
      </c>
      <c r="D258" s="899" t="str">
        <f t="shared" si="3"/>
        <v>Taux de couverture [%]</v>
      </c>
      <c r="E258" s="402" t="s">
        <v>315</v>
      </c>
      <c r="F258" s="2338" t="s">
        <v>1635</v>
      </c>
      <c r="G258" s="403" t="s">
        <v>1429</v>
      </c>
    </row>
    <row r="259" spans="1:7" ht="25.9" customHeight="1">
      <c r="A259" s="401">
        <v>256</v>
      </c>
      <c r="B259" s="929" t="s">
        <v>706</v>
      </c>
      <c r="C259" s="929" t="s">
        <v>845</v>
      </c>
      <c r="D259" s="899" t="str">
        <f t="shared" si="3"/>
        <v>Production de chaleur A</v>
      </c>
      <c r="E259" s="402" t="s">
        <v>324</v>
      </c>
      <c r="F259" s="2338" t="s">
        <v>1636</v>
      </c>
      <c r="G259" s="403" t="s">
        <v>1430</v>
      </c>
    </row>
    <row r="260" spans="1:7" ht="25.9" customHeight="1">
      <c r="A260" s="401">
        <v>257</v>
      </c>
      <c r="B260" s="929" t="s">
        <v>706</v>
      </c>
      <c r="C260" s="929" t="s">
        <v>1047</v>
      </c>
      <c r="D260" s="899" t="str">
        <f t="shared" si="3"/>
        <v>Production de chaleur B</v>
      </c>
      <c r="E260" s="402" t="s">
        <v>327</v>
      </c>
      <c r="F260" s="2338" t="s">
        <v>1637</v>
      </c>
      <c r="G260" s="403" t="s">
        <v>1431</v>
      </c>
    </row>
    <row r="261" spans="1:7" ht="25.9" customHeight="1">
      <c r="A261" s="401">
        <v>258</v>
      </c>
      <c r="B261" s="929" t="s">
        <v>706</v>
      </c>
      <c r="C261" s="929" t="s">
        <v>852</v>
      </c>
      <c r="D261" s="899" t="str">
        <f t="shared" ref="D261:D324" si="4">INDEX($E$4:$G$503,$A261,$A$1)</f>
        <v>Production de chaleur C</v>
      </c>
      <c r="E261" s="402" t="s">
        <v>326</v>
      </c>
      <c r="F261" s="2338" t="s">
        <v>1638</v>
      </c>
      <c r="G261" s="403" t="s">
        <v>1432</v>
      </c>
    </row>
    <row r="262" spans="1:7" ht="25.9" customHeight="1">
      <c r="A262" s="401">
        <v>259</v>
      </c>
      <c r="B262" s="929" t="s">
        <v>706</v>
      </c>
      <c r="C262" s="929" t="s">
        <v>488</v>
      </c>
      <c r="D262" s="899" t="str">
        <f t="shared" si="4"/>
        <v>Production de chaleur D</v>
      </c>
      <c r="E262" s="402" t="s">
        <v>325</v>
      </c>
      <c r="F262" s="2338" t="s">
        <v>1639</v>
      </c>
      <c r="G262" s="403" t="s">
        <v>1433</v>
      </c>
    </row>
    <row r="263" spans="1:7" ht="25.9" customHeight="1">
      <c r="A263" s="401">
        <v>260</v>
      </c>
      <c r="B263" s="929" t="s">
        <v>706</v>
      </c>
      <c r="C263" s="929" t="s">
        <v>846</v>
      </c>
      <c r="D263" s="899" t="str">
        <f t="shared" si="4"/>
        <v>Entrée</v>
      </c>
      <c r="E263" s="402" t="s">
        <v>739</v>
      </c>
      <c r="F263" s="2338" t="s">
        <v>1640</v>
      </c>
      <c r="G263" s="403" t="s">
        <v>1434</v>
      </c>
    </row>
    <row r="264" spans="1:7" ht="25.9" customHeight="1">
      <c r="A264" s="401">
        <v>261</v>
      </c>
      <c r="B264" s="929" t="s">
        <v>706</v>
      </c>
      <c r="C264" s="929" t="s">
        <v>1048</v>
      </c>
      <c r="D264" s="899" t="str">
        <f t="shared" si="4"/>
        <v>Valeur calculée</v>
      </c>
      <c r="E264" s="402" t="s">
        <v>740</v>
      </c>
      <c r="F264" s="2338" t="s">
        <v>1641</v>
      </c>
      <c r="G264" s="403" t="s">
        <v>1435</v>
      </c>
    </row>
    <row r="265" spans="1:7" ht="25.9" customHeight="1">
      <c r="A265" s="401">
        <v>262</v>
      </c>
      <c r="B265" s="929" t="s">
        <v>706</v>
      </c>
      <c r="C265" s="929" t="s">
        <v>1046</v>
      </c>
      <c r="D265" s="899" t="str">
        <f t="shared" si="4"/>
        <v>Chauffage</v>
      </c>
      <c r="E265" s="402" t="s">
        <v>243</v>
      </c>
      <c r="F265" s="2338" t="s">
        <v>1642</v>
      </c>
      <c r="G265" s="403" t="s">
        <v>1436</v>
      </c>
    </row>
    <row r="266" spans="1:7" ht="25.9" customHeight="1">
      <c r="A266" s="401">
        <v>263</v>
      </c>
      <c r="B266" s="929" t="s">
        <v>706</v>
      </c>
      <c r="C266" s="929" t="s">
        <v>710</v>
      </c>
      <c r="D266" s="899" t="str">
        <f t="shared" si="4"/>
        <v>Eau chaude</v>
      </c>
      <c r="E266" s="402" t="s">
        <v>244</v>
      </c>
      <c r="F266" s="2338" t="s">
        <v>1643</v>
      </c>
      <c r="G266" s="403" t="s">
        <v>1437</v>
      </c>
    </row>
    <row r="267" spans="1:7" ht="25.9" customHeight="1">
      <c r="A267" s="401">
        <v>264</v>
      </c>
      <c r="B267" s="929" t="s">
        <v>706</v>
      </c>
      <c r="C267" s="929" t="s">
        <v>550</v>
      </c>
      <c r="D267" s="899" t="str">
        <f t="shared" si="4"/>
        <v>Report autres productions de chaleur</v>
      </c>
      <c r="E267" s="402" t="s">
        <v>701</v>
      </c>
      <c r="F267" s="2338" t="s">
        <v>1644</v>
      </c>
      <c r="G267" s="403" t="s">
        <v>1438</v>
      </c>
    </row>
    <row r="268" spans="1:7" ht="25.9" customHeight="1">
      <c r="A268" s="401">
        <v>265</v>
      </c>
      <c r="B268" s="929" t="s">
        <v>706</v>
      </c>
      <c r="C268" s="929" t="s">
        <v>496</v>
      </c>
      <c r="D268" s="899" t="str">
        <f t="shared" si="4"/>
        <v>Electricité fournie (non pondérée)</v>
      </c>
      <c r="E268" s="402" t="s">
        <v>779</v>
      </c>
      <c r="F268" s="2338" t="s">
        <v>1645</v>
      </c>
      <c r="G268" s="403" t="s">
        <v>1439</v>
      </c>
    </row>
    <row r="269" spans="1:7" ht="25.9" customHeight="1">
      <c r="A269" s="401">
        <v>266</v>
      </c>
      <c r="B269" s="929" t="s">
        <v>706</v>
      </c>
      <c r="C269" s="929" t="s">
        <v>865</v>
      </c>
      <c r="D269" s="899" t="str">
        <f t="shared" si="4"/>
        <v>Energie fournie (sans électricité, pondérée)</v>
      </c>
      <c r="E269" s="402" t="s">
        <v>780</v>
      </c>
      <c r="F269" s="2338" t="s">
        <v>1646</v>
      </c>
      <c r="G269" s="403" t="s">
        <v>1440</v>
      </c>
    </row>
    <row r="270" spans="1:7" ht="25.9" customHeight="1">
      <c r="A270" s="401">
        <v>267</v>
      </c>
      <c r="B270" s="929" t="s">
        <v>706</v>
      </c>
      <c r="C270" s="929" t="s">
        <v>1049</v>
      </c>
      <c r="D270" s="899" t="str">
        <f t="shared" si="4"/>
        <v>Taux de couverture total</v>
      </c>
      <c r="E270" s="402" t="s">
        <v>745</v>
      </c>
      <c r="F270" s="2338" t="s">
        <v>1647</v>
      </c>
      <c r="G270" s="403" t="s">
        <v>1441</v>
      </c>
    </row>
    <row r="271" spans="1:7" ht="25.9" customHeight="1">
      <c r="A271" s="401">
        <v>268</v>
      </c>
      <c r="B271" s="929" t="s">
        <v>706</v>
      </c>
      <c r="C271" s="929" t="s">
        <v>867</v>
      </c>
      <c r="D271" s="899" t="str">
        <f t="shared" si="4"/>
        <v>Données du bâtiment, ventilation et valeur limite</v>
      </c>
      <c r="E271" s="402" t="s">
        <v>200</v>
      </c>
      <c r="F271" s="2338" t="s">
        <v>1648</v>
      </c>
      <c r="G271" s="403" t="s">
        <v>1442</v>
      </c>
    </row>
    <row r="272" spans="1:7" ht="25.9" customHeight="1">
      <c r="A272" s="401">
        <v>269</v>
      </c>
      <c r="B272" s="929" t="s">
        <v>706</v>
      </c>
      <c r="C272" s="929" t="s">
        <v>1050</v>
      </c>
      <c r="D272" s="899" t="str">
        <f t="shared" si="4"/>
        <v>Total /
Moyenne</v>
      </c>
      <c r="E272" s="402" t="s">
        <v>648</v>
      </c>
      <c r="F272" s="2338" t="s">
        <v>2413</v>
      </c>
      <c r="G272" s="403" t="s">
        <v>1443</v>
      </c>
    </row>
    <row r="273" spans="1:7" ht="25.9" customHeight="1">
      <c r="A273" s="401">
        <v>270</v>
      </c>
      <c r="B273" s="929" t="s">
        <v>706</v>
      </c>
      <c r="C273" s="929" t="s">
        <v>97</v>
      </c>
      <c r="D273" s="899" t="str">
        <f t="shared" si="4"/>
        <v>Besoin pour chauffage Qh,eff</v>
      </c>
      <c r="E273" s="402" t="s">
        <v>1051</v>
      </c>
      <c r="F273" s="2338" t="s">
        <v>1649</v>
      </c>
      <c r="G273" s="403" t="s">
        <v>1444</v>
      </c>
    </row>
    <row r="274" spans="1:7" ht="25.9" customHeight="1">
      <c r="A274" s="401">
        <v>271</v>
      </c>
      <c r="B274" s="929" t="s">
        <v>706</v>
      </c>
      <c r="C274" s="929" t="s">
        <v>97</v>
      </c>
      <c r="D274" s="899" t="str">
        <f t="shared" si="4"/>
        <v>Qh avec renouvelement d'air effectif</v>
      </c>
      <c r="E274" s="402" t="s">
        <v>1052</v>
      </c>
      <c r="F274" s="2338" t="s">
        <v>1650</v>
      </c>
      <c r="G274" s="403" t="s">
        <v>1445</v>
      </c>
    </row>
    <row r="275" spans="1:7" ht="25.9" customHeight="1">
      <c r="A275" s="401">
        <v>272</v>
      </c>
      <c r="B275" s="929" t="s">
        <v>706</v>
      </c>
      <c r="C275" s="929" t="s">
        <v>98</v>
      </c>
      <c r="D275" s="899" t="str">
        <f t="shared" si="4"/>
        <v>Besoin pour eau chaude Qww SIA 380/1</v>
      </c>
      <c r="E275" s="402" t="s">
        <v>2539</v>
      </c>
      <c r="F275" s="2338" t="s">
        <v>2540</v>
      </c>
      <c r="G275" s="403" t="s">
        <v>2541</v>
      </c>
    </row>
    <row r="276" spans="1:7" ht="25.9" customHeight="1">
      <c r="A276" s="401">
        <v>273</v>
      </c>
      <c r="B276" s="929" t="s">
        <v>706</v>
      </c>
      <c r="C276" s="929" t="s">
        <v>487</v>
      </c>
      <c r="D276" s="899" t="str">
        <f t="shared" si="4"/>
        <v>Besoin en électricité pour la ventilation</v>
      </c>
      <c r="E276" s="402" t="s">
        <v>495</v>
      </c>
      <c r="F276" s="2338" t="s">
        <v>1651</v>
      </c>
      <c r="G276" s="403" t="s">
        <v>1446</v>
      </c>
    </row>
    <row r="277" spans="1:7" ht="25.9" customHeight="1">
      <c r="A277" s="401">
        <v>274</v>
      </c>
      <c r="B277" s="929" t="s">
        <v>706</v>
      </c>
      <c r="C277" s="929" t="s">
        <v>873</v>
      </c>
      <c r="D277" s="899" t="str">
        <f t="shared" si="4"/>
        <v>Electricité pour les auxiliaires / le refroidissement</v>
      </c>
      <c r="E277" s="402" t="s">
        <v>1053</v>
      </c>
      <c r="F277" s="2338" t="s">
        <v>1652</v>
      </c>
      <c r="G277" s="403" t="s">
        <v>1447</v>
      </c>
    </row>
    <row r="278" spans="1:7" ht="25.9" customHeight="1">
      <c r="A278" s="401">
        <v>275</v>
      </c>
      <c r="B278" s="929" t="s">
        <v>706</v>
      </c>
      <c r="C278" s="929" t="s">
        <v>873</v>
      </c>
      <c r="D278" s="899" t="str">
        <f t="shared" si="4"/>
        <v>Besoin en électricité pour la climatisation + auxiliaires</v>
      </c>
      <c r="E278" s="402" t="s">
        <v>1180</v>
      </c>
      <c r="F278" s="2338" t="s">
        <v>1653</v>
      </c>
      <c r="G278" s="403" t="s">
        <v>1448</v>
      </c>
    </row>
    <row r="279" spans="1:7" ht="25.9" customHeight="1">
      <c r="A279" s="401">
        <v>276</v>
      </c>
      <c r="B279" s="929" t="s">
        <v>706</v>
      </c>
      <c r="C279" s="929" t="s">
        <v>878</v>
      </c>
      <c r="D279" s="899" t="str">
        <f t="shared" si="4"/>
        <v>Valeur limite déterminante</v>
      </c>
      <c r="E279" s="402" t="s">
        <v>554</v>
      </c>
      <c r="F279" s="2338" t="s">
        <v>1654</v>
      </c>
      <c r="G279" s="403" t="s">
        <v>1449</v>
      </c>
    </row>
    <row r="280" spans="1:7" ht="25.9" customHeight="1">
      <c r="A280" s="401">
        <v>277</v>
      </c>
      <c r="B280" s="929" t="s">
        <v>706</v>
      </c>
      <c r="C280" s="929" t="s">
        <v>879</v>
      </c>
      <c r="D280" s="899" t="str">
        <f t="shared" si="4"/>
        <v>Production de chaleur:</v>
      </c>
      <c r="E280" s="402" t="s">
        <v>161</v>
      </c>
      <c r="F280" s="2338" t="s">
        <v>1633</v>
      </c>
      <c r="G280" s="403" t="s">
        <v>1428</v>
      </c>
    </row>
    <row r="281" spans="1:7" ht="25.9" customHeight="1">
      <c r="A281" s="401">
        <v>278</v>
      </c>
      <c r="B281" s="929" t="s">
        <v>706</v>
      </c>
      <c r="C281" s="929" t="s">
        <v>880</v>
      </c>
      <c r="D281" s="899" t="str">
        <f t="shared" si="4"/>
        <v>(chauffage et eau chaude)</v>
      </c>
      <c r="E281" s="402" t="s">
        <v>646</v>
      </c>
      <c r="F281" s="2338" t="s">
        <v>1655</v>
      </c>
      <c r="G281" s="403" t="s">
        <v>1450</v>
      </c>
    </row>
    <row r="282" spans="1:7" ht="25.9" customHeight="1">
      <c r="A282" s="401">
        <v>279</v>
      </c>
      <c r="B282" s="929" t="s">
        <v>706</v>
      </c>
      <c r="C282" s="929" t="s">
        <v>1054</v>
      </c>
      <c r="D282" s="899" t="str">
        <f t="shared" si="4"/>
        <v>ou COPa</v>
      </c>
      <c r="E282" s="402" t="s">
        <v>692</v>
      </c>
      <c r="F282" s="2338" t="s">
        <v>1656</v>
      </c>
      <c r="G282" s="403" t="s">
        <v>1451</v>
      </c>
    </row>
    <row r="283" spans="1:7" ht="25.9" customHeight="1">
      <c r="A283" s="401">
        <v>280</v>
      </c>
      <c r="B283" s="929" t="s">
        <v>706</v>
      </c>
      <c r="C283" s="929" t="s">
        <v>1056</v>
      </c>
      <c r="D283" s="899" t="str">
        <f t="shared" si="4"/>
        <v>Pondération</v>
      </c>
      <c r="E283" s="402" t="s">
        <v>1055</v>
      </c>
      <c r="F283" s="2338" t="s">
        <v>1657</v>
      </c>
      <c r="G283" s="403" t="s">
        <v>3455</v>
      </c>
    </row>
    <row r="284" spans="1:7" ht="25.9" customHeight="1">
      <c r="A284" s="401">
        <v>281</v>
      </c>
      <c r="B284" s="929" t="s">
        <v>706</v>
      </c>
      <c r="C284" s="929" t="s">
        <v>1057</v>
      </c>
      <c r="D284" s="899" t="str">
        <f t="shared" si="4"/>
        <v>Taux de couverture</v>
      </c>
      <c r="E284" s="402" t="s">
        <v>690</v>
      </c>
      <c r="F284" s="2338" t="s">
        <v>1658</v>
      </c>
      <c r="G284" s="403" t="s">
        <v>1452</v>
      </c>
    </row>
    <row r="285" spans="1:7" ht="25.9" customHeight="1">
      <c r="A285" s="401">
        <v>282</v>
      </c>
      <c r="B285" s="929" t="s">
        <v>706</v>
      </c>
      <c r="C285" s="929" t="s">
        <v>1059</v>
      </c>
      <c r="D285" s="899" t="str">
        <f t="shared" si="4"/>
        <v>Energie finale pondérée kWh/m2</v>
      </c>
      <c r="E285" s="402" t="s">
        <v>1058</v>
      </c>
      <c r="F285" s="2338" t="s">
        <v>1659</v>
      </c>
      <c r="G285" s="403" t="s">
        <v>1453</v>
      </c>
    </row>
    <row r="286" spans="1:7" ht="25.9" customHeight="1">
      <c r="A286" s="401">
        <v>283</v>
      </c>
      <c r="B286" s="929" t="s">
        <v>706</v>
      </c>
      <c r="C286" s="929" t="s">
        <v>1060</v>
      </c>
      <c r="D286" s="899" t="str">
        <f t="shared" si="4"/>
        <v>Courant</v>
      </c>
      <c r="E286" s="402" t="s">
        <v>731</v>
      </c>
      <c r="F286" s="2338" t="s">
        <v>1660</v>
      </c>
      <c r="G286" s="403" t="s">
        <v>1454</v>
      </c>
    </row>
    <row r="287" spans="1:7" ht="25.9" customHeight="1">
      <c r="A287" s="401">
        <v>284</v>
      </c>
      <c r="B287" s="929" t="s">
        <v>706</v>
      </c>
      <c r="C287" s="929" t="s">
        <v>1061</v>
      </c>
      <c r="D287" s="899" t="str">
        <f t="shared" si="4"/>
        <v>autre</v>
      </c>
      <c r="E287" s="402" t="s">
        <v>179</v>
      </c>
      <c r="F287" s="2338" t="s">
        <v>1661</v>
      </c>
      <c r="G287" s="403" t="s">
        <v>1455</v>
      </c>
    </row>
    <row r="288" spans="1:7" ht="25.9" customHeight="1">
      <c r="A288" s="401">
        <v>285</v>
      </c>
      <c r="B288" s="929" t="s">
        <v>706</v>
      </c>
      <c r="C288" s="929" t="s">
        <v>1062</v>
      </c>
      <c r="D288" s="899" t="str">
        <f t="shared" si="4"/>
        <v>Chaleur</v>
      </c>
      <c r="E288" s="402" t="s">
        <v>729</v>
      </c>
      <c r="F288" s="2338" t="s">
        <v>1662</v>
      </c>
      <c r="G288" s="403" t="s">
        <v>1456</v>
      </c>
    </row>
    <row r="289" spans="1:7" ht="25.9" customHeight="1">
      <c r="A289" s="401">
        <v>286</v>
      </c>
      <c r="B289" s="929" t="s">
        <v>706</v>
      </c>
      <c r="C289" s="929" t="s">
        <v>938</v>
      </c>
      <c r="D289" s="899" t="str">
        <f t="shared" si="4"/>
        <v>Besoin d'électricité ventilation</v>
      </c>
      <c r="E289" s="402" t="s">
        <v>495</v>
      </c>
      <c r="F289" s="2338" t="s">
        <v>1663</v>
      </c>
      <c r="G289" s="403" t="s">
        <v>1457</v>
      </c>
    </row>
    <row r="290" spans="1:7" ht="25.9" customHeight="1">
      <c r="A290" s="401">
        <v>287</v>
      </c>
      <c r="B290" s="929" t="s">
        <v>706</v>
      </c>
      <c r="C290" s="929" t="s">
        <v>1063</v>
      </c>
      <c r="D290" s="899" t="str">
        <f t="shared" si="4"/>
        <v>Electricité climatisation + auxiliaires</v>
      </c>
      <c r="E290" s="402" t="s">
        <v>512</v>
      </c>
      <c r="F290" s="2338" t="s">
        <v>1664</v>
      </c>
      <c r="G290" s="403" t="s">
        <v>1458</v>
      </c>
    </row>
    <row r="291" spans="1:7" ht="25.9" customHeight="1">
      <c r="A291" s="401">
        <v>288</v>
      </c>
      <c r="B291" s="929" t="s">
        <v>706</v>
      </c>
      <c r="C291" s="929" t="s">
        <v>1063</v>
      </c>
      <c r="D291" s="899" t="str">
        <f t="shared" si="4"/>
        <v>Electricité climatisation + auxiliaires</v>
      </c>
      <c r="E291" s="402" t="s">
        <v>1187</v>
      </c>
      <c r="F291" s="2338" t="s">
        <v>1664</v>
      </c>
      <c r="G291" s="403" t="s">
        <v>1458</v>
      </c>
    </row>
    <row r="292" spans="1:7" ht="25.9" customHeight="1">
      <c r="A292" s="401">
        <v>289</v>
      </c>
      <c r="B292" s="929" t="s">
        <v>706</v>
      </c>
      <c r="C292" s="929" t="s">
        <v>1064</v>
      </c>
      <c r="D292" s="899" t="str">
        <f t="shared" si="4"/>
        <v>Total:</v>
      </c>
      <c r="E292" s="402" t="s">
        <v>691</v>
      </c>
      <c r="F292" s="2338" t="s">
        <v>691</v>
      </c>
      <c r="G292" s="403" t="s">
        <v>1459</v>
      </c>
    </row>
    <row r="293" spans="1:7" ht="25.9" customHeight="1">
      <c r="A293" s="401">
        <v>290</v>
      </c>
      <c r="B293" s="929" t="s">
        <v>706</v>
      </c>
      <c r="C293" s="929" t="s">
        <v>940</v>
      </c>
      <c r="D293" s="899" t="str">
        <f t="shared" si="4"/>
        <v>Respect des exigences:</v>
      </c>
      <c r="E293" s="402" t="s">
        <v>14</v>
      </c>
      <c r="F293" s="2338" t="s">
        <v>1665</v>
      </c>
      <c r="G293" s="403" t="s">
        <v>1460</v>
      </c>
    </row>
    <row r="294" spans="1:7" ht="25.9" customHeight="1">
      <c r="A294" s="401">
        <v>291</v>
      </c>
      <c r="B294" s="929" t="s">
        <v>706</v>
      </c>
      <c r="C294" s="929" t="s">
        <v>590</v>
      </c>
      <c r="D294" s="899" t="str">
        <f t="shared" si="4"/>
        <v>Exigences</v>
      </c>
      <c r="E294" s="402" t="s">
        <v>494</v>
      </c>
      <c r="F294" s="2338" t="s">
        <v>1666</v>
      </c>
      <c r="G294" s="403" t="s">
        <v>1461</v>
      </c>
    </row>
    <row r="295" spans="1:7" ht="25.9" customHeight="1">
      <c r="A295" s="401">
        <v>292</v>
      </c>
      <c r="B295" s="929" t="s">
        <v>706</v>
      </c>
      <c r="C295" s="929" t="s">
        <v>1065</v>
      </c>
      <c r="D295" s="899" t="str">
        <f t="shared" si="4"/>
        <v>Valeur calculée</v>
      </c>
      <c r="E295" s="402" t="s">
        <v>34</v>
      </c>
      <c r="F295" s="2338" t="s">
        <v>1641</v>
      </c>
      <c r="G295" s="403" t="s">
        <v>1462</v>
      </c>
    </row>
    <row r="296" spans="1:7" ht="25.9" customHeight="1">
      <c r="A296" s="401">
        <v>293</v>
      </c>
      <c r="B296" s="929" t="s">
        <v>706</v>
      </c>
      <c r="C296" s="929" t="s">
        <v>941</v>
      </c>
      <c r="D296" s="899" t="str">
        <f t="shared" si="4"/>
        <v>Minergie - Indice chaleur</v>
      </c>
      <c r="E296" s="402" t="s">
        <v>1066</v>
      </c>
      <c r="F296" s="2338" t="s">
        <v>1667</v>
      </c>
      <c r="G296" s="403" t="s">
        <v>1463</v>
      </c>
    </row>
    <row r="297" spans="1:7" ht="25.9" customHeight="1">
      <c r="A297" s="401">
        <v>294</v>
      </c>
      <c r="B297" s="929" t="s">
        <v>706</v>
      </c>
      <c r="C297" s="929" t="s">
        <v>941</v>
      </c>
      <c r="D297" s="899" t="str">
        <f t="shared" si="4"/>
        <v>Valeur limite MINERGIE-P</v>
      </c>
      <c r="E297" s="402" t="s">
        <v>1067</v>
      </c>
      <c r="F297" s="2338" t="s">
        <v>1668</v>
      </c>
      <c r="G297" s="403" t="s">
        <v>1464</v>
      </c>
    </row>
    <row r="298" spans="1:7" ht="25.9" customHeight="1">
      <c r="A298" s="401">
        <v>295</v>
      </c>
      <c r="B298" s="929" t="s">
        <v>706</v>
      </c>
      <c r="C298" s="929" t="s">
        <v>941</v>
      </c>
      <c r="D298" s="899" t="str">
        <f t="shared" si="4"/>
        <v>Valeur limite</v>
      </c>
      <c r="E298" s="402" t="s">
        <v>657</v>
      </c>
      <c r="F298" s="2338" t="s">
        <v>1669</v>
      </c>
      <c r="G298" s="403" t="s">
        <v>1465</v>
      </c>
    </row>
    <row r="299" spans="1:7" ht="25.9" customHeight="1">
      <c r="A299" s="401">
        <v>296</v>
      </c>
      <c r="B299" s="929" t="s">
        <v>706</v>
      </c>
      <c r="C299" s="929" t="s">
        <v>1068</v>
      </c>
      <c r="D299" s="899" t="str">
        <f t="shared" si="4"/>
        <v>Respectée?</v>
      </c>
      <c r="E299" s="402" t="s">
        <v>35</v>
      </c>
      <c r="F299" s="2338" t="s">
        <v>1670</v>
      </c>
      <c r="G299" s="403" t="s">
        <v>1466</v>
      </c>
    </row>
    <row r="300" spans="1:7" ht="25.9" customHeight="1">
      <c r="A300" s="401">
        <v>297</v>
      </c>
      <c r="B300" s="929" t="s">
        <v>706</v>
      </c>
      <c r="C300" s="929" t="s">
        <v>937</v>
      </c>
      <c r="D300" s="899" t="str">
        <f t="shared" si="4"/>
        <v>autre production de chaleur</v>
      </c>
      <c r="E300" s="402" t="s">
        <v>1069</v>
      </c>
      <c r="F300" s="2338" t="s">
        <v>1671</v>
      </c>
      <c r="G300" s="403" t="s">
        <v>1467</v>
      </c>
    </row>
    <row r="301" spans="1:7" ht="25.9" customHeight="1">
      <c r="A301" s="401">
        <v>298</v>
      </c>
      <c r="B301" s="929" t="s">
        <v>706</v>
      </c>
      <c r="C301" s="929" t="s">
        <v>944</v>
      </c>
      <c r="D301" s="899" t="str">
        <f t="shared" si="4"/>
        <v>Annexes (déposer toute celles de la colonne de gauche)</v>
      </c>
      <c r="E301" s="402" t="s">
        <v>757</v>
      </c>
      <c r="F301" s="2338" t="s">
        <v>1672</v>
      </c>
      <c r="G301" s="403" t="s">
        <v>1468</v>
      </c>
    </row>
    <row r="302" spans="1:7" ht="25.9" customHeight="1">
      <c r="A302" s="401">
        <v>299</v>
      </c>
      <c r="B302" s="929" t="s">
        <v>706</v>
      </c>
      <c r="C302" s="929" t="s">
        <v>1070</v>
      </c>
      <c r="D302" s="899" t="str">
        <f t="shared" si="4"/>
        <v>Marquer d'une croix ce qui convient</v>
      </c>
      <c r="E302" s="402" t="s">
        <v>758</v>
      </c>
      <c r="F302" s="2338" t="s">
        <v>1673</v>
      </c>
      <c r="G302" s="403" t="s">
        <v>1469</v>
      </c>
    </row>
    <row r="303" spans="1:7" ht="25.9" customHeight="1">
      <c r="A303" s="401">
        <v>300</v>
      </c>
      <c r="B303" s="929" t="s">
        <v>706</v>
      </c>
      <c r="C303" s="929" t="s">
        <v>1071</v>
      </c>
      <c r="D303" s="899" t="str">
        <f t="shared" si="4"/>
        <v>Schéma chauffage et ventilation</v>
      </c>
      <c r="E303" s="402" t="s">
        <v>773</v>
      </c>
      <c r="F303" s="2338" t="s">
        <v>1674</v>
      </c>
      <c r="G303" s="403" t="s">
        <v>1470</v>
      </c>
    </row>
    <row r="304" spans="1:7" ht="25.9" customHeight="1">
      <c r="A304" s="401">
        <v>301</v>
      </c>
      <c r="B304" s="929" t="s">
        <v>706</v>
      </c>
      <c r="C304" s="929" t="s">
        <v>1072</v>
      </c>
      <c r="D304" s="899" t="str">
        <f t="shared" si="4"/>
        <v>Calculs externes et fiches techniques</v>
      </c>
      <c r="E304" s="402" t="s">
        <v>774</v>
      </c>
      <c r="F304" s="2338" t="s">
        <v>1675</v>
      </c>
      <c r="G304" s="403" t="s">
        <v>1471</v>
      </c>
    </row>
    <row r="305" spans="1:7" ht="25.9" customHeight="1">
      <c r="A305" s="401">
        <v>302</v>
      </c>
      <c r="B305" s="929" t="s">
        <v>706</v>
      </c>
      <c r="C305" s="929" t="s">
        <v>1074</v>
      </c>
      <c r="D305" s="899" t="str">
        <f t="shared" si="4"/>
        <v>Besoin pas couvert</v>
      </c>
      <c r="E305" s="402" t="s">
        <v>1073</v>
      </c>
      <c r="F305" s="2338" t="s">
        <v>1676</v>
      </c>
      <c r="G305" s="403" t="s">
        <v>1472</v>
      </c>
    </row>
    <row r="306" spans="1:7" ht="25.9" customHeight="1">
      <c r="A306" s="401">
        <v>303</v>
      </c>
      <c r="B306" s="929" t="s">
        <v>706</v>
      </c>
      <c r="C306" s="929" t="s">
        <v>1074</v>
      </c>
      <c r="D306" s="899" t="str">
        <f t="shared" si="4"/>
        <v>sans piscine couverte</v>
      </c>
      <c r="E306" s="402" t="s">
        <v>1075</v>
      </c>
      <c r="F306" s="2338" t="s">
        <v>1677</v>
      </c>
      <c r="G306" s="403" t="s">
        <v>1473</v>
      </c>
    </row>
    <row r="307" spans="1:7" ht="29.25" customHeight="1">
      <c r="A307" s="401">
        <v>304</v>
      </c>
      <c r="B307" s="929" t="s">
        <v>706</v>
      </c>
      <c r="C307" s="929" t="s">
        <v>1076</v>
      </c>
      <c r="D307" s="899" t="str">
        <f t="shared" si="4"/>
        <v>Eau chaude avec min. 20% d'énergie renouvelable (pour restaurants, installations sportives, piscines couvertes) ?</v>
      </c>
      <c r="E307" s="402" t="s">
        <v>5170</v>
      </c>
      <c r="F307" s="2338" t="s">
        <v>5171</v>
      </c>
      <c r="G307" s="403" t="s">
        <v>5172</v>
      </c>
    </row>
    <row r="308" spans="1:7" ht="25.9" customHeight="1">
      <c r="A308" s="401">
        <v>305</v>
      </c>
      <c r="B308" s="929" t="s">
        <v>706</v>
      </c>
      <c r="C308" s="929" t="s">
        <v>1147</v>
      </c>
      <c r="D308" s="899" t="str">
        <f t="shared" si="4"/>
        <v>Taux de couverture &lt;&gt; 100%</v>
      </c>
      <c r="E308" s="402" t="s">
        <v>1146</v>
      </c>
      <c r="F308" s="2338" t="s">
        <v>1678</v>
      </c>
      <c r="G308" s="403" t="s">
        <v>1474</v>
      </c>
    </row>
    <row r="309" spans="1:7" ht="25.9" customHeight="1">
      <c r="A309" s="401">
        <v>306</v>
      </c>
      <c r="D309" s="899" t="str">
        <f t="shared" si="4"/>
        <v>Apport annuel net par kWp (valeur standard)</v>
      </c>
      <c r="E309" s="402" t="s">
        <v>85</v>
      </c>
      <c r="F309" s="2338" t="s">
        <v>624</v>
      </c>
      <c r="G309" s="403" t="s">
        <v>1475</v>
      </c>
    </row>
    <row r="310" spans="1:7" ht="92.25" customHeight="1">
      <c r="A310" s="401">
        <v>307</v>
      </c>
      <c r="B310" s="929" t="s">
        <v>53</v>
      </c>
      <c r="C310" s="929" t="s">
        <v>883</v>
      </c>
      <c r="D310" s="899" t="str">
        <f t="shared" si="4"/>
        <v>Entrée obligatoire: Qh,eff ou Qh,corr
à reporter du calcul SIA 380/1 les besoins de chaleur pour le chauffage Qh,eff avec débit d’air neuf thermiquement actif Vth.
Facultatif: la valeur corrigée pour la hauteur d'étage Qh,corr (correction selon indications MINERGIE) peut être introduite à la place de Qh,eff</v>
      </c>
      <c r="E310" s="402" t="s">
        <v>3519</v>
      </c>
      <c r="F310" s="2338" t="s">
        <v>3518</v>
      </c>
      <c r="G310" s="403" t="s">
        <v>3517</v>
      </c>
    </row>
    <row r="311" spans="1:7" ht="25.9" customHeight="1">
      <c r="A311" s="401">
        <v>308</v>
      </c>
      <c r="D311" s="899" t="str">
        <f t="shared" si="4"/>
        <v>Choisir "Aération avec PAC air repris"</v>
      </c>
      <c r="E311" s="402" t="s">
        <v>42</v>
      </c>
      <c r="F311" s="2338" t="s">
        <v>106</v>
      </c>
      <c r="G311" s="403" t="s">
        <v>1476</v>
      </c>
    </row>
    <row r="312" spans="1:7" ht="25.9" customHeight="1">
      <c r="A312" s="401">
        <v>309</v>
      </c>
      <c r="D312" s="899" t="str">
        <f t="shared" si="4"/>
        <v>Choisir "Aération avec PAC air repris/fourni sans récup. de chaleur" ou PAC compacte avec air fourni/repris et ECS sans récup. de chaleur"</v>
      </c>
      <c r="E312" s="402" t="s">
        <v>43</v>
      </c>
      <c r="F312" s="2338" t="s">
        <v>107</v>
      </c>
      <c r="G312" s="403" t="s">
        <v>1477</v>
      </c>
    </row>
    <row r="313" spans="1:7" ht="25.9" customHeight="1">
      <c r="A313" s="401">
        <v>310</v>
      </c>
      <c r="D313" s="899" t="str">
        <f t="shared" si="4"/>
        <v>Choisir "Aération avec PAC air repris/fourni avec récup. de chaleur" ou PAC compacte avec air fourni/repris et ECS avec récup. de chaleur"</v>
      </c>
      <c r="E313" s="402" t="s">
        <v>44</v>
      </c>
      <c r="F313" s="2338" t="s">
        <v>623</v>
      </c>
      <c r="G313" s="403" t="s">
        <v>1478</v>
      </c>
    </row>
    <row r="314" spans="1:7" ht="45" customHeight="1">
      <c r="A314" s="401">
        <v>311</v>
      </c>
      <c r="B314" s="929" t="s">
        <v>1747</v>
      </c>
      <c r="C314" s="929" t="s">
        <v>1764</v>
      </c>
      <c r="D314" s="899" t="str">
        <f t="shared" si="4"/>
        <v>Si la description est exacte, la condition "taux de surface vitrée" n'est pas significative. Si l'une des caractéristiques ne correspond pas, "n.a." doit être sélectionné.</v>
      </c>
      <c r="E314" s="402" t="s">
        <v>1763</v>
      </c>
      <c r="F314" s="2338" t="s">
        <v>2216</v>
      </c>
      <c r="G314" s="403" t="s">
        <v>1914</v>
      </c>
    </row>
    <row r="315" spans="1:7" ht="25.9" customHeight="1">
      <c r="A315" s="401">
        <v>312</v>
      </c>
      <c r="B315" s="929" t="s">
        <v>53</v>
      </c>
      <c r="C315" s="929" t="s">
        <v>1748</v>
      </c>
      <c r="D315" s="899" t="str">
        <f t="shared" si="4"/>
        <v>Entrées</v>
      </c>
      <c r="E315" s="402" t="s">
        <v>53</v>
      </c>
      <c r="F315" s="2338" t="s">
        <v>1684</v>
      </c>
      <c r="G315" s="403" t="s">
        <v>1683</v>
      </c>
    </row>
    <row r="316" spans="1:7" ht="25.9" customHeight="1">
      <c r="A316" s="401">
        <v>313</v>
      </c>
      <c r="B316" s="929" t="s">
        <v>706</v>
      </c>
      <c r="C316" s="929" t="s">
        <v>1748</v>
      </c>
      <c r="D316" s="899" t="str">
        <f t="shared" si="4"/>
        <v>Justificatif</v>
      </c>
      <c r="E316" s="402" t="s">
        <v>706</v>
      </c>
      <c r="F316" s="2338" t="s">
        <v>1685</v>
      </c>
      <c r="G316" s="403" t="s">
        <v>1682</v>
      </c>
    </row>
    <row r="317" spans="1:7" ht="25.9" customHeight="1">
      <c r="A317" s="401">
        <v>314</v>
      </c>
      <c r="B317" s="929" t="s">
        <v>1797</v>
      </c>
      <c r="C317" s="929" t="s">
        <v>1748</v>
      </c>
      <c r="D317" s="899" t="str">
        <f t="shared" si="4"/>
        <v>Aperçu</v>
      </c>
      <c r="E317" s="402" t="s">
        <v>1796</v>
      </c>
      <c r="F317" s="2338" t="s">
        <v>2217</v>
      </c>
      <c r="G317" s="403" t="s">
        <v>2307</v>
      </c>
    </row>
    <row r="318" spans="1:7" ht="25.9" customHeight="1">
      <c r="A318" s="401">
        <v>315</v>
      </c>
      <c r="B318" s="929" t="s">
        <v>1797</v>
      </c>
      <c r="C318" s="929" t="s">
        <v>842</v>
      </c>
      <c r="D318" s="899" t="str">
        <f t="shared" si="4"/>
        <v>Aperçu</v>
      </c>
      <c r="E318" s="402" t="s">
        <v>1871</v>
      </c>
      <c r="F318" s="2338" t="s">
        <v>2217</v>
      </c>
      <c r="G318" s="403" t="s">
        <v>2307</v>
      </c>
    </row>
    <row r="319" spans="1:7" ht="25.9" customHeight="1">
      <c r="A319" s="401">
        <v>316</v>
      </c>
      <c r="B319" s="929" t="s">
        <v>1747</v>
      </c>
      <c r="C319" s="929" t="s">
        <v>1748</v>
      </c>
      <c r="D319" s="899" t="str">
        <f t="shared" si="4"/>
        <v>Eté</v>
      </c>
      <c r="E319" s="402" t="s">
        <v>1747</v>
      </c>
      <c r="F319" s="2338" t="s">
        <v>2218</v>
      </c>
      <c r="G319" s="403" t="s">
        <v>2308</v>
      </c>
    </row>
    <row r="320" spans="1:7" ht="25.9" customHeight="1">
      <c r="A320" s="401">
        <v>317</v>
      </c>
      <c r="B320" s="929" t="s">
        <v>1747</v>
      </c>
      <c r="C320" s="929" t="s">
        <v>1749</v>
      </c>
      <c r="D320" s="899" t="str">
        <f t="shared" si="4"/>
        <v>Protection thermique estivale dans le label Minergie</v>
      </c>
      <c r="E320" s="402" t="s">
        <v>2754</v>
      </c>
      <c r="F320" s="2338" t="s">
        <v>2755</v>
      </c>
      <c r="G320" s="403" t="s">
        <v>2756</v>
      </c>
    </row>
    <row r="321" spans="1:7" ht="96" customHeight="1">
      <c r="A321" s="401">
        <v>318</v>
      </c>
      <c r="B321" s="929" t="s">
        <v>1747</v>
      </c>
      <c r="C321" s="929" t="s">
        <v>848</v>
      </c>
      <c r="D321" s="899" t="str">
        <f t="shared" si="4"/>
        <v>La justification de la protection thermique estivale se base sur la déclaration du requérant. L'office de certification peut, dans le cadre de la certification ou lors de contrôles aléatoires, demander des justificatifs détaillés. La part vitrée se rapporte toujours à la surface de la façade (et NON à la surface de référence énergétique). Les surfaces vitrées sont inférieures aux surfaces de fenêtres (déduction des cadres).</v>
      </c>
      <c r="E321" s="402" t="s">
        <v>1715</v>
      </c>
      <c r="F321" s="2338" t="s">
        <v>2219</v>
      </c>
      <c r="G321" s="403" t="s">
        <v>2309</v>
      </c>
    </row>
    <row r="322" spans="1:7" ht="39" customHeight="1">
      <c r="A322" s="401">
        <v>319</v>
      </c>
      <c r="B322" s="929" t="s">
        <v>1747</v>
      </c>
      <c r="C322" s="929" t="s">
        <v>1751</v>
      </c>
      <c r="D322" s="899" t="str">
        <f t="shared" si="4"/>
        <v>Variante 1: Evaluation globale de cas standards pour les affectations suivantes: habitation, bureau individuel ou paysager, salle de réunion et dépôt (sans refroidissement)</v>
      </c>
      <c r="E322" s="402" t="s">
        <v>1750</v>
      </c>
      <c r="F322" s="2338" t="s">
        <v>2220</v>
      </c>
      <c r="G322" s="403" t="s">
        <v>2310</v>
      </c>
    </row>
    <row r="323" spans="1:7" ht="25.9" customHeight="1">
      <c r="A323" s="401">
        <v>320</v>
      </c>
      <c r="B323" s="929" t="s">
        <v>1747</v>
      </c>
      <c r="C323" s="929" t="s">
        <v>1047</v>
      </c>
      <c r="D323" s="899" t="str">
        <f t="shared" si="4"/>
        <v>L'évaluation globale est valable pour les zones dans lesquelles les conditions suivantes sont respectées pour tous les locaux:</v>
      </c>
      <c r="E323" s="402" t="s">
        <v>1716</v>
      </c>
      <c r="F323" s="2338" t="s">
        <v>2221</v>
      </c>
      <c r="G323" s="403" t="s">
        <v>2311</v>
      </c>
    </row>
    <row r="324" spans="1:7" ht="54.95" customHeight="1">
      <c r="A324" s="401">
        <v>321</v>
      </c>
      <c r="B324" s="929" t="s">
        <v>1747</v>
      </c>
      <c r="C324" s="929" t="s">
        <v>1752</v>
      </c>
      <c r="D324" s="899" t="str">
        <f t="shared" si="4"/>
        <v>- pas de puits de lumière ou de fenêtre de toiture avec plus de 0.5 m² de surface vitrée; les surfaces plus grandes peuvent
  être converties en surfaces verticales (voir Aide à l'utilisation)</v>
      </c>
      <c r="E324" s="429" t="s">
        <v>1718</v>
      </c>
      <c r="F324" s="1394" t="s">
        <v>2757</v>
      </c>
      <c r="G324" s="1393" t="s">
        <v>2809</v>
      </c>
    </row>
    <row r="325" spans="1:7" ht="25.9" customHeight="1">
      <c r="A325" s="401">
        <v>322</v>
      </c>
      <c r="B325" s="929" t="s">
        <v>1747</v>
      </c>
      <c r="C325" s="929" t="s">
        <v>849</v>
      </c>
      <c r="D325" s="899" t="str">
        <f t="shared" ref="D325:D388" si="5">INDEX($E$4:$G$503,$A325,$A$1)</f>
        <v>- protection solaire extérieure mobile avec volet roulant ou store à lamelles (p.ex. Modules Minergie);</v>
      </c>
      <c r="E325" s="429" t="s">
        <v>2758</v>
      </c>
      <c r="F325" s="2338" t="s">
        <v>2759</v>
      </c>
      <c r="G325" s="1393" t="s">
        <v>2760</v>
      </c>
    </row>
    <row r="326" spans="1:7" ht="25.9" customHeight="1">
      <c r="A326" s="401">
        <v>323</v>
      </c>
      <c r="B326" s="929" t="s">
        <v>1747</v>
      </c>
      <c r="C326" s="929" t="s">
        <v>466</v>
      </c>
      <c r="D326" s="899" t="str">
        <f t="shared" si="5"/>
        <v>- rafraîchissement nocturne possible grâce aux fenêtres;</v>
      </c>
      <c r="E326" s="429" t="s">
        <v>1719</v>
      </c>
      <c r="F326" s="2338" t="s">
        <v>2222</v>
      </c>
      <c r="G326" s="403" t="s">
        <v>2312</v>
      </c>
    </row>
    <row r="327" spans="1:7" ht="25.9" customHeight="1">
      <c r="A327" s="401">
        <v>324</v>
      </c>
      <c r="B327" s="929" t="s">
        <v>1747</v>
      </c>
      <c r="C327" s="929" t="s">
        <v>852</v>
      </c>
      <c r="D327" s="899" t="str">
        <f t="shared" si="5"/>
        <v>- charges thermiques internes pas plus élevées que la valeur standard figurant dans le cahier technique SIA 2024.</v>
      </c>
      <c r="E327" s="429" t="s">
        <v>1720</v>
      </c>
      <c r="F327" s="2338" t="s">
        <v>2223</v>
      </c>
      <c r="G327" s="403" t="s">
        <v>2313</v>
      </c>
    </row>
    <row r="328" spans="1:7" ht="25.9" customHeight="1">
      <c r="A328" s="401">
        <v>325</v>
      </c>
      <c r="B328" s="929" t="s">
        <v>1747</v>
      </c>
      <c r="C328" s="929" t="s">
        <v>854</v>
      </c>
      <c r="D328" s="899" t="str">
        <f t="shared" si="5"/>
        <v>Les locaux de cette zone satisfont-ils les critères?</v>
      </c>
      <c r="E328" s="402" t="s">
        <v>1723</v>
      </c>
      <c r="F328" s="2338" t="s">
        <v>2224</v>
      </c>
      <c r="G328" s="403" t="s">
        <v>2314</v>
      </c>
    </row>
    <row r="329" spans="1:7" ht="25.9" customHeight="1">
      <c r="A329" s="401">
        <v>326</v>
      </c>
      <c r="B329" s="929" t="s">
        <v>1747</v>
      </c>
      <c r="C329" s="929" t="s">
        <v>1753</v>
      </c>
      <c r="D329" s="899" t="str">
        <f t="shared" si="5"/>
        <v>Protection solaire extérieure mobile. A déclarer ici sous "autres":</v>
      </c>
      <c r="E329" s="402" t="s">
        <v>1724</v>
      </c>
      <c r="F329" s="2338" t="s">
        <v>2225</v>
      </c>
      <c r="G329" s="403" t="s">
        <v>2315</v>
      </c>
    </row>
    <row r="330" spans="1:7" ht="25.9" customHeight="1">
      <c r="A330" s="401">
        <v>327</v>
      </c>
      <c r="B330" s="929" t="s">
        <v>1747</v>
      </c>
      <c r="C330" s="929" t="s">
        <v>886</v>
      </c>
      <c r="D330" s="899" t="str">
        <f t="shared" si="5"/>
        <v>Valeur g et désignation du produit</v>
      </c>
      <c r="E330" s="402" t="s">
        <v>1754</v>
      </c>
      <c r="F330" s="2338" t="s">
        <v>2226</v>
      </c>
      <c r="G330" s="403" t="s">
        <v>2316</v>
      </c>
    </row>
    <row r="331" spans="1:7" ht="46.5" customHeight="1">
      <c r="A331" s="401">
        <v>328</v>
      </c>
      <c r="B331" s="929" t="s">
        <v>1747</v>
      </c>
      <c r="C331" s="929" t="s">
        <v>1755</v>
      </c>
      <c r="D331" s="899" t="str">
        <f t="shared" si="5"/>
        <v>Habitation (individuelle ou collective), pièce avec 1 façade et plafond en béton apparent à &gt;80%: - taux de surface vitrée &lt;70%</v>
      </c>
      <c r="E331" s="402" t="s">
        <v>1725</v>
      </c>
      <c r="F331" s="2338" t="s">
        <v>2404</v>
      </c>
      <c r="G331" s="403" t="s">
        <v>2410</v>
      </c>
    </row>
    <row r="332" spans="1:7" ht="34.9" customHeight="1">
      <c r="A332" s="401">
        <v>329</v>
      </c>
      <c r="B332" s="929" t="s">
        <v>1747</v>
      </c>
      <c r="C332" s="929" t="s">
        <v>549</v>
      </c>
      <c r="D332" s="899" t="str">
        <f t="shared" si="5"/>
        <v>Habitation (individuelle ou collective), pièce d'angle avec plafond en béton apparent à &gt;80%: - taux de surface vitrée de chaque façade &lt;50%</v>
      </c>
      <c r="E332" s="402" t="s">
        <v>1726</v>
      </c>
      <c r="F332" s="2338" t="s">
        <v>2405</v>
      </c>
      <c r="G332" s="1393" t="s">
        <v>2411</v>
      </c>
    </row>
    <row r="333" spans="1:7" ht="49.5" customHeight="1">
      <c r="A333" s="401">
        <v>330</v>
      </c>
      <c r="B333" s="929" t="s">
        <v>1747</v>
      </c>
      <c r="C333" s="929" t="s">
        <v>1756</v>
      </c>
      <c r="D333" s="899" t="str">
        <f t="shared" si="5"/>
        <v>Habitation (individuelle ou collective), pièce d'angle ou pièce avec 1 façade. Dalle en bois avec chape ciment (min. 6 cm d'épaisseur) ou anhydrite (min. 5 cm d'épaisseur):  - taux de surface vitrée &lt;40%</v>
      </c>
      <c r="E333" s="402" t="s">
        <v>1727</v>
      </c>
      <c r="F333" s="2338" t="s">
        <v>2805</v>
      </c>
      <c r="G333" s="403" t="s">
        <v>2804</v>
      </c>
    </row>
    <row r="334" spans="1:7" ht="66" customHeight="1">
      <c r="A334" s="401">
        <v>331</v>
      </c>
      <c r="B334" s="929" t="s">
        <v>1747</v>
      </c>
      <c r="C334" s="929" t="s">
        <v>550</v>
      </c>
      <c r="D334" s="899" t="str">
        <f t="shared" si="5"/>
        <v>Habitation (individuelle ou collective), pièce avec 1 façade, plafond en béton apparent à &gt;80% ou chape ciment (min. 6 cm d'épaisseur) ou anhydrite (min. 5 cm d'épaisseur); orientation sud et ombrage par un balcon (min. 1 m de profondeur):  - taux de surface vitrée &lt;100%</v>
      </c>
      <c r="E334" s="402" t="s">
        <v>1728</v>
      </c>
      <c r="F334" s="2338" t="s">
        <v>2406</v>
      </c>
      <c r="G334" s="1393" t="s">
        <v>2806</v>
      </c>
    </row>
    <row r="335" spans="1:7" ht="42.75" customHeight="1">
      <c r="A335" s="401">
        <v>332</v>
      </c>
      <c r="B335" s="929" t="s">
        <v>1747</v>
      </c>
      <c r="C335" s="929" t="s">
        <v>551</v>
      </c>
      <c r="D335" s="899" t="str">
        <f t="shared" si="5"/>
        <v>Bureau individuel ou paysager, salle de réunion avec 1 façade et plafond en béton apparent à &gt;80%: - taux de surface vitrée &lt;50% et commande automatique des protections solaires</v>
      </c>
      <c r="E335" s="402" t="s">
        <v>1757</v>
      </c>
      <c r="F335" s="2338" t="s">
        <v>2407</v>
      </c>
      <c r="G335" s="403" t="s">
        <v>2808</v>
      </c>
    </row>
    <row r="336" spans="1:7" ht="40.5" customHeight="1">
      <c r="A336" s="401">
        <v>333</v>
      </c>
      <c r="B336" s="929" t="s">
        <v>1747</v>
      </c>
      <c r="C336" s="929" t="s">
        <v>496</v>
      </c>
      <c r="D336" s="899" t="str">
        <f t="shared" si="5"/>
        <v>Bureau individuel ou paysager, salle de réunion avec 2 façades (pièce d'angle) et plafond en béton apparent à &gt;80%: - taux de surface vitrée &lt;35% et commande automatique des protections solaires</v>
      </c>
      <c r="E336" s="402" t="s">
        <v>1758</v>
      </c>
      <c r="F336" s="2338" t="s">
        <v>2408</v>
      </c>
      <c r="G336" s="403" t="s">
        <v>2807</v>
      </c>
    </row>
    <row r="337" spans="1:7" ht="25.9" customHeight="1">
      <c r="A337" s="401">
        <v>334</v>
      </c>
      <c r="B337" s="929" t="s">
        <v>1747</v>
      </c>
      <c r="C337" s="929" t="s">
        <v>1760</v>
      </c>
      <c r="D337" s="899" t="str">
        <f t="shared" si="5"/>
        <v>Dépôt avec faibles charges thermiques internes</v>
      </c>
      <c r="E337" s="402" t="s">
        <v>1759</v>
      </c>
      <c r="F337" s="2338" t="s">
        <v>2227</v>
      </c>
      <c r="G337" s="403" t="s">
        <v>2317</v>
      </c>
    </row>
    <row r="338" spans="1:7" ht="67.5" customHeight="1">
      <c r="A338" s="401">
        <v>335</v>
      </c>
      <c r="B338" s="929" t="s">
        <v>1747</v>
      </c>
      <c r="C338" s="929" t="s">
        <v>868</v>
      </c>
      <c r="D338" s="899" t="str">
        <f t="shared" si="5"/>
        <v>"n.a.":    non applicable. Un tel type de local n'existe pas.
"oui":     il y a un local de ce type et tous les critères sont remplis.
"non":    il y a un local de ce type mais tous les critères ne sont pas remplis (p.ex. taux de surface vitrée trop élevé).</v>
      </c>
      <c r="E338" s="402" t="s">
        <v>1729</v>
      </c>
      <c r="F338" s="2338" t="s">
        <v>2409</v>
      </c>
      <c r="G338" s="403" t="s">
        <v>2412</v>
      </c>
    </row>
    <row r="339" spans="1:7" ht="25.9" customHeight="1">
      <c r="A339" s="401">
        <v>336</v>
      </c>
      <c r="B339" s="929" t="s">
        <v>1747</v>
      </c>
      <c r="C339" s="929" t="s">
        <v>1762</v>
      </c>
      <c r="D339" s="899" t="str">
        <f t="shared" si="5"/>
        <v>Si S14 s'avère exact, "n.a." doit être sélectionné dans S11.</v>
      </c>
      <c r="E339" s="402" t="s">
        <v>1761</v>
      </c>
      <c r="F339" s="2338" t="s">
        <v>2228</v>
      </c>
      <c r="G339" s="403" t="s">
        <v>2325</v>
      </c>
    </row>
    <row r="340" spans="1:7" ht="43.5" customHeight="1">
      <c r="A340" s="401">
        <v>337</v>
      </c>
      <c r="B340" s="929" t="s">
        <v>1747</v>
      </c>
      <c r="C340" s="929" t="s">
        <v>1764</v>
      </c>
      <c r="D340" s="899" t="str">
        <f t="shared" si="5"/>
        <v>Si la description est exacte, la condition "taux de surface vitrée" n'est pas significative. Si l'une des caractéristiques ne correspond pas, "n.a." doit être sélectionné.</v>
      </c>
      <c r="E340" s="402" t="s">
        <v>1763</v>
      </c>
      <c r="F340" s="2338" t="s">
        <v>2216</v>
      </c>
      <c r="G340" s="403" t="s">
        <v>1914</v>
      </c>
    </row>
    <row r="341" spans="1:7" ht="25.9" customHeight="1">
      <c r="A341" s="401">
        <v>338</v>
      </c>
      <c r="B341" s="929" t="s">
        <v>1747</v>
      </c>
      <c r="C341" s="929" t="s">
        <v>870</v>
      </c>
      <c r="D341" s="899" t="str">
        <f t="shared" si="5"/>
        <v>Variante 2: justification externe des critères selon SIA 382/1 (sans refroidissement)</v>
      </c>
      <c r="E341" s="402" t="s">
        <v>1730</v>
      </c>
      <c r="F341" s="2338" t="s">
        <v>2229</v>
      </c>
      <c r="G341" s="403" t="s">
        <v>2319</v>
      </c>
    </row>
    <row r="342" spans="1:7" ht="25.9" customHeight="1">
      <c r="A342" s="401">
        <v>339</v>
      </c>
      <c r="B342" s="929" t="s">
        <v>1747</v>
      </c>
      <c r="C342" s="929" t="s">
        <v>1765</v>
      </c>
      <c r="D342" s="899" t="str">
        <f t="shared" si="5"/>
        <v>Les conditions propres au respect de ces critères sont décrites et documentées en annexe.</v>
      </c>
      <c r="E342" s="402" t="s">
        <v>1731</v>
      </c>
      <c r="F342" s="2338" t="s">
        <v>2230</v>
      </c>
      <c r="G342" s="403" t="s">
        <v>2320</v>
      </c>
    </row>
    <row r="343" spans="1:7" ht="25.9" customHeight="1">
      <c r="A343" s="401">
        <v>340</v>
      </c>
      <c r="B343" s="929" t="s">
        <v>1747</v>
      </c>
      <c r="C343" s="929" t="s">
        <v>97</v>
      </c>
      <c r="D343" s="899" t="str">
        <f t="shared" si="5"/>
        <v>SIA 382/1 chiffre</v>
      </c>
      <c r="E343" s="402" t="s">
        <v>1732</v>
      </c>
      <c r="F343" s="2338" t="s">
        <v>2231</v>
      </c>
      <c r="G343" s="403" t="s">
        <v>2321</v>
      </c>
    </row>
    <row r="344" spans="1:7" ht="25.9" customHeight="1">
      <c r="A344" s="401">
        <v>341</v>
      </c>
      <c r="B344" s="929" t="s">
        <v>1747</v>
      </c>
      <c r="C344" s="929" t="s">
        <v>1766</v>
      </c>
      <c r="D344" s="899" t="str">
        <f t="shared" si="5"/>
        <v>Les exigences concernant la protection thermique estivale sont remplies conformément au formulaire supplémentaire correspondant.</v>
      </c>
      <c r="E344" s="402" t="s">
        <v>1734</v>
      </c>
      <c r="F344" s="2338" t="s">
        <v>2232</v>
      </c>
      <c r="G344" s="403" t="s">
        <v>2322</v>
      </c>
    </row>
    <row r="345" spans="1:7" ht="25.9" customHeight="1">
      <c r="A345" s="401">
        <v>342</v>
      </c>
      <c r="B345" s="929" t="s">
        <v>1747</v>
      </c>
      <c r="C345" s="929" t="s">
        <v>871</v>
      </c>
      <c r="D345" s="899" t="str">
        <f t="shared" si="5"/>
        <v>Remarques concernant la justification externe (manière, annexes, par ex. critères de choix selon Aide à l'utilisation):</v>
      </c>
      <c r="E345" s="402" t="s">
        <v>1739</v>
      </c>
      <c r="F345" s="2338" t="s">
        <v>2233</v>
      </c>
      <c r="G345" s="403" t="s">
        <v>2323</v>
      </c>
    </row>
    <row r="346" spans="1:7" ht="25.9" customHeight="1">
      <c r="A346" s="401">
        <v>343</v>
      </c>
      <c r="B346" s="929" t="s">
        <v>1747</v>
      </c>
      <c r="C346" s="929" t="s">
        <v>879</v>
      </c>
      <c r="D346" s="899" t="str">
        <f t="shared" si="5"/>
        <v>Variante 3: justification externe des critères selon SIA 382/1 (avec refroidissement)</v>
      </c>
      <c r="E346" s="402" t="s">
        <v>1767</v>
      </c>
      <c r="F346" s="2338" t="s">
        <v>2234</v>
      </c>
      <c r="G346" s="403" t="s">
        <v>2324</v>
      </c>
    </row>
    <row r="347" spans="1:7" ht="41.25" customHeight="1">
      <c r="A347" s="401">
        <v>344</v>
      </c>
      <c r="B347" s="929" t="s">
        <v>1747</v>
      </c>
      <c r="C347" s="929" t="s">
        <v>1768</v>
      </c>
      <c r="D347" s="899" t="str">
        <f t="shared" si="5"/>
        <v>Les températures de l'air intérieur en été sont calculées selon SIA 382/1 chiffre 4.4.4. Sans refroidissement, la courbe limite est dépassée en moins de 100 h.</v>
      </c>
      <c r="E347" s="402" t="s">
        <v>1740</v>
      </c>
      <c r="F347" s="2338" t="s">
        <v>2235</v>
      </c>
      <c r="G347" s="403" t="s">
        <v>2326</v>
      </c>
    </row>
    <row r="348" spans="1:7" ht="44.25" customHeight="1">
      <c r="A348" s="401">
        <v>345</v>
      </c>
      <c r="B348" s="929" t="s">
        <v>1747</v>
      </c>
      <c r="C348" s="929" t="s">
        <v>933</v>
      </c>
      <c r="D348" s="899" t="str">
        <f t="shared" si="5"/>
        <v>La zone est refroidie et les besoins en énergie sont calculés. 
Il n'y a aucune température trop élevée en été.</v>
      </c>
      <c r="E348" s="402" t="s">
        <v>1742</v>
      </c>
      <c r="F348" s="2338" t="s">
        <v>2240</v>
      </c>
      <c r="G348" s="403" t="s">
        <v>2327</v>
      </c>
    </row>
    <row r="349" spans="1:7" ht="25.9" customHeight="1">
      <c r="A349" s="401">
        <v>346</v>
      </c>
      <c r="B349" s="929" t="s">
        <v>1747</v>
      </c>
      <c r="C349" s="929" t="s">
        <v>938</v>
      </c>
      <c r="D349" s="899" t="str">
        <f t="shared" si="5"/>
        <v>Selon cette déclaration, les exigences pour la protection thermique estivale sont remplies.</v>
      </c>
      <c r="E349" s="402" t="s">
        <v>1746</v>
      </c>
      <c r="F349" s="2338" t="s">
        <v>2236</v>
      </c>
      <c r="G349" s="403" t="s">
        <v>2328</v>
      </c>
    </row>
    <row r="350" spans="1:7" ht="25.9" customHeight="1">
      <c r="A350" s="401">
        <v>347</v>
      </c>
      <c r="B350" s="929" t="s">
        <v>1747</v>
      </c>
      <c r="C350" s="929" t="s">
        <v>1769</v>
      </c>
      <c r="D350" s="899" t="str">
        <f t="shared" si="5"/>
        <v>Volets roulants</v>
      </c>
      <c r="E350" s="402" t="s">
        <v>1717</v>
      </c>
      <c r="F350" s="2338" t="s">
        <v>2237</v>
      </c>
      <c r="G350" s="403" t="s">
        <v>2761</v>
      </c>
    </row>
    <row r="351" spans="1:7" ht="25.9" customHeight="1">
      <c r="A351" s="401">
        <v>348</v>
      </c>
      <c r="B351" s="929" t="s">
        <v>1747</v>
      </c>
      <c r="C351" s="929" t="s">
        <v>1770</v>
      </c>
      <c r="D351" s="899" t="str">
        <f t="shared" si="5"/>
        <v>Stores à lamelles</v>
      </c>
      <c r="E351" s="402" t="s">
        <v>1771</v>
      </c>
      <c r="F351" s="2338" t="s">
        <v>2238</v>
      </c>
      <c r="G351" s="403" t="s">
        <v>2329</v>
      </c>
    </row>
    <row r="352" spans="1:7" ht="25.9" customHeight="1">
      <c r="A352" s="401">
        <v>349</v>
      </c>
      <c r="B352" s="929" t="s">
        <v>1747</v>
      </c>
      <c r="C352" s="929" t="s">
        <v>1772</v>
      </c>
      <c r="D352" s="899" t="str">
        <f t="shared" si="5"/>
        <v>Module Minergie</v>
      </c>
      <c r="E352" s="402" t="s">
        <v>2762</v>
      </c>
      <c r="F352" s="2338" t="s">
        <v>2763</v>
      </c>
      <c r="G352" s="403" t="s">
        <v>2330</v>
      </c>
    </row>
    <row r="353" spans="1:7" ht="25.9" customHeight="1">
      <c r="A353" s="401">
        <v>350</v>
      </c>
      <c r="B353" s="929" t="s">
        <v>1747</v>
      </c>
      <c r="C353" s="929" t="s">
        <v>1773</v>
      </c>
      <c r="D353" s="899" t="str">
        <f t="shared" si="5"/>
        <v>Autres</v>
      </c>
      <c r="E353" s="402" t="s">
        <v>179</v>
      </c>
      <c r="F353" s="2338" t="s">
        <v>2239</v>
      </c>
      <c r="G353" s="403" t="s">
        <v>1455</v>
      </c>
    </row>
    <row r="354" spans="1:7" ht="25.9" customHeight="1">
      <c r="A354" s="401">
        <v>351</v>
      </c>
      <c r="B354" s="929" t="s">
        <v>1747</v>
      </c>
      <c r="C354" s="929" t="s">
        <v>886</v>
      </c>
      <c r="D354" s="899" t="str">
        <f t="shared" si="5"/>
        <v>Valeur g et désignation du produit</v>
      </c>
      <c r="E354" s="402" t="s">
        <v>1754</v>
      </c>
      <c r="F354" s="2338" t="s">
        <v>2226</v>
      </c>
      <c r="G354" s="403" t="s">
        <v>2316</v>
      </c>
    </row>
    <row r="355" spans="1:7" ht="25.9" customHeight="1">
      <c r="A355" s="401">
        <v>352</v>
      </c>
      <c r="B355" s="929" t="s">
        <v>1747</v>
      </c>
      <c r="C355" s="929" t="s">
        <v>1762</v>
      </c>
      <c r="D355" s="899" t="str">
        <f t="shared" si="5"/>
        <v>Si S14 s'avère exact, "n.a." doit être sélectionné dans S11.</v>
      </c>
      <c r="E355" s="402" t="s">
        <v>1761</v>
      </c>
      <c r="F355" s="2338" t="s">
        <v>2228</v>
      </c>
      <c r="G355" s="403" t="s">
        <v>2318</v>
      </c>
    </row>
    <row r="356" spans="1:7" ht="25.9" customHeight="1">
      <c r="A356" s="401">
        <v>353</v>
      </c>
      <c r="B356" s="929" t="s">
        <v>53</v>
      </c>
      <c r="C356" s="929" t="s">
        <v>845</v>
      </c>
      <c r="D356" s="899" t="str">
        <f t="shared" si="5"/>
        <v>Nom du projet:</v>
      </c>
      <c r="E356" s="402" t="s">
        <v>1775</v>
      </c>
      <c r="F356" s="2338" t="s">
        <v>2241</v>
      </c>
      <c r="G356" s="403" t="s">
        <v>2331</v>
      </c>
    </row>
    <row r="357" spans="1:7" ht="25.9" customHeight="1">
      <c r="A357" s="401">
        <v>354</v>
      </c>
      <c r="B357" s="929" t="s">
        <v>53</v>
      </c>
      <c r="C357" s="929" t="s">
        <v>550</v>
      </c>
      <c r="D357" s="899" t="str">
        <f t="shared" si="5"/>
        <v>Facteur d'enveloppe</v>
      </c>
      <c r="E357" s="402" t="s">
        <v>176</v>
      </c>
      <c r="F357" s="2338" t="s">
        <v>2242</v>
      </c>
      <c r="G357" s="403" t="s">
        <v>2332</v>
      </c>
    </row>
    <row r="358" spans="1:7" ht="25.9" customHeight="1">
      <c r="A358" s="401">
        <v>355</v>
      </c>
      <c r="B358" s="929" t="s">
        <v>53</v>
      </c>
      <c r="C358" s="929" t="s">
        <v>1776</v>
      </c>
      <c r="D358" s="899" t="str">
        <f t="shared" si="5"/>
        <v xml:space="preserve">N° MOP: </v>
      </c>
      <c r="E358" s="402" t="s">
        <v>1777</v>
      </c>
      <c r="F358" s="2338" t="s">
        <v>2243</v>
      </c>
      <c r="G358" s="403" t="s">
        <v>2810</v>
      </c>
    </row>
    <row r="359" spans="1:7" ht="25.9" customHeight="1">
      <c r="A359" s="401">
        <v>356</v>
      </c>
      <c r="B359" s="929" t="s">
        <v>53</v>
      </c>
      <c r="C359" s="929" t="s">
        <v>848</v>
      </c>
      <c r="D359" s="899" t="str">
        <f t="shared" si="5"/>
        <v>Adresse du bâtiment:</v>
      </c>
      <c r="E359" s="402" t="s">
        <v>1778</v>
      </c>
      <c r="F359" s="2338" t="s">
        <v>2244</v>
      </c>
      <c r="G359" s="403" t="s">
        <v>2333</v>
      </c>
    </row>
    <row r="360" spans="1:7" ht="25.9" customHeight="1">
      <c r="A360" s="401">
        <v>357</v>
      </c>
      <c r="B360" s="929" t="s">
        <v>706</v>
      </c>
      <c r="C360" s="929" t="s">
        <v>878</v>
      </c>
      <c r="D360" s="899" t="str">
        <f t="shared" si="5"/>
        <v>Valeur limite pour les besoins en énergie finale sans photovoltaïque</v>
      </c>
      <c r="E360" s="402" t="s">
        <v>1779</v>
      </c>
      <c r="F360" s="2338" t="s">
        <v>2245</v>
      </c>
      <c r="G360" s="403" t="s">
        <v>2334</v>
      </c>
    </row>
    <row r="361" spans="1:7" ht="25.9" customHeight="1">
      <c r="A361" s="401">
        <v>358</v>
      </c>
      <c r="B361" s="929" t="s">
        <v>706</v>
      </c>
      <c r="C361" s="929" t="s">
        <v>705</v>
      </c>
      <c r="D361" s="899" t="str">
        <f t="shared" si="5"/>
        <v>Valeur limite pour l'indice Minergie MKZ</v>
      </c>
      <c r="E361" s="402" t="s">
        <v>1780</v>
      </c>
      <c r="F361" s="2338" t="s">
        <v>2246</v>
      </c>
      <c r="G361" s="403" t="s">
        <v>2335</v>
      </c>
    </row>
    <row r="362" spans="1:7" ht="25.9" customHeight="1">
      <c r="A362" s="401">
        <v>359</v>
      </c>
      <c r="B362" s="929" t="s">
        <v>313</v>
      </c>
      <c r="C362" s="929" t="s">
        <v>1753</v>
      </c>
      <c r="D362" s="899" t="str">
        <f t="shared" si="5"/>
        <v xml:space="preserve"> - Réduction pour la robinetterie</v>
      </c>
      <c r="E362" s="402" t="s">
        <v>1820</v>
      </c>
      <c r="F362" s="2338" t="s">
        <v>2247</v>
      </c>
      <c r="G362" s="1393" t="s">
        <v>2338</v>
      </c>
    </row>
    <row r="363" spans="1:7" ht="25.9" customHeight="1">
      <c r="A363" s="401">
        <v>360</v>
      </c>
      <c r="B363" s="929" t="s">
        <v>313</v>
      </c>
      <c r="C363" s="929" t="s">
        <v>488</v>
      </c>
      <c r="D363" s="899" t="str">
        <f t="shared" si="5"/>
        <v xml:space="preserve"> - Réduction pour le maintien de la chaleur</v>
      </c>
      <c r="E363" s="402" t="s">
        <v>1821</v>
      </c>
      <c r="F363" s="2338" t="s">
        <v>2248</v>
      </c>
      <c r="G363" s="1393" t="s">
        <v>2339</v>
      </c>
    </row>
    <row r="364" spans="1:7" ht="25.9" customHeight="1">
      <c r="A364" s="401">
        <v>361</v>
      </c>
      <c r="B364" s="929" t="s">
        <v>313</v>
      </c>
      <c r="C364" s="929" t="s">
        <v>868</v>
      </c>
      <c r="D364" s="899" t="str">
        <f t="shared" si="5"/>
        <v>Electricité</v>
      </c>
      <c r="E364" s="402" t="s">
        <v>1702</v>
      </c>
      <c r="F364" s="2338" t="s">
        <v>2249</v>
      </c>
      <c r="G364" s="403" t="s">
        <v>1454</v>
      </c>
    </row>
    <row r="365" spans="1:7" ht="25.9" customHeight="1">
      <c r="A365" s="401">
        <v>362</v>
      </c>
      <c r="B365" s="929" t="s">
        <v>313</v>
      </c>
      <c r="C365" s="929" t="s">
        <v>870</v>
      </c>
      <c r="D365" s="899" t="str">
        <f t="shared" si="5"/>
        <v xml:space="preserve">Données concernant l'utilisation du logement: </v>
      </c>
      <c r="E365" s="402" t="s">
        <v>1705</v>
      </c>
      <c r="F365" s="2338" t="s">
        <v>2250</v>
      </c>
      <c r="G365" s="403" t="s">
        <v>2336</v>
      </c>
    </row>
    <row r="366" spans="1:7" ht="25.9" customHeight="1">
      <c r="A366" s="401">
        <v>363</v>
      </c>
      <c r="B366" s="929" t="s">
        <v>313</v>
      </c>
      <c r="C366" s="929" t="s">
        <v>1765</v>
      </c>
      <c r="D366" s="899" t="str">
        <f t="shared" si="5"/>
        <v>Ascenseur / élévateur disponible sur place?</v>
      </c>
      <c r="E366" s="402" t="s">
        <v>1994</v>
      </c>
      <c r="F366" s="2338" t="s">
        <v>2251</v>
      </c>
      <c r="G366" s="403" t="s">
        <v>2337</v>
      </c>
    </row>
    <row r="367" spans="1:7" ht="25.9" customHeight="1">
      <c r="A367" s="401">
        <v>364</v>
      </c>
      <c r="B367" s="929" t="s">
        <v>313</v>
      </c>
      <c r="C367" s="929" t="s">
        <v>97</v>
      </c>
      <c r="D367" s="899" t="str">
        <f t="shared" si="5"/>
        <v>Tous les lave-vaiselle min. classe C</v>
      </c>
      <c r="E367" s="402" t="s">
        <v>4012</v>
      </c>
      <c r="F367" s="2338" t="s">
        <v>4013</v>
      </c>
      <c r="G367" s="403" t="s">
        <v>4014</v>
      </c>
    </row>
    <row r="368" spans="1:7" ht="25.9" customHeight="1">
      <c r="A368" s="401">
        <v>365</v>
      </c>
      <c r="B368" s="929" t="s">
        <v>313</v>
      </c>
      <c r="C368" s="929" t="s">
        <v>98</v>
      </c>
      <c r="D368" s="899" t="str">
        <f t="shared" si="5"/>
        <v>Tous les réfrigérateurs min. classe D</v>
      </c>
      <c r="E368" s="402" t="s">
        <v>4015</v>
      </c>
      <c r="F368" s="2338" t="s">
        <v>4016</v>
      </c>
      <c r="G368" s="403" t="s">
        <v>4017</v>
      </c>
    </row>
    <row r="369" spans="1:7" ht="25.9" customHeight="1">
      <c r="A369" s="401">
        <v>366</v>
      </c>
      <c r="B369" s="929" t="s">
        <v>313</v>
      </c>
      <c r="C369" s="929" t="s">
        <v>1793</v>
      </c>
      <c r="D369" s="899" t="str">
        <f t="shared" si="5"/>
        <v>Tous les congélateurs min. classe E</v>
      </c>
      <c r="E369" s="402" t="s">
        <v>4006</v>
      </c>
      <c r="F369" s="2338" t="s">
        <v>4004</v>
      </c>
      <c r="G369" s="403" t="s">
        <v>4005</v>
      </c>
    </row>
    <row r="370" spans="1:7" ht="25.9" customHeight="1">
      <c r="A370" s="401">
        <v>367</v>
      </c>
      <c r="B370" s="929" t="s">
        <v>313</v>
      </c>
      <c r="C370" s="929" t="s">
        <v>438</v>
      </c>
      <c r="D370" s="899" t="str">
        <f t="shared" si="5"/>
        <v>Tous les lave-linge min. classe C</v>
      </c>
      <c r="E370" s="402" t="s">
        <v>4007</v>
      </c>
      <c r="F370" s="2338" t="s">
        <v>4008</v>
      </c>
      <c r="G370" s="403" t="s">
        <v>4009</v>
      </c>
    </row>
    <row r="371" spans="1:7" ht="25.9" customHeight="1">
      <c r="A371" s="401">
        <v>368</v>
      </c>
      <c r="B371" s="929" t="s">
        <v>313</v>
      </c>
      <c r="C371" s="929" t="s">
        <v>380</v>
      </c>
      <c r="D371" s="899" t="str">
        <f t="shared" si="5"/>
        <v>Tous les sèche-linge sont de classe A+++</v>
      </c>
      <c r="E371" s="402" t="s">
        <v>1703</v>
      </c>
      <c r="F371" s="2338" t="s">
        <v>2252</v>
      </c>
      <c r="G371" s="403" t="s">
        <v>2340</v>
      </c>
    </row>
    <row r="372" spans="1:7" ht="25.9" customHeight="1">
      <c r="A372" s="401">
        <v>369</v>
      </c>
      <c r="B372" s="929" t="s">
        <v>313</v>
      </c>
      <c r="C372" s="929" t="s">
        <v>487</v>
      </c>
      <c r="D372" s="899" t="str">
        <f t="shared" si="5"/>
        <v>Toutes les cuisinières sont à induction</v>
      </c>
      <c r="E372" s="402" t="s">
        <v>1704</v>
      </c>
      <c r="F372" s="2338" t="s">
        <v>2253</v>
      </c>
      <c r="G372" s="403" t="s">
        <v>2341</v>
      </c>
    </row>
    <row r="373" spans="1:7" ht="25.9" customHeight="1">
      <c r="A373" s="401">
        <v>370</v>
      </c>
      <c r="B373" s="929" t="s">
        <v>313</v>
      </c>
      <c r="C373" s="929" t="s">
        <v>873</v>
      </c>
      <c r="D373" s="899" t="str">
        <f t="shared" si="5"/>
        <v>Eclairage LED au moins C &amp; régulation</v>
      </c>
      <c r="E373" s="402" t="s">
        <v>4625</v>
      </c>
      <c r="F373" s="2338" t="s">
        <v>4627</v>
      </c>
      <c r="G373" s="403" t="s">
        <v>4626</v>
      </c>
    </row>
    <row r="374" spans="1:7" ht="25.9" customHeight="1">
      <c r="A374" s="401">
        <v>371</v>
      </c>
      <c r="B374" s="929" t="s">
        <v>313</v>
      </c>
      <c r="C374" s="929" t="s">
        <v>878</v>
      </c>
      <c r="D374" s="899" t="str">
        <f t="shared" si="5"/>
        <v>Autres utilisations: données concernant l'éclairage</v>
      </c>
      <c r="E374" s="402" t="s">
        <v>1794</v>
      </c>
      <c r="F374" s="2338" t="s">
        <v>2254</v>
      </c>
      <c r="G374" s="403" t="s">
        <v>2342</v>
      </c>
    </row>
    <row r="375" spans="1:7" ht="25.9" customHeight="1">
      <c r="A375" s="401">
        <v>372</v>
      </c>
      <c r="B375" s="929" t="s">
        <v>313</v>
      </c>
      <c r="C375" s="929" t="s">
        <v>842</v>
      </c>
      <c r="D375" s="899" t="str">
        <f t="shared" si="5"/>
        <v>Données supplémentaires pour le</v>
      </c>
      <c r="E375" s="402" t="s">
        <v>1708</v>
      </c>
      <c r="F375" s="2338" t="s">
        <v>2255</v>
      </c>
      <c r="G375" s="403" t="s">
        <v>2343</v>
      </c>
    </row>
    <row r="376" spans="1:7" ht="25.9" customHeight="1">
      <c r="A376" s="401">
        <v>373</v>
      </c>
      <c r="B376" s="929" t="s">
        <v>313</v>
      </c>
      <c r="C376" s="929" t="s">
        <v>843</v>
      </c>
      <c r="D376" s="899" t="str">
        <f t="shared" si="5"/>
        <v>justificatif Minergie</v>
      </c>
      <c r="E376" s="402" t="s">
        <v>2764</v>
      </c>
      <c r="F376" s="2338" t="s">
        <v>2765</v>
      </c>
      <c r="G376" s="403" t="s">
        <v>2344</v>
      </c>
    </row>
    <row r="377" spans="1:7" ht="25.9" customHeight="1">
      <c r="A377" s="401">
        <v>374</v>
      </c>
      <c r="B377" s="929" t="s">
        <v>313</v>
      </c>
      <c r="C377" s="929" t="s">
        <v>880</v>
      </c>
      <c r="D377" s="899" t="str">
        <f t="shared" si="5"/>
        <v>Luminaires: module Minergie ou classe A+</v>
      </c>
      <c r="E377" s="402" t="s">
        <v>2766</v>
      </c>
      <c r="F377" s="2338" t="s">
        <v>2256</v>
      </c>
      <c r="G377" s="403" t="s">
        <v>2803</v>
      </c>
    </row>
    <row r="378" spans="1:7" ht="25.9" customHeight="1">
      <c r="A378" s="401">
        <v>375</v>
      </c>
      <c r="B378" s="929" t="s">
        <v>313</v>
      </c>
      <c r="C378" s="929" t="s">
        <v>1768</v>
      </c>
      <c r="D378" s="899" t="str">
        <f t="shared" si="5"/>
        <v>Commande d'éclairage de classe A++</v>
      </c>
      <c r="E378" s="402" t="s">
        <v>2767</v>
      </c>
      <c r="F378" s="2338" t="s">
        <v>2257</v>
      </c>
      <c r="G378" s="403" t="s">
        <v>2768</v>
      </c>
    </row>
    <row r="379" spans="1:7" ht="25.9" customHeight="1">
      <c r="A379" s="401">
        <v>376</v>
      </c>
      <c r="B379" s="929" t="s">
        <v>313</v>
      </c>
      <c r="C379" s="929" t="s">
        <v>1063</v>
      </c>
      <c r="D379" s="899" t="str">
        <f t="shared" si="5"/>
        <v>Installation photovoltaïque</v>
      </c>
      <c r="E379" s="402" t="s">
        <v>1706</v>
      </c>
      <c r="F379" s="2338" t="s">
        <v>1594</v>
      </c>
      <c r="G379" s="403" t="s">
        <v>2345</v>
      </c>
    </row>
    <row r="380" spans="1:7" ht="25.9" customHeight="1">
      <c r="A380" s="401">
        <v>377</v>
      </c>
      <c r="B380" s="929" t="s">
        <v>313</v>
      </c>
      <c r="C380" s="929" t="s">
        <v>1843</v>
      </c>
      <c r="D380" s="899" t="str">
        <f t="shared" si="5"/>
        <v>Rendement annuel [kWh/m2]</v>
      </c>
      <c r="E380" s="402" t="s">
        <v>1707</v>
      </c>
      <c r="F380" s="2338" t="s">
        <v>2258</v>
      </c>
      <c r="G380" s="403" t="s">
        <v>2346</v>
      </c>
    </row>
    <row r="381" spans="1:7" ht="25.9" customHeight="1">
      <c r="A381" s="401">
        <v>378</v>
      </c>
      <c r="B381" s="929" t="s">
        <v>53</v>
      </c>
      <c r="C381" s="929" t="s">
        <v>2079</v>
      </c>
      <c r="D381" s="899" t="str">
        <f t="shared" si="5"/>
        <v>Besoins personnels [%]</v>
      </c>
      <c r="E381" s="402" t="s">
        <v>2612</v>
      </c>
      <c r="F381" s="2338" t="s">
        <v>2259</v>
      </c>
      <c r="G381" s="403" t="s">
        <v>2347</v>
      </c>
    </row>
    <row r="382" spans="1:7" ht="25.9" customHeight="1">
      <c r="A382" s="401">
        <v>379</v>
      </c>
      <c r="B382" s="929" t="s">
        <v>53</v>
      </c>
      <c r="C382" s="929" t="s">
        <v>937</v>
      </c>
      <c r="D382" s="899" t="str">
        <f t="shared" si="5"/>
        <v>Puissance installée (sans CCF) [kWp]</v>
      </c>
      <c r="E382" s="402" t="s">
        <v>2608</v>
      </c>
      <c r="F382" s="2338" t="s">
        <v>2609</v>
      </c>
      <c r="G382" s="403" t="s">
        <v>2474</v>
      </c>
    </row>
    <row r="383" spans="1:7" ht="25.9" customHeight="1">
      <c r="A383" s="401">
        <v>380</v>
      </c>
      <c r="B383" s="929" t="s">
        <v>313</v>
      </c>
      <c r="C383" s="929" t="s">
        <v>941</v>
      </c>
      <c r="D383" s="899" t="str">
        <f t="shared" si="5"/>
        <v>Rendement annuel net [kWh/kWp] (joindre le calcul)</v>
      </c>
      <c r="E383" s="402" t="s">
        <v>1148</v>
      </c>
      <c r="F383" s="2338" t="s">
        <v>2260</v>
      </c>
      <c r="G383" s="403" t="s">
        <v>2348</v>
      </c>
    </row>
    <row r="384" spans="1:7" ht="25.9" customHeight="1">
      <c r="A384" s="401">
        <v>381</v>
      </c>
      <c r="B384" s="929" t="s">
        <v>313</v>
      </c>
      <c r="C384" s="929" t="s">
        <v>1842</v>
      </c>
      <c r="D384" s="899" t="str">
        <f t="shared" si="5"/>
        <v>Autres exigences</v>
      </c>
      <c r="E384" s="402" t="s">
        <v>1813</v>
      </c>
      <c r="F384" s="2338" t="s">
        <v>2261</v>
      </c>
      <c r="G384" s="403" t="s">
        <v>2349</v>
      </c>
    </row>
    <row r="385" spans="1:7" ht="25.9" customHeight="1">
      <c r="A385" s="401">
        <v>382</v>
      </c>
      <c r="B385" s="929" t="s">
        <v>313</v>
      </c>
      <c r="C385" s="929" t="s">
        <v>1841</v>
      </c>
      <c r="D385" s="899" t="str">
        <f t="shared" si="5"/>
        <v>Autodéclaration/attestation</v>
      </c>
      <c r="E385" s="402" t="s">
        <v>84</v>
      </c>
      <c r="F385" s="2338" t="s">
        <v>2262</v>
      </c>
      <c r="G385" s="403" t="s">
        <v>2350</v>
      </c>
    </row>
    <row r="386" spans="1:7" ht="25.9" customHeight="1">
      <c r="A386" s="401">
        <v>383</v>
      </c>
      <c r="B386" s="929" t="s">
        <v>5027</v>
      </c>
      <c r="C386" s="929" t="s">
        <v>5028</v>
      </c>
      <c r="D386" s="899" t="str">
        <f t="shared" si="5"/>
        <v xml:space="preserve">Exigence remplie?    </v>
      </c>
      <c r="E386" s="402" t="s">
        <v>2902</v>
      </c>
      <c r="F386" s="2338" t="s">
        <v>2900</v>
      </c>
      <c r="G386" s="403" t="s">
        <v>2901</v>
      </c>
    </row>
    <row r="387" spans="1:7" ht="25.9" customHeight="1">
      <c r="A387" s="401">
        <v>384</v>
      </c>
      <c r="B387" s="929" t="s">
        <v>313</v>
      </c>
      <c r="C387" s="929" t="s">
        <v>1840</v>
      </c>
      <c r="D387" s="899" t="str">
        <f t="shared" si="5"/>
        <v>Exigence</v>
      </c>
      <c r="E387" s="402" t="s">
        <v>494</v>
      </c>
      <c r="F387" s="2338" t="s">
        <v>2263</v>
      </c>
      <c r="G387" s="403" t="s">
        <v>2351</v>
      </c>
    </row>
    <row r="388" spans="1:7" ht="25.9" customHeight="1">
      <c r="A388" s="401">
        <v>385</v>
      </c>
      <c r="B388" s="929" t="s">
        <v>313</v>
      </c>
      <c r="C388" s="929" t="s">
        <v>1839</v>
      </c>
      <c r="D388" s="899" t="str">
        <f t="shared" si="5"/>
        <v>Valeur objet</v>
      </c>
      <c r="E388" s="402" t="s">
        <v>166</v>
      </c>
      <c r="F388" s="2338" t="s">
        <v>2264</v>
      </c>
      <c r="G388" s="403" t="s">
        <v>2352</v>
      </c>
    </row>
    <row r="389" spans="1:7" ht="25.9" customHeight="1">
      <c r="A389" s="401">
        <v>386</v>
      </c>
      <c r="B389" s="929" t="s">
        <v>622</v>
      </c>
      <c r="C389" s="929" t="s">
        <v>1798</v>
      </c>
      <c r="D389" s="899" t="str">
        <f t="shared" ref="D389:D452" si="6">INDEX($E$4:$G$503,$A389,$A$1)</f>
        <v>Etanchéité de la surface de l'enveloppe</v>
      </c>
      <c r="E389" s="402" t="s">
        <v>2605</v>
      </c>
      <c r="F389" s="2338" t="s">
        <v>2606</v>
      </c>
      <c r="G389" s="403" t="s">
        <v>2607</v>
      </c>
    </row>
    <row r="390" spans="1:7" ht="25.9" customHeight="1">
      <c r="A390" s="401">
        <v>387</v>
      </c>
      <c r="B390" s="929" t="s">
        <v>622</v>
      </c>
      <c r="C390" s="929" t="s">
        <v>1799</v>
      </c>
      <c r="D390" s="899" t="str">
        <f t="shared" si="6"/>
        <v>Etanchéité de la surface de l'enveloppe, rénovation</v>
      </c>
      <c r="E390" s="402" t="s">
        <v>2466</v>
      </c>
      <c r="F390" s="2338" t="s">
        <v>2265</v>
      </c>
      <c r="G390" s="403" t="s">
        <v>2353</v>
      </c>
    </row>
    <row r="391" spans="1:7" ht="25.9" customHeight="1">
      <c r="A391" s="401">
        <v>388</v>
      </c>
      <c r="B391" s="929" t="s">
        <v>313</v>
      </c>
      <c r="C391" s="929" t="s">
        <v>872</v>
      </c>
      <c r="D391" s="899" t="str">
        <f t="shared" si="6"/>
        <v>Appareils efficaces pour l’exploitation du bâtiment</v>
      </c>
      <c r="E391" s="402" t="s">
        <v>3955</v>
      </c>
      <c r="F391" s="2338" t="s">
        <v>4010</v>
      </c>
      <c r="G391" s="403" t="s">
        <v>4011</v>
      </c>
    </row>
    <row r="392" spans="1:7" ht="25.9" customHeight="1">
      <c r="A392" s="401">
        <v>389</v>
      </c>
      <c r="B392" s="929" t="s">
        <v>622</v>
      </c>
      <c r="C392" s="929" t="s">
        <v>1800</v>
      </c>
      <c r="D392" s="899" t="str">
        <f t="shared" si="6"/>
        <v>Eau chaude</v>
      </c>
      <c r="E392" s="402" t="s">
        <v>244</v>
      </c>
      <c r="F392" s="2338" t="s">
        <v>1643</v>
      </c>
      <c r="G392" s="403" t="s">
        <v>2354</v>
      </c>
    </row>
    <row r="393" spans="1:7" ht="25.9" customHeight="1">
      <c r="A393" s="401">
        <v>390</v>
      </c>
      <c r="B393" s="929" t="s">
        <v>622</v>
      </c>
      <c r="C393" s="929" t="s">
        <v>1801</v>
      </c>
      <c r="D393" s="899" t="str">
        <f t="shared" si="6"/>
        <v>Rejets thermiques issus de froid industriel</v>
      </c>
      <c r="E393" s="402" t="s">
        <v>195</v>
      </c>
      <c r="F393" s="2338" t="s">
        <v>2266</v>
      </c>
      <c r="G393" s="403" t="s">
        <v>2355</v>
      </c>
    </row>
    <row r="394" spans="1:7" ht="25.9" customHeight="1">
      <c r="A394" s="401">
        <v>391</v>
      </c>
      <c r="B394" s="929" t="s">
        <v>622</v>
      </c>
      <c r="C394" s="929" t="s">
        <v>1802</v>
      </c>
      <c r="D394" s="899" t="str">
        <f t="shared" si="6"/>
        <v>Rejets thermiques</v>
      </c>
      <c r="E394" s="402" t="s">
        <v>38</v>
      </c>
      <c r="F394" s="2338" t="s">
        <v>2267</v>
      </c>
      <c r="G394" s="403" t="s">
        <v>2356</v>
      </c>
    </row>
    <row r="395" spans="1:7" ht="25.9" customHeight="1">
      <c r="A395" s="401">
        <v>392</v>
      </c>
      <c r="B395" s="929" t="s">
        <v>622</v>
      </c>
      <c r="C395" s="929" t="s">
        <v>1804</v>
      </c>
      <c r="D395" s="899" t="str">
        <f t="shared" si="6"/>
        <v>Utilisation des rejets thermiques</v>
      </c>
      <c r="E395" s="402" t="s">
        <v>1803</v>
      </c>
      <c r="F395" s="2338" t="s">
        <v>2268</v>
      </c>
      <c r="G395" s="403" t="s">
        <v>2357</v>
      </c>
    </row>
    <row r="396" spans="1:7" ht="25.9" customHeight="1">
      <c r="A396" s="401">
        <v>393</v>
      </c>
      <c r="B396" s="929" t="s">
        <v>622</v>
      </c>
      <c r="C396" s="929" t="s">
        <v>1805</v>
      </c>
      <c r="D396" s="899" t="str">
        <f t="shared" si="6"/>
        <v>Exploitation optimisée piscine couverte</v>
      </c>
      <c r="E396" s="402" t="s">
        <v>167</v>
      </c>
      <c r="F396" s="2338" t="s">
        <v>2269</v>
      </c>
      <c r="G396" s="403" t="s">
        <v>2358</v>
      </c>
    </row>
    <row r="397" spans="1:7" ht="25.9" customHeight="1">
      <c r="A397" s="401">
        <v>394</v>
      </c>
      <c r="B397" s="929" t="s">
        <v>622</v>
      </c>
      <c r="C397" s="929" t="s">
        <v>1801</v>
      </c>
      <c r="D397" s="899" t="str">
        <f t="shared" si="6"/>
        <v>Recours aux énergies renouvelables</v>
      </c>
      <c r="E397" s="402" t="s">
        <v>1929</v>
      </c>
      <c r="F397" s="2338" t="s">
        <v>2270</v>
      </c>
      <c r="G397" s="403" t="s">
        <v>2359</v>
      </c>
    </row>
    <row r="398" spans="1:7" ht="25.9" customHeight="1">
      <c r="A398" s="401">
        <v>395</v>
      </c>
      <c r="B398" s="929" t="s">
        <v>622</v>
      </c>
      <c r="C398" s="929" t="s">
        <v>1928</v>
      </c>
      <c r="D398" s="899" t="str">
        <f t="shared" si="6"/>
        <v>Production de rejets thermiques?</v>
      </c>
      <c r="E398" s="402" t="s">
        <v>37</v>
      </c>
      <c r="F398" s="2338" t="s">
        <v>2271</v>
      </c>
      <c r="G398" s="403" t="s">
        <v>2360</v>
      </c>
    </row>
    <row r="399" spans="1:7" ht="25.9" customHeight="1">
      <c r="A399" s="401">
        <v>396</v>
      </c>
      <c r="B399" s="929" t="s">
        <v>622</v>
      </c>
      <c r="C399" s="929" t="s">
        <v>1806</v>
      </c>
      <c r="D399" s="899" t="str">
        <f t="shared" si="6"/>
        <v>Recours à 20% d'énergies renouvelables?</v>
      </c>
      <c r="E399" s="402" t="s">
        <v>1917</v>
      </c>
      <c r="F399" s="2338" t="s">
        <v>2272</v>
      </c>
      <c r="G399" s="403" t="s">
        <v>2361</v>
      </c>
    </row>
    <row r="400" spans="1:7" ht="25.9" customHeight="1">
      <c r="A400" s="401">
        <v>397</v>
      </c>
      <c r="B400" s="929" t="s">
        <v>622</v>
      </c>
      <c r="C400" s="929" t="s">
        <v>1807</v>
      </c>
      <c r="D400" s="899" t="str">
        <f t="shared" si="6"/>
        <v>Etanchéité qa,50 &lt; 1,2 m3/(h*m2)</v>
      </c>
      <c r="E400" s="402" t="s">
        <v>2467</v>
      </c>
      <c r="F400" s="2338" t="s">
        <v>2273</v>
      </c>
      <c r="G400" s="403" t="s">
        <v>2362</v>
      </c>
    </row>
    <row r="401" spans="1:7" ht="25.9" customHeight="1">
      <c r="A401" s="401">
        <v>398</v>
      </c>
      <c r="B401" s="929" t="s">
        <v>622</v>
      </c>
      <c r="C401" s="929" t="s">
        <v>1807</v>
      </c>
      <c r="D401" s="899" t="str">
        <f t="shared" si="6"/>
        <v>Etanchéité qa,50 &lt; 0,8 m3/(h*m2)</v>
      </c>
      <c r="E401" s="402" t="s">
        <v>2468</v>
      </c>
      <c r="F401" s="2338" t="s">
        <v>2274</v>
      </c>
      <c r="G401" s="403" t="s">
        <v>2363</v>
      </c>
    </row>
    <row r="402" spans="1:7" ht="25.9" customHeight="1">
      <c r="A402" s="401">
        <v>399</v>
      </c>
      <c r="B402" s="929" t="s">
        <v>622</v>
      </c>
      <c r="C402" s="929" t="s">
        <v>1809</v>
      </c>
      <c r="D402" s="899" t="str">
        <f t="shared" si="6"/>
        <v>Les rejets thermiques sont-ils utilisés?</v>
      </c>
      <c r="E402" s="402" t="s">
        <v>1808</v>
      </c>
      <c r="F402" s="2338" t="s">
        <v>2275</v>
      </c>
      <c r="G402" s="403" t="s">
        <v>2364</v>
      </c>
    </row>
    <row r="403" spans="1:7" ht="25.9" customHeight="1">
      <c r="A403" s="401">
        <v>400</v>
      </c>
      <c r="B403" s="929" t="s">
        <v>622</v>
      </c>
      <c r="C403" s="929" t="s">
        <v>1810</v>
      </c>
      <c r="D403" s="899" t="str">
        <f t="shared" si="6"/>
        <v>RC avec PAC sur ventilation, RC des eaux de piscine</v>
      </c>
      <c r="E403" s="402" t="s">
        <v>528</v>
      </c>
      <c r="F403" s="2338" t="s">
        <v>2276</v>
      </c>
      <c r="G403" s="403" t="s">
        <v>2365</v>
      </c>
    </row>
    <row r="404" spans="1:7" ht="25.9" customHeight="1">
      <c r="A404" s="401">
        <v>401</v>
      </c>
      <c r="B404" s="929" t="s">
        <v>622</v>
      </c>
      <c r="C404" s="929" t="s">
        <v>1047</v>
      </c>
      <c r="D404" s="899" t="str">
        <f t="shared" si="6"/>
        <v>Etanchéité qa,50 &lt; 1,6 m3/(h*m2)</v>
      </c>
      <c r="E404" s="402" t="s">
        <v>2469</v>
      </c>
      <c r="F404" s="2338" t="s">
        <v>2277</v>
      </c>
      <c r="G404" s="403" t="s">
        <v>2366</v>
      </c>
    </row>
    <row r="405" spans="1:7" ht="25.9" customHeight="1">
      <c r="A405" s="401">
        <v>402</v>
      </c>
      <c r="B405" s="929" t="s">
        <v>622</v>
      </c>
      <c r="C405" s="929" t="s">
        <v>1927</v>
      </c>
      <c r="D405" s="899" t="str">
        <f t="shared" si="6"/>
        <v>Pics de charge couverts avec max. 30% d'énergies fossiles?</v>
      </c>
      <c r="E405" s="402" t="s">
        <v>1930</v>
      </c>
      <c r="F405" s="2338" t="s">
        <v>2278</v>
      </c>
      <c r="G405" s="403" t="s">
        <v>2367</v>
      </c>
    </row>
    <row r="406" spans="1:7" ht="25.9" customHeight="1">
      <c r="A406" s="401">
        <v>403</v>
      </c>
      <c r="B406" s="929" t="s">
        <v>622</v>
      </c>
      <c r="C406" s="929" t="s">
        <v>1807</v>
      </c>
      <c r="D406" s="899" t="str">
        <f t="shared" si="6"/>
        <v>Concept d'étanchéité annexé?</v>
      </c>
      <c r="E406" s="402" t="s">
        <v>2904</v>
      </c>
      <c r="F406" s="2338" t="s">
        <v>2903</v>
      </c>
      <c r="G406" s="403" t="s">
        <v>3456</v>
      </c>
    </row>
    <row r="407" spans="1:7" ht="25.9" customHeight="1">
      <c r="A407" s="401">
        <v>404</v>
      </c>
      <c r="B407" s="929" t="s">
        <v>313</v>
      </c>
      <c r="C407" s="929" t="s">
        <v>1795</v>
      </c>
      <c r="D407" s="899" t="str">
        <f t="shared" si="6"/>
        <v>Eclairage: valeur du projet SIA 387/4</v>
      </c>
      <c r="E407" s="402" t="s">
        <v>3302</v>
      </c>
      <c r="F407" s="2338" t="s">
        <v>3303</v>
      </c>
      <c r="G407" s="403" t="s">
        <v>3304</v>
      </c>
    </row>
    <row r="408" spans="1:7" ht="25.9" customHeight="1">
      <c r="A408" s="401">
        <v>405</v>
      </c>
      <c r="B408" s="929" t="s">
        <v>313</v>
      </c>
      <c r="C408" s="929" t="s">
        <v>933</v>
      </c>
      <c r="D408" s="899" t="str">
        <f t="shared" si="6"/>
        <v>Eclairage: valeur moyenne SIA 387/4</v>
      </c>
      <c r="E408" s="402" t="s">
        <v>3429</v>
      </c>
      <c r="F408" s="2338" t="s">
        <v>3430</v>
      </c>
      <c r="G408" s="403" t="s">
        <v>3431</v>
      </c>
    </row>
    <row r="409" spans="1:7" ht="25.9" customHeight="1">
      <c r="A409" s="401">
        <v>406</v>
      </c>
      <c r="B409" s="929" t="s">
        <v>313</v>
      </c>
      <c r="C409" s="929" t="s">
        <v>1838</v>
      </c>
      <c r="D409" s="899" t="str">
        <f t="shared" si="6"/>
        <v>Exigence éclairage respectée?</v>
      </c>
      <c r="E409" s="402" t="s">
        <v>1812</v>
      </c>
      <c r="F409" s="2338" t="s">
        <v>2279</v>
      </c>
      <c r="G409" s="403" t="s">
        <v>2368</v>
      </c>
    </row>
    <row r="410" spans="1:7" ht="25.9" customHeight="1">
      <c r="A410" s="401">
        <v>407</v>
      </c>
      <c r="B410" s="929" t="s">
        <v>313</v>
      </c>
      <c r="C410" s="929" t="s">
        <v>496</v>
      </c>
      <c r="D410" s="899" t="str">
        <f t="shared" si="6"/>
        <v>Nombre d’unités d’habitation</v>
      </c>
      <c r="E410" s="402" t="s">
        <v>2207</v>
      </c>
      <c r="F410" s="2338" t="s">
        <v>2475</v>
      </c>
      <c r="G410" s="403" t="s">
        <v>2473</v>
      </c>
    </row>
    <row r="411" spans="1:7" ht="25.9" customHeight="1">
      <c r="A411" s="401">
        <v>408</v>
      </c>
      <c r="B411" s="929" t="s">
        <v>313</v>
      </c>
      <c r="C411" s="929" t="s">
        <v>1755</v>
      </c>
      <c r="D411" s="899" t="str">
        <f t="shared" si="6"/>
        <v xml:space="preserve"> - Longueur des bandes de chauffage</v>
      </c>
      <c r="E411" s="429" t="s">
        <v>1832</v>
      </c>
      <c r="F411" s="2338" t="s">
        <v>2280</v>
      </c>
      <c r="G411" s="1393" t="s">
        <v>2385</v>
      </c>
    </row>
    <row r="412" spans="1:7" ht="25.9" customHeight="1">
      <c r="A412" s="401">
        <v>409</v>
      </c>
      <c r="B412" s="929" t="s">
        <v>313</v>
      </c>
      <c r="C412" s="929" t="s">
        <v>879</v>
      </c>
      <c r="D412" s="899" t="str">
        <f t="shared" si="6"/>
        <v>Eclairage: rénovation complète?</v>
      </c>
      <c r="E412" s="402" t="s">
        <v>1837</v>
      </c>
      <c r="F412" s="2338" t="s">
        <v>2281</v>
      </c>
      <c r="G412" s="403" t="s">
        <v>2369</v>
      </c>
    </row>
    <row r="413" spans="1:7" ht="25.9" customHeight="1">
      <c r="A413" s="401">
        <v>410</v>
      </c>
      <c r="B413" s="929" t="s">
        <v>53</v>
      </c>
      <c r="C413" s="929" t="s">
        <v>1063</v>
      </c>
      <c r="D413" s="899" t="str">
        <f t="shared" si="6"/>
        <v>Apport annuel spécifique [kWh/kWp]</v>
      </c>
      <c r="E413" s="402" t="s">
        <v>2613</v>
      </c>
      <c r="F413" s="2338" t="s">
        <v>3063</v>
      </c>
      <c r="G413" s="403" t="s">
        <v>3064</v>
      </c>
    </row>
    <row r="414" spans="1:7" ht="25.9" customHeight="1">
      <c r="A414" s="401">
        <v>411</v>
      </c>
      <c r="B414" s="929" t="s">
        <v>53</v>
      </c>
      <c r="C414" s="929" t="s">
        <v>938</v>
      </c>
      <c r="D414" s="899" t="str">
        <f t="shared" si="6"/>
        <v>Puissance installée spécifique, par m2 SRE [W/m2] :</v>
      </c>
      <c r="E414" s="402" t="s">
        <v>5009</v>
      </c>
      <c r="F414" s="2338" t="s">
        <v>5010</v>
      </c>
      <c r="G414" s="403" t="s">
        <v>5011</v>
      </c>
    </row>
    <row r="415" spans="1:7" ht="25.9" customHeight="1">
      <c r="A415" s="401">
        <v>412</v>
      </c>
      <c r="B415" s="929" t="s">
        <v>622</v>
      </c>
      <c r="C415" s="929" t="s">
        <v>1811</v>
      </c>
      <c r="D415" s="899" t="str">
        <f t="shared" si="6"/>
        <v>Interventions importantes sur installations techniques?</v>
      </c>
      <c r="E415" s="402" t="s">
        <v>1934</v>
      </c>
      <c r="F415" s="2338" t="s">
        <v>2282</v>
      </c>
      <c r="G415" s="403" t="s">
        <v>2370</v>
      </c>
    </row>
    <row r="416" spans="1:7" ht="25.9" customHeight="1">
      <c r="A416" s="401">
        <v>413</v>
      </c>
      <c r="B416" s="929" t="s">
        <v>622</v>
      </c>
      <c r="C416" s="929" t="s">
        <v>1933</v>
      </c>
      <c r="D416" s="899" t="str">
        <f t="shared" si="6"/>
        <v>Concept de monitoring</v>
      </c>
      <c r="E416" s="402" t="s">
        <v>1931</v>
      </c>
      <c r="F416" s="2338" t="s">
        <v>2283</v>
      </c>
      <c r="G416" s="403" t="s">
        <v>2371</v>
      </c>
    </row>
    <row r="417" spans="1:7" ht="25.9" customHeight="1">
      <c r="A417" s="401">
        <v>414</v>
      </c>
      <c r="B417" s="929" t="s">
        <v>622</v>
      </c>
      <c r="C417" s="929" t="s">
        <v>1936</v>
      </c>
      <c r="D417" s="899" t="str">
        <f t="shared" si="6"/>
        <v>Concept de monitoring annexé?</v>
      </c>
      <c r="E417" s="402" t="s">
        <v>4758</v>
      </c>
      <c r="F417" s="2338" t="s">
        <v>2284</v>
      </c>
      <c r="G417" s="2230" t="s">
        <v>2372</v>
      </c>
    </row>
    <row r="418" spans="1:7" ht="25.9" customHeight="1">
      <c r="A418" s="401">
        <v>415</v>
      </c>
      <c r="B418" s="929" t="s">
        <v>1797</v>
      </c>
      <c r="C418" s="929" t="s">
        <v>1755</v>
      </c>
      <c r="D418" s="899" t="str">
        <f t="shared" si="6"/>
        <v>Projet</v>
      </c>
      <c r="E418" s="402" t="s">
        <v>1881</v>
      </c>
      <c r="F418" s="2338" t="s">
        <v>2285</v>
      </c>
      <c r="G418" s="403" t="s">
        <v>2373</v>
      </c>
    </row>
    <row r="419" spans="1:7" ht="25.9" customHeight="1">
      <c r="A419" s="401">
        <v>416</v>
      </c>
      <c r="B419" s="929" t="s">
        <v>1797</v>
      </c>
      <c r="C419" s="929" t="s">
        <v>848</v>
      </c>
      <c r="D419" s="899" t="str">
        <f t="shared" si="6"/>
        <v>Instructions</v>
      </c>
      <c r="E419" s="402" t="s">
        <v>1872</v>
      </c>
      <c r="F419" s="2338" t="s">
        <v>2286</v>
      </c>
      <c r="G419" s="403" t="s">
        <v>2374</v>
      </c>
    </row>
    <row r="420" spans="1:7" ht="45" customHeight="1">
      <c r="A420" s="401">
        <v>417</v>
      </c>
      <c r="B420" s="929" t="s">
        <v>1797</v>
      </c>
      <c r="C420" s="929" t="s">
        <v>1884</v>
      </c>
      <c r="D420" s="899" t="str">
        <f t="shared" si="6"/>
        <v>Le présent formulaire sert à la justification des labels Minergie, Minergie-P et Minergie-A. Le label correspondant peut être</v>
      </c>
      <c r="E420" s="402" t="s">
        <v>1873</v>
      </c>
      <c r="F420" s="2338" t="s">
        <v>2796</v>
      </c>
      <c r="G420" s="403" t="s">
        <v>3457</v>
      </c>
    </row>
    <row r="421" spans="1:7" ht="42" customHeight="1">
      <c r="A421" s="401">
        <v>418</v>
      </c>
      <c r="B421" s="929" t="s">
        <v>1797</v>
      </c>
      <c r="C421" s="929" t="s">
        <v>1751</v>
      </c>
      <c r="D421" s="899" t="str">
        <f t="shared" si="6"/>
        <v>sélectionné dans la feuille "Entrées". Une fois le justificatif rempli, il doit être téléchargé sur la plateforme Minergie online (MOP).</v>
      </c>
      <c r="E421" s="402" t="s">
        <v>1874</v>
      </c>
      <c r="F421" s="2338" t="s">
        <v>2795</v>
      </c>
      <c r="G421" s="403" t="s">
        <v>2800</v>
      </c>
    </row>
    <row r="422" spans="1:7" ht="42.75" customHeight="1">
      <c r="A422" s="401">
        <v>419</v>
      </c>
      <c r="B422" s="929" t="s">
        <v>1797</v>
      </c>
      <c r="C422" s="929" t="s">
        <v>1047</v>
      </c>
      <c r="D422" s="899" t="str">
        <f t="shared" si="6"/>
        <v>Après transmission sur MOP, le formulaire de demande est généré automatiquement. La demande signée, le présent formulaire</v>
      </c>
      <c r="E422" s="402" t="s">
        <v>1875</v>
      </c>
      <c r="F422" s="2338" t="s">
        <v>2797</v>
      </c>
      <c r="G422" s="403" t="s">
        <v>2802</v>
      </c>
    </row>
    <row r="423" spans="1:7" ht="45" customHeight="1">
      <c r="A423" s="401">
        <v>420</v>
      </c>
      <c r="B423" s="929" t="s">
        <v>1797</v>
      </c>
      <c r="C423" s="929" t="s">
        <v>1752</v>
      </c>
      <c r="D423" s="899" t="str">
        <f t="shared" si="6"/>
        <v>justificatif et tous les éventuels documents notifiés sur la demande doivent être envoyés au format papier à l'office de certification</v>
      </c>
      <c r="E423" s="402" t="s">
        <v>1876</v>
      </c>
      <c r="F423" s="2338" t="s">
        <v>2798</v>
      </c>
      <c r="G423" s="403" t="s">
        <v>2801</v>
      </c>
    </row>
    <row r="424" spans="1:7" ht="36" customHeight="1">
      <c r="A424" s="401">
        <v>421</v>
      </c>
      <c r="B424" s="929" t="s">
        <v>1797</v>
      </c>
      <c r="C424" s="929" t="s">
        <v>849</v>
      </c>
      <c r="D424" s="899" t="str">
        <f t="shared" si="6"/>
        <v>compétent. Observer le code couleur suivant pour remplir le formulaire justificatif:</v>
      </c>
      <c r="E424" s="402" t="s">
        <v>1877</v>
      </c>
      <c r="F424" s="2338" t="s">
        <v>2799</v>
      </c>
      <c r="G424" s="403" t="s">
        <v>2375</v>
      </c>
    </row>
    <row r="425" spans="1:7" ht="25.9" customHeight="1">
      <c r="A425" s="401">
        <v>422</v>
      </c>
      <c r="B425" s="929" t="s">
        <v>1797</v>
      </c>
      <c r="C425" s="929" t="s">
        <v>854</v>
      </c>
      <c r="D425" s="899" t="str">
        <f t="shared" si="6"/>
        <v>Champ de saisie (obligatoire)</v>
      </c>
      <c r="E425" s="402" t="s">
        <v>1878</v>
      </c>
      <c r="F425" s="2338" t="s">
        <v>2287</v>
      </c>
      <c r="G425" s="403" t="s">
        <v>2376</v>
      </c>
    </row>
    <row r="426" spans="1:7" ht="25.9" customHeight="1">
      <c r="A426" s="401">
        <v>423</v>
      </c>
      <c r="B426" s="929" t="s">
        <v>1797</v>
      </c>
      <c r="C426" s="929" t="s">
        <v>1885</v>
      </c>
      <c r="D426" s="899" t="str">
        <f t="shared" si="6"/>
        <v>Champ de saisie (facultatif)</v>
      </c>
      <c r="E426" s="402" t="s">
        <v>1879</v>
      </c>
      <c r="F426" s="2338" t="s">
        <v>2288</v>
      </c>
      <c r="G426" s="403" t="s">
        <v>2377</v>
      </c>
    </row>
    <row r="427" spans="1:7" ht="25.9" customHeight="1">
      <c r="A427" s="401">
        <v>424</v>
      </c>
      <c r="B427" s="929" t="s">
        <v>1797</v>
      </c>
      <c r="C427" s="929" t="s">
        <v>1886</v>
      </c>
      <c r="D427" s="899" t="str">
        <f t="shared" si="6"/>
        <v>Liste déroulante (obligatoire)</v>
      </c>
      <c r="E427" s="402" t="s">
        <v>1880</v>
      </c>
      <c r="F427" s="2338" t="s">
        <v>2289</v>
      </c>
      <c r="G427" s="403" t="s">
        <v>2378</v>
      </c>
    </row>
    <row r="428" spans="1:7" ht="25.9" customHeight="1">
      <c r="A428" s="401">
        <v>425</v>
      </c>
      <c r="B428" s="929" t="s">
        <v>1797</v>
      </c>
      <c r="C428" s="929" t="s">
        <v>866</v>
      </c>
      <c r="D428" s="899" t="str">
        <f t="shared" si="6"/>
        <v>Satisfaction de l'exigence principale</v>
      </c>
      <c r="E428" s="402" t="s">
        <v>1882</v>
      </c>
      <c r="F428" s="2338" t="s">
        <v>2290</v>
      </c>
      <c r="G428" s="403" t="s">
        <v>2379</v>
      </c>
    </row>
    <row r="429" spans="1:7" ht="25.9" customHeight="1">
      <c r="A429" s="401">
        <v>426</v>
      </c>
      <c r="B429" s="929" t="s">
        <v>1797</v>
      </c>
      <c r="C429" s="929" t="s">
        <v>98</v>
      </c>
      <c r="D429" s="899" t="str">
        <f t="shared" si="6"/>
        <v>Satisfaction des exigences de base</v>
      </c>
      <c r="E429" s="402" t="s">
        <v>2200</v>
      </c>
      <c r="F429" s="2338" t="s">
        <v>2291</v>
      </c>
      <c r="G429" s="403" t="s">
        <v>2380</v>
      </c>
    </row>
    <row r="430" spans="1:7" ht="25.9" customHeight="1">
      <c r="A430" s="401">
        <v>427</v>
      </c>
      <c r="B430" s="929" t="s">
        <v>1797</v>
      </c>
      <c r="C430" s="929" t="s">
        <v>868</v>
      </c>
      <c r="D430" s="899" t="str">
        <f t="shared" si="6"/>
        <v>Indice Minergie en kWh/m2</v>
      </c>
      <c r="E430" s="402" t="s">
        <v>1883</v>
      </c>
      <c r="F430" s="2338" t="s">
        <v>2292</v>
      </c>
      <c r="G430" s="403" t="s">
        <v>2381</v>
      </c>
    </row>
    <row r="431" spans="1:7" ht="25.9" customHeight="1">
      <c r="A431" s="401">
        <v>428</v>
      </c>
      <c r="B431" s="929" t="s">
        <v>1797</v>
      </c>
      <c r="C431" s="929" t="s">
        <v>513</v>
      </c>
      <c r="D431" s="899" t="str">
        <f t="shared" si="6"/>
        <v>Indice Minergie en CO2/m2</v>
      </c>
      <c r="E431" s="402" t="s">
        <v>2185</v>
      </c>
      <c r="F431" s="2338" t="s">
        <v>2293</v>
      </c>
      <c r="G431" s="2230" t="s">
        <v>2382</v>
      </c>
    </row>
    <row r="432" spans="1:7" ht="25.9" customHeight="1">
      <c r="A432" s="401">
        <v>429</v>
      </c>
      <c r="B432" s="929" t="s">
        <v>1797</v>
      </c>
      <c r="C432" s="929" t="s">
        <v>438</v>
      </c>
      <c r="D432" s="899" t="str">
        <f t="shared" si="6"/>
        <v>Besoins de chaleur en kWh/m²</v>
      </c>
      <c r="E432" s="402" t="s">
        <v>2769</v>
      </c>
      <c r="F432" s="2338" t="s">
        <v>2770</v>
      </c>
      <c r="G432" s="403" t="s">
        <v>2383</v>
      </c>
    </row>
    <row r="433" spans="1:7" ht="25.9" customHeight="1">
      <c r="A433" s="401">
        <v>430</v>
      </c>
      <c r="B433" s="929" t="s">
        <v>1797</v>
      </c>
      <c r="C433" s="929" t="s">
        <v>380</v>
      </c>
      <c r="D433" s="899" t="str">
        <f t="shared" si="6"/>
        <v>Energie finale sans photovoltaïque en kWh/m²</v>
      </c>
      <c r="E433" s="402" t="s">
        <v>2771</v>
      </c>
      <c r="F433" s="2338" t="s">
        <v>2772</v>
      </c>
      <c r="G433" s="403" t="s">
        <v>2384</v>
      </c>
    </row>
    <row r="434" spans="1:7" ht="25.9" customHeight="1">
      <c r="A434" s="401">
        <v>431</v>
      </c>
      <c r="B434" s="929" t="s">
        <v>1797</v>
      </c>
      <c r="C434" s="929" t="s">
        <v>487</v>
      </c>
      <c r="D434" s="899" t="str">
        <f t="shared" si="6"/>
        <v>Valeur limite Minergie pour l'éclairage en kWh/m²</v>
      </c>
      <c r="E434" s="402" t="s">
        <v>2773</v>
      </c>
      <c r="F434" s="2338" t="s">
        <v>2774</v>
      </c>
      <c r="G434" s="403" t="s">
        <v>4966</v>
      </c>
    </row>
    <row r="435" spans="1:7" ht="25.9" customHeight="1">
      <c r="A435" s="401">
        <v>432</v>
      </c>
      <c r="B435" s="929" t="s">
        <v>1797</v>
      </c>
      <c r="C435" s="929" t="s">
        <v>872</v>
      </c>
      <c r="D435" s="899" t="str">
        <f t="shared" si="6"/>
        <v>Visualisation de l'indice Minergie</v>
      </c>
      <c r="E435" s="402" t="s">
        <v>2775</v>
      </c>
      <c r="F435" s="2338" t="s">
        <v>2294</v>
      </c>
      <c r="G435" s="403" t="s">
        <v>2386</v>
      </c>
    </row>
    <row r="436" spans="1:7" ht="25.9" customHeight="1">
      <c r="A436" s="401">
        <v>433</v>
      </c>
      <c r="B436" s="929" t="s">
        <v>1797</v>
      </c>
      <c r="C436" s="929" t="s">
        <v>1894</v>
      </c>
      <c r="D436" s="899" t="str">
        <f t="shared" si="6"/>
        <v>Chauffage</v>
      </c>
      <c r="E436" s="402" t="s">
        <v>243</v>
      </c>
      <c r="F436" s="2338" t="s">
        <v>1642</v>
      </c>
      <c r="G436" s="403" t="s">
        <v>2387</v>
      </c>
    </row>
    <row r="437" spans="1:7" ht="25.9" customHeight="1">
      <c r="A437" s="401">
        <v>434</v>
      </c>
      <c r="B437" s="929" t="s">
        <v>1797</v>
      </c>
      <c r="C437" s="929" t="s">
        <v>1895</v>
      </c>
      <c r="D437" s="899" t="str">
        <f t="shared" si="6"/>
        <v>Eau chaude</v>
      </c>
      <c r="E437" s="402" t="s">
        <v>244</v>
      </c>
      <c r="F437" s="2338" t="s">
        <v>1643</v>
      </c>
      <c r="G437" s="403" t="s">
        <v>2354</v>
      </c>
    </row>
    <row r="438" spans="1:7" ht="25.9" customHeight="1">
      <c r="A438" s="401">
        <v>435</v>
      </c>
      <c r="B438" s="929" t="s">
        <v>1797</v>
      </c>
      <c r="C438" s="929" t="s">
        <v>1897</v>
      </c>
      <c r="D438" s="899" t="str">
        <f t="shared" si="6"/>
        <v>Eclairage</v>
      </c>
      <c r="E438" s="402" t="s">
        <v>696</v>
      </c>
      <c r="F438" s="2338" t="s">
        <v>2295</v>
      </c>
      <c r="G438" s="403" t="s">
        <v>2388</v>
      </c>
    </row>
    <row r="439" spans="1:7" ht="25.9" customHeight="1">
      <c r="A439" s="401">
        <v>436</v>
      </c>
      <c r="B439" s="929" t="s">
        <v>1797</v>
      </c>
      <c r="C439" s="929" t="s">
        <v>1898</v>
      </c>
      <c r="D439" s="899" t="str">
        <f t="shared" si="6"/>
        <v>Appareils</v>
      </c>
      <c r="E439" s="402" t="s">
        <v>1849</v>
      </c>
      <c r="F439" s="2338" t="s">
        <v>2296</v>
      </c>
      <c r="G439" s="403" t="s">
        <v>2389</v>
      </c>
    </row>
    <row r="440" spans="1:7" ht="25.9" customHeight="1">
      <c r="A440" s="401">
        <v>437</v>
      </c>
      <c r="B440" s="929" t="s">
        <v>1797</v>
      </c>
      <c r="C440" s="929" t="s">
        <v>1902</v>
      </c>
      <c r="D440" s="899" t="str">
        <f t="shared" si="6"/>
        <v>Installations techn. du bâtiment</v>
      </c>
      <c r="E440" s="402" t="s">
        <v>1852</v>
      </c>
      <c r="F440" s="2338" t="s">
        <v>2614</v>
      </c>
      <c r="G440" s="403" t="s">
        <v>2390</v>
      </c>
    </row>
    <row r="441" spans="1:7" ht="25.9" customHeight="1">
      <c r="A441" s="401">
        <v>438</v>
      </c>
      <c r="B441" s="929" t="s">
        <v>1797</v>
      </c>
      <c r="C441" s="929" t="s">
        <v>1900</v>
      </c>
      <c r="D441" s="899" t="str">
        <f t="shared" si="6"/>
        <v>Besoins d'énergie finale</v>
      </c>
      <c r="E441" s="402" t="s">
        <v>1899</v>
      </c>
      <c r="F441" s="2338" t="s">
        <v>2297</v>
      </c>
      <c r="G441" s="403" t="s">
        <v>2391</v>
      </c>
    </row>
    <row r="442" spans="1:7" ht="25.9" customHeight="1">
      <c r="A442" s="401">
        <v>439</v>
      </c>
      <c r="B442" s="929" t="s">
        <v>1797</v>
      </c>
      <c r="C442" s="929" t="s">
        <v>1901</v>
      </c>
      <c r="D442" s="899" t="str">
        <f t="shared" si="6"/>
        <v>Indice Minergie calculé</v>
      </c>
      <c r="E442" s="402" t="s">
        <v>2776</v>
      </c>
      <c r="F442" s="2338" t="s">
        <v>3568</v>
      </c>
      <c r="G442" s="403" t="s">
        <v>3569</v>
      </c>
    </row>
    <row r="443" spans="1:7" ht="25.9" customHeight="1">
      <c r="A443" s="401">
        <v>440</v>
      </c>
      <c r="B443" s="929" t="s">
        <v>1797</v>
      </c>
      <c r="C443" s="929" t="s">
        <v>1896</v>
      </c>
      <c r="D443" s="899" t="str">
        <f t="shared" si="6"/>
        <v>Electricité d'habitation</v>
      </c>
      <c r="E443" s="402" t="s">
        <v>3047</v>
      </c>
      <c r="F443" s="2338" t="s">
        <v>3048</v>
      </c>
      <c r="G443" s="403" t="s">
        <v>3049</v>
      </c>
    </row>
    <row r="444" spans="1:7" ht="25.9" customHeight="1">
      <c r="A444" s="401">
        <v>441</v>
      </c>
      <c r="B444" s="929" t="s">
        <v>1797</v>
      </c>
      <c r="C444" s="929" t="s">
        <v>1903</v>
      </c>
      <c r="D444" s="899" t="str">
        <f t="shared" si="6"/>
        <v>PV autoconsommation</v>
      </c>
      <c r="E444" s="402" t="s">
        <v>1912</v>
      </c>
      <c r="F444" s="2338" t="s">
        <v>2615</v>
      </c>
      <c r="G444" s="403" t="s">
        <v>2392</v>
      </c>
    </row>
    <row r="445" spans="1:7" ht="25.9" customHeight="1">
      <c r="A445" s="401">
        <v>442</v>
      </c>
      <c r="B445" s="929" t="s">
        <v>1797</v>
      </c>
      <c r="C445" s="929" t="s">
        <v>1904</v>
      </c>
      <c r="D445" s="899" t="str">
        <f t="shared" si="6"/>
        <v>PV part injectée</v>
      </c>
      <c r="E445" s="402" t="s">
        <v>1913</v>
      </c>
      <c r="F445" s="2338" t="s">
        <v>2616</v>
      </c>
      <c r="G445" s="403" t="s">
        <v>2393</v>
      </c>
    </row>
    <row r="446" spans="1:7" ht="25.9" customHeight="1">
      <c r="A446" s="401">
        <v>443</v>
      </c>
      <c r="B446" s="929" t="s">
        <v>1797</v>
      </c>
      <c r="C446" s="929" t="s">
        <v>1908</v>
      </c>
      <c r="D446" s="899" t="str">
        <f t="shared" si="6"/>
        <v>Besoins</v>
      </c>
      <c r="E446" s="402" t="s">
        <v>1907</v>
      </c>
      <c r="F446" s="2338" t="s">
        <v>2298</v>
      </c>
      <c r="G446" s="403" t="s">
        <v>2394</v>
      </c>
    </row>
    <row r="447" spans="1:7" ht="25.9" customHeight="1">
      <c r="A447" s="401">
        <v>444</v>
      </c>
      <c r="B447" s="929" t="s">
        <v>1797</v>
      </c>
      <c r="C447" s="929" t="s">
        <v>1905</v>
      </c>
      <c r="D447" s="899" t="str">
        <f t="shared" si="6"/>
        <v>Potentiel d'optimisation</v>
      </c>
      <c r="E447" s="402" t="s">
        <v>1909</v>
      </c>
      <c r="F447" s="2338" t="s">
        <v>2299</v>
      </c>
      <c r="G447" s="403" t="s">
        <v>2395</v>
      </c>
    </row>
    <row r="448" spans="1:7" ht="25.9" customHeight="1">
      <c r="A448" s="401">
        <v>445</v>
      </c>
      <c r="B448" s="929" t="s">
        <v>1797</v>
      </c>
      <c r="C448" s="929" t="s">
        <v>1906</v>
      </c>
      <c r="D448" s="899" t="str">
        <f t="shared" si="6"/>
        <v>Valeur limite Minergie</v>
      </c>
      <c r="E448" s="402" t="s">
        <v>2777</v>
      </c>
      <c r="F448" s="2338" t="s">
        <v>2778</v>
      </c>
      <c r="G448" s="403" t="s">
        <v>2396</v>
      </c>
    </row>
    <row r="449" spans="1:7" ht="25.9" customHeight="1">
      <c r="A449" s="401">
        <v>446</v>
      </c>
      <c r="B449" s="929" t="s">
        <v>1797</v>
      </c>
      <c r="C449" s="929" t="s">
        <v>1910</v>
      </c>
      <c r="D449" s="899" t="str">
        <f t="shared" si="6"/>
        <v>Besoins</v>
      </c>
      <c r="E449" s="402" t="s">
        <v>1907</v>
      </c>
      <c r="F449" s="2338" t="s">
        <v>2298</v>
      </c>
      <c r="G449" s="403" t="s">
        <v>2394</v>
      </c>
    </row>
    <row r="450" spans="1:7" ht="25.9" customHeight="1">
      <c r="A450" s="401">
        <v>447</v>
      </c>
      <c r="B450" s="929" t="s">
        <v>1797</v>
      </c>
      <c r="C450" s="929" t="s">
        <v>1911</v>
      </c>
      <c r="D450" s="899" t="str">
        <f t="shared" si="6"/>
        <v>Indice Minergie max.</v>
      </c>
      <c r="E450" s="402" t="s">
        <v>2779</v>
      </c>
      <c r="F450" s="2338" t="s">
        <v>3570</v>
      </c>
      <c r="G450" s="403" t="s">
        <v>2397</v>
      </c>
    </row>
    <row r="451" spans="1:7" ht="47.25" customHeight="1">
      <c r="A451" s="401">
        <v>448</v>
      </c>
      <c r="B451" s="929" t="s">
        <v>313</v>
      </c>
      <c r="C451" s="929" t="s">
        <v>941</v>
      </c>
      <c r="D451" s="899" t="str">
        <f t="shared" si="6"/>
        <v>Exigence Minergie-A: 
l'indice partiel éclairage, appareils et installations techniques générales est inférieur à l'autoproduction</v>
      </c>
      <c r="E451" s="402" t="s">
        <v>2211</v>
      </c>
      <c r="F451" s="2338" t="s">
        <v>2476</v>
      </c>
      <c r="G451" s="403" t="s">
        <v>2472</v>
      </c>
    </row>
    <row r="452" spans="1:7" ht="25.9" customHeight="1">
      <c r="A452" s="401">
        <v>449</v>
      </c>
      <c r="B452" s="929" t="s">
        <v>53</v>
      </c>
      <c r="C452" s="929" t="s">
        <v>1064</v>
      </c>
      <c r="D452" s="899" t="str">
        <f t="shared" si="6"/>
        <v>Taille min. de l'installation d’autoproduction d’électricité [kWp]:</v>
      </c>
      <c r="E452" s="402" t="s">
        <v>5008</v>
      </c>
      <c r="F452" s="2338" t="s">
        <v>5023</v>
      </c>
      <c r="G452" s="403" t="s">
        <v>5024</v>
      </c>
    </row>
    <row r="453" spans="1:7" ht="42.75" customHeight="1">
      <c r="A453" s="401">
        <v>450</v>
      </c>
      <c r="B453" s="929" t="s">
        <v>313</v>
      </c>
      <c r="C453" s="929" t="s">
        <v>1915</v>
      </c>
      <c r="D453" s="899" t="str">
        <f t="shared" ref="D453:D503" si="7">INDEX($E$4:$G$503,$A453,$A$1)</f>
        <v>Valable pour les catégories "Restaurants", "Installations sportives" et "Piscines couvertes":
fournir 20% d'énergie à partir de sources renouvelables.</v>
      </c>
      <c r="E453" s="402" t="s">
        <v>1916</v>
      </c>
      <c r="F453" s="2338" t="s">
        <v>2300</v>
      </c>
      <c r="G453" s="403" t="s">
        <v>2401</v>
      </c>
    </row>
    <row r="454" spans="1:7" ht="39.950000000000003" customHeight="1">
      <c r="A454" s="401">
        <v>451</v>
      </c>
      <c r="B454" s="929" t="s">
        <v>313</v>
      </c>
      <c r="C454" s="929" t="s">
        <v>1919</v>
      </c>
      <c r="D454" s="899" t="str">
        <f t="shared" si="7"/>
        <v>Valable pour la catégorie "Piscine couverte".</v>
      </c>
      <c r="E454" s="402" t="s">
        <v>1918</v>
      </c>
      <c r="F454" s="2338" t="s">
        <v>2301</v>
      </c>
      <c r="G454" s="403" t="s">
        <v>2398</v>
      </c>
    </row>
    <row r="455" spans="1:7" ht="26.1" customHeight="1">
      <c r="A455" s="401">
        <v>452</v>
      </c>
      <c r="B455" s="929" t="s">
        <v>53</v>
      </c>
      <c r="C455" s="929" t="s">
        <v>940</v>
      </c>
      <c r="D455" s="899" t="str">
        <f t="shared" si="7"/>
        <v>Les besoins sont couverts par la production d’électricité:</v>
      </c>
      <c r="E455" s="402" t="s">
        <v>2213</v>
      </c>
      <c r="F455" s="2338" t="s">
        <v>2477</v>
      </c>
      <c r="G455" s="403" t="s">
        <v>2478</v>
      </c>
    </row>
    <row r="456" spans="1:7" ht="25.9" customHeight="1">
      <c r="A456" s="401">
        <v>453</v>
      </c>
      <c r="B456" s="929" t="s">
        <v>313</v>
      </c>
      <c r="C456" s="929" t="s">
        <v>2081</v>
      </c>
      <c r="D456" s="899" t="str">
        <f t="shared" si="7"/>
        <v>Indice partiel
Besoins</v>
      </c>
      <c r="E456" s="402" t="s">
        <v>2080</v>
      </c>
      <c r="F456" s="2338" t="s">
        <v>2302</v>
      </c>
      <c r="G456" s="403" t="s">
        <v>2402</v>
      </c>
    </row>
    <row r="457" spans="1:7" ht="25.9" customHeight="1">
      <c r="A457" s="401">
        <v>454</v>
      </c>
      <c r="B457" s="929" t="s">
        <v>313</v>
      </c>
      <c r="C457" s="929" t="s">
        <v>2082</v>
      </c>
      <c r="D457" s="899" t="str">
        <f t="shared" si="7"/>
        <v>Production PV
(pondérée)</v>
      </c>
      <c r="E457" s="402" t="s">
        <v>2210</v>
      </c>
      <c r="F457" s="2338" t="s">
        <v>2303</v>
      </c>
      <c r="G457" s="403" t="s">
        <v>2403</v>
      </c>
    </row>
    <row r="458" spans="1:7" ht="25.9" customHeight="1">
      <c r="A458" s="401">
        <v>455</v>
      </c>
      <c r="B458" s="929" t="s">
        <v>1797</v>
      </c>
      <c r="C458" s="929" t="s">
        <v>2084</v>
      </c>
      <c r="D458" s="899" t="str">
        <f t="shared" si="7"/>
        <v>Exigence PV (pondérée)</v>
      </c>
      <c r="E458" s="402" t="s">
        <v>2083</v>
      </c>
      <c r="F458" s="2338" t="s">
        <v>2304</v>
      </c>
      <c r="G458" s="403" t="s">
        <v>2399</v>
      </c>
    </row>
    <row r="459" spans="1:7" ht="25.9" customHeight="1">
      <c r="A459" s="401">
        <v>456</v>
      </c>
      <c r="B459" s="929" t="s">
        <v>1797</v>
      </c>
      <c r="C459" s="929" t="s">
        <v>2086</v>
      </c>
      <c r="D459" s="899" t="str">
        <f t="shared" si="7"/>
        <v>Production PV (pondérée)</v>
      </c>
      <c r="E459" s="402" t="s">
        <v>2085</v>
      </c>
      <c r="F459" s="2338" t="s">
        <v>2305</v>
      </c>
      <c r="G459" s="403" t="s">
        <v>2400</v>
      </c>
    </row>
    <row r="460" spans="1:7" ht="25.9" customHeight="1">
      <c r="A460" s="401">
        <v>457</v>
      </c>
      <c r="B460" s="929" t="s">
        <v>1797</v>
      </c>
      <c r="C460" s="929" t="s">
        <v>868</v>
      </c>
      <c r="D460" s="899" t="str">
        <f t="shared" si="7"/>
        <v>Indice partiel Minergie-A</v>
      </c>
      <c r="E460" s="402" t="s">
        <v>2780</v>
      </c>
      <c r="F460" s="2338" t="s">
        <v>2781</v>
      </c>
      <c r="G460" s="403" t="s">
        <v>2782</v>
      </c>
    </row>
    <row r="461" spans="1:7" ht="25.9" customHeight="1">
      <c r="A461" s="401">
        <v>458</v>
      </c>
      <c r="B461" s="929" t="s">
        <v>1797</v>
      </c>
      <c r="C461" s="929" t="s">
        <v>513</v>
      </c>
      <c r="D461" s="899" t="str">
        <f t="shared" si="7"/>
        <v>MINERGIE-A: les besoins MKZ (sans PV) sont-ils couverts par le photovoltaïque?</v>
      </c>
      <c r="E461" s="402" t="s">
        <v>2783</v>
      </c>
      <c r="F461" s="2338" t="s">
        <v>2306</v>
      </c>
      <c r="G461" s="403" t="s">
        <v>2784</v>
      </c>
    </row>
    <row r="462" spans="1:7" ht="25.9" customHeight="1">
      <c r="A462" s="401">
        <v>459</v>
      </c>
      <c r="B462" s="929" t="s">
        <v>1797</v>
      </c>
      <c r="C462" s="929" t="s">
        <v>2187</v>
      </c>
      <c r="D462" s="899" t="str">
        <f t="shared" si="7"/>
        <v>Pas d’exigence</v>
      </c>
      <c r="E462" s="402" t="s">
        <v>2186</v>
      </c>
      <c r="F462" s="2338" t="s">
        <v>2479</v>
      </c>
      <c r="G462" s="403" t="s">
        <v>2470</v>
      </c>
    </row>
    <row r="463" spans="1:7" ht="25.9" customHeight="1">
      <c r="A463" s="401">
        <v>460</v>
      </c>
      <c r="B463" s="929" t="s">
        <v>53</v>
      </c>
      <c r="C463" s="929" t="s">
        <v>1838</v>
      </c>
      <c r="D463" s="899" t="str">
        <f t="shared" si="7"/>
        <v>Autoproduction d‘électricité</v>
      </c>
      <c r="E463" s="402" t="s">
        <v>2206</v>
      </c>
      <c r="F463" s="2338" t="s">
        <v>2480</v>
      </c>
      <c r="G463" s="403" t="s">
        <v>2471</v>
      </c>
    </row>
    <row r="464" spans="1:7" ht="25.9" customHeight="1">
      <c r="A464" s="401">
        <v>461</v>
      </c>
      <c r="B464" s="929" t="s">
        <v>1797</v>
      </c>
      <c r="C464" s="929" t="s">
        <v>871</v>
      </c>
      <c r="D464" s="899" t="str">
        <f t="shared" si="7"/>
        <v>Part d'énergies fossiles</v>
      </c>
      <c r="E464" s="402" t="s">
        <v>2538</v>
      </c>
      <c r="F464" s="2338" t="s">
        <v>2548</v>
      </c>
      <c r="G464" s="403" t="s">
        <v>2549</v>
      </c>
    </row>
    <row r="465" spans="1:7" ht="25.9" customHeight="1">
      <c r="A465" s="401">
        <v>462</v>
      </c>
      <c r="B465" s="929" t="s">
        <v>1797</v>
      </c>
      <c r="C465" s="929" t="s">
        <v>878</v>
      </c>
      <c r="D465" s="899" t="str">
        <f t="shared" si="7"/>
        <v>Les besoins sont couverts par la production d’électricité:</v>
      </c>
      <c r="E465" s="402" t="s">
        <v>2213</v>
      </c>
      <c r="F465" s="2338" t="s">
        <v>2477</v>
      </c>
      <c r="G465" s="403" t="s">
        <v>2478</v>
      </c>
    </row>
    <row r="466" spans="1:7" ht="25.9" customHeight="1">
      <c r="A466" s="401">
        <v>463</v>
      </c>
      <c r="B466" s="929" t="s">
        <v>622</v>
      </c>
      <c r="C466" s="929" t="s">
        <v>2537</v>
      </c>
      <c r="D466" s="899" t="str">
        <f t="shared" si="7"/>
        <v>Rubans chauffants</v>
      </c>
      <c r="E466" s="402" t="s">
        <v>3575</v>
      </c>
      <c r="F466" s="2338" t="s">
        <v>2532</v>
      </c>
      <c r="G466" s="403" t="s">
        <v>2533</v>
      </c>
    </row>
    <row r="467" spans="1:7" ht="25.9" customHeight="1">
      <c r="A467" s="401">
        <v>464</v>
      </c>
      <c r="B467" s="929" t="s">
        <v>313</v>
      </c>
      <c r="C467" s="929" t="s">
        <v>854</v>
      </c>
      <c r="D467" s="899" t="str">
        <f t="shared" si="7"/>
        <v>Eau chaude, valeur calculée</v>
      </c>
      <c r="E467" s="402" t="s">
        <v>2542</v>
      </c>
      <c r="F467" s="2338" t="s">
        <v>2543</v>
      </c>
      <c r="G467" s="403" t="s">
        <v>2544</v>
      </c>
    </row>
    <row r="468" spans="1:7" ht="25.9" customHeight="1">
      <c r="A468" s="401">
        <v>465</v>
      </c>
      <c r="B468" s="929" t="s">
        <v>313</v>
      </c>
      <c r="C468" s="929" t="s">
        <v>1753</v>
      </c>
      <c r="D468" s="899" t="str">
        <f t="shared" si="7"/>
        <v>Eau chaude, SIA 385</v>
      </c>
      <c r="E468" s="402" t="s">
        <v>2545</v>
      </c>
      <c r="F468" s="2338" t="s">
        <v>2546</v>
      </c>
      <c r="G468" s="403" t="s">
        <v>2547</v>
      </c>
    </row>
    <row r="469" spans="1:7" ht="25.9" customHeight="1">
      <c r="A469" s="401">
        <v>466</v>
      </c>
      <c r="B469" s="929" t="s">
        <v>313</v>
      </c>
      <c r="C469" s="929" t="s">
        <v>853</v>
      </c>
      <c r="D469" s="899" t="str">
        <f t="shared" si="7"/>
        <v>Locataire inconnu</v>
      </c>
      <c r="E469" s="402" t="s">
        <v>2564</v>
      </c>
      <c r="F469" s="2338" t="s">
        <v>2785</v>
      </c>
      <c r="G469" s="403" t="s">
        <v>2786</v>
      </c>
    </row>
    <row r="470" spans="1:7" ht="25.9" customHeight="1">
      <c r="A470" s="401">
        <v>467</v>
      </c>
      <c r="B470" s="929" t="s">
        <v>1797</v>
      </c>
      <c r="C470" s="929" t="s">
        <v>1897</v>
      </c>
      <c r="D470" s="899" t="str">
        <f t="shared" si="7"/>
        <v>ventilation et climatisation</v>
      </c>
      <c r="E470" s="402" t="s">
        <v>2593</v>
      </c>
      <c r="F470" s="2338" t="s">
        <v>2617</v>
      </c>
      <c r="G470" s="403" t="s">
        <v>2787</v>
      </c>
    </row>
    <row r="471" spans="1:7" ht="36" customHeight="1">
      <c r="A471" s="401">
        <v>468</v>
      </c>
      <c r="B471" s="929" t="s">
        <v>1797</v>
      </c>
      <c r="C471" s="929" t="s">
        <v>2601</v>
      </c>
      <c r="D471" s="899" t="str">
        <f t="shared" si="7"/>
        <v xml:space="preserve">   Production PV</v>
      </c>
      <c r="E471" s="429" t="s">
        <v>2896</v>
      </c>
      <c r="F471" s="1394" t="s">
        <v>2897</v>
      </c>
      <c r="G471" s="1393" t="s">
        <v>2898</v>
      </c>
    </row>
    <row r="472" spans="1:7" ht="25.9" customHeight="1">
      <c r="A472" s="401">
        <v>469</v>
      </c>
      <c r="B472" s="929" t="s">
        <v>1797</v>
      </c>
      <c r="C472" s="929" t="s">
        <v>2602</v>
      </c>
      <c r="D472" s="899" t="str">
        <f t="shared" si="7"/>
        <v xml:space="preserve">       Valeur de l'objet
 </v>
      </c>
      <c r="E472" s="429" t="s">
        <v>2895</v>
      </c>
      <c r="F472" s="1394" t="s">
        <v>2899</v>
      </c>
      <c r="G472" s="1393" t="s">
        <v>2894</v>
      </c>
    </row>
    <row r="473" spans="1:7" ht="25.9" customHeight="1">
      <c r="A473" s="401">
        <v>470</v>
      </c>
      <c r="B473" s="929" t="s">
        <v>1797</v>
      </c>
      <c r="C473" s="929" t="s">
        <v>2603</v>
      </c>
      <c r="D473" s="899" t="str">
        <f t="shared" si="7"/>
        <v>PV non pris en compte</v>
      </c>
      <c r="E473" s="402" t="s">
        <v>2594</v>
      </c>
      <c r="F473" s="2338" t="s">
        <v>2791</v>
      </c>
      <c r="G473" s="403" t="s">
        <v>2788</v>
      </c>
    </row>
    <row r="474" spans="1:7" ht="25.9" customHeight="1">
      <c r="A474" s="401">
        <v>471</v>
      </c>
      <c r="B474" s="929" t="s">
        <v>622</v>
      </c>
      <c r="C474" s="929" t="s">
        <v>1807</v>
      </c>
      <c r="D474" s="899" t="str">
        <f t="shared" si="7"/>
        <v>Concept d'étanchéité et de mesure annexé?</v>
      </c>
      <c r="E474" s="402" t="s">
        <v>2905</v>
      </c>
      <c r="F474" s="2338" t="s">
        <v>2906</v>
      </c>
      <c r="G474" s="403" t="s">
        <v>2907</v>
      </c>
    </row>
    <row r="475" spans="1:7" ht="25.9" customHeight="1">
      <c r="A475" s="401">
        <v>472</v>
      </c>
      <c r="B475" s="929" t="s">
        <v>53</v>
      </c>
      <c r="C475" s="929" t="s">
        <v>5029</v>
      </c>
      <c r="D475" s="899" t="str">
        <f t="shared" si="7"/>
        <v>Capacité de la batterie [kWh]</v>
      </c>
      <c r="E475" s="402" t="s">
        <v>2610</v>
      </c>
      <c r="F475" s="2338" t="s">
        <v>2792</v>
      </c>
      <c r="G475" s="403" t="s">
        <v>2789</v>
      </c>
    </row>
    <row r="476" spans="1:7" ht="25.9" customHeight="1">
      <c r="A476" s="401">
        <v>473</v>
      </c>
      <c r="B476" s="929" t="s">
        <v>313</v>
      </c>
      <c r="C476" s="929" t="s">
        <v>1065</v>
      </c>
      <c r="D476" s="899" t="str">
        <f t="shared" si="7"/>
        <v>Pertes de la batterie [%]:</v>
      </c>
      <c r="E476" s="402" t="s">
        <v>2611</v>
      </c>
      <c r="F476" s="2338" t="s">
        <v>2793</v>
      </c>
      <c r="G476" s="403" t="s">
        <v>2790</v>
      </c>
    </row>
    <row r="477" spans="1:7" ht="40.5" customHeight="1">
      <c r="A477" s="401">
        <v>474</v>
      </c>
      <c r="B477" s="929" t="s">
        <v>1797</v>
      </c>
      <c r="C477" s="929" t="s">
        <v>2701</v>
      </c>
      <c r="D477" s="899" t="str">
        <f t="shared" si="7"/>
        <v xml:space="preserve">                                  E HWLK,li +
                        Besoins standard électricité
  </v>
      </c>
      <c r="E477" s="1510" t="s">
        <v>2891</v>
      </c>
      <c r="F477" s="2338" t="s">
        <v>2892</v>
      </c>
      <c r="G477" s="403" t="s">
        <v>2893</v>
      </c>
    </row>
    <row r="478" spans="1:7" ht="25.9" customHeight="1">
      <c r="A478" s="401">
        <v>475</v>
      </c>
      <c r="B478" s="929" t="s">
        <v>706</v>
      </c>
      <c r="C478" s="929" t="s">
        <v>1076</v>
      </c>
      <c r="D478" s="899" t="str">
        <f t="shared" si="7"/>
        <v>Indice Minergie (MKZ)</v>
      </c>
      <c r="E478" s="402" t="s">
        <v>1690</v>
      </c>
      <c r="F478" s="2338" t="s">
        <v>2794</v>
      </c>
      <c r="G478" s="403" t="s">
        <v>2710</v>
      </c>
    </row>
    <row r="479" spans="1:7" ht="25.9" customHeight="1">
      <c r="A479" s="401">
        <v>476</v>
      </c>
      <c r="B479" s="929" t="s">
        <v>1797</v>
      </c>
      <c r="C479" s="929" t="s">
        <v>2738</v>
      </c>
      <c r="D479" s="899" t="str">
        <f t="shared" si="7"/>
        <v>MKZ</v>
      </c>
      <c r="E479" s="402" t="s">
        <v>2711</v>
      </c>
      <c r="F479" s="2338" t="s">
        <v>2711</v>
      </c>
      <c r="G479" s="403" t="s">
        <v>2712</v>
      </c>
    </row>
    <row r="480" spans="1:7" ht="25.9" customHeight="1">
      <c r="A480" s="401">
        <v>477</v>
      </c>
      <c r="B480" s="929" t="s">
        <v>1797</v>
      </c>
      <c r="C480" s="929" t="s">
        <v>2713</v>
      </c>
      <c r="D480" s="899" t="str">
        <f t="shared" si="7"/>
        <v>H</v>
      </c>
      <c r="E480" s="402" t="s">
        <v>2714</v>
      </c>
      <c r="F480" s="2338" t="s">
        <v>2714</v>
      </c>
      <c r="G480" s="403" t="s">
        <v>2715</v>
      </c>
    </row>
    <row r="481" spans="1:7" ht="25.9" customHeight="1">
      <c r="A481" s="401">
        <v>478</v>
      </c>
      <c r="B481" s="929" t="s">
        <v>1797</v>
      </c>
      <c r="C481" s="929" t="s">
        <v>2716</v>
      </c>
      <c r="D481" s="899" t="str">
        <f t="shared" si="7"/>
        <v>ww</v>
      </c>
      <c r="E481" s="402" t="s">
        <v>525</v>
      </c>
      <c r="F481" s="2338" t="s">
        <v>525</v>
      </c>
      <c r="G481" s="403" t="s">
        <v>2717</v>
      </c>
    </row>
    <row r="482" spans="1:7" ht="25.9" customHeight="1">
      <c r="A482" s="401">
        <v>479</v>
      </c>
      <c r="B482" s="929" t="s">
        <v>1797</v>
      </c>
      <c r="C482" s="929" t="s">
        <v>2719</v>
      </c>
      <c r="D482" s="899" t="str">
        <f t="shared" si="7"/>
        <v>LK</v>
      </c>
      <c r="E482" s="402" t="s">
        <v>2720</v>
      </c>
      <c r="F482" s="2338" t="s">
        <v>2720</v>
      </c>
      <c r="G482" s="403" t="s">
        <v>2718</v>
      </c>
    </row>
    <row r="483" spans="1:7" ht="25.9" customHeight="1">
      <c r="A483" s="401">
        <v>480</v>
      </c>
      <c r="B483" s="929" t="s">
        <v>1797</v>
      </c>
      <c r="C483" s="929" t="s">
        <v>2723</v>
      </c>
      <c r="D483" s="899" t="str">
        <f t="shared" si="7"/>
        <v>el,wohn.</v>
      </c>
      <c r="E483" s="402" t="s">
        <v>2722</v>
      </c>
      <c r="F483" s="2338" t="s">
        <v>2722</v>
      </c>
      <c r="G483" s="403" t="s">
        <v>2721</v>
      </c>
    </row>
    <row r="484" spans="1:7" ht="25.9" customHeight="1">
      <c r="A484" s="401">
        <v>481</v>
      </c>
      <c r="B484" s="929" t="s">
        <v>1797</v>
      </c>
      <c r="C484" s="929" t="s">
        <v>2724</v>
      </c>
      <c r="D484" s="899" t="str">
        <f t="shared" si="7"/>
        <v>Bel</v>
      </c>
      <c r="E484" s="402" t="s">
        <v>2725</v>
      </c>
      <c r="F484" s="2338" t="s">
        <v>2725</v>
      </c>
      <c r="G484" s="403" t="s">
        <v>2726</v>
      </c>
    </row>
    <row r="485" spans="1:7" ht="25.9" customHeight="1">
      <c r="A485" s="401">
        <v>482</v>
      </c>
      <c r="B485" s="929" t="s">
        <v>1797</v>
      </c>
      <c r="C485" s="929" t="s">
        <v>2733</v>
      </c>
      <c r="D485" s="899" t="str">
        <f t="shared" si="7"/>
        <v>Geräte</v>
      </c>
      <c r="E485" s="402" t="s">
        <v>1849</v>
      </c>
      <c r="F485" s="2338" t="s">
        <v>1849</v>
      </c>
      <c r="G485" s="403" t="s">
        <v>2727</v>
      </c>
    </row>
    <row r="486" spans="1:7" ht="25.9" customHeight="1">
      <c r="A486" s="401">
        <v>483</v>
      </c>
      <c r="B486" s="929" t="s">
        <v>1797</v>
      </c>
      <c r="C486" s="929" t="s">
        <v>2734</v>
      </c>
      <c r="D486" s="899" t="str">
        <f t="shared" si="7"/>
        <v>AGT</v>
      </c>
      <c r="E486" s="402" t="s">
        <v>2728</v>
      </c>
      <c r="F486" s="2338" t="s">
        <v>2728</v>
      </c>
      <c r="G486" s="403" t="s">
        <v>2729</v>
      </c>
    </row>
    <row r="487" spans="1:7" ht="25.9" customHeight="1">
      <c r="A487" s="401">
        <v>484</v>
      </c>
      <c r="B487" s="929" t="s">
        <v>1797</v>
      </c>
      <c r="C487" s="929" t="s">
        <v>2732</v>
      </c>
      <c r="D487" s="899" t="str">
        <f t="shared" si="7"/>
        <v>EB</v>
      </c>
      <c r="E487" s="402" t="s">
        <v>2730</v>
      </c>
      <c r="F487" s="2338" t="s">
        <v>2730</v>
      </c>
      <c r="G487" s="403" t="s">
        <v>2731</v>
      </c>
    </row>
    <row r="488" spans="1:7" ht="25.9" customHeight="1">
      <c r="A488" s="401">
        <v>485</v>
      </c>
      <c r="B488" s="929" t="s">
        <v>1797</v>
      </c>
      <c r="C488" s="929" t="s">
        <v>2737</v>
      </c>
      <c r="D488" s="899" t="str">
        <f t="shared" si="7"/>
        <v>Netz</v>
      </c>
      <c r="E488" s="402" t="s">
        <v>2735</v>
      </c>
      <c r="F488" s="2338" t="s">
        <v>2735</v>
      </c>
      <c r="G488" s="403" t="s">
        <v>2736</v>
      </c>
    </row>
    <row r="489" spans="1:7" ht="25.9" customHeight="1">
      <c r="A489" s="401">
        <v>486</v>
      </c>
      <c r="B489" s="929" t="s">
        <v>2967</v>
      </c>
      <c r="C489" s="929" t="s">
        <v>2968</v>
      </c>
      <c r="D489" s="899" t="str">
        <f t="shared" si="7"/>
        <v>A reporter dans PVOpti</v>
      </c>
      <c r="E489" s="402" t="s">
        <v>2955</v>
      </c>
      <c r="F489" s="2338" t="s">
        <v>3157</v>
      </c>
      <c r="G489" s="403" t="s">
        <v>3158</v>
      </c>
    </row>
    <row r="490" spans="1:7" ht="25.9" customHeight="1">
      <c r="A490" s="401">
        <v>487</v>
      </c>
      <c r="B490" s="929" t="s">
        <v>2967</v>
      </c>
      <c r="C490" s="929" t="s">
        <v>2969</v>
      </c>
      <c r="D490" s="899" t="str">
        <f t="shared" si="7"/>
        <v>Veuillez copier la cellule jaune et la reporter dans PVOpti :</v>
      </c>
      <c r="E490" s="402" t="s">
        <v>2954</v>
      </c>
      <c r="F490" s="2338" t="s">
        <v>3159</v>
      </c>
      <c r="G490" s="403" t="s">
        <v>3160</v>
      </c>
    </row>
    <row r="491" spans="1:7" ht="25.9" customHeight="1">
      <c r="A491" s="401">
        <v>488</v>
      </c>
      <c r="B491" s="929" t="s">
        <v>2967</v>
      </c>
      <c r="C491" s="929" t="s">
        <v>2970</v>
      </c>
      <c r="D491" s="899" t="str">
        <f t="shared" si="7"/>
        <v>N° MOP: / Nom du projet : / Adresse du bâtiment :</v>
      </c>
      <c r="E491" s="402" t="s">
        <v>2935</v>
      </c>
      <c r="F491" s="2338" t="s">
        <v>3161</v>
      </c>
      <c r="G491" s="403" t="s">
        <v>3162</v>
      </c>
    </row>
    <row r="492" spans="1:7" ht="25.9" customHeight="1">
      <c r="A492" s="401">
        <v>489</v>
      </c>
      <c r="B492" s="929" t="s">
        <v>2967</v>
      </c>
      <c r="C492" s="929" t="s">
        <v>2971</v>
      </c>
      <c r="D492" s="899" t="str">
        <f t="shared" si="7"/>
        <v xml:space="preserve">N° de la parcelle : / Station météorologique : / LiebeLieu : </v>
      </c>
      <c r="E492" s="402" t="s">
        <v>2936</v>
      </c>
      <c r="F492" s="2338" t="s">
        <v>3163</v>
      </c>
      <c r="G492" s="403" t="s">
        <v>3164</v>
      </c>
    </row>
    <row r="493" spans="1:7" ht="25.9" customHeight="1">
      <c r="A493" s="401">
        <v>490</v>
      </c>
      <c r="B493" s="929" t="s">
        <v>2967</v>
      </c>
      <c r="C493" s="929" t="s">
        <v>2972</v>
      </c>
      <c r="D493" s="899" t="str">
        <f t="shared" si="7"/>
        <v>Installation de production de chaleur</v>
      </c>
      <c r="E493" s="402" t="s">
        <v>2929</v>
      </c>
      <c r="F493" s="2338" t="s">
        <v>3165</v>
      </c>
      <c r="G493" s="403" t="s">
        <v>3166</v>
      </c>
    </row>
    <row r="494" spans="1:7" ht="25.9" customHeight="1">
      <c r="A494" s="401">
        <v>491</v>
      </c>
      <c r="B494" s="929" t="s">
        <v>2967</v>
      </c>
      <c r="C494" s="929" t="s">
        <v>2973</v>
      </c>
      <c r="D494" s="899" t="str">
        <f t="shared" si="7"/>
        <v>Prod.  A</v>
      </c>
      <c r="E494" s="402" t="s">
        <v>2930</v>
      </c>
      <c r="F494" s="2338" t="s">
        <v>3167</v>
      </c>
      <c r="G494" s="403" t="s">
        <v>3168</v>
      </c>
    </row>
    <row r="495" spans="1:7" ht="25.9" customHeight="1">
      <c r="A495" s="401">
        <v>492</v>
      </c>
      <c r="B495" s="929" t="s">
        <v>2967</v>
      </c>
      <c r="C495" s="929" t="s">
        <v>2974</v>
      </c>
      <c r="D495" s="899" t="str">
        <f t="shared" si="7"/>
        <v>Prod. B</v>
      </c>
      <c r="E495" s="402" t="s">
        <v>2931</v>
      </c>
      <c r="F495" s="2338" t="s">
        <v>3169</v>
      </c>
      <c r="G495" s="403" t="s">
        <v>3169</v>
      </c>
    </row>
    <row r="496" spans="1:7" ht="25.9" customHeight="1">
      <c r="A496" s="401">
        <v>493</v>
      </c>
      <c r="B496" s="929" t="s">
        <v>2967</v>
      </c>
      <c r="C496" s="929" t="s">
        <v>2975</v>
      </c>
      <c r="D496" s="899" t="str">
        <f t="shared" si="7"/>
        <v>Prod. C</v>
      </c>
      <c r="E496" s="402" t="s">
        <v>2932</v>
      </c>
      <c r="F496" s="2338" t="s">
        <v>3170</v>
      </c>
      <c r="G496" s="403" t="s">
        <v>3170</v>
      </c>
    </row>
    <row r="497" spans="1:7" ht="25.9" customHeight="1">
      <c r="A497" s="401">
        <v>494</v>
      </c>
      <c r="B497" s="929" t="s">
        <v>2967</v>
      </c>
      <c r="C497" s="929" t="s">
        <v>2976</v>
      </c>
      <c r="D497" s="899" t="str">
        <f t="shared" si="7"/>
        <v>Prod. D</v>
      </c>
      <c r="E497" s="402" t="s">
        <v>2933</v>
      </c>
      <c r="F497" s="2338" t="s">
        <v>3171</v>
      </c>
      <c r="G497" s="403" t="s">
        <v>3171</v>
      </c>
    </row>
    <row r="498" spans="1:7" ht="25.9" customHeight="1">
      <c r="A498" s="401">
        <v>495</v>
      </c>
      <c r="B498" s="929" t="s">
        <v>2967</v>
      </c>
      <c r="C498" s="929" t="s">
        <v>2977</v>
      </c>
      <c r="D498" s="899" t="str">
        <f t="shared" si="7"/>
        <v>Capacité utile (kWh)</v>
      </c>
      <c r="E498" s="402" t="s">
        <v>2937</v>
      </c>
      <c r="F498" s="2338" t="s">
        <v>3172</v>
      </c>
      <c r="G498" s="403" t="s">
        <v>3173</v>
      </c>
    </row>
    <row r="499" spans="1:7" ht="25.9" customHeight="1">
      <c r="A499" s="401">
        <v>496</v>
      </c>
      <c r="B499" s="929" t="s">
        <v>2967</v>
      </c>
      <c r="C499" s="929" t="s">
        <v>2978</v>
      </c>
      <c r="D499" s="899" t="str">
        <f t="shared" si="7"/>
        <v>Zone</v>
      </c>
      <c r="E499" s="402" t="s">
        <v>312</v>
      </c>
      <c r="F499" s="2338" t="s">
        <v>312</v>
      </c>
      <c r="G499" s="403" t="s">
        <v>3174</v>
      </c>
    </row>
    <row r="500" spans="1:7" ht="25.9" customHeight="1">
      <c r="A500" s="401">
        <v>497</v>
      </c>
      <c r="B500" s="929" t="s">
        <v>2967</v>
      </c>
      <c r="C500" s="929" t="s">
        <v>2979</v>
      </c>
      <c r="D500" s="899" t="str">
        <f t="shared" si="7"/>
        <v>Catégorie de bâtiments</v>
      </c>
      <c r="E500" s="402" t="s">
        <v>331</v>
      </c>
      <c r="F500" s="2338" t="s">
        <v>3175</v>
      </c>
      <c r="G500" s="403" t="s">
        <v>3176</v>
      </c>
    </row>
    <row r="501" spans="1:7" ht="25.9" customHeight="1">
      <c r="A501" s="401">
        <v>498</v>
      </c>
      <c r="B501" s="929" t="s">
        <v>2967</v>
      </c>
      <c r="C501" s="929" t="s">
        <v>2980</v>
      </c>
      <c r="D501" s="899" t="str">
        <f t="shared" si="7"/>
        <v>Surface de référence énergétique SRE (m2)</v>
      </c>
      <c r="E501" s="402" t="s">
        <v>2938</v>
      </c>
      <c r="F501" s="2338" t="s">
        <v>3177</v>
      </c>
      <c r="G501" s="403" t="s">
        <v>3178</v>
      </c>
    </row>
    <row r="502" spans="1:7" ht="25.9" customHeight="1">
      <c r="A502" s="401">
        <v>499</v>
      </c>
      <c r="B502" s="929" t="s">
        <v>2967</v>
      </c>
      <c r="C502" s="929" t="s">
        <v>2981</v>
      </c>
      <c r="D502" s="899" t="str">
        <f t="shared" si="7"/>
        <v>Nouvelle construction</v>
      </c>
      <c r="E502" s="402" t="s">
        <v>650</v>
      </c>
      <c r="F502" s="2338" t="s">
        <v>1507</v>
      </c>
      <c r="G502" s="403" t="s">
        <v>3179</v>
      </c>
    </row>
    <row r="503" spans="1:7" ht="25.9" customHeight="1">
      <c r="A503" s="401">
        <v>500</v>
      </c>
      <c r="B503" s="929" t="s">
        <v>2967</v>
      </c>
      <c r="C503" s="929" t="s">
        <v>2982</v>
      </c>
      <c r="D503" s="899" t="str">
        <f t="shared" si="7"/>
        <v>Eau chaude, valeur calculée</v>
      </c>
      <c r="E503" s="402" t="s">
        <v>2939</v>
      </c>
      <c r="F503" s="2338" t="s">
        <v>2543</v>
      </c>
      <c r="G503" s="403" t="s">
        <v>3180</v>
      </c>
    </row>
    <row r="504" spans="1:7" ht="25.9" customHeight="1">
      <c r="A504" s="401">
        <v>501</v>
      </c>
      <c r="B504" s="929" t="s">
        <v>2967</v>
      </c>
      <c r="C504" s="929" t="s">
        <v>2983</v>
      </c>
      <c r="D504" s="899">
        <f>INDEX($E$4:$G$604,$A504,$A$1)</f>
        <v>0</v>
      </c>
      <c r="E504" s="429" t="s">
        <v>199</v>
      </c>
      <c r="F504" s="2338"/>
    </row>
    <row r="505" spans="1:7" ht="25.9" customHeight="1">
      <c r="A505" s="401">
        <v>502</v>
      </c>
      <c r="B505" s="929" t="s">
        <v>2967</v>
      </c>
      <c r="C505" s="929" t="s">
        <v>2984</v>
      </c>
      <c r="D505" s="899" t="str">
        <f t="shared" ref="D505:D572" si="8">INDEX($E$4:$G$604,$A505,$A$1)</f>
        <v>Climatisation</v>
      </c>
      <c r="E505" s="402" t="s">
        <v>2940</v>
      </c>
      <c r="F505" s="2338" t="s">
        <v>3181</v>
      </c>
      <c r="G505" s="403" t="s">
        <v>3458</v>
      </c>
    </row>
    <row r="506" spans="1:7" ht="25.9" customHeight="1">
      <c r="A506" s="401">
        <v>503</v>
      </c>
      <c r="B506" s="929" t="s">
        <v>2967</v>
      </c>
      <c r="C506" s="929" t="s">
        <v>2985</v>
      </c>
      <c r="D506" s="899" t="str">
        <f t="shared" si="8"/>
        <v>Ventilation</v>
      </c>
      <c r="E506" s="402" t="s">
        <v>642</v>
      </c>
      <c r="F506" s="2338" t="s">
        <v>3182</v>
      </c>
      <c r="G506" s="403" t="s">
        <v>3183</v>
      </c>
    </row>
    <row r="507" spans="1:7" ht="25.9" customHeight="1">
      <c r="A507" s="401">
        <v>504</v>
      </c>
      <c r="B507" s="929" t="s">
        <v>2967</v>
      </c>
      <c r="C507" s="929" t="s">
        <v>2986</v>
      </c>
      <c r="D507" s="899" t="str">
        <f t="shared" si="8"/>
        <v>Nombre d'unités d'habitation</v>
      </c>
      <c r="E507" s="402" t="s">
        <v>2207</v>
      </c>
      <c r="F507" s="2338" t="s">
        <v>3184</v>
      </c>
      <c r="G507" s="403" t="s">
        <v>3185</v>
      </c>
    </row>
    <row r="508" spans="1:7" ht="25.9" customHeight="1">
      <c r="A508" s="401">
        <v>505</v>
      </c>
      <c r="B508" s="929" t="s">
        <v>2967</v>
      </c>
      <c r="C508" s="929" t="s">
        <v>2987</v>
      </c>
      <c r="D508" s="899" t="str">
        <f t="shared" si="8"/>
        <v>Cons. ascenseur</v>
      </c>
      <c r="E508" s="402" t="s">
        <v>2941</v>
      </c>
      <c r="F508" s="2338" t="s">
        <v>3186</v>
      </c>
      <c r="G508" s="403" t="s">
        <v>3187</v>
      </c>
    </row>
    <row r="509" spans="1:7" ht="25.9" customHeight="1">
      <c r="A509" s="401">
        <v>506</v>
      </c>
      <c r="B509" s="929" t="s">
        <v>2967</v>
      </c>
      <c r="C509" s="929" t="s">
        <v>2988</v>
      </c>
      <c r="D509" s="899" t="str">
        <f t="shared" si="8"/>
        <v>Cons. des bandes de chauffage</v>
      </c>
      <c r="E509" s="402" t="s">
        <v>2942</v>
      </c>
      <c r="F509" s="2338" t="s">
        <v>3188</v>
      </c>
      <c r="G509" s="403" t="s">
        <v>3189</v>
      </c>
    </row>
    <row r="510" spans="1:7" ht="25.9" customHeight="1">
      <c r="A510" s="401">
        <v>507</v>
      </c>
      <c r="B510" s="929" t="s">
        <v>2967</v>
      </c>
      <c r="C510" s="929" t="s">
        <v>2989</v>
      </c>
      <c r="D510" s="899" t="str">
        <f t="shared" si="8"/>
        <v>Réduction pour le lave-vaisselle</v>
      </c>
      <c r="E510" s="402" t="s">
        <v>2943</v>
      </c>
      <c r="F510" s="2338" t="s">
        <v>3190</v>
      </c>
      <c r="G510" s="403" t="s">
        <v>3191</v>
      </c>
    </row>
    <row r="511" spans="1:7" ht="25.9" customHeight="1">
      <c r="A511" s="401">
        <v>508</v>
      </c>
      <c r="B511" s="929" t="s">
        <v>2967</v>
      </c>
      <c r="C511" s="929" t="s">
        <v>2990</v>
      </c>
      <c r="D511" s="899" t="str">
        <f t="shared" si="8"/>
        <v>Réduction pour le frigo et le congélateur</v>
      </c>
      <c r="E511" s="402" t="s">
        <v>2944</v>
      </c>
      <c r="F511" s="2338" t="s">
        <v>3192</v>
      </c>
      <c r="G511" s="403" t="s">
        <v>3193</v>
      </c>
    </row>
    <row r="512" spans="1:7" ht="25.9" customHeight="1">
      <c r="A512" s="401">
        <v>509</v>
      </c>
      <c r="B512" s="929" t="s">
        <v>2967</v>
      </c>
      <c r="C512" s="929" t="s">
        <v>2991</v>
      </c>
      <c r="D512" s="899" t="str">
        <f t="shared" si="8"/>
        <v>Réduction pour le lave-linge</v>
      </c>
      <c r="E512" s="402" t="s">
        <v>2945</v>
      </c>
      <c r="F512" s="2338" t="s">
        <v>3194</v>
      </c>
      <c r="G512" s="403" t="s">
        <v>3195</v>
      </c>
    </row>
    <row r="513" spans="1:7" ht="25.9" customHeight="1">
      <c r="A513" s="401">
        <v>510</v>
      </c>
      <c r="B513" s="929" t="s">
        <v>2967</v>
      </c>
      <c r="C513" s="929" t="s">
        <v>2992</v>
      </c>
      <c r="D513" s="899" t="str">
        <f t="shared" si="8"/>
        <v>Réduction pour le sèche-linge</v>
      </c>
      <c r="E513" s="402" t="s">
        <v>2946</v>
      </c>
      <c r="F513" s="2338" t="s">
        <v>3196</v>
      </c>
      <c r="G513" s="403" t="s">
        <v>3197</v>
      </c>
    </row>
    <row r="514" spans="1:7" ht="25.9" customHeight="1">
      <c r="A514" s="401">
        <v>511</v>
      </c>
      <c r="B514" s="929" t="s">
        <v>2967</v>
      </c>
      <c r="C514" s="929" t="s">
        <v>2993</v>
      </c>
      <c r="D514" s="899" t="str">
        <f t="shared" si="8"/>
        <v>Réduction pour la cuisinières à induction</v>
      </c>
      <c r="E514" s="402" t="s">
        <v>2947</v>
      </c>
      <c r="F514" s="2338" t="s">
        <v>3198</v>
      </c>
      <c r="G514" s="403" t="s">
        <v>3199</v>
      </c>
    </row>
    <row r="515" spans="1:7" ht="25.9" customHeight="1">
      <c r="A515" s="401">
        <v>512</v>
      </c>
      <c r="B515" s="929" t="s">
        <v>2967</v>
      </c>
      <c r="C515" s="929" t="s">
        <v>2994</v>
      </c>
      <c r="D515" s="899" t="str">
        <f t="shared" si="8"/>
        <v>Réduction pour l'éclairage</v>
      </c>
      <c r="E515" s="402" t="s">
        <v>2948</v>
      </c>
      <c r="F515" s="2338" t="s">
        <v>3200</v>
      </c>
      <c r="G515" s="403" t="s">
        <v>3201</v>
      </c>
    </row>
    <row r="516" spans="1:7" ht="25.9" customHeight="1">
      <c r="A516" s="401">
        <v>513</v>
      </c>
      <c r="B516" s="929" t="s">
        <v>2967</v>
      </c>
      <c r="C516" s="929" t="s">
        <v>2995</v>
      </c>
      <c r="D516" s="899" t="str">
        <f t="shared" si="8"/>
        <v>Réduction pour l'éclairage commun</v>
      </c>
      <c r="E516" s="402" t="s">
        <v>2949</v>
      </c>
      <c r="F516" s="2338" t="s">
        <v>3202</v>
      </c>
      <c r="G516" s="403" t="s">
        <v>3203</v>
      </c>
    </row>
    <row r="517" spans="1:7" ht="25.9" customHeight="1">
      <c r="A517" s="401">
        <v>514</v>
      </c>
      <c r="B517" s="929" t="s">
        <v>2967</v>
      </c>
      <c r="C517" s="929" t="s">
        <v>2996</v>
      </c>
      <c r="D517" s="899" t="str">
        <f t="shared" si="8"/>
        <v>Réduction pour les équipements techniques</v>
      </c>
      <c r="E517" s="402" t="s">
        <v>2950</v>
      </c>
      <c r="F517" s="2338" t="s">
        <v>3204</v>
      </c>
      <c r="G517" s="403" t="s">
        <v>3205</v>
      </c>
    </row>
    <row r="518" spans="1:7" ht="25.9" customHeight="1">
      <c r="A518" s="401">
        <v>515</v>
      </c>
      <c r="B518" s="929" t="s">
        <v>2967</v>
      </c>
      <c r="C518" s="929" t="s">
        <v>2997</v>
      </c>
      <c r="D518" s="899" t="str">
        <f t="shared" si="8"/>
        <v>Besoin calculé pour l'éclairage des bâtiments du tertiaire</v>
      </c>
      <c r="E518" s="402" t="s">
        <v>2951</v>
      </c>
      <c r="F518" s="2338" t="s">
        <v>3206</v>
      </c>
      <c r="G518" s="403" t="s">
        <v>3207</v>
      </c>
    </row>
    <row r="519" spans="1:7" ht="25.9" customHeight="1">
      <c r="A519" s="401">
        <v>516</v>
      </c>
      <c r="B519" s="929" t="s">
        <v>2967</v>
      </c>
      <c r="C519" s="929" t="s">
        <v>2998</v>
      </c>
      <c r="D519" s="899" t="str">
        <f t="shared" si="8"/>
        <v>Besoin calculé pour les appareils des bâtiments du tertiaire</v>
      </c>
      <c r="E519" s="402" t="s">
        <v>2952</v>
      </c>
      <c r="F519" s="2338" t="s">
        <v>3208</v>
      </c>
      <c r="G519" s="403" t="s">
        <v>3209</v>
      </c>
    </row>
    <row r="520" spans="1:7" ht="25.9" customHeight="1">
      <c r="A520" s="401">
        <v>517</v>
      </c>
      <c r="B520" s="929" t="s">
        <v>2967</v>
      </c>
      <c r="C520" s="929" t="s">
        <v>2999</v>
      </c>
      <c r="D520" s="899" t="str">
        <f t="shared" si="8"/>
        <v>Besoin calculé pour l'équipement commun des bâtiments du tertiaire</v>
      </c>
      <c r="E520" s="402" t="s">
        <v>2953</v>
      </c>
      <c r="F520" s="2338" t="s">
        <v>3210</v>
      </c>
      <c r="G520" s="403" t="s">
        <v>3211</v>
      </c>
    </row>
    <row r="521" spans="1:7" ht="25.9" customHeight="1">
      <c r="A521" s="401">
        <v>518</v>
      </c>
      <c r="B521" s="929" t="s">
        <v>313</v>
      </c>
      <c r="C521" s="929" t="s">
        <v>549</v>
      </c>
      <c r="D521" s="899" t="str">
        <f t="shared" si="8"/>
        <v>-Récupération de la chaleur des eaux usées en%</v>
      </c>
      <c r="E521" s="402" t="s">
        <v>3026</v>
      </c>
      <c r="F521" s="1394" t="s">
        <v>3934</v>
      </c>
      <c r="G521" s="403" t="s">
        <v>3212</v>
      </c>
    </row>
    <row r="522" spans="1:7" ht="25.9" customHeight="1">
      <c r="A522" s="401">
        <v>519</v>
      </c>
      <c r="B522" s="929" t="s">
        <v>313</v>
      </c>
      <c r="C522" s="929" t="s">
        <v>1760</v>
      </c>
      <c r="D522" s="899" t="str">
        <f t="shared" si="8"/>
        <v>Hauteur du bâtiment</v>
      </c>
      <c r="E522" s="402" t="s">
        <v>3078</v>
      </c>
      <c r="F522" s="2338" t="s">
        <v>3213</v>
      </c>
      <c r="G522" s="403" t="s">
        <v>3214</v>
      </c>
    </row>
    <row r="523" spans="1:7" ht="25.9" customHeight="1">
      <c r="A523" s="401">
        <v>520</v>
      </c>
      <c r="B523" s="929" t="s">
        <v>622</v>
      </c>
      <c r="C523" s="929" t="s">
        <v>3084</v>
      </c>
      <c r="D523" s="899" t="str">
        <f t="shared" si="8"/>
        <v>Pompe à chaleur à gaz, chauffage</v>
      </c>
      <c r="E523" s="402" t="s">
        <v>3080</v>
      </c>
      <c r="F523" s="2338" t="s">
        <v>3215</v>
      </c>
      <c r="G523" s="403" t="s">
        <v>3216</v>
      </c>
    </row>
    <row r="524" spans="1:7" ht="25.9" customHeight="1">
      <c r="A524" s="401">
        <v>521</v>
      </c>
      <c r="B524" s="929" t="s">
        <v>622</v>
      </c>
      <c r="C524" s="929" t="s">
        <v>3085</v>
      </c>
      <c r="D524" s="899" t="str">
        <f t="shared" si="8"/>
        <v>Pompe à chaleur à gaz, eau chaude</v>
      </c>
      <c r="E524" s="402" t="s">
        <v>3081</v>
      </c>
      <c r="F524" s="2338" t="s">
        <v>3217</v>
      </c>
      <c r="G524" s="403" t="s">
        <v>3218</v>
      </c>
    </row>
    <row r="525" spans="1:7" ht="25.9" customHeight="1">
      <c r="A525" s="401">
        <v>522</v>
      </c>
      <c r="B525" s="929" t="s">
        <v>622</v>
      </c>
      <c r="C525" s="929" t="s">
        <v>3086</v>
      </c>
      <c r="D525" s="899" t="str">
        <f t="shared" si="8"/>
        <v>Pompe à chaleur à gaz, seul. chauffage</v>
      </c>
      <c r="E525" s="402" t="s">
        <v>3082</v>
      </c>
      <c r="F525" s="2338" t="s">
        <v>3219</v>
      </c>
      <c r="G525" s="403" t="s">
        <v>3220</v>
      </c>
    </row>
    <row r="526" spans="1:7" ht="25.9" customHeight="1">
      <c r="A526" s="401">
        <v>523</v>
      </c>
      <c r="B526" s="929" t="s">
        <v>622</v>
      </c>
      <c r="C526" s="929" t="s">
        <v>3087</v>
      </c>
      <c r="D526" s="899" t="str">
        <f t="shared" si="8"/>
        <v>Pompe à chaleur à gaz, seul. eau chaude</v>
      </c>
      <c r="E526" s="402" t="s">
        <v>3083</v>
      </c>
      <c r="F526" s="2338" t="s">
        <v>3221</v>
      </c>
      <c r="G526" s="403" t="s">
        <v>3222</v>
      </c>
    </row>
    <row r="527" spans="1:7" ht="25.9" customHeight="1">
      <c r="A527" s="401">
        <v>524</v>
      </c>
      <c r="B527" s="929" t="s">
        <v>53</v>
      </c>
      <c r="C527" s="929" t="s">
        <v>3097</v>
      </c>
      <c r="D527" s="899" t="str">
        <f t="shared" si="8"/>
        <v>Vérifier les unités !</v>
      </c>
      <c r="E527" s="402" t="s">
        <v>3096</v>
      </c>
      <c r="F527" s="2338" t="s">
        <v>3223</v>
      </c>
      <c r="G527" s="403" t="s">
        <v>3224</v>
      </c>
    </row>
    <row r="528" spans="1:7" ht="25.9" customHeight="1">
      <c r="A528" s="401">
        <v>525</v>
      </c>
      <c r="B528" s="929" t="s">
        <v>313</v>
      </c>
      <c r="C528" s="929" t="s">
        <v>853</v>
      </c>
      <c r="D528" s="899" t="str">
        <f t="shared" si="8"/>
        <v>Justificatif des besoins pour l'éclairage est disponible</v>
      </c>
      <c r="E528" s="402" t="s">
        <v>3121</v>
      </c>
      <c r="F528" s="2338" t="s">
        <v>3225</v>
      </c>
      <c r="G528" s="403" t="s">
        <v>3226</v>
      </c>
    </row>
    <row r="529" spans="1:7" ht="25.9" customHeight="1">
      <c r="A529" s="401">
        <v>526</v>
      </c>
      <c r="B529" s="929" t="s">
        <v>622</v>
      </c>
      <c r="C529" s="929" t="s">
        <v>1807</v>
      </c>
      <c r="D529" s="899" t="str">
        <f t="shared" si="8"/>
        <v xml:space="preserve">Un concept d'étanchéité est-il joint ? </v>
      </c>
      <c r="E529" s="402" t="s">
        <v>3154</v>
      </c>
      <c r="F529" s="2338" t="s">
        <v>3227</v>
      </c>
      <c r="G529" s="403" t="s">
        <v>3228</v>
      </c>
    </row>
    <row r="530" spans="1:7" ht="25.9" customHeight="1">
      <c r="A530" s="401">
        <v>527</v>
      </c>
      <c r="B530" s="929" t="s">
        <v>1747</v>
      </c>
      <c r="C530" s="929" t="s">
        <v>549</v>
      </c>
      <c r="D530" s="899" t="str">
        <f t="shared" si="8"/>
        <v>Habitat (individuel, collectif), pièce jusqu'à 2 façades, plafond en béton apparent (&gt;80% libre)</v>
      </c>
      <c r="E530" s="402" t="s">
        <v>3268</v>
      </c>
      <c r="F530" s="2338" t="s">
        <v>3459</v>
      </c>
      <c r="G530" s="403" t="s">
        <v>3460</v>
      </c>
    </row>
    <row r="531" spans="1:7" ht="25.9" customHeight="1">
      <c r="A531" s="401">
        <v>528</v>
      </c>
      <c r="B531" s="929" t="s">
        <v>1747</v>
      </c>
      <c r="C531" s="929" t="s">
        <v>1756</v>
      </c>
      <c r="D531" s="899" t="str">
        <f t="shared" si="8"/>
        <v>- Indice de vitrage maximal</v>
      </c>
      <c r="E531" s="402" t="s">
        <v>3269</v>
      </c>
      <c r="F531" s="2338" t="s">
        <v>3461</v>
      </c>
      <c r="G531" s="403" t="s">
        <v>3462</v>
      </c>
    </row>
    <row r="532" spans="1:7" ht="25.9" customHeight="1">
      <c r="A532" s="401">
        <v>529</v>
      </c>
      <c r="B532" s="929" t="s">
        <v>1747</v>
      </c>
      <c r="C532" s="929" t="s">
        <v>550</v>
      </c>
      <c r="D532" s="899" t="str">
        <f t="shared" si="8"/>
        <v>Habitat (individuel, collectif), pièce jusqu'à 2 façades, plafond en bois et chape ciment min. 6 cm ou anhydrite min. 5 cm d'épais</v>
      </c>
      <c r="E532" s="402" t="s">
        <v>3270</v>
      </c>
      <c r="F532" s="2338" t="s">
        <v>3463</v>
      </c>
      <c r="G532" s="403" t="s">
        <v>3464</v>
      </c>
    </row>
    <row r="533" spans="1:7" ht="25.9" customHeight="1">
      <c r="A533" s="401">
        <v>530</v>
      </c>
      <c r="B533" s="929" t="s">
        <v>1747</v>
      </c>
      <c r="C533" s="929" t="s">
        <v>496</v>
      </c>
      <c r="D533" s="899" t="str">
        <f t="shared" si="8"/>
        <v>Habitat (ind., coll.), pièce avec 1 façade, plafond en béton apparent (&gt;80% libre), orientation SSE-SSO et ombrage par balcon de min. 1 m de profondeur</v>
      </c>
      <c r="E533" s="402" t="s">
        <v>3323</v>
      </c>
      <c r="F533" s="2338" t="s">
        <v>3465</v>
      </c>
      <c r="G533" s="403" t="s">
        <v>3466</v>
      </c>
    </row>
    <row r="534" spans="1:7" ht="25.9" customHeight="1">
      <c r="A534" s="401">
        <v>531</v>
      </c>
      <c r="B534" s="929" t="s">
        <v>1747</v>
      </c>
      <c r="C534" s="929" t="s">
        <v>865</v>
      </c>
      <c r="D534" s="899" t="str">
        <f t="shared" si="8"/>
        <v>Plafond en béton apparent (&gt;40% libre) et commande automatique de la protection solaire. Valeur g vitrage ≤ 30%</v>
      </c>
      <c r="E534" s="402" t="s">
        <v>3271</v>
      </c>
      <c r="F534" s="2338" t="s">
        <v>3467</v>
      </c>
      <c r="G534" s="403" t="s">
        <v>3468</v>
      </c>
    </row>
    <row r="535" spans="1:7" ht="25.9" customHeight="1">
      <c r="A535" s="401">
        <v>532</v>
      </c>
      <c r="B535" s="929" t="s">
        <v>1747</v>
      </c>
      <c r="C535" s="929" t="s">
        <v>870</v>
      </c>
      <c r="D535" s="899" t="str">
        <f t="shared" si="8"/>
        <v>Variante 2 : Justificatif externe des critères selon SIA 382/1 et SIA 180 (sans refroidissement)</v>
      </c>
      <c r="E535" s="402" t="s">
        <v>3272</v>
      </c>
      <c r="F535" s="2338" t="s">
        <v>3469</v>
      </c>
      <c r="G535" s="403" t="s">
        <v>3470</v>
      </c>
    </row>
    <row r="536" spans="1:7" ht="42" customHeight="1">
      <c r="A536" s="401">
        <v>533</v>
      </c>
      <c r="B536" s="929" t="s">
        <v>1747</v>
      </c>
      <c r="C536" s="929" t="s">
        <v>98</v>
      </c>
      <c r="D536" s="899" t="str">
        <f t="shared" si="8"/>
        <v>Exigences constructives de la protection thermique estivale selon le justificatif pour la protection thermique estivale, Variante 2, remplies?</v>
      </c>
      <c r="E536" s="402" t="s">
        <v>3433</v>
      </c>
      <c r="F536" s="2338" t="s">
        <v>3471</v>
      </c>
      <c r="G536" s="403" t="s">
        <v>3472</v>
      </c>
    </row>
    <row r="537" spans="1:7" ht="25.9" customHeight="1">
      <c r="A537" s="401">
        <v>534</v>
      </c>
      <c r="B537" s="929" t="s">
        <v>1747</v>
      </c>
      <c r="C537" s="929" t="s">
        <v>849</v>
      </c>
      <c r="D537" s="899" t="str">
        <f t="shared" si="8"/>
        <v>- Pas d'ouverture zénithale</v>
      </c>
      <c r="E537" s="402" t="s">
        <v>3273</v>
      </c>
      <c r="F537" s="2338" t="s">
        <v>3473</v>
      </c>
      <c r="G537" s="403" t="s">
        <v>3474</v>
      </c>
    </row>
    <row r="538" spans="1:7" ht="25.9" customHeight="1">
      <c r="A538" s="401">
        <v>535</v>
      </c>
      <c r="B538" s="929" t="s">
        <v>1747</v>
      </c>
      <c r="C538" s="929" t="s">
        <v>466</v>
      </c>
      <c r="D538" s="899" t="str">
        <f t="shared" si="8"/>
        <v>- Protection solaire extérieure mobile avec stores à rouleau ou à lamellles (valeur g-total max. 0.1)</v>
      </c>
      <c r="E538" s="402" t="s">
        <v>3274</v>
      </c>
      <c r="F538" s="2338" t="s">
        <v>3475</v>
      </c>
      <c r="G538" s="403" t="s">
        <v>3476</v>
      </c>
    </row>
    <row r="539" spans="1:7" ht="25.9" customHeight="1">
      <c r="A539" s="401">
        <v>536</v>
      </c>
      <c r="B539" s="929" t="s">
        <v>1747</v>
      </c>
      <c r="C539" s="929" t="s">
        <v>852</v>
      </c>
      <c r="D539" s="899" t="str">
        <f t="shared" si="8"/>
        <v>- Rafraîchis. nocturne par les fen. possible (précision : la protect. contre l'effraction n'est en général pas contrôlée dans le cadre de la certif. Minergie)</v>
      </c>
      <c r="E539" s="402" t="s">
        <v>3275</v>
      </c>
      <c r="F539" s="2338" t="s">
        <v>3477</v>
      </c>
      <c r="G539" s="403" t="s">
        <v>3478</v>
      </c>
    </row>
    <row r="540" spans="1:7" ht="25.9" customHeight="1">
      <c r="A540" s="401">
        <v>537</v>
      </c>
      <c r="B540" s="929" t="s">
        <v>1747</v>
      </c>
      <c r="C540" s="929" t="s">
        <v>853</v>
      </c>
      <c r="D540" s="899" t="str">
        <f t="shared" si="8"/>
        <v>- Les charges internes ne sont pas plus élevées que la valeur standart du cahier technique SIA 2024</v>
      </c>
      <c r="E540" s="402" t="s">
        <v>3276</v>
      </c>
      <c r="F540" s="2338" t="s">
        <v>3479</v>
      </c>
      <c r="G540" s="403" t="s">
        <v>3480</v>
      </c>
    </row>
    <row r="541" spans="1:7" ht="25.9" customHeight="1">
      <c r="A541" s="401">
        <v>538</v>
      </c>
      <c r="B541" s="929" t="s">
        <v>1747</v>
      </c>
      <c r="C541" s="929" t="s">
        <v>1793</v>
      </c>
      <c r="D541" s="899" t="str">
        <f t="shared" si="8"/>
        <v>Exigences des critères de confort selon le justificatif pour la protection thermique estivale remplies?</v>
      </c>
      <c r="E541" s="402" t="s">
        <v>3434</v>
      </c>
      <c r="F541" s="2338" t="s">
        <v>3481</v>
      </c>
      <c r="G541" s="403" t="s">
        <v>3482</v>
      </c>
    </row>
    <row r="542" spans="1:7" ht="25.9" customHeight="1">
      <c r="A542" s="401">
        <v>539</v>
      </c>
      <c r="B542" s="929" t="s">
        <v>1747</v>
      </c>
      <c r="C542" s="929" t="s">
        <v>3278</v>
      </c>
      <c r="D542" s="899" t="str">
        <f t="shared" si="8"/>
        <v>Admissible jusqu'à nouvel ordre</v>
      </c>
      <c r="E542" s="402" t="s">
        <v>3277</v>
      </c>
      <c r="F542" s="2338" t="s">
        <v>3483</v>
      </c>
      <c r="G542" s="403" t="s">
        <v>3484</v>
      </c>
    </row>
    <row r="543" spans="1:7" ht="25.9" customHeight="1">
      <c r="A543" s="401">
        <v>540</v>
      </c>
      <c r="B543" s="929" t="s">
        <v>622</v>
      </c>
      <c r="C543" s="929" t="s">
        <v>3369</v>
      </c>
      <c r="D543" s="1723" t="str">
        <f t="shared" si="8"/>
        <v>Mobilité électrique</v>
      </c>
      <c r="E543" s="402" t="s">
        <v>3370</v>
      </c>
      <c r="F543" s="2338" t="s">
        <v>3485</v>
      </c>
      <c r="G543" s="403" t="s">
        <v>3486</v>
      </c>
    </row>
    <row r="544" spans="1:7" ht="25.9" customHeight="1">
      <c r="A544" s="401">
        <v>541</v>
      </c>
      <c r="B544" s="929" t="s">
        <v>622</v>
      </c>
      <c r="C544" s="929" t="s">
        <v>3371</v>
      </c>
      <c r="D544" s="1723" t="str">
        <f t="shared" si="8"/>
        <v>Le niveau d’installation A sera-t-elle mis en œuvre conformément à la SIA 2060?</v>
      </c>
      <c r="E544" s="402" t="s">
        <v>3916</v>
      </c>
      <c r="F544" s="2338" t="s">
        <v>3950</v>
      </c>
      <c r="G544" s="403" t="s">
        <v>3953</v>
      </c>
    </row>
    <row r="545" spans="1:7" ht="25.9" customHeight="1">
      <c r="A545" s="401">
        <v>542</v>
      </c>
      <c r="B545" s="929" t="s">
        <v>1797</v>
      </c>
      <c r="C545" s="929" t="s">
        <v>3407</v>
      </c>
      <c r="D545" s="1723" t="str">
        <f t="shared" si="8"/>
        <v>MKZ,H : indice Minergie partiel chauffage</v>
      </c>
      <c r="E545" s="402" t="s">
        <v>3397</v>
      </c>
      <c r="F545" s="2338" t="s">
        <v>3487</v>
      </c>
      <c r="G545" s="403" t="s">
        <v>3488</v>
      </c>
    </row>
    <row r="546" spans="1:7" ht="25.9" customHeight="1">
      <c r="A546" s="401">
        <v>543</v>
      </c>
      <c r="B546" s="929" t="s">
        <v>1797</v>
      </c>
      <c r="C546" s="929" t="s">
        <v>3408</v>
      </c>
      <c r="D546" s="1723" t="str">
        <f t="shared" si="8"/>
        <v>MKZ,ww : indice Minergie partiel eau chaude</v>
      </c>
      <c r="E546" s="402" t="s">
        <v>3398</v>
      </c>
      <c r="F546" s="2338" t="s">
        <v>3489</v>
      </c>
      <c r="G546" s="403" t="s">
        <v>3490</v>
      </c>
    </row>
    <row r="547" spans="1:7" ht="25.9" customHeight="1">
      <c r="A547" s="401">
        <v>544</v>
      </c>
      <c r="B547" s="929" t="s">
        <v>1797</v>
      </c>
      <c r="C547" s="929" t="s">
        <v>3409</v>
      </c>
      <c r="D547" s="1723" t="str">
        <f t="shared" si="8"/>
        <v>MKZ,LK : indice Minergie partiel aération et climat</v>
      </c>
      <c r="E547" s="402" t="s">
        <v>3399</v>
      </c>
      <c r="F547" s="2338" t="s">
        <v>3491</v>
      </c>
      <c r="G547" s="403" t="s">
        <v>3492</v>
      </c>
    </row>
    <row r="548" spans="1:7" ht="25.9" customHeight="1">
      <c r="A548" s="401">
        <v>545</v>
      </c>
      <c r="B548" s="929" t="s">
        <v>1797</v>
      </c>
      <c r="C548" s="929" t="s">
        <v>3410</v>
      </c>
      <c r="D548" s="1723" t="str">
        <f t="shared" si="8"/>
        <v>MKZ,el,wohn : indice Minergie partiel électricité bâtiments d'habitation</v>
      </c>
      <c r="E548" s="402" t="s">
        <v>3400</v>
      </c>
      <c r="F548" s="2338" t="s">
        <v>3493</v>
      </c>
      <c r="G548" s="403" t="s">
        <v>3494</v>
      </c>
    </row>
    <row r="549" spans="1:7" ht="25.9" customHeight="1">
      <c r="A549" s="401">
        <v>546</v>
      </c>
      <c r="B549" s="929" t="s">
        <v>1797</v>
      </c>
      <c r="C549" s="929" t="s">
        <v>3411</v>
      </c>
      <c r="D549" s="1723" t="str">
        <f t="shared" si="8"/>
        <v>MKZ,Bel : indice Minergie partiel éclairage</v>
      </c>
      <c r="E549" s="402" t="s">
        <v>3401</v>
      </c>
      <c r="F549" s="2338" t="s">
        <v>3495</v>
      </c>
      <c r="G549" s="403" t="s">
        <v>3496</v>
      </c>
    </row>
    <row r="550" spans="1:7" ht="25.9" customHeight="1">
      <c r="A550" s="401">
        <v>547</v>
      </c>
      <c r="B550" s="929" t="s">
        <v>1797</v>
      </c>
      <c r="C550" s="929" t="s">
        <v>3412</v>
      </c>
      <c r="D550" s="1723" t="str">
        <f t="shared" si="8"/>
        <v>MKZ,Geräte : indice Minergie partiel appareils</v>
      </c>
      <c r="E550" s="402" t="s">
        <v>3402</v>
      </c>
      <c r="F550" s="2338" t="s">
        <v>3497</v>
      </c>
      <c r="G550" s="403" t="s">
        <v>3498</v>
      </c>
    </row>
    <row r="551" spans="1:7" ht="25.9" customHeight="1">
      <c r="A551" s="401">
        <v>548</v>
      </c>
      <c r="B551" s="929" t="s">
        <v>1797</v>
      </c>
      <c r="C551" s="929" t="s">
        <v>3413</v>
      </c>
      <c r="D551" s="1723" t="str">
        <f t="shared" si="8"/>
        <v>MKZ,AGT : indice Minergie partiel installations techniques</v>
      </c>
      <c r="E551" s="402" t="s">
        <v>3403</v>
      </c>
      <c r="F551" s="2338" t="s">
        <v>3499</v>
      </c>
      <c r="G551" s="403" t="s">
        <v>3500</v>
      </c>
    </row>
    <row r="552" spans="1:7" ht="25.9" customHeight="1">
      <c r="A552" s="401">
        <v>549</v>
      </c>
      <c r="B552" s="929" t="s">
        <v>1797</v>
      </c>
      <c r="C552" s="929" t="s">
        <v>3414</v>
      </c>
      <c r="D552" s="1723" t="str">
        <f t="shared" si="8"/>
        <v>E,EB : Autoconsommation du courant PV autoproduit</v>
      </c>
      <c r="E552" s="402" t="s">
        <v>3404</v>
      </c>
      <c r="F552" s="2338" t="s">
        <v>3501</v>
      </c>
      <c r="G552" s="403" t="s">
        <v>3502</v>
      </c>
    </row>
    <row r="553" spans="1:7" ht="25.9" customHeight="1">
      <c r="A553" s="401">
        <v>550</v>
      </c>
      <c r="B553" s="929" t="s">
        <v>1797</v>
      </c>
      <c r="C553" s="929" t="s">
        <v>3415</v>
      </c>
      <c r="D553" s="1723" t="str">
        <f t="shared" si="8"/>
        <v>E,Netz : Courant PV autoproduit injecté dans le réseau</v>
      </c>
      <c r="E553" s="402" t="s">
        <v>3405</v>
      </c>
      <c r="F553" s="2338" t="s">
        <v>3503</v>
      </c>
      <c r="G553" s="403" t="s">
        <v>3504</v>
      </c>
    </row>
    <row r="554" spans="1:7" ht="25.9" customHeight="1">
      <c r="A554" s="401">
        <v>551</v>
      </c>
      <c r="B554" s="929" t="s">
        <v>1797</v>
      </c>
      <c r="C554" s="929" t="s">
        <v>3416</v>
      </c>
      <c r="D554" s="1723" t="str">
        <f t="shared" si="8"/>
        <v>MKZ : indice Minergie</v>
      </c>
      <c r="E554" s="402" t="s">
        <v>3406</v>
      </c>
      <c r="F554" s="2338" t="s">
        <v>3505</v>
      </c>
      <c r="G554" s="403" t="s">
        <v>3506</v>
      </c>
    </row>
    <row r="555" spans="1:7" ht="25.9" customHeight="1">
      <c r="A555" s="401">
        <v>552</v>
      </c>
      <c r="B555" s="929" t="s">
        <v>1747</v>
      </c>
      <c r="C555" s="929" t="s">
        <v>3435</v>
      </c>
      <c r="D555" s="1723" t="str">
        <f t="shared" si="8"/>
        <v xml:space="preserve">Précision : Si non, la possibilité d'aération par les fenêtres doit quand même être remplie </v>
      </c>
      <c r="E555" s="402" t="s">
        <v>3432</v>
      </c>
      <c r="F555" s="2338" t="s">
        <v>3507</v>
      </c>
      <c r="G555" s="403" t="s">
        <v>3508</v>
      </c>
    </row>
    <row r="556" spans="1:7" ht="25.9" customHeight="1">
      <c r="A556" s="401">
        <v>553</v>
      </c>
      <c r="B556" s="929" t="s">
        <v>1747</v>
      </c>
      <c r="C556" s="929" t="s">
        <v>879</v>
      </c>
      <c r="D556" s="1723" t="str">
        <f t="shared" si="8"/>
        <v>Variante 3 : Justificatif externe des critères selon SIA 180 et SIA 382/1 (avec refroidissement)</v>
      </c>
      <c r="E556" s="402" t="s">
        <v>3509</v>
      </c>
      <c r="F556" s="2338" t="s">
        <v>3510</v>
      </c>
      <c r="G556" s="403" t="s">
        <v>4967</v>
      </c>
    </row>
    <row r="557" spans="1:7" ht="63" customHeight="1">
      <c r="A557" s="401">
        <v>554</v>
      </c>
      <c r="B557" s="929" t="s">
        <v>1747</v>
      </c>
      <c r="C557" s="929" t="s">
        <v>1768</v>
      </c>
      <c r="D557" s="1723" t="str">
        <f t="shared" si="8"/>
        <v>Le justificatif des exigences de base constructives doit être respecté. Les températures des pièces doivent être calculées selon SIA 382/1, chiffre 4.5. Sans refroidissement, la courbe des valeurs limites selon SIA 180, figure 4 ne peut pas être dépassée plus de 100 h.</v>
      </c>
      <c r="E557" s="402" t="s">
        <v>3621</v>
      </c>
      <c r="F557" s="2338" t="s">
        <v>3511</v>
      </c>
      <c r="G557" s="403" t="s">
        <v>3622</v>
      </c>
    </row>
    <row r="558" spans="1:7" ht="25.9" customHeight="1">
      <c r="A558" s="401">
        <v>555</v>
      </c>
      <c r="B558" s="929" t="s">
        <v>1747</v>
      </c>
      <c r="C558" s="929" t="s">
        <v>853</v>
      </c>
      <c r="D558" s="1723" t="str">
        <f t="shared" si="8"/>
        <v>- Résistance au vent des protections solaires extérieures mobiles d'au moins classe 5</v>
      </c>
      <c r="E558" s="429" t="s">
        <v>3442</v>
      </c>
      <c r="F558" s="2338" t="s">
        <v>3512</v>
      </c>
      <c r="G558" s="403" t="s">
        <v>3513</v>
      </c>
    </row>
    <row r="559" spans="1:7" ht="25.9" customHeight="1">
      <c r="A559" s="401">
        <v>556</v>
      </c>
      <c r="B559" s="929" t="s">
        <v>622</v>
      </c>
      <c r="C559" s="929" t="s">
        <v>3536</v>
      </c>
      <c r="D559" s="1723" t="str">
        <f t="shared" si="8"/>
        <v>Minergie avec SIA 380/1:2016</v>
      </c>
      <c r="E559" s="402" t="s">
        <v>3530</v>
      </c>
      <c r="F559" s="2338" t="s">
        <v>3542</v>
      </c>
      <c r="G559" s="403" t="s">
        <v>3548</v>
      </c>
    </row>
    <row r="560" spans="1:7" ht="25.9" customHeight="1">
      <c r="A560" s="401">
        <v>557</v>
      </c>
      <c r="B560" s="929" t="s">
        <v>622</v>
      </c>
      <c r="C560" s="929" t="s">
        <v>3537</v>
      </c>
      <c r="D560" s="1723" t="str">
        <f t="shared" si="8"/>
        <v>Minergie-P avec SIA 380/1:2016</v>
      </c>
      <c r="E560" s="402" t="s">
        <v>3531</v>
      </c>
      <c r="F560" s="2338" t="s">
        <v>3543</v>
      </c>
      <c r="G560" s="403" t="s">
        <v>3549</v>
      </c>
    </row>
    <row r="561" spans="1:7" ht="25.9" customHeight="1">
      <c r="A561" s="401">
        <v>558</v>
      </c>
      <c r="B561" s="929" t="s">
        <v>622</v>
      </c>
      <c r="C561" s="929" t="s">
        <v>3538</v>
      </c>
      <c r="D561" s="1723" t="str">
        <f t="shared" si="8"/>
        <v>Minergie-A avec SIA 380/1:2016</v>
      </c>
      <c r="E561" s="402" t="s">
        <v>3532</v>
      </c>
      <c r="F561" s="2338" t="s">
        <v>3544</v>
      </c>
      <c r="G561" s="403" t="s">
        <v>3550</v>
      </c>
    </row>
    <row r="562" spans="1:7" ht="25.9" customHeight="1">
      <c r="A562" s="401">
        <v>559</v>
      </c>
      <c r="B562" s="929" t="s">
        <v>622</v>
      </c>
      <c r="C562" s="929" t="s">
        <v>3539</v>
      </c>
      <c r="D562" s="1723" t="str">
        <f t="shared" si="8"/>
        <v>Minergie avec SIA 380/1:2009</v>
      </c>
      <c r="E562" s="402" t="s">
        <v>3533</v>
      </c>
      <c r="F562" s="2338" t="s">
        <v>3545</v>
      </c>
      <c r="G562" s="403" t="s">
        <v>3551</v>
      </c>
    </row>
    <row r="563" spans="1:7" ht="25.9" customHeight="1">
      <c r="A563" s="401">
        <v>560</v>
      </c>
      <c r="B563" s="929" t="s">
        <v>622</v>
      </c>
      <c r="C563" s="929" t="s">
        <v>3540</v>
      </c>
      <c r="D563" s="1723" t="str">
        <f t="shared" si="8"/>
        <v>Minergie-P avec SIA 380/1:2009</v>
      </c>
      <c r="E563" s="402" t="s">
        <v>3534</v>
      </c>
      <c r="F563" s="2338" t="s">
        <v>3546</v>
      </c>
      <c r="G563" s="403" t="s">
        <v>3552</v>
      </c>
    </row>
    <row r="564" spans="1:7" ht="25.9" customHeight="1">
      <c r="A564" s="401">
        <v>561</v>
      </c>
      <c r="B564" s="929" t="s">
        <v>622</v>
      </c>
      <c r="C564" s="929" t="s">
        <v>3541</v>
      </c>
      <c r="D564" s="1723" t="str">
        <f t="shared" si="8"/>
        <v>Minergie-A avec SIA 380/1:2009</v>
      </c>
      <c r="E564" s="402" t="s">
        <v>3535</v>
      </c>
      <c r="F564" s="2338" t="s">
        <v>3547</v>
      </c>
      <c r="G564" s="403" t="s">
        <v>3553</v>
      </c>
    </row>
    <row r="565" spans="1:7" ht="25.9" customHeight="1">
      <c r="A565" s="401">
        <v>562</v>
      </c>
      <c r="B565" s="929" t="s">
        <v>622</v>
      </c>
      <c r="C565" s="929" t="s">
        <v>3591</v>
      </c>
      <c r="D565" s="1723" t="str">
        <f t="shared" si="8"/>
        <v>Rejets thermiques  [kWh]</v>
      </c>
      <c r="E565" s="402" t="s">
        <v>3584</v>
      </c>
      <c r="F565" s="2338" t="s">
        <v>3589</v>
      </c>
      <c r="G565" s="403" t="s">
        <v>3590</v>
      </c>
    </row>
    <row r="566" spans="1:7" ht="25.9" customHeight="1">
      <c r="A566" s="401">
        <v>563</v>
      </c>
      <c r="B566" s="929" t="s">
        <v>622</v>
      </c>
      <c r="C566" s="929" t="s">
        <v>3594</v>
      </c>
      <c r="D566" s="1723" t="str">
        <f t="shared" si="8"/>
        <v>Températures des rejets thermique [°C]</v>
      </c>
      <c r="E566" s="402" t="s">
        <v>3582</v>
      </c>
      <c r="F566" s="2338" t="s">
        <v>3592</v>
      </c>
      <c r="G566" s="403" t="s">
        <v>3593</v>
      </c>
    </row>
    <row r="567" spans="1:7" ht="25.9" customHeight="1">
      <c r="A567" s="401">
        <v>564</v>
      </c>
      <c r="B567" s="929" t="s">
        <v>622</v>
      </c>
      <c r="C567" s="929" t="s">
        <v>3596</v>
      </c>
      <c r="D567" s="1723" t="str">
        <f t="shared" si="8"/>
        <v>Rendement de climatisation  (EER)</v>
      </c>
      <c r="E567" s="402" t="s">
        <v>3595</v>
      </c>
      <c r="F567" s="2338" t="s">
        <v>3597</v>
      </c>
      <c r="G567" s="403" t="s">
        <v>3598</v>
      </c>
    </row>
    <row r="568" spans="1:7" ht="25.9" customHeight="1">
      <c r="A568" s="401">
        <v>565</v>
      </c>
      <c r="B568" s="929" t="s">
        <v>706</v>
      </c>
      <c r="C568" s="929" t="s">
        <v>3813</v>
      </c>
      <c r="D568" s="1723" t="str">
        <f t="shared" si="8"/>
        <v>Electricité pour la climatisation manquante</v>
      </c>
      <c r="E568" s="402" t="s">
        <v>3812</v>
      </c>
      <c r="F568" s="2338" t="s">
        <v>3814</v>
      </c>
      <c r="G568" s="403" t="s">
        <v>3815</v>
      </c>
    </row>
    <row r="569" spans="1:7" ht="25.9" customHeight="1">
      <c r="A569" s="401">
        <v>566</v>
      </c>
      <c r="B569" s="929" t="s">
        <v>622</v>
      </c>
      <c r="C569" s="929" t="s">
        <v>3616</v>
      </c>
      <c r="D569" s="1723" t="str">
        <f t="shared" si="8"/>
        <v>Vent. de transfert d’air</v>
      </c>
      <c r="E569" s="402" t="s">
        <v>3614</v>
      </c>
      <c r="F569" s="2338" t="s">
        <v>3817</v>
      </c>
      <c r="G569" s="2230" t="s">
        <v>3819</v>
      </c>
    </row>
    <row r="570" spans="1:7" ht="25.9" customHeight="1">
      <c r="A570" s="401">
        <v>567</v>
      </c>
      <c r="B570" s="929" t="s">
        <v>622</v>
      </c>
      <c r="C570" s="929" t="s">
        <v>3617</v>
      </c>
      <c r="D570" s="1723" t="str">
        <f t="shared" si="8"/>
        <v>Vent. de base</v>
      </c>
      <c r="E570" s="402" t="s">
        <v>3615</v>
      </c>
      <c r="F570" s="2338" t="s">
        <v>3818</v>
      </c>
      <c r="G570" s="2230" t="s">
        <v>3820</v>
      </c>
    </row>
    <row r="571" spans="1:7" ht="25.9" customHeight="1">
      <c r="A571" s="401">
        <v>568</v>
      </c>
      <c r="B571" s="929" t="s">
        <v>622</v>
      </c>
      <c r="C571" s="929" t="s">
        <v>930</v>
      </c>
      <c r="D571" s="1723" t="str">
        <f t="shared" si="8"/>
        <v>Enthalpie</v>
      </c>
      <c r="E571" s="402" t="s">
        <v>3620</v>
      </c>
      <c r="F571" s="2338" t="s">
        <v>3816</v>
      </c>
      <c r="G571" s="2230" t="s">
        <v>4968</v>
      </c>
    </row>
    <row r="572" spans="1:7" ht="25.9" customHeight="1">
      <c r="A572" s="401">
        <v>569</v>
      </c>
      <c r="B572" s="929" t="s">
        <v>53</v>
      </c>
      <c r="C572" s="929" t="s">
        <v>3811</v>
      </c>
      <c r="D572" s="1723" t="str">
        <f t="shared" si="8"/>
        <v>&gt; 1'000 m3/h d'air reprise</v>
      </c>
      <c r="E572" s="402" t="s">
        <v>3808</v>
      </c>
      <c r="F572" s="2338" t="s">
        <v>3809</v>
      </c>
      <c r="G572" s="403" t="s">
        <v>3810</v>
      </c>
    </row>
    <row r="573" spans="1:7" ht="51" customHeight="1">
      <c r="A573" s="401">
        <v>570</v>
      </c>
      <c r="B573" s="929" t="s">
        <v>53</v>
      </c>
      <c r="C573" s="929" t="s">
        <v>3634</v>
      </c>
      <c r="D573" s="1723" t="str">
        <f t="shared" ref="D573:D603" si="9">INDEX($E$4:$G$604,$A573,$A$1)</f>
        <v>N° MOP: N° du projet sur la plateforme Minergie https://online.minergie.ch est attribué automatiquement à l'ouverture du projet (ex. 51234)</v>
      </c>
      <c r="E573" s="402" t="s">
        <v>3633</v>
      </c>
      <c r="F573" s="2338" t="s">
        <v>3631</v>
      </c>
      <c r="G573" s="403" t="s">
        <v>3632</v>
      </c>
    </row>
    <row r="574" spans="1:7" ht="25.9" customHeight="1">
      <c r="A574" s="401">
        <v>571</v>
      </c>
      <c r="B574" s="929" t="s">
        <v>313</v>
      </c>
      <c r="C574" s="929" t="s">
        <v>888</v>
      </c>
      <c r="D574" s="1723" t="str">
        <f t="shared" si="9"/>
        <v>Valeur calculée pour l'eau chaude sanitaire selon SIA 380/1</v>
      </c>
      <c r="E574" s="402" t="s">
        <v>3637</v>
      </c>
      <c r="F574" s="2338" t="s">
        <v>3636</v>
      </c>
      <c r="G574" s="403" t="s">
        <v>3635</v>
      </c>
    </row>
    <row r="575" spans="1:7" ht="25.9" customHeight="1">
      <c r="A575" s="401">
        <v>572</v>
      </c>
      <c r="B575" s="929" t="s">
        <v>313</v>
      </c>
      <c r="C575" s="929" t="s">
        <v>3638</v>
      </c>
      <c r="D575" s="1723" t="str">
        <f t="shared" si="9"/>
        <v>Donnée à saisir, au cas où l'eau chaude sanitaire serait justifiée d'après SIA 385.</v>
      </c>
      <c r="E575" s="402" t="s">
        <v>3640</v>
      </c>
      <c r="F575" s="2338" t="s">
        <v>3639</v>
      </c>
      <c r="G575" s="403" t="s">
        <v>3641</v>
      </c>
    </row>
    <row r="576" spans="1:7" ht="54" customHeight="1">
      <c r="A576" s="401">
        <v>573</v>
      </c>
      <c r="B576" s="929" t="s">
        <v>313</v>
      </c>
      <c r="C576" s="929" t="s">
        <v>886</v>
      </c>
      <c r="D576" s="1723" t="str">
        <f t="shared" si="9"/>
        <v>Donnée indiquant si une robinetterie à économie d'eau est installée ou non. Au besoin, l'Office de certification peut exiger la documentation (bulletin de livraison, type, etc.).</v>
      </c>
      <c r="E576" s="402" t="s">
        <v>3643</v>
      </c>
      <c r="F576" s="2338" t="s">
        <v>3642</v>
      </c>
      <c r="G576" s="403" t="s">
        <v>3644</v>
      </c>
    </row>
    <row r="577" spans="1:7" ht="51.75" customHeight="1">
      <c r="A577" s="401">
        <v>574</v>
      </c>
      <c r="B577" s="929" t="s">
        <v>313</v>
      </c>
      <c r="C577" s="929" t="s">
        <v>889</v>
      </c>
      <c r="D577" s="1723" t="str">
        <f t="shared" si="9"/>
        <v>Indication si un système est utilisé pour la récupération de chaleur issue des eaux usées. Il faut reporter la valeur totale en % de la RC basée sur la quantité totale d'eau chaude.</v>
      </c>
      <c r="E577" s="402" t="s">
        <v>3646</v>
      </c>
      <c r="F577" s="2338" t="s">
        <v>3645</v>
      </c>
      <c r="G577" s="403" t="s">
        <v>3647</v>
      </c>
    </row>
    <row r="578" spans="1:7" ht="42" customHeight="1">
      <c r="A578" s="401">
        <v>575</v>
      </c>
      <c r="B578" s="929" t="s">
        <v>313</v>
      </c>
      <c r="C578" s="929" t="s">
        <v>3648</v>
      </c>
      <c r="D578" s="1723" t="str">
        <f t="shared" si="9"/>
        <v>Nombre d'unités d’habitation : Donnée obligatoire pour les bâtiments d'habitation. Le terme « unité d’habitation » est défini au chapitre 6.1.4.</v>
      </c>
      <c r="E578" s="402" t="s">
        <v>3650</v>
      </c>
      <c r="F578" s="2338" t="s">
        <v>3649</v>
      </c>
      <c r="G578" s="403" t="s">
        <v>3651</v>
      </c>
    </row>
    <row r="579" spans="1:7" ht="51.75" customHeight="1">
      <c r="A579" s="401">
        <v>576</v>
      </c>
      <c r="B579" s="929" t="s">
        <v>313</v>
      </c>
      <c r="C579" s="929" t="s">
        <v>3655</v>
      </c>
      <c r="D579" s="1723" t="str">
        <f t="shared" si="9"/>
        <v>Appareils : Donnée indiquant si les appareils installés disposent de la classe d'efficacité exigée, au minimum. Au besoin, l'Office de certification peut exiger le justificatif.</v>
      </c>
      <c r="E579" s="402" t="s">
        <v>3653</v>
      </c>
      <c r="F579" s="2338" t="s">
        <v>3654</v>
      </c>
      <c r="G579" s="403" t="s">
        <v>3652</v>
      </c>
    </row>
    <row r="580" spans="1:7" ht="39.75" customHeight="1">
      <c r="A580" s="401">
        <v>577</v>
      </c>
      <c r="B580" s="929" t="s">
        <v>313</v>
      </c>
      <c r="C580" s="929" t="s">
        <v>3656</v>
      </c>
      <c r="D580" s="1723" t="str">
        <f t="shared" si="9"/>
        <v>Eclairage LED A++ &amp; régulation : Indication de l'utilisation ou non de l'éclairage général de la catégorie de rendement concernée.</v>
      </c>
      <c r="E580" s="402" t="s">
        <v>3658</v>
      </c>
      <c r="F580" s="2338" t="s">
        <v>3657</v>
      </c>
      <c r="G580" s="403" t="s">
        <v>3659</v>
      </c>
    </row>
    <row r="581" spans="1:7" ht="144" customHeight="1">
      <c r="A581" s="401">
        <v>578</v>
      </c>
      <c r="B581" s="929" t="s">
        <v>313</v>
      </c>
      <c r="C581" s="929" t="s">
        <v>3660</v>
      </c>
      <c r="D581" s="1723" t="str">
        <f t="shared" si="9"/>
        <v>Appareils efficaces pour l'exploitation des bâtiments et dans les appartements : Donnée indiquant si des appareils électriques à économie d'énergie équipent les installations techniques communes et les appartements : présence d'appareils électriques fixes, le plus souvent au sous-sol ; pompes ; installations de sécurité, ascenseurs etc.
Remarque: les gros consommateurs d'électricité comme le ruban chauffant électrique, la protection antigel de l'appareil de ventilation, etc. ne s'appliquent pas au présent point et doivent être saisis séparément.</v>
      </c>
      <c r="E581" s="402" t="s">
        <v>3661</v>
      </c>
      <c r="F581" s="2338" t="s">
        <v>3662</v>
      </c>
      <c r="G581" s="403" t="s">
        <v>4969</v>
      </c>
    </row>
    <row r="582" spans="1:7" ht="36" customHeight="1">
      <c r="A582" s="401">
        <v>579</v>
      </c>
      <c r="B582" s="929" t="s">
        <v>313</v>
      </c>
      <c r="C582" s="929" t="s">
        <v>3663</v>
      </c>
      <c r="D582" s="1723" t="str">
        <f t="shared" si="9"/>
        <v>Éclairage : rénovation complète ? Donnée indiquant s'il s'agit d'une rénovation complète.</v>
      </c>
      <c r="E582" s="402" t="s">
        <v>3664</v>
      </c>
      <c r="F582" s="2338" t="s">
        <v>3665</v>
      </c>
      <c r="G582" s="403" t="s">
        <v>3666</v>
      </c>
    </row>
    <row r="583" spans="1:7" ht="66" customHeight="1">
      <c r="A583" s="401">
        <v>580</v>
      </c>
      <c r="B583" s="929" t="s">
        <v>313</v>
      </c>
      <c r="C583" s="929" t="s">
        <v>882</v>
      </c>
      <c r="D583" s="1723" t="str">
        <f t="shared" si="9"/>
        <v>Justificatif de l'éclairage disponible : Donnée indiquant si le justificatif comprend l'éclairage ou non. Si l'on sélectionne « non », la valeur par défaut pour l'éclairage est multipliée par 1,2. Sélectionnez toujours « non », pour les bâtiments locatifs.</v>
      </c>
      <c r="E583" s="402" t="s">
        <v>3667</v>
      </c>
      <c r="F583" s="2338" t="s">
        <v>3668</v>
      </c>
      <c r="G583" s="403" t="s">
        <v>3669</v>
      </c>
    </row>
    <row r="584" spans="1:7" ht="75.75" customHeight="1">
      <c r="A584" s="401">
        <v>581</v>
      </c>
      <c r="B584" s="929" t="s">
        <v>313</v>
      </c>
      <c r="C584" s="929" t="s">
        <v>883</v>
      </c>
      <c r="D584" s="1723" t="str">
        <f t="shared" si="9"/>
        <v>Éclairage : Module Minergie ou éclairage &gt; 100 lm/W : Donnée indiquant si, pour les bâtiments tertiaires, les luminaires atteignent au minimum la classe d'efficacité exigée. A choix uniquement pour les bâtiments du tertiaire &lt;250m2. Au besoin, l'Office de certification peut exiger le justificatif.</v>
      </c>
      <c r="E584" s="402" t="s">
        <v>3670</v>
      </c>
      <c r="F584" s="2338" t="s">
        <v>3671</v>
      </c>
      <c r="G584" s="403" t="s">
        <v>4970</v>
      </c>
    </row>
    <row r="585" spans="1:7" ht="62.25" customHeight="1">
      <c r="A585" s="401">
        <v>582</v>
      </c>
      <c r="B585" s="929" t="s">
        <v>313</v>
      </c>
      <c r="C585" s="929" t="s">
        <v>3672</v>
      </c>
      <c r="D585" s="1723" t="str">
        <f t="shared" si="9"/>
        <v>Éclairage automatique : Donnée indiquant si, pour les bâtiments du tertiaire, un éclairage avec détecteur de présence ou de lumière de jour est installé. A choix uniquement pour les bâtiments du tertiaire &lt;250m2. Au besoin, l'Office de certification peut exiger le justificatif.</v>
      </c>
      <c r="E585" s="402" t="s">
        <v>3674</v>
      </c>
      <c r="F585" s="2338" t="s">
        <v>3675</v>
      </c>
      <c r="G585" s="403" t="s">
        <v>3676</v>
      </c>
    </row>
    <row r="586" spans="1:7" ht="51.75" customHeight="1">
      <c r="A586" s="401">
        <v>583</v>
      </c>
      <c r="B586" s="929" t="s">
        <v>313</v>
      </c>
      <c r="C586" s="929" t="s">
        <v>3686</v>
      </c>
      <c r="D586" s="1723" t="str">
        <f t="shared" si="9"/>
        <v>Éclairage : Il faut reporter la valeur moyenne (non pondérée) de l'outil de calcul selon SIA 387/4. Obligatoire pour les bâtiments du tertiaire &gt;250m2, autorisé pour les bâtiments du tertiaire &lt;250m2.</v>
      </c>
      <c r="E586" s="402" t="s">
        <v>3677</v>
      </c>
      <c r="F586" s="2338" t="s">
        <v>3678</v>
      </c>
      <c r="G586" s="403" t="s">
        <v>4971</v>
      </c>
    </row>
    <row r="587" spans="1:7" ht="50.25" customHeight="1">
      <c r="A587" s="401">
        <v>584</v>
      </c>
      <c r="B587" s="929" t="s">
        <v>313</v>
      </c>
      <c r="C587" s="929" t="s">
        <v>3687</v>
      </c>
      <c r="D587" s="1723" t="str">
        <f t="shared" si="9"/>
        <v xml:space="preserve">Éclairage : Il faut reporter la valeur de projet (non pondérée) de l'outil de calcul selon SIA 387/4. Obligatoire pour les bâtiments du tertiaire &gt;250m2, autorisé pour les bâtiments du tertiaire &lt;250m2. </v>
      </c>
      <c r="E587" s="402" t="s">
        <v>3680</v>
      </c>
      <c r="F587" s="2338" t="s">
        <v>3681</v>
      </c>
      <c r="G587" s="403" t="s">
        <v>3682</v>
      </c>
    </row>
    <row r="588" spans="1:7" ht="25.9" customHeight="1">
      <c r="A588" s="401">
        <v>585</v>
      </c>
      <c r="B588" s="929" t="s">
        <v>313</v>
      </c>
      <c r="C588" s="929" t="s">
        <v>3679</v>
      </c>
      <c r="D588" s="1723" t="str">
        <f t="shared" si="9"/>
        <v>Exigence éclairage respectée ? Champ rempli automatiquement.</v>
      </c>
      <c r="E588" s="402" t="s">
        <v>3683</v>
      </c>
      <c r="F588" s="2338" t="s">
        <v>3684</v>
      </c>
      <c r="G588" s="403" t="s">
        <v>3685</v>
      </c>
    </row>
    <row r="589" spans="1:7" ht="62.25" customHeight="1">
      <c r="A589" s="401">
        <v>586</v>
      </c>
      <c r="B589" s="929" t="s">
        <v>313</v>
      </c>
      <c r="C589" s="929" t="s">
        <v>3688</v>
      </c>
      <c r="D589" s="1723" t="str">
        <f t="shared" si="9"/>
        <v>Rendement annuel spécifique : À reporter de PVopti : (cellule M38, Onglet « Résultats »), resp. de PVGis. Si aucune donnée n'est saisie, le calcul est effectué sur la base de la valeur par défaut (800 kWh/kWp).</v>
      </c>
      <c r="E589" s="402" t="s">
        <v>3690</v>
      </c>
      <c r="F589" s="2338" t="s">
        <v>3691</v>
      </c>
      <c r="G589" s="403" t="s">
        <v>3692</v>
      </c>
    </row>
    <row r="590" spans="1:7" ht="66" customHeight="1">
      <c r="A590" s="401">
        <v>587</v>
      </c>
      <c r="B590" s="929" t="s">
        <v>313</v>
      </c>
      <c r="C590" s="929" t="s">
        <v>3689</v>
      </c>
      <c r="D590" s="1723" t="str">
        <f t="shared" si="9"/>
        <v>Auto-consommation : À reporter depuis l'outil PVopti (Onglet « Résultats », cellule M36). Si aucune donnée n'est saisie, le calcul est effectué sur la base de la valeur par défaut (20%). Une formule qui calcule le taux de consommation propre a été définie pour les villas.</v>
      </c>
      <c r="E590" s="402" t="s">
        <v>3693</v>
      </c>
      <c r="F590" s="2338" t="s">
        <v>3694</v>
      </c>
      <c r="G590" s="403" t="s">
        <v>3695</v>
      </c>
    </row>
    <row r="591" spans="1:7" ht="48.75" customHeight="1">
      <c r="A591" s="401">
        <v>588</v>
      </c>
      <c r="B591" s="929" t="s">
        <v>313</v>
      </c>
      <c r="C591" s="929" t="s">
        <v>3696</v>
      </c>
      <c r="D591" s="1723" t="str">
        <f t="shared" si="9"/>
        <v>Puissance installée spécifique, par m2 SRE : Aucune donnée nécessaire ; calculée automatiquement.</v>
      </c>
      <c r="E591" s="402" t="s">
        <v>3697</v>
      </c>
      <c r="F591" s="2338" t="s">
        <v>3698</v>
      </c>
      <c r="G591" s="403" t="s">
        <v>3699</v>
      </c>
    </row>
    <row r="592" spans="1:7" ht="47.25" customHeight="1">
      <c r="A592" s="401">
        <v>589</v>
      </c>
      <c r="B592" s="929" t="s">
        <v>313</v>
      </c>
      <c r="C592" s="929" t="s">
        <v>3700</v>
      </c>
      <c r="D592" s="1723" t="str">
        <f t="shared" si="9"/>
        <v xml:space="preserve">Taille minimale de l'installation de production d’électricité : Est automatiquement calculée sur la base de la SRE. </v>
      </c>
      <c r="E592" s="402" t="s">
        <v>3701</v>
      </c>
      <c r="F592" s="2338" t="s">
        <v>3702</v>
      </c>
      <c r="G592" s="403" t="s">
        <v>3703</v>
      </c>
    </row>
    <row r="593" spans="1:7" ht="39" customHeight="1">
      <c r="A593" s="401">
        <v>590</v>
      </c>
      <c r="B593" s="929" t="s">
        <v>313</v>
      </c>
      <c r="C593" s="929" t="s">
        <v>3704</v>
      </c>
      <c r="D593" s="1723" t="str">
        <f t="shared" si="9"/>
        <v>La production d'électricité couvre la demande : Indique si l’autoproduction d'électricité couvre la demande pour les projets certifiés Minergie-A.</v>
      </c>
      <c r="E593" s="402" t="s">
        <v>3705</v>
      </c>
      <c r="F593" s="2338" t="s">
        <v>3706</v>
      </c>
      <c r="G593" s="403" t="s">
        <v>3707</v>
      </c>
    </row>
    <row r="594" spans="1:7" ht="51.75" customHeight="1">
      <c r="A594" s="401">
        <v>591</v>
      </c>
      <c r="B594" s="929" t="s">
        <v>313</v>
      </c>
      <c r="C594" s="929" t="s">
        <v>3708</v>
      </c>
      <c r="D594" s="1723" t="str">
        <f t="shared" si="9"/>
        <v>Étanchéité à l’air : Indique si un justificatif sur le concept d'étanchéité existe. Minergie-P ou -A : Indique si un concept de mesures de l'étanchéité à l'air existe, le cas échéant.</v>
      </c>
      <c r="E594" s="402" t="s">
        <v>3709</v>
      </c>
      <c r="F594" s="2338" t="s">
        <v>3710</v>
      </c>
      <c r="G594" s="403" t="s">
        <v>3711</v>
      </c>
    </row>
    <row r="595" spans="1:7" ht="51.75" customHeight="1">
      <c r="A595" s="401">
        <v>592</v>
      </c>
      <c r="B595" s="929" t="s">
        <v>313</v>
      </c>
      <c r="C595" s="929" t="s">
        <v>1915</v>
      </c>
      <c r="D595" s="1723" t="str">
        <f t="shared" si="9"/>
        <v>Eau chaude : Valable pour les catégories « Restauration », « Installations sportives » et « Piscines couvertes ». Au moins 20% des besoins en eau chaude sont couverts par des énergies renouvelables.</v>
      </c>
      <c r="E595" s="402" t="s">
        <v>3714</v>
      </c>
      <c r="F595" s="2338" t="s">
        <v>3715</v>
      </c>
      <c r="G595" s="403" t="s">
        <v>3716</v>
      </c>
    </row>
    <row r="596" spans="1:7" ht="39.75" customHeight="1">
      <c r="A596" s="401">
        <v>593</v>
      </c>
      <c r="B596" s="929" t="s">
        <v>313</v>
      </c>
      <c r="C596" s="929" t="s">
        <v>3712</v>
      </c>
      <c r="D596" s="1723" t="str">
        <f t="shared" si="9"/>
        <v>Recours aux énergies renouvelables : Donnée indiquant si le recours aux énergies fossiles ne dépasse pas le 30% autorisé.</v>
      </c>
      <c r="E596" s="402" t="s">
        <v>3717</v>
      </c>
      <c r="F596" s="2338" t="s">
        <v>3718</v>
      </c>
      <c r="G596" s="403" t="s">
        <v>3719</v>
      </c>
    </row>
    <row r="597" spans="1:7" ht="37.5" customHeight="1">
      <c r="A597" s="401">
        <v>594</v>
      </c>
      <c r="B597" s="929" t="s">
        <v>313</v>
      </c>
      <c r="C597" s="929" t="s">
        <v>3713</v>
      </c>
      <c r="D597" s="1723" t="str">
        <f t="shared" si="9"/>
        <v>Rejets de chaleur : Donnée indiquant s'il y a ou non des rejets de chaleur. Tout rejet de chaleur doit être utilisé.</v>
      </c>
      <c r="E597" s="402" t="s">
        <v>3720</v>
      </c>
      <c r="F597" s="2338" t="s">
        <v>3721</v>
      </c>
      <c r="G597" s="403" t="s">
        <v>3722</v>
      </c>
    </row>
    <row r="598" spans="1:7" ht="50.25" customHeight="1">
      <c r="A598" s="401">
        <v>595</v>
      </c>
      <c r="B598" s="929" t="s">
        <v>313</v>
      </c>
      <c r="C598" s="929" t="s">
        <v>3723</v>
      </c>
      <c r="D598" s="1723" t="str">
        <f t="shared" si="9"/>
        <v>Exploitation des rejets de chaleur : Indication pertinente uniquement s'il y a des rejets de chaleur. Si les rejets de chaleur sont exploités, joindre un justificatif indiquant la manière dont ils le sont.</v>
      </c>
      <c r="E598" s="402" t="s">
        <v>3725</v>
      </c>
      <c r="F598" s="2338" t="s">
        <v>3726</v>
      </c>
      <c r="G598" s="403" t="s">
        <v>3727</v>
      </c>
    </row>
    <row r="599" spans="1:7" ht="42.75" customHeight="1">
      <c r="A599" s="401">
        <v>596</v>
      </c>
      <c r="B599" s="929" t="s">
        <v>313</v>
      </c>
      <c r="C599" s="929" t="s">
        <v>3724</v>
      </c>
      <c r="D599" s="1723" t="str">
        <f t="shared" si="9"/>
        <v>Concept de monitoring : Indication si un concept de monitoring existe (seulement pour les bâtiments &gt; 2'000 m2 et pour tous les bâtiments Minergie-A).</v>
      </c>
      <c r="E599" s="402" t="s">
        <v>3728</v>
      </c>
      <c r="F599" s="2338" t="s">
        <v>3729</v>
      </c>
      <c r="G599" s="403" t="s">
        <v>3730</v>
      </c>
    </row>
    <row r="600" spans="1:7" ht="25.9" customHeight="1">
      <c r="A600" s="401">
        <v>597</v>
      </c>
      <c r="B600" s="929" t="s">
        <v>313</v>
      </c>
      <c r="C600" s="929" t="s">
        <v>3731</v>
      </c>
      <c r="D600" s="1723" t="str">
        <f t="shared" si="9"/>
        <v>Conduites vides pour la mobilité électrique : indique si des conduites vides sont prévues.</v>
      </c>
      <c r="E600" s="402" t="s">
        <v>3732</v>
      </c>
      <c r="F600" s="2338" t="s">
        <v>3733</v>
      </c>
      <c r="G600" s="403" t="s">
        <v>3734</v>
      </c>
    </row>
    <row r="601" spans="1:7" ht="53.25" customHeight="1">
      <c r="A601" s="401">
        <v>598</v>
      </c>
      <c r="B601" s="929" t="s">
        <v>1747</v>
      </c>
      <c r="C601" s="929" t="s">
        <v>886</v>
      </c>
      <c r="D601" s="1723" t="str">
        <f t="shared" si="9"/>
        <v>Protection solaire : Choix du type de protection solaire. Si l'option « autres » est sélectionnée, il faut indiquer le type de protection, la valeur g ainsi que la désignation du produit.</v>
      </c>
      <c r="E601" s="402" t="s">
        <v>3735</v>
      </c>
      <c r="F601" s="2338" t="s">
        <v>3736</v>
      </c>
      <c r="G601" s="403" t="s">
        <v>3737</v>
      </c>
    </row>
    <row r="602" spans="1:7" ht="54" customHeight="1">
      <c r="A602" s="401">
        <v>599</v>
      </c>
      <c r="B602" s="929" t="s">
        <v>1747</v>
      </c>
      <c r="C602" s="929" t="s">
        <v>3738</v>
      </c>
      <c r="D602" s="1723" t="str">
        <f t="shared" si="9"/>
        <v>Critères : Indiquent si les locaux de la zone satisfont aux critères.
L’indice de vitrage maximal dépend de la station climatique.</v>
      </c>
      <c r="E602" s="402" t="s">
        <v>3739</v>
      </c>
      <c r="F602" s="2338" t="s">
        <v>3740</v>
      </c>
      <c r="G602" s="403" t="s">
        <v>3741</v>
      </c>
    </row>
    <row r="603" spans="1:7" ht="51" customHeight="1">
      <c r="A603" s="401">
        <v>600</v>
      </c>
      <c r="B603" s="929" t="s">
        <v>1747</v>
      </c>
      <c r="C603" s="929" t="s">
        <v>900</v>
      </c>
      <c r="D603" s="1723" t="str">
        <f t="shared" si="9"/>
        <v>Variante 2 Exigences constructives : Indication du respect ou non des exigences des critères relatives à la protection thermique estivale selon le justificatif, variante 2 (document séparé).</v>
      </c>
      <c r="E603" s="402" t="s">
        <v>3742</v>
      </c>
      <c r="F603" s="2338" t="s">
        <v>3743</v>
      </c>
      <c r="G603" s="403" t="s">
        <v>3745</v>
      </c>
    </row>
    <row r="604" spans="1:7" ht="43.5" customHeight="1">
      <c r="A604" s="401">
        <v>601</v>
      </c>
      <c r="B604" s="929" t="s">
        <v>1747</v>
      </c>
      <c r="C604" s="929" t="s">
        <v>3435</v>
      </c>
      <c r="D604" s="1723" t="str">
        <f t="shared" ref="D604:D635" si="10">INDEX($E$4:$G$806,$A604,$A$1)</f>
        <v>Variante 2 Critères de confort : Indication du respect ou non des exigences des critères de confort selon le justificatif, variante 2 (document séparé).</v>
      </c>
      <c r="E604" s="402" t="s">
        <v>3746</v>
      </c>
      <c r="F604" s="2338" t="s">
        <v>3744</v>
      </c>
      <c r="G604" s="403" t="s">
        <v>3745</v>
      </c>
    </row>
    <row r="605" spans="1:7" ht="39.75" customHeight="1">
      <c r="A605" s="401">
        <v>602</v>
      </c>
      <c r="B605" s="929" t="s">
        <v>1747</v>
      </c>
      <c r="C605" s="929" t="s">
        <v>3672</v>
      </c>
      <c r="D605" s="2343" t="str">
        <f t="shared" si="10"/>
        <v>Variante 3 SIA 180: Indique si les valeurs limites de température selon SIA 180 ne sont pas dépassées sans refroidissement.</v>
      </c>
      <c r="E605" s="402" t="s">
        <v>3747</v>
      </c>
      <c r="F605" s="2338" t="s">
        <v>3748</v>
      </c>
      <c r="G605" s="403" t="s">
        <v>3749</v>
      </c>
    </row>
    <row r="606" spans="1:7" ht="42" customHeight="1">
      <c r="A606" s="401">
        <v>603</v>
      </c>
      <c r="B606" s="929" t="s">
        <v>1747</v>
      </c>
      <c r="C606" s="929" t="s">
        <v>3673</v>
      </c>
      <c r="D606" s="2343" t="str">
        <f t="shared" si="10"/>
        <v>Variante 3 Refroidissement : Indique si le refroidissement prévu est suffisant et si les besoins en énergie ont été calculés.</v>
      </c>
      <c r="E606" s="402" t="s">
        <v>3750</v>
      </c>
      <c r="F606" s="2338" t="s">
        <v>3751</v>
      </c>
      <c r="G606" s="403" t="s">
        <v>4972</v>
      </c>
    </row>
    <row r="607" spans="1:7" ht="25.9" customHeight="1">
      <c r="A607" s="401">
        <v>604</v>
      </c>
      <c r="B607" s="929" t="s">
        <v>4025</v>
      </c>
      <c r="C607" s="929" t="s">
        <v>4771</v>
      </c>
      <c r="D607" s="2343" t="str">
        <f t="shared" si="10"/>
        <v>Informations complémentaires</v>
      </c>
      <c r="E607" s="402" t="s">
        <v>4023</v>
      </c>
      <c r="F607" s="2338" t="s">
        <v>4833</v>
      </c>
      <c r="G607" s="2230" t="s">
        <v>4925</v>
      </c>
    </row>
    <row r="608" spans="1:7" ht="25.9" customHeight="1">
      <c r="A608" s="401">
        <v>605</v>
      </c>
      <c r="B608" s="929" t="s">
        <v>4025</v>
      </c>
      <c r="C608" s="929" t="s">
        <v>1751</v>
      </c>
      <c r="D608" s="2343" t="str">
        <f t="shared" si="10"/>
        <v>Type de justification</v>
      </c>
      <c r="E608" s="402" t="s">
        <v>825</v>
      </c>
      <c r="F608" s="2338" t="s">
        <v>4834</v>
      </c>
      <c r="G608" s="2230" t="s">
        <v>1245</v>
      </c>
    </row>
    <row r="609" spans="1:7" ht="25.9" customHeight="1">
      <c r="A609" s="401">
        <v>606</v>
      </c>
      <c r="B609" s="929" t="s">
        <v>4025</v>
      </c>
      <c r="C609" s="929" t="s">
        <v>1755</v>
      </c>
      <c r="D609" s="2343" t="str">
        <f t="shared" si="10"/>
        <v>Données saisies par l'utilisateur</v>
      </c>
      <c r="E609" s="402" t="s">
        <v>4024</v>
      </c>
      <c r="F609" s="2338" t="s">
        <v>4835</v>
      </c>
      <c r="G609" s="2230" t="s">
        <v>4926</v>
      </c>
    </row>
    <row r="610" spans="1:7" ht="25.9" customHeight="1">
      <c r="A610" s="401">
        <v>607</v>
      </c>
      <c r="B610" s="929" t="s">
        <v>4025</v>
      </c>
      <c r="C610" s="929" t="s">
        <v>4772</v>
      </c>
      <c r="D610" s="2343" t="str">
        <f t="shared" si="10"/>
        <v>Construction</v>
      </c>
      <c r="E610" s="402" t="s">
        <v>4770</v>
      </c>
      <c r="F610" s="2338" t="s">
        <v>4965</v>
      </c>
      <c r="G610" s="2230" t="s">
        <v>4781</v>
      </c>
    </row>
    <row r="611" spans="1:7" ht="25.9" customHeight="1">
      <c r="A611" s="401">
        <v>608</v>
      </c>
      <c r="B611" s="929" t="s">
        <v>4025</v>
      </c>
      <c r="C611" s="929" t="s">
        <v>488</v>
      </c>
      <c r="D611" s="2343" t="str">
        <f t="shared" si="10"/>
        <v>Surface de plancher</v>
      </c>
      <c r="E611" s="402" t="s">
        <v>4026</v>
      </c>
      <c r="F611" s="2338" t="s">
        <v>4836</v>
      </c>
      <c r="G611" s="2230" t="s">
        <v>4782</v>
      </c>
    </row>
    <row r="612" spans="1:7" ht="25.9" customHeight="1">
      <c r="A612" s="401">
        <v>609</v>
      </c>
      <c r="B612" s="929" t="s">
        <v>4025</v>
      </c>
      <c r="C612" s="929" t="s">
        <v>865</v>
      </c>
      <c r="D612" s="2343" t="str">
        <f t="shared" si="10"/>
        <v>Typologie de construction</v>
      </c>
      <c r="E612" s="402" t="s">
        <v>4027</v>
      </c>
      <c r="F612" s="2338" t="s">
        <v>4837</v>
      </c>
      <c r="G612" s="2230" t="s">
        <v>4783</v>
      </c>
    </row>
    <row r="613" spans="1:7" ht="25.9" customHeight="1">
      <c r="A613" s="401">
        <v>610</v>
      </c>
      <c r="B613" s="929" t="s">
        <v>4025</v>
      </c>
      <c r="C613" s="929" t="s">
        <v>513</v>
      </c>
      <c r="D613" s="2343" t="str">
        <f t="shared" si="10"/>
        <v>Emploi de béton enrichi en CO2</v>
      </c>
      <c r="E613" s="402" t="s">
        <v>4028</v>
      </c>
      <c r="F613" s="2338" t="s">
        <v>4838</v>
      </c>
      <c r="G613" s="2230" t="s">
        <v>4784</v>
      </c>
    </row>
    <row r="614" spans="1:7" ht="25.9" customHeight="1">
      <c r="A614" s="401">
        <v>611</v>
      </c>
      <c r="B614" s="929" t="s">
        <v>4025</v>
      </c>
      <c r="C614" s="929" t="s">
        <v>867</v>
      </c>
      <c r="D614" s="2343" t="str">
        <f t="shared" si="10"/>
        <v>Proportion de fenêtres</v>
      </c>
      <c r="E614" s="402" t="s">
        <v>4029</v>
      </c>
      <c r="F614" s="2338" t="s">
        <v>4839</v>
      </c>
      <c r="G614" s="2230" t="s">
        <v>4785</v>
      </c>
    </row>
    <row r="615" spans="1:7" ht="25.9" customHeight="1">
      <c r="A615" s="401">
        <v>612</v>
      </c>
      <c r="B615" s="929" t="s">
        <v>4025</v>
      </c>
      <c r="C615" s="929" t="s">
        <v>868</v>
      </c>
      <c r="D615" s="2343" t="str">
        <f t="shared" si="10"/>
        <v>Epaisseur des dalles</v>
      </c>
      <c r="E615" s="402" t="s">
        <v>4030</v>
      </c>
      <c r="F615" s="2338" t="s">
        <v>4840</v>
      </c>
      <c r="G615" s="2230" t="s">
        <v>4786</v>
      </c>
    </row>
    <row r="616" spans="1:7" ht="25.9" customHeight="1">
      <c r="A616" s="401">
        <v>613</v>
      </c>
      <c r="B616" s="929" t="s">
        <v>4025</v>
      </c>
      <c r="C616" s="929" t="s">
        <v>1760</v>
      </c>
      <c r="D616" s="2343" t="str">
        <f t="shared" si="10"/>
        <v>Composition du sous sol</v>
      </c>
      <c r="E616" s="402" t="s">
        <v>4031</v>
      </c>
      <c r="F616" s="2338" t="s">
        <v>4841</v>
      </c>
      <c r="G616" s="2230" t="s">
        <v>4927</v>
      </c>
    </row>
    <row r="617" spans="1:7" ht="25.9" customHeight="1">
      <c r="A617" s="401">
        <v>614</v>
      </c>
      <c r="B617" s="929" t="s">
        <v>4025</v>
      </c>
      <c r="C617" s="929" t="s">
        <v>866</v>
      </c>
      <c r="D617" s="2343" t="str">
        <f t="shared" si="10"/>
        <v>Structure porteuse</v>
      </c>
      <c r="E617" s="402" t="s">
        <v>4032</v>
      </c>
      <c r="F617" s="2338" t="s">
        <v>4842</v>
      </c>
      <c r="G617" s="2230" t="s">
        <v>4787</v>
      </c>
    </row>
    <row r="618" spans="1:7" ht="25.9" customHeight="1">
      <c r="A618" s="401">
        <v>615</v>
      </c>
      <c r="B618" s="929" t="s">
        <v>4025</v>
      </c>
      <c r="C618" s="929" t="s">
        <v>496</v>
      </c>
      <c r="D618" s="2343" t="str">
        <f t="shared" si="10"/>
        <v>Fondation</v>
      </c>
      <c r="E618" s="402" t="s">
        <v>4033</v>
      </c>
      <c r="F618" s="2338" t="s">
        <v>4843</v>
      </c>
      <c r="G618" s="2230" t="s">
        <v>4788</v>
      </c>
    </row>
    <row r="619" spans="1:7" ht="25.9" customHeight="1">
      <c r="A619" s="401">
        <v>616</v>
      </c>
      <c r="B619" s="929" t="s">
        <v>4025</v>
      </c>
      <c r="C619" s="929" t="s">
        <v>551</v>
      </c>
      <c r="D619" s="2343" t="str">
        <f t="shared" si="10"/>
        <v>Fouille</v>
      </c>
      <c r="E619" s="402" t="s">
        <v>4034</v>
      </c>
      <c r="F619" s="2338" t="s">
        <v>4844</v>
      </c>
      <c r="G619" s="2230" t="s">
        <v>4928</v>
      </c>
    </row>
    <row r="620" spans="1:7" ht="25.9" customHeight="1">
      <c r="A620" s="401">
        <v>617</v>
      </c>
      <c r="B620" s="929" t="s">
        <v>4025</v>
      </c>
      <c r="D620" s="2343" t="str">
        <f t="shared" si="10"/>
        <v>Ampleur de l'intervention dans le toit</v>
      </c>
      <c r="E620" s="402" t="s">
        <v>4035</v>
      </c>
      <c r="F620" s="2338" t="s">
        <v>4845</v>
      </c>
      <c r="G620" s="2230" t="s">
        <v>4929</v>
      </c>
    </row>
    <row r="621" spans="1:7" ht="25.9" customHeight="1">
      <c r="A621" s="401">
        <v>618</v>
      </c>
      <c r="B621" s="929" t="s">
        <v>4025</v>
      </c>
      <c r="D621" s="2343" t="str">
        <f t="shared" si="10"/>
        <v>Ampleur de l'intervention dans la façade</v>
      </c>
      <c r="E621" s="402" t="s">
        <v>4036</v>
      </c>
      <c r="F621" s="2338" t="s">
        <v>4846</v>
      </c>
      <c r="G621" s="2230" t="s">
        <v>4930</v>
      </c>
    </row>
    <row r="622" spans="1:7" ht="25.9" customHeight="1">
      <c r="A622" s="401">
        <v>619</v>
      </c>
      <c r="B622" s="929" t="s">
        <v>4025</v>
      </c>
      <c r="D622" s="2343" t="str">
        <f t="shared" si="10"/>
        <v>Ampleur de l'intervention dans l'extension</v>
      </c>
      <c r="E622" s="402" t="s">
        <v>4037</v>
      </c>
      <c r="F622" s="2338" t="s">
        <v>4847</v>
      </c>
      <c r="G622" s="2230" t="s">
        <v>4931</v>
      </c>
    </row>
    <row r="623" spans="1:7" ht="25.9" customHeight="1">
      <c r="A623" s="401">
        <v>620</v>
      </c>
      <c r="B623" s="929" t="s">
        <v>4025</v>
      </c>
      <c r="D623" s="2343" t="str">
        <f t="shared" si="10"/>
        <v>Remplacement des fenêtres</v>
      </c>
      <c r="E623" s="402" t="s">
        <v>4038</v>
      </c>
      <c r="F623" s="2338" t="s">
        <v>4848</v>
      </c>
      <c r="G623" s="2230" t="s">
        <v>4789</v>
      </c>
    </row>
    <row r="624" spans="1:7" ht="25.9" customHeight="1">
      <c r="A624" s="401">
        <v>621</v>
      </c>
      <c r="B624" s="929" t="s">
        <v>4025</v>
      </c>
      <c r="D624" s="2343" t="str">
        <f t="shared" si="10"/>
        <v>Ampleur de l'intervention sur les installations techniques</v>
      </c>
      <c r="E624" s="402" t="s">
        <v>4039</v>
      </c>
      <c r="F624" s="2338" t="s">
        <v>4849</v>
      </c>
      <c r="G624" s="2230" t="s">
        <v>4932</v>
      </c>
    </row>
    <row r="625" spans="1:7" ht="25.9" customHeight="1">
      <c r="A625" s="401">
        <v>622</v>
      </c>
      <c r="B625" s="929" t="s">
        <v>4978</v>
      </c>
      <c r="C625" s="929" t="s">
        <v>4979</v>
      </c>
      <c r="D625" s="2343" t="str">
        <f t="shared" si="10"/>
        <v>Pas de sous-sol</v>
      </c>
      <c r="E625" s="402" t="s">
        <v>4040</v>
      </c>
      <c r="F625" s="2338" t="s">
        <v>4850</v>
      </c>
      <c r="G625" s="2230" t="s">
        <v>4933</v>
      </c>
    </row>
    <row r="626" spans="1:7" ht="25.9" customHeight="1">
      <c r="A626" s="401">
        <v>623</v>
      </c>
      <c r="B626" s="2339" t="s">
        <v>4978</v>
      </c>
      <c r="C626" s="2339" t="s">
        <v>4980</v>
      </c>
      <c r="D626" s="2343" t="str">
        <f t="shared" si="10"/>
        <v>Sous-sol plus petit que la surface bâtie du bâtiment</v>
      </c>
      <c r="E626" s="402" t="s">
        <v>4041</v>
      </c>
      <c r="F626" s="2338" t="s">
        <v>4957</v>
      </c>
      <c r="G626" s="2230" t="s">
        <v>4973</v>
      </c>
    </row>
    <row r="627" spans="1:7" ht="25.9" customHeight="1">
      <c r="A627" s="401">
        <v>624</v>
      </c>
      <c r="B627" s="2339" t="s">
        <v>4978</v>
      </c>
      <c r="C627" s="2339" t="s">
        <v>4981</v>
      </c>
      <c r="D627" s="2343" t="str">
        <f t="shared" si="10"/>
        <v>Sous-sol intégré dans la surface bâtie du bâtiment</v>
      </c>
      <c r="E627" s="402" t="s">
        <v>4042</v>
      </c>
      <c r="F627" s="2338" t="s">
        <v>4958</v>
      </c>
      <c r="G627" s="2230" t="s">
        <v>4974</v>
      </c>
    </row>
    <row r="628" spans="1:7" ht="25.9" customHeight="1">
      <c r="A628" s="401">
        <v>625</v>
      </c>
      <c r="B628" s="2339" t="s">
        <v>4978</v>
      </c>
      <c r="C628" s="2339" t="s">
        <v>4982</v>
      </c>
      <c r="D628" s="2343" t="str">
        <f t="shared" si="10"/>
        <v>Sous-sol partiellement hors de la surface bâtie du bâtiment</v>
      </c>
      <c r="E628" s="402" t="s">
        <v>4043</v>
      </c>
      <c r="F628" s="2338" t="s">
        <v>4959</v>
      </c>
      <c r="G628" s="2230" t="s">
        <v>4975</v>
      </c>
    </row>
    <row r="629" spans="1:7" ht="25.9" customHeight="1">
      <c r="A629" s="401">
        <v>626</v>
      </c>
      <c r="B629" s="2339" t="s">
        <v>4978</v>
      </c>
      <c r="C629" s="2339" t="s">
        <v>4983</v>
      </c>
      <c r="D629" s="2343" t="str">
        <f t="shared" si="10"/>
        <v>Sous-sol partiellement nettement plus grand que la surface bâtie du bâtiment</v>
      </c>
      <c r="E629" s="402" t="s">
        <v>4044</v>
      </c>
      <c r="F629" s="2338" t="s">
        <v>4960</v>
      </c>
      <c r="G629" s="2230" t="s">
        <v>4976</v>
      </c>
    </row>
    <row r="630" spans="1:7" ht="25.9" customHeight="1">
      <c r="A630" s="401">
        <v>627</v>
      </c>
      <c r="B630" s="2339" t="s">
        <v>4978</v>
      </c>
      <c r="C630" s="929" t="s">
        <v>4984</v>
      </c>
      <c r="D630" s="2343" t="str">
        <f t="shared" si="10"/>
        <v>Contruction massive lourde</v>
      </c>
      <c r="E630" s="402" t="s">
        <v>4045</v>
      </c>
      <c r="F630" s="2338" t="s">
        <v>4851</v>
      </c>
      <c r="G630" s="2230" t="s">
        <v>4790</v>
      </c>
    </row>
    <row r="631" spans="1:7" ht="25.9" customHeight="1">
      <c r="A631" s="401">
        <v>628</v>
      </c>
      <c r="B631" s="2339" t="s">
        <v>4978</v>
      </c>
      <c r="C631" s="2339" t="s">
        <v>4985</v>
      </c>
      <c r="D631" s="2343" t="str">
        <f t="shared" si="10"/>
        <v>Contruction massive légère</v>
      </c>
      <c r="E631" s="402" t="s">
        <v>4046</v>
      </c>
      <c r="F631" s="2338" t="s">
        <v>4852</v>
      </c>
      <c r="G631" s="2230" t="s">
        <v>4791</v>
      </c>
    </row>
    <row r="632" spans="1:7" ht="25.9" customHeight="1">
      <c r="A632" s="401">
        <v>629</v>
      </c>
      <c r="B632" s="2339" t="s">
        <v>4978</v>
      </c>
      <c r="C632" s="2339" t="s">
        <v>4986</v>
      </c>
      <c r="D632" s="2343" t="str">
        <f t="shared" si="10"/>
        <v>Construction en bois lourde</v>
      </c>
      <c r="E632" s="402" t="s">
        <v>4047</v>
      </c>
      <c r="F632" s="2338" t="s">
        <v>4853</v>
      </c>
      <c r="G632" s="2230" t="s">
        <v>4792</v>
      </c>
    </row>
    <row r="633" spans="1:7" ht="25.9" customHeight="1">
      <c r="A633" s="401">
        <v>630</v>
      </c>
      <c r="B633" s="2339" t="s">
        <v>4978</v>
      </c>
      <c r="C633" s="2339" t="s">
        <v>4987</v>
      </c>
      <c r="D633" s="2343" t="str">
        <f t="shared" si="10"/>
        <v>Construction en bois légère</v>
      </c>
      <c r="E633" s="402" t="s">
        <v>4048</v>
      </c>
      <c r="F633" s="2338" t="s">
        <v>4854</v>
      </c>
      <c r="G633" s="2230" t="s">
        <v>4793</v>
      </c>
    </row>
    <row r="634" spans="1:7" ht="25.9" customHeight="1">
      <c r="A634" s="401">
        <v>631</v>
      </c>
      <c r="B634" s="2339" t="s">
        <v>4978</v>
      </c>
      <c r="C634" s="2339" t="s">
        <v>4988</v>
      </c>
      <c r="D634" s="2343" t="str">
        <f t="shared" si="10"/>
        <v>Construction hybride</v>
      </c>
      <c r="E634" s="402" t="s">
        <v>4049</v>
      </c>
      <c r="F634" s="2338" t="s">
        <v>4855</v>
      </c>
      <c r="G634" s="2230" t="s">
        <v>4794</v>
      </c>
    </row>
    <row r="635" spans="1:7" ht="25.9" customHeight="1">
      <c r="A635" s="401">
        <v>632</v>
      </c>
      <c r="B635" s="2339" t="s">
        <v>4978</v>
      </c>
      <c r="C635" s="2339" t="s">
        <v>4989</v>
      </c>
      <c r="D635" s="2343" t="str">
        <f t="shared" si="10"/>
        <v>Construction vitrée</v>
      </c>
      <c r="E635" s="402" t="s">
        <v>4050</v>
      </c>
      <c r="F635" s="2338" t="s">
        <v>4856</v>
      </c>
      <c r="G635" s="2230" t="s">
        <v>4795</v>
      </c>
    </row>
    <row r="636" spans="1:7" ht="25.9" customHeight="1">
      <c r="A636" s="401">
        <v>633</v>
      </c>
      <c r="B636" s="2339" t="s">
        <v>4978</v>
      </c>
      <c r="C636" s="2339" t="s">
        <v>3263</v>
      </c>
      <c r="D636" s="2343" t="str">
        <f t="shared" ref="D636:D667" si="11">INDEX($E$4:$G$806,$A636,$A$1)</f>
        <v>Construction métallique</v>
      </c>
      <c r="E636" s="402" t="s">
        <v>4051</v>
      </c>
      <c r="F636" s="2338" t="s">
        <v>4857</v>
      </c>
      <c r="G636" s="2230" t="s">
        <v>4796</v>
      </c>
    </row>
    <row r="637" spans="1:7" ht="25.9" customHeight="1">
      <c r="A637" s="401">
        <v>634</v>
      </c>
      <c r="B637" s="2339" t="s">
        <v>4978</v>
      </c>
      <c r="C637" s="929" t="s">
        <v>4990</v>
      </c>
      <c r="D637" s="2343" t="str">
        <f t="shared" si="11"/>
        <v>Fondation superficielle</v>
      </c>
      <c r="E637" s="402" t="s">
        <v>4052</v>
      </c>
      <c r="F637" s="2338" t="s">
        <v>4858</v>
      </c>
      <c r="G637" s="2230" t="s">
        <v>4934</v>
      </c>
    </row>
    <row r="638" spans="1:7" ht="25.9" customHeight="1">
      <c r="A638" s="401">
        <v>635</v>
      </c>
      <c r="B638" s="2339" t="s">
        <v>4978</v>
      </c>
      <c r="C638" s="2339" t="s">
        <v>4991</v>
      </c>
      <c r="D638" s="2343" t="str">
        <f t="shared" si="11"/>
        <v>Micro-pieux</v>
      </c>
      <c r="E638" s="402" t="s">
        <v>4053</v>
      </c>
      <c r="F638" s="2338" t="s">
        <v>4859</v>
      </c>
      <c r="G638" s="2230" t="s">
        <v>4797</v>
      </c>
    </row>
    <row r="639" spans="1:7" ht="25.9" customHeight="1">
      <c r="A639" s="401">
        <v>636</v>
      </c>
      <c r="B639" s="2339" t="s">
        <v>4978</v>
      </c>
      <c r="C639" s="2339" t="s">
        <v>4992</v>
      </c>
      <c r="D639" s="2343" t="str">
        <f t="shared" si="11"/>
        <v>Pieux en béton coulé sur place</v>
      </c>
      <c r="E639" s="402" t="s">
        <v>4054</v>
      </c>
      <c r="F639" s="2338" t="s">
        <v>4860</v>
      </c>
      <c r="G639" s="2230" t="s">
        <v>4798</v>
      </c>
    </row>
    <row r="640" spans="1:7" ht="25.9" customHeight="1">
      <c r="A640" s="401">
        <v>637</v>
      </c>
      <c r="B640" s="2339" t="s">
        <v>4978</v>
      </c>
      <c r="C640" s="2339" t="s">
        <v>4993</v>
      </c>
      <c r="D640" s="2343" t="str">
        <f t="shared" si="11"/>
        <v>Colonnes ballastées</v>
      </c>
      <c r="E640" s="402" t="s">
        <v>4055</v>
      </c>
      <c r="F640" s="2338" t="s">
        <v>4861</v>
      </c>
      <c r="G640" s="2230" t="s">
        <v>4935</v>
      </c>
    </row>
    <row r="641" spans="1:7" ht="25.9" customHeight="1">
      <c r="A641" s="401">
        <v>638</v>
      </c>
      <c r="B641" s="2339" t="s">
        <v>4978</v>
      </c>
      <c r="C641" s="2339" t="s">
        <v>4994</v>
      </c>
      <c r="D641" s="2343" t="str">
        <f t="shared" si="11"/>
        <v>Pieu en béton préfabriqué (battus)</v>
      </c>
      <c r="E641" s="402" t="s">
        <v>4056</v>
      </c>
      <c r="F641" s="2338" t="s">
        <v>4862</v>
      </c>
      <c r="G641" s="2230" t="s">
        <v>4799</v>
      </c>
    </row>
    <row r="642" spans="1:7" ht="25.9" customHeight="1">
      <c r="A642" s="401">
        <v>639</v>
      </c>
      <c r="B642" s="2339" t="s">
        <v>4978</v>
      </c>
      <c r="C642" s="929" t="s">
        <v>4995</v>
      </c>
      <c r="D642" s="2343" t="str">
        <f t="shared" si="11"/>
        <v>Talus</v>
      </c>
      <c r="E642" s="402" t="s">
        <v>4057</v>
      </c>
      <c r="F642" s="2338" t="s">
        <v>4863</v>
      </c>
      <c r="G642" s="2230" t="s">
        <v>4800</v>
      </c>
    </row>
    <row r="643" spans="1:7" ht="25.9" customHeight="1">
      <c r="A643" s="401">
        <v>640</v>
      </c>
      <c r="B643" s="2339" t="s">
        <v>4978</v>
      </c>
      <c r="C643" s="2339" t="s">
        <v>4996</v>
      </c>
      <c r="D643" s="2343" t="str">
        <f t="shared" si="11"/>
        <v>Paroi de pieux forés</v>
      </c>
      <c r="E643" s="402" t="s">
        <v>4058</v>
      </c>
      <c r="F643" s="2338" t="s">
        <v>4864</v>
      </c>
      <c r="G643" s="2230" t="s">
        <v>4936</v>
      </c>
    </row>
    <row r="644" spans="1:7" ht="25.9" customHeight="1">
      <c r="A644" s="401">
        <v>641</v>
      </c>
      <c r="B644" s="2339" t="s">
        <v>4978</v>
      </c>
      <c r="C644" s="2339" t="s">
        <v>4997</v>
      </c>
      <c r="D644" s="2343" t="str">
        <f t="shared" si="11"/>
        <v>Paroi clouée</v>
      </c>
      <c r="E644" s="402" t="s">
        <v>4059</v>
      </c>
      <c r="F644" s="2338" t="s">
        <v>4865</v>
      </c>
      <c r="G644" s="2230" t="s">
        <v>4937</v>
      </c>
    </row>
    <row r="645" spans="1:7" ht="25.9" customHeight="1">
      <c r="A645" s="401">
        <v>642</v>
      </c>
      <c r="B645" s="2339" t="s">
        <v>4978</v>
      </c>
      <c r="C645" s="2339" t="s">
        <v>4998</v>
      </c>
      <c r="D645" s="2343" t="str">
        <f t="shared" si="11"/>
        <v>Paroi berlinoise</v>
      </c>
      <c r="E645" s="402" t="s">
        <v>4060</v>
      </c>
      <c r="F645" s="2338" t="s">
        <v>4866</v>
      </c>
      <c r="G645" s="2230" t="s">
        <v>4938</v>
      </c>
    </row>
    <row r="646" spans="1:7" ht="25.9" customHeight="1">
      <c r="A646" s="401">
        <v>643</v>
      </c>
      <c r="B646" s="2339" t="s">
        <v>4978</v>
      </c>
      <c r="C646" s="2339" t="s">
        <v>4999</v>
      </c>
      <c r="D646" s="2343" t="str">
        <f t="shared" si="11"/>
        <v>Paroi moulée</v>
      </c>
      <c r="E646" s="402" t="s">
        <v>4061</v>
      </c>
      <c r="F646" s="2338" t="s">
        <v>4867</v>
      </c>
      <c r="G646" s="2230" t="s">
        <v>4801</v>
      </c>
    </row>
    <row r="647" spans="1:7" ht="25.9" customHeight="1">
      <c r="A647" s="401">
        <v>644</v>
      </c>
      <c r="B647" s="2339" t="s">
        <v>4978</v>
      </c>
      <c r="C647" s="2339" t="s">
        <v>5000</v>
      </c>
      <c r="D647" s="2343" t="str">
        <f t="shared" si="11"/>
        <v>Palplanches</v>
      </c>
      <c r="E647" s="402" t="s">
        <v>4062</v>
      </c>
      <c r="F647" s="2338" t="s">
        <v>4868</v>
      </c>
      <c r="G647" s="2230" t="s">
        <v>4802</v>
      </c>
    </row>
    <row r="648" spans="1:7" ht="25.9" customHeight="1">
      <c r="A648" s="401">
        <v>645</v>
      </c>
      <c r="B648" s="2339" t="s">
        <v>4978</v>
      </c>
      <c r="C648" s="929" t="s">
        <v>5001</v>
      </c>
      <c r="D648" s="2343" t="str">
        <f t="shared" si="11"/>
        <v>petites portées</v>
      </c>
      <c r="E648" s="402" t="s">
        <v>4063</v>
      </c>
      <c r="F648" s="2338" t="s">
        <v>4869</v>
      </c>
      <c r="G648" s="2230" t="s">
        <v>4803</v>
      </c>
    </row>
    <row r="649" spans="1:7" ht="25.9" customHeight="1">
      <c r="A649" s="401">
        <v>646</v>
      </c>
      <c r="B649" s="2339" t="s">
        <v>4978</v>
      </c>
      <c r="C649" s="2339" t="s">
        <v>5002</v>
      </c>
      <c r="D649" s="2343" t="str">
        <f t="shared" si="11"/>
        <v>portées modérées</v>
      </c>
      <c r="E649" s="402" t="s">
        <v>4064</v>
      </c>
      <c r="F649" s="2338" t="s">
        <v>4870</v>
      </c>
      <c r="G649" s="2230" t="s">
        <v>4804</v>
      </c>
    </row>
    <row r="650" spans="1:7" ht="25.9" customHeight="1">
      <c r="A650" s="401">
        <v>647</v>
      </c>
      <c r="B650" s="2339" t="s">
        <v>4978</v>
      </c>
      <c r="C650" s="2339" t="s">
        <v>5003</v>
      </c>
      <c r="D650" s="2343" t="str">
        <f t="shared" si="11"/>
        <v>portées moyennes</v>
      </c>
      <c r="E650" s="402" t="s">
        <v>4065</v>
      </c>
      <c r="F650" s="2338" t="s">
        <v>4871</v>
      </c>
      <c r="G650" s="2230" t="s">
        <v>4805</v>
      </c>
    </row>
    <row r="651" spans="1:7" ht="25.9" customHeight="1">
      <c r="A651" s="401">
        <v>648</v>
      </c>
      <c r="B651" s="2339" t="s">
        <v>4978</v>
      </c>
      <c r="C651" s="2339" t="s">
        <v>5004</v>
      </c>
      <c r="D651" s="2343" t="str">
        <f t="shared" si="11"/>
        <v>portes accrues</v>
      </c>
      <c r="E651" s="402" t="s">
        <v>4066</v>
      </c>
      <c r="F651" s="2338" t="s">
        <v>4872</v>
      </c>
      <c r="G651" s="2230" t="s">
        <v>4806</v>
      </c>
    </row>
    <row r="652" spans="1:7" ht="25.9" customHeight="1">
      <c r="A652" s="401">
        <v>649</v>
      </c>
      <c r="B652" s="2339" t="s">
        <v>4978</v>
      </c>
      <c r="C652" s="2339" t="s">
        <v>5005</v>
      </c>
      <c r="D652" s="2343" t="str">
        <f t="shared" si="11"/>
        <v>grands portées</v>
      </c>
      <c r="E652" s="402" t="s">
        <v>4067</v>
      </c>
      <c r="F652" s="2338" t="s">
        <v>4873</v>
      </c>
      <c r="G652" s="2230" t="s">
        <v>4807</v>
      </c>
    </row>
    <row r="653" spans="1:7" ht="25.9" customHeight="1">
      <c r="A653" s="401">
        <v>650</v>
      </c>
      <c r="B653" s="2339"/>
      <c r="D653" s="2343">
        <f t="shared" si="11"/>
        <v>0</v>
      </c>
      <c r="F653" s="2338"/>
      <c r="G653" s="2230"/>
    </row>
    <row r="654" spans="1:7" ht="25.9" customHeight="1">
      <c r="A654" s="401">
        <v>651</v>
      </c>
      <c r="B654" s="2339" t="s">
        <v>4025</v>
      </c>
      <c r="C654" s="929" t="s">
        <v>1793</v>
      </c>
      <c r="D654" s="2343" t="str">
        <f t="shared" si="11"/>
        <v>Carbone stocké</v>
      </c>
      <c r="E654" s="402" t="s">
        <v>4068</v>
      </c>
      <c r="F654" s="2338" t="s">
        <v>4874</v>
      </c>
      <c r="G654" s="2230" t="s">
        <v>4808</v>
      </c>
    </row>
    <row r="655" spans="1:7" ht="25.9" customHeight="1">
      <c r="A655" s="401">
        <v>652</v>
      </c>
      <c r="B655" s="2339" t="s">
        <v>4025</v>
      </c>
      <c r="D655" s="2343" t="str">
        <f t="shared" si="11"/>
        <v>Emissions de gaz à effet de serre (exploitation)</v>
      </c>
      <c r="E655" s="402" t="s">
        <v>4069</v>
      </c>
      <c r="F655" s="2338" t="s">
        <v>4875</v>
      </c>
      <c r="G655" s="2230" t="s">
        <v>4809</v>
      </c>
    </row>
    <row r="656" spans="1:7" ht="25.9" customHeight="1">
      <c r="A656" s="401">
        <v>653</v>
      </c>
      <c r="B656" s="2339" t="s">
        <v>4025</v>
      </c>
      <c r="C656" s="929" t="s">
        <v>97</v>
      </c>
      <c r="D656" s="2343" t="str">
        <f t="shared" si="11"/>
        <v>Emissions de gaz à effet de serre</v>
      </c>
      <c r="E656" s="402" t="s">
        <v>4070</v>
      </c>
      <c r="F656" s="2338" t="s">
        <v>4876</v>
      </c>
      <c r="G656" s="2230" t="s">
        <v>4939</v>
      </c>
    </row>
    <row r="657" spans="1:7" ht="25.9" customHeight="1">
      <c r="A657" s="401">
        <v>654</v>
      </c>
      <c r="B657" s="2339" t="s">
        <v>4025</v>
      </c>
      <c r="C657" s="929" t="s">
        <v>98</v>
      </c>
      <c r="D657" s="2343" t="str">
        <f t="shared" si="11"/>
        <v>Energie grise</v>
      </c>
      <c r="E657" s="402" t="s">
        <v>382</v>
      </c>
      <c r="F657" s="2338" t="s">
        <v>4877</v>
      </c>
      <c r="G657" s="2230" t="s">
        <v>4810</v>
      </c>
    </row>
    <row r="658" spans="1:7" ht="25.9" customHeight="1">
      <c r="A658" s="401">
        <v>655</v>
      </c>
      <c r="B658" s="2339" t="s">
        <v>4025</v>
      </c>
      <c r="D658" s="2343" t="str">
        <f t="shared" si="11"/>
        <v>Rénovation complète des installations techniques</v>
      </c>
      <c r="E658" s="402" t="s">
        <v>4071</v>
      </c>
      <c r="F658" s="2338" t="s">
        <v>4878</v>
      </c>
      <c r="G658" s="2230" t="s">
        <v>4811</v>
      </c>
    </row>
    <row r="659" spans="1:7" ht="25.9" customHeight="1">
      <c r="A659" s="401">
        <v>656</v>
      </c>
      <c r="B659" s="2339" t="s">
        <v>4025</v>
      </c>
      <c r="D659" s="2343" t="str">
        <f t="shared" si="11"/>
        <v>Rénovation majoritaire des installations techniques</v>
      </c>
      <c r="E659" s="402" t="s">
        <v>4072</v>
      </c>
      <c r="F659" s="2338" t="s">
        <v>4879</v>
      </c>
      <c r="G659" s="2230" t="s">
        <v>4812</v>
      </c>
    </row>
    <row r="660" spans="1:7" ht="25.9" customHeight="1">
      <c r="A660" s="401">
        <v>657</v>
      </c>
      <c r="B660" s="2339" t="s">
        <v>4025</v>
      </c>
      <c r="D660" s="2343" t="str">
        <f t="shared" si="11"/>
        <v>Rénovation partielle des installations techniques</v>
      </c>
      <c r="E660" s="402" t="s">
        <v>4073</v>
      </c>
      <c r="F660" s="2338" t="s">
        <v>4880</v>
      </c>
      <c r="G660" s="2230" t="s">
        <v>4813</v>
      </c>
    </row>
    <row r="661" spans="1:7" ht="25.9" customHeight="1">
      <c r="A661" s="401">
        <v>658</v>
      </c>
      <c r="B661" s="2339" t="s">
        <v>4025</v>
      </c>
      <c r="D661" s="2343" t="str">
        <f t="shared" si="11"/>
        <v>Rénovation mineure des installations techniques</v>
      </c>
      <c r="E661" s="402" t="s">
        <v>4074</v>
      </c>
      <c r="F661" s="2338" t="s">
        <v>4881</v>
      </c>
      <c r="G661" s="2230" t="s">
        <v>4814</v>
      </c>
    </row>
    <row r="662" spans="1:7" ht="25.9" customHeight="1">
      <c r="A662" s="401">
        <v>659</v>
      </c>
      <c r="B662" s="2339" t="s">
        <v>4025</v>
      </c>
      <c r="D662" s="2343" t="str">
        <f t="shared" si="11"/>
        <v>Pas de rénovation des installations techniques</v>
      </c>
      <c r="E662" s="402" t="s">
        <v>4075</v>
      </c>
      <c r="F662" s="2338" t="s">
        <v>4882</v>
      </c>
      <c r="G662" s="2230" t="s">
        <v>4815</v>
      </c>
    </row>
    <row r="663" spans="1:7" ht="25.9" customHeight="1">
      <c r="A663" s="401">
        <v>660</v>
      </c>
      <c r="B663" s="2339" t="s">
        <v>4025</v>
      </c>
      <c r="D663" s="2343" t="str">
        <f t="shared" si="11"/>
        <v>Pas de rénovation</v>
      </c>
      <c r="E663" s="402" t="s">
        <v>4076</v>
      </c>
      <c r="F663" s="2338" t="s">
        <v>4883</v>
      </c>
      <c r="G663" s="2230" t="s">
        <v>4940</v>
      </c>
    </row>
    <row r="664" spans="1:7" ht="25.9" customHeight="1">
      <c r="A664" s="401">
        <v>661</v>
      </c>
      <c r="B664" s="2339" t="s">
        <v>4025</v>
      </c>
      <c r="D664" s="2343" t="str">
        <f t="shared" si="11"/>
        <v>Rénovation de l'enveloppe d'ampleur mineure</v>
      </c>
      <c r="E664" s="402" t="s">
        <v>4077</v>
      </c>
      <c r="F664" s="2338" t="s">
        <v>4884</v>
      </c>
      <c r="G664" s="2230" t="s">
        <v>4941</v>
      </c>
    </row>
    <row r="665" spans="1:7" ht="25.9" customHeight="1">
      <c r="A665" s="401">
        <v>662</v>
      </c>
      <c r="B665" s="2339" t="s">
        <v>4025</v>
      </c>
      <c r="D665" s="2343" t="str">
        <f t="shared" si="11"/>
        <v>Rénovation de l'enveloppe partielle</v>
      </c>
      <c r="E665" s="402" t="s">
        <v>4078</v>
      </c>
      <c r="F665" s="2338" t="s">
        <v>4885</v>
      </c>
      <c r="G665" s="2230" t="s">
        <v>4942</v>
      </c>
    </row>
    <row r="666" spans="1:7" ht="25.9" customHeight="1">
      <c r="A666" s="401">
        <v>663</v>
      </c>
      <c r="B666" s="2339" t="s">
        <v>4025</v>
      </c>
      <c r="D666" s="2343" t="str">
        <f t="shared" si="11"/>
        <v>Rénovation de l'enveloppe modérée</v>
      </c>
      <c r="E666" s="402" t="s">
        <v>4079</v>
      </c>
      <c r="F666" s="2338" t="s">
        <v>4886</v>
      </c>
      <c r="G666" s="2230" t="s">
        <v>4943</v>
      </c>
    </row>
    <row r="667" spans="1:7" ht="25.9" customHeight="1">
      <c r="A667" s="401">
        <v>664</v>
      </c>
      <c r="B667" s="2339" t="s">
        <v>4025</v>
      </c>
      <c r="D667" s="2343" t="str">
        <f t="shared" si="11"/>
        <v>Rénovation de l'enveloppe complète</v>
      </c>
      <c r="E667" s="402" t="s">
        <v>4080</v>
      </c>
      <c r="F667" s="2338" t="s">
        <v>4887</v>
      </c>
      <c r="G667" s="2230" t="s">
        <v>4944</v>
      </c>
    </row>
    <row r="668" spans="1:7" ht="25.9" customHeight="1">
      <c r="A668" s="401">
        <v>665</v>
      </c>
      <c r="B668" s="2339" t="s">
        <v>4025</v>
      </c>
      <c r="D668" s="2343" t="str">
        <f t="shared" ref="D668:D699" si="12">INDEX($E$4:$G$806,$A668,$A$1)</f>
        <v>Rénovation superficielle d'ampleur mineure</v>
      </c>
      <c r="E668" s="402" t="s">
        <v>4081</v>
      </c>
      <c r="F668" s="2338" t="s">
        <v>4888</v>
      </c>
      <c r="G668" s="2230" t="s">
        <v>4945</v>
      </c>
    </row>
    <row r="669" spans="1:7" ht="25.9" customHeight="1">
      <c r="A669" s="401">
        <v>666</v>
      </c>
      <c r="B669" s="2339" t="s">
        <v>4025</v>
      </c>
      <c r="D669" s="2343" t="str">
        <f t="shared" si="12"/>
        <v>Rénovation superficielle partielle</v>
      </c>
      <c r="E669" s="402" t="s">
        <v>4082</v>
      </c>
      <c r="F669" s="2338" t="s">
        <v>4889</v>
      </c>
      <c r="G669" s="2230" t="s">
        <v>4946</v>
      </c>
    </row>
    <row r="670" spans="1:7" ht="25.9" customHeight="1">
      <c r="A670" s="401">
        <v>667</v>
      </c>
      <c r="B670" s="2339" t="s">
        <v>4025</v>
      </c>
      <c r="D670" s="2343" t="str">
        <f t="shared" si="12"/>
        <v>Rénovation superficielle modérée</v>
      </c>
      <c r="E670" s="402" t="s">
        <v>4083</v>
      </c>
      <c r="F670" s="2338" t="s">
        <v>4890</v>
      </c>
      <c r="G670" s="2230" t="s">
        <v>4947</v>
      </c>
    </row>
    <row r="671" spans="1:7" ht="25.9" customHeight="1">
      <c r="A671" s="401">
        <v>668</v>
      </c>
      <c r="B671" s="2339" t="s">
        <v>4025</v>
      </c>
      <c r="D671" s="2343" t="str">
        <f t="shared" si="12"/>
        <v>Rénovation superficielle complète</v>
      </c>
      <c r="E671" s="402" t="s">
        <v>4084</v>
      </c>
      <c r="F671" s="2338" t="s">
        <v>4891</v>
      </c>
      <c r="G671" s="2230" t="s">
        <v>4948</v>
      </c>
    </row>
    <row r="672" spans="1:7" ht="25.9" customHeight="1">
      <c r="A672" s="401">
        <v>669</v>
      </c>
      <c r="B672" s="2339" t="s">
        <v>4025</v>
      </c>
      <c r="D672" s="2343" t="str">
        <f t="shared" si="12"/>
        <v>Rénovation thermique d'ampleur mineure</v>
      </c>
      <c r="E672" s="402" t="s">
        <v>4085</v>
      </c>
      <c r="F672" s="2338" t="s">
        <v>4892</v>
      </c>
      <c r="G672" s="2230" t="s">
        <v>4816</v>
      </c>
    </row>
    <row r="673" spans="1:7" ht="25.9" customHeight="1">
      <c r="A673" s="401">
        <v>670</v>
      </c>
      <c r="B673" s="2339" t="s">
        <v>4025</v>
      </c>
      <c r="D673" s="2343" t="str">
        <f t="shared" si="12"/>
        <v>Rénovation thermique partielle</v>
      </c>
      <c r="E673" s="402" t="s">
        <v>4086</v>
      </c>
      <c r="F673" s="2338" t="s">
        <v>4893</v>
      </c>
      <c r="G673" s="2230" t="s">
        <v>4817</v>
      </c>
    </row>
    <row r="674" spans="1:7" ht="25.9" customHeight="1">
      <c r="A674" s="401">
        <v>671</v>
      </c>
      <c r="B674" s="2339" t="s">
        <v>4025</v>
      </c>
      <c r="D674" s="2343" t="str">
        <f t="shared" si="12"/>
        <v>Rénovation thermique modérée</v>
      </c>
      <c r="E674" s="402" t="s">
        <v>4087</v>
      </c>
      <c r="F674" s="2338" t="s">
        <v>4894</v>
      </c>
      <c r="G674" s="2230" t="s">
        <v>4818</v>
      </c>
    </row>
    <row r="675" spans="1:7" ht="25.9" customHeight="1">
      <c r="A675" s="401">
        <v>672</v>
      </c>
      <c r="B675" s="2339" t="s">
        <v>4025</v>
      </c>
      <c r="D675" s="2343" t="str">
        <f t="shared" si="12"/>
        <v>Rénovation thermique complète</v>
      </c>
      <c r="E675" s="402" t="s">
        <v>4088</v>
      </c>
      <c r="F675" s="2338" t="s">
        <v>4895</v>
      </c>
      <c r="G675" s="2230" t="s">
        <v>4819</v>
      </c>
    </row>
    <row r="676" spans="1:7" ht="25.9" customHeight="1">
      <c r="A676" s="401">
        <v>673</v>
      </c>
      <c r="B676" s="2339" t="s">
        <v>4025</v>
      </c>
      <c r="D676" s="2343" t="str">
        <f t="shared" si="12"/>
        <v>Remplacement d'ampleur mineure d'éléments de construction</v>
      </c>
      <c r="E676" s="402" t="s">
        <v>4089</v>
      </c>
      <c r="F676" s="2338" t="s">
        <v>4896</v>
      </c>
      <c r="G676" s="2230" t="s">
        <v>4949</v>
      </c>
    </row>
    <row r="677" spans="1:7" ht="25.9" customHeight="1">
      <c r="A677" s="401">
        <v>674</v>
      </c>
      <c r="B677" s="2339" t="s">
        <v>4025</v>
      </c>
      <c r="D677" s="2343" t="str">
        <f t="shared" si="12"/>
        <v>Remplacement partiel d'éléments de construction</v>
      </c>
      <c r="E677" s="402" t="s">
        <v>4090</v>
      </c>
      <c r="F677" s="2338" t="s">
        <v>4897</v>
      </c>
      <c r="G677" s="2230" t="s">
        <v>4820</v>
      </c>
    </row>
    <row r="678" spans="1:7" ht="25.9" customHeight="1">
      <c r="A678" s="401">
        <v>675</v>
      </c>
      <c r="B678" s="2339" t="s">
        <v>4025</v>
      </c>
      <c r="D678" s="2343" t="str">
        <f t="shared" si="12"/>
        <v>Remplacement majoritaire d'éléments de construction</v>
      </c>
      <c r="E678" s="402" t="s">
        <v>4091</v>
      </c>
      <c r="F678" s="2338" t="s">
        <v>4898</v>
      </c>
      <c r="G678" s="2230" t="s">
        <v>4821</v>
      </c>
    </row>
    <row r="679" spans="1:7" ht="25.9" customHeight="1">
      <c r="A679" s="401">
        <v>676</v>
      </c>
      <c r="B679" s="2339" t="s">
        <v>4025</v>
      </c>
      <c r="D679" s="2343" t="str">
        <f t="shared" si="12"/>
        <v>Remplacement complet d'éléments de construction</v>
      </c>
      <c r="E679" s="402" t="s">
        <v>4092</v>
      </c>
      <c r="F679" s="2338" t="s">
        <v>4899</v>
      </c>
      <c r="G679" s="2230" t="s">
        <v>4822</v>
      </c>
    </row>
    <row r="680" spans="1:7" ht="25.9" customHeight="1">
      <c r="A680" s="401">
        <v>677</v>
      </c>
      <c r="B680" s="2339" t="s">
        <v>4025</v>
      </c>
      <c r="D680" s="2343" t="str">
        <f t="shared" si="12"/>
        <v>Valeur indidactive GES Construction</v>
      </c>
      <c r="E680" s="402" t="s">
        <v>4093</v>
      </c>
      <c r="F680" s="2338" t="s">
        <v>4900</v>
      </c>
      <c r="G680" s="2230" t="s">
        <v>4950</v>
      </c>
    </row>
    <row r="681" spans="1:7" ht="25.9" customHeight="1">
      <c r="A681" s="401">
        <v>678</v>
      </c>
      <c r="B681" s="2339" t="s">
        <v>4025</v>
      </c>
      <c r="C681" s="929" t="s">
        <v>487</v>
      </c>
      <c r="D681" s="2343" t="str">
        <f t="shared" si="12"/>
        <v>Visualisation des GES pendant la construction</v>
      </c>
      <c r="E681" s="402" t="s">
        <v>4094</v>
      </c>
      <c r="F681" s="2338" t="s">
        <v>4901</v>
      </c>
      <c r="G681" s="2230" t="s">
        <v>4823</v>
      </c>
    </row>
    <row r="682" spans="1:7" ht="25.9" customHeight="1">
      <c r="A682" s="401">
        <v>679</v>
      </c>
      <c r="B682" s="2339" t="s">
        <v>4025</v>
      </c>
      <c r="D682" s="2343" t="str">
        <f t="shared" si="12"/>
        <v>minimal</v>
      </c>
      <c r="E682" s="402" t="s">
        <v>4095</v>
      </c>
      <c r="F682" s="2338" t="s">
        <v>4095</v>
      </c>
      <c r="G682" s="2230" t="s">
        <v>4824</v>
      </c>
    </row>
    <row r="683" spans="1:7" ht="25.9" customHeight="1">
      <c r="A683" s="401">
        <v>680</v>
      </c>
      <c r="B683" s="2339" t="s">
        <v>4025</v>
      </c>
      <c r="D683" s="2343" t="str">
        <f t="shared" si="12"/>
        <v>Installations techniques incorporées</v>
      </c>
      <c r="E683" s="402" t="s">
        <v>4096</v>
      </c>
      <c r="F683" s="2338" t="s">
        <v>4902</v>
      </c>
      <c r="G683" s="2230" t="s">
        <v>4825</v>
      </c>
    </row>
    <row r="684" spans="1:7" ht="41.25" customHeight="1">
      <c r="A684" s="401">
        <v>681</v>
      </c>
      <c r="B684" s="929" t="s">
        <v>4025</v>
      </c>
      <c r="C684" s="929" t="s">
        <v>4635</v>
      </c>
      <c r="D684" s="2343" t="str">
        <f t="shared" si="12"/>
        <v>Surface de plancher SP : la surface de plancher totale du bâtiment selon SIA 416/1 doit être saisie. La SP doit être supérieure à la SRE.</v>
      </c>
      <c r="E684" s="402" t="s">
        <v>4920</v>
      </c>
      <c r="F684" s="2338" t="s">
        <v>4903</v>
      </c>
      <c r="G684" s="2230" t="s">
        <v>4826</v>
      </c>
    </row>
    <row r="685" spans="1:7" ht="36.75" customHeight="1">
      <c r="A685" s="401">
        <v>682</v>
      </c>
      <c r="B685" s="929" t="s">
        <v>4025</v>
      </c>
      <c r="C685" s="929" t="s">
        <v>4636</v>
      </c>
      <c r="D685" s="2343" t="str">
        <f t="shared" si="12"/>
        <v>Fouille:si différentes techniques sont utilisées, il faut choisir celle qui est utilisée sur la plus grande surface.</v>
      </c>
      <c r="E685" s="402" t="s">
        <v>4630</v>
      </c>
      <c r="F685" s="2338" t="s">
        <v>4904</v>
      </c>
      <c r="G685" s="2230" t="s">
        <v>4951</v>
      </c>
    </row>
    <row r="686" spans="1:7" ht="25.5" customHeight="1">
      <c r="A686" s="401">
        <v>683</v>
      </c>
      <c r="B686" s="929" t="s">
        <v>4025</v>
      </c>
      <c r="C686" s="929" t="s">
        <v>4637</v>
      </c>
      <c r="D686" s="2343" t="str">
        <f t="shared" si="12"/>
        <v>Fondations:s'il existe plusieurs types de fondations, il faut choisir celle représentant la plus grande surface.</v>
      </c>
      <c r="E686" s="402" t="s">
        <v>4631</v>
      </c>
      <c r="F686" s="2338" t="s">
        <v>4905</v>
      </c>
      <c r="G686" s="2230" t="s">
        <v>4952</v>
      </c>
    </row>
    <row r="687" spans="1:7" ht="39" customHeight="1">
      <c r="A687" s="401">
        <v>684</v>
      </c>
      <c r="B687" s="929" t="s">
        <v>4025</v>
      </c>
      <c r="C687" s="929" t="s">
        <v>4638</v>
      </c>
      <c r="D687" s="2343" t="str">
        <f t="shared" si="12"/>
        <v>Aménagement du sous-sol:La surface au sol du sous-sol est considérée par rapport à la surface au sol du bâtiment (voir SIA 416).</v>
      </c>
      <c r="E687" s="402" t="s">
        <v>4632</v>
      </c>
      <c r="F687" s="2338" t="s">
        <v>4906</v>
      </c>
      <c r="G687" s="2230" t="s">
        <v>4953</v>
      </c>
    </row>
    <row r="688" spans="1:7" ht="201.75" customHeight="1">
      <c r="A688" s="401">
        <v>685</v>
      </c>
      <c r="B688" s="929" t="s">
        <v>4025</v>
      </c>
      <c r="C688" s="929" t="s">
        <v>4639</v>
      </c>
      <c r="D688" s="2343" t="str">
        <f t="shared" si="12"/>
        <v>Typologie de construction : Le mode de construction prédominant du bâtiment doit être choisi ici.
- Construction massive lourde : maçonnerie à double parois, façade ventilée lourde
- Construction massive légère : maçonnerie à simple paroi avec isolation thermique compacte ou façade ventilée légère
- Construction en bois lourde : construction en bois avec façade ventilée lourde ventilée ou plancher mixte bois-béton
- Construction en bois légère : construction en bois avec revêtement léger et planchers à poutres en bois porteuses
- Construction hybride : bâtiment avec un noyau et planchers massifs et une façade et des cloisons intérieures légères
- Construction vitrée : bâtiment avec noyau massif et façade rideau vitrée
- Construction métallique : bâtiment avec noyau massif ; plafonds et façade en structure métallique</v>
      </c>
      <c r="E688" s="402" t="s">
        <v>4633</v>
      </c>
      <c r="F688" s="2338" t="s">
        <v>4907</v>
      </c>
      <c r="G688" s="2230" t="s">
        <v>4954</v>
      </c>
    </row>
    <row r="689" spans="1:7" ht="141" customHeight="1">
      <c r="A689" s="401">
        <v>686</v>
      </c>
      <c r="B689" s="929" t="s">
        <v>4025</v>
      </c>
      <c r="C689" s="929" t="s">
        <v>4640</v>
      </c>
      <c r="D689" s="2343" t="str">
        <f t="shared" si="12"/>
        <v>Portées :
Exemple de portées d'un immeuble collectif
petite : 6 m ou moins
modérée : 7 m
moyenne : 8 m
accrue : 9 m
grande : 10 m ou plus
La plus grande portée existante doit être sélectionnée. Dans le calcul, on part d'une répartition de charge régulière et logique. En cas de structures porteuses irrégulières, il faut choisir une portée plus grande.</v>
      </c>
      <c r="E689" s="402" t="s">
        <v>4919</v>
      </c>
      <c r="F689" s="2338" t="s">
        <v>4908</v>
      </c>
      <c r="G689" s="2230" t="s">
        <v>4827</v>
      </c>
    </row>
    <row r="690" spans="1:7" ht="40.5" customHeight="1">
      <c r="A690" s="401">
        <v>687</v>
      </c>
      <c r="B690" s="929" t="s">
        <v>4025</v>
      </c>
      <c r="C690" s="929" t="s">
        <v>4641</v>
      </c>
      <c r="D690" s="2343" t="str">
        <f t="shared" si="12"/>
        <v>Proportion de fenêtres :
Proportion de fenêtres par rapport à la surface de la façade ; peut être tirée du calcul SIA380/1".</v>
      </c>
      <c r="E690" s="402" t="s">
        <v>4634</v>
      </c>
      <c r="F690" s="2338" t="s">
        <v>4909</v>
      </c>
      <c r="G690" s="2230" t="s">
        <v>4828</v>
      </c>
    </row>
    <row r="691" spans="1:7" ht="49.5" customHeight="1">
      <c r="A691" s="401">
        <v>688</v>
      </c>
      <c r="B691" s="929" t="s">
        <v>4025</v>
      </c>
      <c r="C691" s="929" t="s">
        <v>4642</v>
      </c>
      <c r="D691" s="2343" t="str">
        <f t="shared" si="12"/>
        <v>Épaisseur des dalles :
Si de grands (par ex. des conduites d'aération) ou de très nombreux incorporés sont prévus, il convient de sélectionner ici "installations techniques incorporées"</v>
      </c>
      <c r="E691" s="402" t="s">
        <v>4918</v>
      </c>
      <c r="F691" s="2338" t="s">
        <v>4961</v>
      </c>
      <c r="G691" s="2230" t="s">
        <v>4955</v>
      </c>
    </row>
    <row r="692" spans="1:7" ht="36.75" customHeight="1">
      <c r="A692" s="401">
        <v>689</v>
      </c>
      <c r="B692" s="929" t="s">
        <v>4025</v>
      </c>
      <c r="C692" s="929" t="s">
        <v>4643</v>
      </c>
      <c r="D692" s="2343" t="str">
        <f t="shared" si="12"/>
        <v>Béton enrichi en CO2 :
Si au moins 80 % de tous les éléments en béton pour lesquels cela est possible sont constitués de béton enrichi en CO2, "oui" peut être sélectionné ici.</v>
      </c>
      <c r="E692" s="402" t="s">
        <v>4644</v>
      </c>
      <c r="F692" s="2338" t="s">
        <v>4910</v>
      </c>
      <c r="G692" s="2230" t="s">
        <v>4829</v>
      </c>
    </row>
    <row r="693" spans="1:7" ht="25.9" customHeight="1">
      <c r="A693" s="2335">
        <v>690</v>
      </c>
      <c r="B693" s="929" t="s">
        <v>1797</v>
      </c>
      <c r="C693" s="929" t="s">
        <v>513</v>
      </c>
      <c r="D693" s="2343" t="str">
        <f t="shared" si="12"/>
        <v>Emission de GES pendant l'exploitatio en CO2/m2 (Scope 1)</v>
      </c>
      <c r="E693" s="402" t="s">
        <v>4726</v>
      </c>
      <c r="F693" s="2338" t="s">
        <v>4911</v>
      </c>
      <c r="G693" s="2230" t="s">
        <v>4956</v>
      </c>
    </row>
    <row r="694" spans="1:7" ht="25.9" customHeight="1">
      <c r="A694" s="2335">
        <v>691</v>
      </c>
      <c r="B694" s="2339" t="s">
        <v>1797</v>
      </c>
      <c r="C694" s="929" t="s">
        <v>868</v>
      </c>
      <c r="D694" s="2343" t="str">
        <f t="shared" si="12"/>
        <v>(exploitation du bâtiment)</v>
      </c>
      <c r="E694" s="402" t="s">
        <v>4724</v>
      </c>
      <c r="F694" s="2338" t="s">
        <v>4725</v>
      </c>
      <c r="G694" s="2230" t="s">
        <v>4977</v>
      </c>
    </row>
    <row r="695" spans="1:7" ht="25.9" customHeight="1">
      <c r="A695" s="2335">
        <v>692</v>
      </c>
      <c r="B695" s="929" t="s">
        <v>622</v>
      </c>
      <c r="C695" s="929" t="s">
        <v>4746</v>
      </c>
      <c r="D695" s="2343" t="str">
        <f t="shared" si="12"/>
        <v>Longueur totale de toutes les sondes [m]</v>
      </c>
      <c r="E695" s="402" t="s">
        <v>4731</v>
      </c>
      <c r="F695" s="2338" t="s">
        <v>4739</v>
      </c>
      <c r="G695" s="2230" t="s">
        <v>4740</v>
      </c>
    </row>
    <row r="696" spans="1:7" ht="25.9" customHeight="1">
      <c r="A696" s="2335">
        <v>693</v>
      </c>
      <c r="B696" s="929" t="s">
        <v>1797</v>
      </c>
      <c r="C696" s="929" t="s">
        <v>4753</v>
      </c>
      <c r="D696" s="2343" t="str">
        <f t="shared" si="12"/>
        <v>(Construction)</v>
      </c>
      <c r="E696" s="402" t="s">
        <v>4745</v>
      </c>
      <c r="F696" s="2338" t="s">
        <v>4912</v>
      </c>
      <c r="G696" s="2230" t="s">
        <v>4830</v>
      </c>
    </row>
    <row r="697" spans="1:7" ht="25.9" customHeight="1">
      <c r="A697" s="2335">
        <v>694</v>
      </c>
      <c r="B697" s="929" t="s">
        <v>1797</v>
      </c>
      <c r="C697" s="929" t="s">
        <v>880</v>
      </c>
      <c r="D697" s="2343" t="str">
        <f t="shared" si="12"/>
        <v>Gaz à effet de serre GES en kg CO2/m2</v>
      </c>
      <c r="E697" s="402" t="s">
        <v>4747</v>
      </c>
      <c r="F697" s="2338" t="s">
        <v>4913</v>
      </c>
      <c r="G697" s="2230" t="s">
        <v>4831</v>
      </c>
    </row>
    <row r="698" spans="1:7" ht="25.9" customHeight="1">
      <c r="A698" s="2335">
        <v>695</v>
      </c>
      <c r="B698" s="2339" t="s">
        <v>1797</v>
      </c>
      <c r="C698" s="929" t="s">
        <v>1768</v>
      </c>
      <c r="D698" s="2343" t="str">
        <f t="shared" si="12"/>
        <v>Carbone stocké en kg</v>
      </c>
      <c r="E698" s="402" t="s">
        <v>4748</v>
      </c>
      <c r="F698" s="2338" t="s">
        <v>4914</v>
      </c>
      <c r="G698" s="2230" t="s">
        <v>4832</v>
      </c>
    </row>
    <row r="699" spans="1:7" ht="25.9" customHeight="1">
      <c r="A699" s="2335">
        <v>696</v>
      </c>
      <c r="B699" s="2339" t="s">
        <v>4025</v>
      </c>
      <c r="C699" s="929" t="s">
        <v>4922</v>
      </c>
      <c r="D699" s="2343" t="str">
        <f t="shared" si="12"/>
        <v>SP</v>
      </c>
      <c r="E699" s="402" t="s">
        <v>4598</v>
      </c>
      <c r="F699" s="2338" t="s">
        <v>4921</v>
      </c>
      <c r="G699" s="403" t="s">
        <v>4921</v>
      </c>
    </row>
    <row r="700" spans="1:7" ht="25.9" customHeight="1">
      <c r="A700" s="2335">
        <v>697</v>
      </c>
      <c r="B700" s="2339" t="s">
        <v>1797</v>
      </c>
      <c r="C700" s="929" t="s">
        <v>705</v>
      </c>
      <c r="D700" s="2343" t="str">
        <f t="shared" ref="D700:D731" si="13">INDEX($E$4:$G$806,$A700,$A$1)</f>
        <v>Autres indicateurs</v>
      </c>
      <c r="E700" s="402" t="s">
        <v>4742</v>
      </c>
      <c r="F700" s="2338" t="s">
        <v>4924</v>
      </c>
      <c r="G700" s="403" t="s">
        <v>4923</v>
      </c>
    </row>
    <row r="701" spans="1:7" ht="25.9" customHeight="1">
      <c r="A701" s="2335">
        <v>698</v>
      </c>
      <c r="B701" s="2339" t="s">
        <v>53</v>
      </c>
      <c r="C701" s="2339" t="s">
        <v>5017</v>
      </c>
      <c r="D701" s="2343" t="str">
        <f t="shared" si="13"/>
        <v xml:space="preserve">Besoins / Production PV [kWh] </v>
      </c>
      <c r="E701" s="402" t="s">
        <v>5020</v>
      </c>
      <c r="F701" s="2338" t="s">
        <v>5018</v>
      </c>
      <c r="G701" s="403" t="s">
        <v>5019</v>
      </c>
    </row>
    <row r="702" spans="1:7" ht="25.9" customHeight="1">
      <c r="A702" s="2335">
        <v>699</v>
      </c>
      <c r="B702" s="2339" t="s">
        <v>622</v>
      </c>
      <c r="C702" s="2339" t="s">
        <v>5025</v>
      </c>
      <c r="D702" s="2343" t="str">
        <f t="shared" si="13"/>
        <v>Loi sur l'énergie bernoise 2026</v>
      </c>
      <c r="E702" s="402" t="s">
        <v>5235</v>
      </c>
      <c r="F702" s="2338" t="s">
        <v>5236</v>
      </c>
      <c r="G702" s="403" t="s">
        <v>5237</v>
      </c>
    </row>
    <row r="703" spans="1:7" ht="25.9" customHeight="1">
      <c r="A703" s="401">
        <v>700</v>
      </c>
      <c r="B703" s="2339" t="s">
        <v>5096</v>
      </c>
      <c r="C703" s="2339" t="s">
        <v>5097</v>
      </c>
      <c r="D703" s="2343" t="str">
        <f t="shared" si="13"/>
        <v>Efficacité énergétique globale pondérée EEGp</v>
      </c>
      <c r="E703" s="402" t="s">
        <v>5039</v>
      </c>
      <c r="F703" s="2338" t="s">
        <v>5115</v>
      </c>
      <c r="G703" s="403" t="s">
        <v>5127</v>
      </c>
    </row>
    <row r="704" spans="1:7" ht="25.9" customHeight="1">
      <c r="A704" s="401">
        <v>701</v>
      </c>
      <c r="B704" s="929" t="s">
        <v>53</v>
      </c>
      <c r="C704" s="929" t="s">
        <v>5029</v>
      </c>
      <c r="D704" s="2343" t="str">
        <f t="shared" si="13"/>
        <v>Puissance par m2 SRE Nouvelle construction  [kWh/m2]</v>
      </c>
      <c r="E704" s="402" t="s">
        <v>5046</v>
      </c>
      <c r="F704" s="2338" t="s">
        <v>5116</v>
      </c>
      <c r="G704" s="403" t="s">
        <v>5128</v>
      </c>
    </row>
    <row r="705" spans="1:7" ht="25.9" customHeight="1">
      <c r="A705" s="2335">
        <v>702</v>
      </c>
      <c r="B705" s="2339" t="s">
        <v>53</v>
      </c>
      <c r="C705" s="2339" t="s">
        <v>5059</v>
      </c>
      <c r="D705" s="2343" t="str">
        <f t="shared" si="13"/>
        <v>Contrôle du justificatif:</v>
      </c>
      <c r="E705" s="402" t="s">
        <v>5056</v>
      </c>
      <c r="F705" s="2338" t="s">
        <v>5057</v>
      </c>
      <c r="G705" s="403" t="s">
        <v>5058</v>
      </c>
    </row>
    <row r="706" spans="1:7" ht="25.9" customHeight="1">
      <c r="A706" s="2335">
        <v>703</v>
      </c>
      <c r="B706" s="2339" t="s">
        <v>53</v>
      </c>
      <c r="C706" s="2339" t="s">
        <v>946</v>
      </c>
      <c r="D706" s="2343" t="str">
        <f t="shared" si="13"/>
        <v>Remarques:</v>
      </c>
      <c r="E706" s="402" t="s">
        <v>5060</v>
      </c>
      <c r="F706" s="2338" t="s">
        <v>5061</v>
      </c>
      <c r="G706" s="403" t="s">
        <v>5062</v>
      </c>
    </row>
    <row r="707" spans="1:7" ht="25.9" customHeight="1">
      <c r="A707" s="2335">
        <v>704</v>
      </c>
      <c r="B707" s="2339" t="s">
        <v>5063</v>
      </c>
      <c r="C707" s="2339" t="s">
        <v>1906</v>
      </c>
      <c r="D707" s="2343" t="str">
        <f t="shared" si="13"/>
        <v>EEGp</v>
      </c>
      <c r="E707" s="402" t="s">
        <v>5064</v>
      </c>
      <c r="F707" s="2338" t="s">
        <v>5117</v>
      </c>
      <c r="G707" s="403" t="s">
        <v>5064</v>
      </c>
    </row>
    <row r="708" spans="1:7" ht="25.9" customHeight="1">
      <c r="A708" s="2335">
        <v>705</v>
      </c>
      <c r="B708" s="2339" t="s">
        <v>5063</v>
      </c>
      <c r="C708" s="2339" t="s">
        <v>872</v>
      </c>
      <c r="D708" s="2343" t="str">
        <f t="shared" si="13"/>
        <v xml:space="preserve">Visualisation </v>
      </c>
      <c r="E708" s="402" t="s">
        <v>5065</v>
      </c>
      <c r="F708" s="2338" t="s">
        <v>5066</v>
      </c>
      <c r="G708" s="403" t="s">
        <v>5067</v>
      </c>
    </row>
    <row r="709" spans="1:7" ht="25.9" customHeight="1">
      <c r="A709" s="2335">
        <v>706</v>
      </c>
      <c r="B709" s="2339" t="s">
        <v>5063</v>
      </c>
      <c r="C709" s="2339" t="s">
        <v>866</v>
      </c>
      <c r="D709" s="2343" t="str">
        <f t="shared" si="13"/>
        <v>Exigence satisfaite</v>
      </c>
      <c r="E709" s="402" t="s">
        <v>5068</v>
      </c>
      <c r="F709" s="2338" t="s">
        <v>5118</v>
      </c>
      <c r="G709" s="403" t="s">
        <v>5069</v>
      </c>
    </row>
    <row r="710" spans="1:7" ht="25.9" customHeight="1">
      <c r="A710" s="2335">
        <v>707</v>
      </c>
      <c r="B710" s="2339" t="s">
        <v>1747</v>
      </c>
      <c r="C710" s="2339" t="s">
        <v>1749</v>
      </c>
      <c r="D710" s="2343" t="str">
        <f t="shared" si="13"/>
        <v>Protection thermique estivale
(entrée facultative)</v>
      </c>
      <c r="E710" s="402" t="s">
        <v>5161</v>
      </c>
      <c r="F710" s="2338" t="s">
        <v>5162</v>
      </c>
      <c r="G710" s="403" t="s">
        <v>5070</v>
      </c>
    </row>
    <row r="711" spans="1:7" ht="25.9" customHeight="1">
      <c r="A711" s="2335">
        <v>708</v>
      </c>
      <c r="B711" s="2339" t="s">
        <v>5063</v>
      </c>
      <c r="C711" s="929" t="s">
        <v>5077</v>
      </c>
      <c r="D711" s="2343" t="str">
        <f t="shared" si="13"/>
        <v>EEGp,ch: indice partiel chauffage</v>
      </c>
      <c r="E711" s="402" t="s">
        <v>5076</v>
      </c>
      <c r="F711" s="2338" t="s">
        <v>5119</v>
      </c>
      <c r="G711" s="403" t="s">
        <v>5075</v>
      </c>
    </row>
    <row r="712" spans="1:7" ht="25.9" customHeight="1">
      <c r="A712" s="2335">
        <v>709</v>
      </c>
      <c r="B712" s="2339" t="s">
        <v>5063</v>
      </c>
      <c r="C712" s="2339" t="s">
        <v>5080</v>
      </c>
      <c r="D712" s="2343" t="str">
        <f t="shared" si="13"/>
        <v>EEGp,ecs : indice partiel eau chaude sanitaire</v>
      </c>
      <c r="E712" s="402" t="s">
        <v>5079</v>
      </c>
      <c r="F712" s="2338" t="s">
        <v>5120</v>
      </c>
      <c r="G712" s="403" t="s">
        <v>5078</v>
      </c>
    </row>
    <row r="713" spans="1:7" ht="25.9" customHeight="1">
      <c r="A713" s="2335">
        <v>710</v>
      </c>
      <c r="B713" s="2339" t="s">
        <v>5063</v>
      </c>
      <c r="C713" s="2339" t="s">
        <v>5083</v>
      </c>
      <c r="D713" s="2343" t="str">
        <f t="shared" si="13"/>
        <v>EEGp,vc: indice partiel aération et climat</v>
      </c>
      <c r="E713" s="402" t="s">
        <v>5082</v>
      </c>
      <c r="F713" s="2338" t="s">
        <v>5121</v>
      </c>
      <c r="G713" s="403" t="s">
        <v>5081</v>
      </c>
    </row>
    <row r="714" spans="1:7" ht="25.9" customHeight="1">
      <c r="A714" s="2335">
        <v>711</v>
      </c>
      <c r="B714" s="2339" t="s">
        <v>5063</v>
      </c>
      <c r="C714" s="2339" t="s">
        <v>5086</v>
      </c>
      <c r="D714" s="2343" t="str">
        <f t="shared" si="13"/>
        <v>EEGp,el,hab: indice partiel électricité bâtiments d'habitation</v>
      </c>
      <c r="E714" s="402" t="s">
        <v>5085</v>
      </c>
      <c r="F714" s="2338" t="s">
        <v>5122</v>
      </c>
      <c r="G714" s="403" t="s">
        <v>5084</v>
      </c>
    </row>
    <row r="715" spans="1:7" ht="25.9" customHeight="1">
      <c r="A715" s="2335">
        <v>712</v>
      </c>
      <c r="B715" s="2339" t="s">
        <v>5063</v>
      </c>
      <c r="C715" s="2339" t="s">
        <v>5087</v>
      </c>
      <c r="D715" s="2343" t="str">
        <f t="shared" si="13"/>
        <v>EEGp,ecl: indice partiel éclairage</v>
      </c>
      <c r="E715" s="402" t="s">
        <v>5091</v>
      </c>
      <c r="F715" s="2338" t="s">
        <v>5123</v>
      </c>
      <c r="G715" s="403" t="s">
        <v>5090</v>
      </c>
    </row>
    <row r="716" spans="1:7" ht="25.9" customHeight="1">
      <c r="A716" s="2335">
        <v>713</v>
      </c>
      <c r="B716" s="2339" t="s">
        <v>5063</v>
      </c>
      <c r="C716" s="2339" t="s">
        <v>5088</v>
      </c>
      <c r="D716" s="2343" t="str">
        <f t="shared" si="13"/>
        <v>EEGp,app:  indice partiel appareils</v>
      </c>
      <c r="E716" s="402" t="s">
        <v>5093</v>
      </c>
      <c r="F716" s="2338" t="s">
        <v>5124</v>
      </c>
      <c r="G716" s="403" t="s">
        <v>5092</v>
      </c>
    </row>
    <row r="717" spans="1:7" ht="25.9" customHeight="1">
      <c r="A717" s="2335">
        <v>714</v>
      </c>
      <c r="B717" s="2339" t="s">
        <v>5063</v>
      </c>
      <c r="C717" s="2339" t="s">
        <v>5089</v>
      </c>
      <c r="D717" s="2343" t="str">
        <f t="shared" si="13"/>
        <v>EEGp,inst:  indice partiel installations techniques</v>
      </c>
      <c r="E717" s="402" t="s">
        <v>5095</v>
      </c>
      <c r="F717" s="2338" t="s">
        <v>5125</v>
      </c>
      <c r="G717" s="403" t="s">
        <v>5094</v>
      </c>
    </row>
    <row r="718" spans="1:7" ht="25.9" customHeight="1">
      <c r="A718" s="2335">
        <v>715</v>
      </c>
      <c r="B718" s="2339" t="s">
        <v>5063</v>
      </c>
      <c r="C718" s="2339" t="s">
        <v>1795</v>
      </c>
      <c r="D718" s="2343" t="str">
        <f t="shared" si="13"/>
        <v>Efficacité énergétique globale pondérée EEGp</v>
      </c>
      <c r="E718" s="402" t="s">
        <v>5098</v>
      </c>
      <c r="F718" s="2338" t="s">
        <v>5115</v>
      </c>
      <c r="G718" s="403" t="s">
        <v>5127</v>
      </c>
    </row>
    <row r="719" spans="1:7" ht="25.9" customHeight="1">
      <c r="A719" s="2335">
        <v>716</v>
      </c>
      <c r="D719" s="2343" t="str">
        <f t="shared" si="13"/>
        <v>Carbone  [kg C/m2]</v>
      </c>
      <c r="E719" s="402" t="s">
        <v>5113</v>
      </c>
      <c r="F719" s="2338" t="s">
        <v>5126</v>
      </c>
      <c r="G719" s="403" t="s">
        <v>5114</v>
      </c>
    </row>
    <row r="720" spans="1:7" ht="25.9" customHeight="1">
      <c r="A720" s="401">
        <v>717</v>
      </c>
      <c r="B720" s="2339" t="s">
        <v>5063</v>
      </c>
      <c r="D720" s="899" t="str">
        <f t="shared" si="13"/>
        <v xml:space="preserve"> Production d'électricité</v>
      </c>
      <c r="E720" s="402" t="s">
        <v>5137</v>
      </c>
      <c r="F720" s="1394" t="s">
        <v>5138</v>
      </c>
      <c r="G720" s="1393" t="s">
        <v>2898</v>
      </c>
    </row>
    <row r="721" spans="1:7" ht="36" customHeight="1">
      <c r="A721" s="2335">
        <v>718</v>
      </c>
      <c r="B721" s="2339" t="s">
        <v>5063</v>
      </c>
      <c r="C721" s="2339"/>
      <c r="D721" s="899" t="str">
        <f t="shared" si="13"/>
        <v>Électricité non pris en compte</v>
      </c>
      <c r="E721" s="429" t="s">
        <v>5139</v>
      </c>
      <c r="F721" s="1394" t="s">
        <v>5140</v>
      </c>
      <c r="G721" s="1393" t="s">
        <v>2788</v>
      </c>
    </row>
    <row r="722" spans="1:7" ht="25.9" customHeight="1">
      <c r="A722" s="2335">
        <v>719</v>
      </c>
      <c r="B722" s="2339" t="s">
        <v>5063</v>
      </c>
      <c r="D722" s="899" t="str">
        <f t="shared" si="13"/>
        <v>Électricité autoconsommation</v>
      </c>
      <c r="E722" s="402" t="s">
        <v>5141</v>
      </c>
      <c r="F722" s="1394" t="s">
        <v>5143</v>
      </c>
      <c r="G722" s="403" t="s">
        <v>2392</v>
      </c>
    </row>
    <row r="723" spans="1:7" ht="25.9" customHeight="1">
      <c r="A723" s="2335">
        <v>720</v>
      </c>
      <c r="B723" s="2339" t="s">
        <v>5063</v>
      </c>
      <c r="D723" s="899" t="str">
        <f t="shared" si="13"/>
        <v>Électricité part injectée</v>
      </c>
      <c r="E723" s="402" t="s">
        <v>5142</v>
      </c>
      <c r="F723" s="1394" t="s">
        <v>5144</v>
      </c>
      <c r="G723" s="403" t="s">
        <v>2393</v>
      </c>
    </row>
    <row r="724" spans="1:7" ht="25.9" customHeight="1">
      <c r="A724" s="2335">
        <v>721</v>
      </c>
      <c r="B724" s="2339" t="s">
        <v>706</v>
      </c>
      <c r="C724" s="2339" t="s">
        <v>943</v>
      </c>
      <c r="D724" s="899" t="str">
        <f t="shared" si="13"/>
        <v>Eau chaude avec min. 50% d'énergie renouvelable (Catégorie d'ouvrage I, II, IV, VI, VIII, XI, XII) ?</v>
      </c>
      <c r="E724" s="402" t="s">
        <v>5173</v>
      </c>
      <c r="F724" s="2338" t="s">
        <v>5174</v>
      </c>
      <c r="G724" s="403" t="s">
        <v>5175</v>
      </c>
    </row>
    <row r="725" spans="1:7" ht="25.9" customHeight="1">
      <c r="A725" s="2335">
        <v>722</v>
      </c>
      <c r="B725" s="2339" t="s">
        <v>5202</v>
      </c>
      <c r="C725" s="2339" t="s">
        <v>1884</v>
      </c>
      <c r="D725" s="899" t="str">
        <f t="shared" si="13"/>
        <v>Explication</v>
      </c>
      <c r="E725" s="402" t="s">
        <v>5260</v>
      </c>
      <c r="F725" s="2338" t="s">
        <v>5261</v>
      </c>
      <c r="G725" s="403" t="s">
        <v>199</v>
      </c>
    </row>
    <row r="726" spans="1:7" ht="25.9" customHeight="1">
      <c r="A726" s="2335">
        <v>723</v>
      </c>
      <c r="B726" s="2339" t="s">
        <v>5202</v>
      </c>
      <c r="C726" s="2339" t="s">
        <v>843</v>
      </c>
      <c r="D726" s="899" t="str">
        <f t="shared" si="13"/>
        <v>Annexe pour EN-Solaire BE</v>
      </c>
      <c r="E726" s="402" t="s">
        <v>5291</v>
      </c>
      <c r="F726" s="2586" t="s">
        <v>5295</v>
      </c>
      <c r="G726" s="2587"/>
    </row>
    <row r="727" spans="1:7" ht="25.9" customHeight="1">
      <c r="A727" s="2335">
        <v>724</v>
      </c>
      <c r="B727" s="2339" t="s">
        <v>5202</v>
      </c>
      <c r="C727" s="2339" t="s">
        <v>844</v>
      </c>
      <c r="D727" s="899" t="str">
        <f t="shared" si="13"/>
        <v>Calcul moitié du besoin normalisé</v>
      </c>
      <c r="E727" s="402" t="s">
        <v>5292</v>
      </c>
      <c r="F727" s="2586" t="s">
        <v>5296</v>
      </c>
      <c r="G727" s="2587"/>
    </row>
    <row r="728" spans="1:7" ht="36.75" customHeight="1">
      <c r="A728" s="2335">
        <v>725</v>
      </c>
      <c r="B728" s="2339" t="s">
        <v>5202</v>
      </c>
      <c r="C728" s="2339" t="s">
        <v>1751</v>
      </c>
      <c r="D728" s="899" t="str">
        <f t="shared" si="13"/>
        <v>L'efficacité énergétique globale pondérée (EEGp), conformément à l'article 42 LCEn et à l'article 30 OCEn, ainsi que l'obligation</v>
      </c>
      <c r="E728" s="402" t="s">
        <v>5293</v>
      </c>
      <c r="F728" s="2586" t="s">
        <v>5264</v>
      </c>
      <c r="G728" s="2587"/>
    </row>
    <row r="729" spans="1:7" ht="36.75" customHeight="1">
      <c r="A729" s="2335">
        <v>726</v>
      </c>
      <c r="B729" s="2339" t="s">
        <v>5202</v>
      </c>
      <c r="C729" s="2339" t="s">
        <v>1047</v>
      </c>
      <c r="D729" s="899" t="str">
        <f t="shared" si="13"/>
        <v>d’utiliser l’énergie solaire, doivent être respectées dans tous les cas.</v>
      </c>
      <c r="E729" s="402" t="s">
        <v>5297</v>
      </c>
      <c r="F729" s="2586" t="s">
        <v>5298</v>
      </c>
      <c r="G729" s="2587"/>
    </row>
    <row r="730" spans="1:7" ht="69.75" customHeight="1">
      <c r="A730" s="2335">
        <v>727</v>
      </c>
      <c r="B730" s="2339" t="s">
        <v>5202</v>
      </c>
      <c r="C730" s="2339" t="s">
        <v>1752</v>
      </c>
      <c r="D730" s="899" t="str">
        <f t="shared" si="13"/>
        <v>Pour les petits bâtiments d’habitation (surface déterminante de construction ≤ 300 m²), construits neufs et de manière</v>
      </c>
      <c r="E730" s="402" t="s">
        <v>5299</v>
      </c>
      <c r="F730" s="2586" t="s">
        <v>5265</v>
      </c>
      <c r="G730" s="2587"/>
    </row>
    <row r="731" spans="1:7" ht="68.25" customHeight="1">
      <c r="A731" s="2335">
        <v>728</v>
      </c>
      <c r="B731" s="2339" t="s">
        <v>5202</v>
      </c>
      <c r="C731" s="2339" t="s">
        <v>849</v>
      </c>
      <c r="D731" s="899" t="str">
        <f t="shared" si="13"/>
        <v>permanente, l'obligation allégée selon l'art. 39b LCEN peut être appliquée, si la production d'énergie solaire correspond</v>
      </c>
      <c r="E731" s="402" t="s">
        <v>5300</v>
      </c>
      <c r="F731" s="2586" t="s">
        <v>5301</v>
      </c>
      <c r="G731" s="2587"/>
    </row>
    <row r="732" spans="1:7" ht="25.9" customHeight="1">
      <c r="A732" s="2335">
        <v>729</v>
      </c>
      <c r="B732" s="2339" t="s">
        <v>5202</v>
      </c>
      <c r="C732" s="2339" t="s">
        <v>466</v>
      </c>
      <c r="D732" s="899" t="str">
        <f t="shared" ref="D732:D748" si="14">INDEX($E$4:$G$806,$A732,$A$1)</f>
        <v>au moins à la moitié du besoin normalisé.</v>
      </c>
      <c r="E732" s="402" t="s">
        <v>5262</v>
      </c>
      <c r="F732" s="2586" t="s">
        <v>5302</v>
      </c>
      <c r="G732" s="2587" t="s">
        <v>199</v>
      </c>
    </row>
    <row r="733" spans="1:7" ht="25.9" customHeight="1">
      <c r="A733" s="2335">
        <v>730</v>
      </c>
      <c r="B733" s="2339" t="s">
        <v>5202</v>
      </c>
      <c r="C733" s="2339" t="s">
        <v>97</v>
      </c>
      <c r="D733" s="899" t="str">
        <f t="shared" si="14"/>
        <v>Si la production annuelle totale (P31) est au moins égale à la moitié du besoin normalisé (P28) et si le bâtiment</v>
      </c>
      <c r="E733" s="402" t="s">
        <v>5303</v>
      </c>
      <c r="F733" s="2586" t="s">
        <v>5304</v>
      </c>
      <c r="G733" s="2587"/>
    </row>
    <row r="734" spans="1:7" ht="25.9" customHeight="1">
      <c r="A734" s="2335">
        <v>731</v>
      </c>
      <c r="B734" s="2339" t="s">
        <v>5202</v>
      </c>
      <c r="C734" s="2339" t="s">
        <v>98</v>
      </c>
      <c r="D734" s="899" t="str">
        <f t="shared" si="14"/>
        <v>remplit les conditions pour l'obligation allégée, cette feuille sert d'annexe pour le justificatif EN-Solaire BE.</v>
      </c>
      <c r="E734" s="402" t="s">
        <v>5306</v>
      </c>
      <c r="F734" s="2586" t="s">
        <v>5305</v>
      </c>
      <c r="G734" s="2587"/>
    </row>
    <row r="735" spans="1:7" ht="25.9" customHeight="1">
      <c r="A735" s="2335">
        <v>732</v>
      </c>
      <c r="B735" s="2339" t="s">
        <v>5202</v>
      </c>
      <c r="C735" s="2339" t="s">
        <v>1793</v>
      </c>
      <c r="D735" s="899"/>
      <c r="F735" s="2586"/>
      <c r="G735" s="2587"/>
    </row>
    <row r="736" spans="1:7" ht="25.9" customHeight="1">
      <c r="A736" s="2335">
        <v>733</v>
      </c>
      <c r="B736" s="2339" t="s">
        <v>5202</v>
      </c>
      <c r="C736" s="929" t="s">
        <v>551</v>
      </c>
      <c r="D736" s="899" t="str">
        <f t="shared" si="14"/>
        <v>Surface déterminante de construction</v>
      </c>
      <c r="E736" s="402" t="s">
        <v>5249</v>
      </c>
      <c r="F736" s="2586" t="s">
        <v>5273</v>
      </c>
      <c r="G736" s="2587"/>
    </row>
    <row r="737" spans="1:7" ht="25.9" customHeight="1">
      <c r="A737" s="2335">
        <v>734</v>
      </c>
      <c r="B737" s="2339" t="s">
        <v>5202</v>
      </c>
      <c r="C737" s="2339" t="s">
        <v>496</v>
      </c>
      <c r="D737" s="899" t="str">
        <f t="shared" si="14"/>
        <v>Besoins de chauffage des logements neufs</v>
      </c>
      <c r="E737" s="402" t="s">
        <v>5223</v>
      </c>
      <c r="F737" s="2586" t="s">
        <v>5274</v>
      </c>
      <c r="G737" s="2587"/>
    </row>
    <row r="738" spans="1:7" ht="25.9" customHeight="1">
      <c r="A738" s="2335">
        <v>735</v>
      </c>
      <c r="B738" s="2339" t="s">
        <v>5202</v>
      </c>
      <c r="C738" s="2339" t="s">
        <v>865</v>
      </c>
      <c r="D738" s="899" t="str">
        <f t="shared" si="14"/>
        <v>Besoins électriques normalisés de l’habitat</v>
      </c>
      <c r="E738" s="402" t="s">
        <v>5259</v>
      </c>
      <c r="F738" s="2586" t="s">
        <v>5275</v>
      </c>
      <c r="G738" s="2587"/>
    </row>
    <row r="739" spans="1:7" ht="25.9" customHeight="1">
      <c r="A739" s="2335">
        <v>736</v>
      </c>
      <c r="B739" s="2339" t="s">
        <v>5202</v>
      </c>
      <c r="C739" s="2339" t="s">
        <v>866</v>
      </c>
      <c r="D739" s="899" t="str">
        <f t="shared" si="14"/>
        <v>La moitié du besoin normalisé</v>
      </c>
      <c r="E739" s="402" t="s">
        <v>5224</v>
      </c>
      <c r="F739" s="2586" t="s">
        <v>5272</v>
      </c>
      <c r="G739" s="2587"/>
    </row>
    <row r="740" spans="1:7" ht="25.9" customHeight="1">
      <c r="A740" s="2335">
        <v>737</v>
      </c>
      <c r="B740" s="2339" t="s">
        <v>5202</v>
      </c>
      <c r="C740" s="2339" t="s">
        <v>867</v>
      </c>
      <c r="D740" s="899" t="str">
        <f t="shared" si="14"/>
        <v>Production annuelle solaire thermique</v>
      </c>
      <c r="E740" s="402" t="s">
        <v>5257</v>
      </c>
      <c r="F740" s="2586" t="s">
        <v>5276</v>
      </c>
      <c r="G740" s="2587"/>
    </row>
    <row r="741" spans="1:7" ht="25.9" customHeight="1">
      <c r="A741" s="2335">
        <v>738</v>
      </c>
      <c r="B741" s="2339" t="s">
        <v>5202</v>
      </c>
      <c r="C741" s="2339" t="s">
        <v>868</v>
      </c>
      <c r="D741" s="899" t="str">
        <f t="shared" si="14"/>
        <v>Production annuelle photovoltaïque</v>
      </c>
      <c r="E741" s="402" t="s">
        <v>5222</v>
      </c>
      <c r="F741" s="2586" t="s">
        <v>5277</v>
      </c>
      <c r="G741" s="2587"/>
    </row>
    <row r="742" spans="1:7" ht="25.9" customHeight="1">
      <c r="A742" s="2335">
        <v>739</v>
      </c>
      <c r="B742" s="2339" t="s">
        <v>5202</v>
      </c>
      <c r="C742" s="2339" t="s">
        <v>513</v>
      </c>
      <c r="D742" s="899" t="str">
        <f t="shared" si="14"/>
        <v>Production annuelle solaire (thermique et PV)</v>
      </c>
      <c r="E742" s="402" t="s">
        <v>5258</v>
      </c>
      <c r="F742" s="2586" t="s">
        <v>5278</v>
      </c>
      <c r="G742" s="2587"/>
    </row>
    <row r="743" spans="1:7" ht="25.9" customHeight="1">
      <c r="A743" s="2335">
        <v>740</v>
      </c>
      <c r="B743" s="2339" t="s">
        <v>5202</v>
      </c>
      <c r="C743" s="2339" t="s">
        <v>870</v>
      </c>
      <c r="D743" s="899" t="str">
        <f t="shared" si="14"/>
        <v>Production correspond au moins à la moitié du besoin normalisé?</v>
      </c>
      <c r="E743" s="402" t="s">
        <v>5294</v>
      </c>
      <c r="F743" s="2586" t="s">
        <v>5307</v>
      </c>
      <c r="G743" s="2587"/>
    </row>
    <row r="744" spans="1:7" ht="25.9" customHeight="1">
      <c r="A744" s="2335">
        <v>741</v>
      </c>
      <c r="B744" s="2339" t="s">
        <v>5202</v>
      </c>
      <c r="C744" s="2339" t="s">
        <v>5245</v>
      </c>
      <c r="D744" s="899" t="str">
        <f t="shared" si="14"/>
        <v>Valeur du projet</v>
      </c>
      <c r="E744" s="402" t="s">
        <v>5217</v>
      </c>
      <c r="F744" s="2586" t="s">
        <v>5279</v>
      </c>
      <c r="G744" s="2587"/>
    </row>
    <row r="745" spans="1:7" ht="25.9" customHeight="1">
      <c r="A745" s="2335">
        <v>742</v>
      </c>
      <c r="B745" s="2339" t="s">
        <v>53</v>
      </c>
      <c r="C745" s="2339" t="s">
        <v>5245</v>
      </c>
      <c r="D745" s="899" t="str">
        <f t="shared" si="14"/>
        <v>Surface déterminante de construction</v>
      </c>
      <c r="E745" s="402" t="s">
        <v>5247</v>
      </c>
      <c r="F745" s="2586" t="s">
        <v>5273</v>
      </c>
      <c r="G745" s="2587"/>
    </row>
    <row r="746" spans="1:7" ht="25.9" customHeight="1">
      <c r="A746" s="2335">
        <v>743</v>
      </c>
      <c r="B746" s="2339" t="s">
        <v>5202</v>
      </c>
      <c r="C746" s="2339" t="s">
        <v>852</v>
      </c>
      <c r="D746" s="899" t="str">
        <f t="shared" si="14"/>
        <v xml:space="preserve">Remarque : Le calcul automatique de la feuille s’effectue si le nouveau bâtiment est exclusivement destiné à l'habitation </v>
      </c>
      <c r="E746" s="402" t="s">
        <v>5271</v>
      </c>
      <c r="F746" s="2586" t="s">
        <v>5266</v>
      </c>
      <c r="G746" s="2587"/>
    </row>
    <row r="747" spans="1:7" ht="25.9" customHeight="1">
      <c r="A747" s="2335">
        <v>744</v>
      </c>
      <c r="B747" s="2339" t="s">
        <v>5202</v>
      </c>
      <c r="C747" s="2339" t="s">
        <v>853</v>
      </c>
      <c r="D747" s="899" t="str">
        <f t="shared" si="14"/>
        <v>et présente une surface déterminante de construction ≤ 300 m².</v>
      </c>
      <c r="E747" s="402" t="s">
        <v>199</v>
      </c>
      <c r="F747" s="2586" t="s">
        <v>5267</v>
      </c>
      <c r="G747" s="2587"/>
    </row>
    <row r="748" spans="1:7" ht="25.9" customHeight="1">
      <c r="A748" s="2335">
        <v>745</v>
      </c>
      <c r="B748" s="2339" t="s">
        <v>5202</v>
      </c>
      <c r="C748" s="2339" t="s">
        <v>1760</v>
      </c>
      <c r="D748" s="899" t="str">
        <f t="shared" si="14"/>
        <v>Besoin normalisé en eau chaude</v>
      </c>
      <c r="E748" s="402" t="s">
        <v>5285</v>
      </c>
      <c r="F748" s="2338" t="s">
        <v>5287</v>
      </c>
    </row>
    <row r="749" spans="1:7" ht="25.9" customHeight="1">
      <c r="D749" s="899"/>
    </row>
    <row r="750" spans="1:7" ht="25.9" customHeight="1">
      <c r="F750" s="2586"/>
    </row>
    <row r="751" spans="1:7" ht="25.9" customHeight="1">
      <c r="F751" s="2586"/>
    </row>
  </sheetData>
  <sheetProtection password="C616" sheet="1" objects="1" scenarios="1"/>
  <phoneticPr fontId="7" type="noConversion"/>
  <dataValidations count="1">
    <dataValidation type="list" allowBlank="1" showInputMessage="1" showErrorMessage="1" sqref="C1">
      <formula1>$H$1:$H$3</formula1>
    </dataValidation>
  </dataValidations>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K768"/>
  <sheetViews>
    <sheetView zoomScale="120" zoomScaleNormal="120" workbookViewId="0"/>
  </sheetViews>
  <sheetFormatPr baseColWidth="10" defaultColWidth="10.85546875" defaultRowHeight="12.75"/>
  <cols>
    <col min="1" max="1" width="14" style="2" customWidth="1"/>
    <col min="2" max="2" width="18" style="2" customWidth="1"/>
    <col min="3" max="3" width="17.42578125" style="2" customWidth="1"/>
    <col min="4" max="5" width="10.85546875" style="2"/>
    <col min="6" max="6" width="10.85546875" style="2" customWidth="1"/>
    <col min="7" max="7" width="10.85546875" style="2"/>
    <col min="8" max="8" width="10.85546875" style="2" customWidth="1"/>
    <col min="9" max="17" width="10.85546875" style="2"/>
    <col min="18" max="18" width="10.85546875" style="2" customWidth="1"/>
    <col min="19" max="20" width="10.85546875" style="2"/>
    <col min="21" max="21" width="10.85546875" style="2" customWidth="1"/>
    <col min="22" max="46" width="10.85546875" style="2"/>
    <col min="47" max="47" width="10.85546875" style="2" customWidth="1"/>
    <col min="48" max="127" width="10.85546875" style="2"/>
    <col min="128" max="128" width="10.85546875" style="2" customWidth="1"/>
    <col min="129" max="200" width="10.85546875" style="2"/>
    <col min="201" max="201" width="21" style="2" customWidth="1"/>
    <col min="202" max="16384" width="10.85546875" style="2"/>
  </cols>
  <sheetData>
    <row r="2" spans="2:207">
      <c r="B2" s="1889" t="s">
        <v>4097</v>
      </c>
      <c r="C2" s="1890"/>
      <c r="D2" s="1890"/>
      <c r="E2" s="1890"/>
      <c r="F2" s="1890"/>
      <c r="G2" s="1890"/>
      <c r="H2" s="1890"/>
      <c r="I2" s="1890"/>
      <c r="J2" s="1890"/>
      <c r="K2" s="1890"/>
      <c r="L2" s="1890"/>
      <c r="M2" s="1890"/>
      <c r="N2" s="1891"/>
      <c r="P2" s="3164" t="s">
        <v>4098</v>
      </c>
      <c r="Q2" s="3164"/>
      <c r="R2" s="3164"/>
      <c r="S2" s="3164"/>
      <c r="U2" s="1820" t="s">
        <v>4030</v>
      </c>
      <c r="V2" s="708"/>
      <c r="W2" s="1892"/>
    </row>
    <row r="3" spans="2:207">
      <c r="B3" s="1893"/>
      <c r="C3" s="1894" t="str">
        <f>$AN$9</f>
        <v>Habitat collectif</v>
      </c>
      <c r="D3" s="1894" t="str">
        <f>$AN$10</f>
        <v>Habitat individuel</v>
      </c>
      <c r="E3" s="1894" t="str">
        <f>$AN$11</f>
        <v>Administration</v>
      </c>
      <c r="F3" s="1894" t="str">
        <f>$AN$12</f>
        <v>Ecole</v>
      </c>
      <c r="G3" s="1894" t="str">
        <f>$AN$13</f>
        <v>Commerce</v>
      </c>
      <c r="H3" s="1894" t="str">
        <f>$AN$14</f>
        <v>Restaurant</v>
      </c>
      <c r="I3" s="1894" t="str">
        <f>$AN$15</f>
        <v>Lieu de rassemblement</v>
      </c>
      <c r="J3" s="1894" t="str">
        <f>$AN$16</f>
        <v>Hôpital</v>
      </c>
      <c r="K3" s="1894" t="str">
        <f>$AN$17</f>
        <v>Industrie</v>
      </c>
      <c r="L3" s="1894" t="str">
        <f>$AN$18</f>
        <v>Entrepôt</v>
      </c>
      <c r="M3" s="1894" t="str">
        <f>$AN$19</f>
        <v>Installation sportive</v>
      </c>
      <c r="N3" s="1895" t="str">
        <f>$AN$20</f>
        <v>Piscine couverte</v>
      </c>
      <c r="P3" s="1896">
        <v>1</v>
      </c>
      <c r="Q3" s="1897">
        <v>2</v>
      </c>
      <c r="R3" s="1897">
        <v>3</v>
      </c>
      <c r="S3" s="1898">
        <v>4</v>
      </c>
      <c r="U3" s="1899"/>
      <c r="V3" s="1900"/>
      <c r="W3" s="1901">
        <v>1</v>
      </c>
    </row>
    <row r="4" spans="2:207">
      <c r="B4" s="1902" t="str">
        <f t="shared" ref="B4:B10" si="0">$S13</f>
        <v>Contruction massive lourde</v>
      </c>
      <c r="C4" s="1903" t="s">
        <v>4099</v>
      </c>
      <c r="D4" s="1904" t="s">
        <v>4100</v>
      </c>
      <c r="E4" s="1904" t="s">
        <v>4101</v>
      </c>
      <c r="F4" s="1904" t="s">
        <v>4102</v>
      </c>
      <c r="G4" s="1904" t="s">
        <v>4103</v>
      </c>
      <c r="H4" s="1904" t="s">
        <v>4104</v>
      </c>
      <c r="I4" s="1904" t="s">
        <v>4105</v>
      </c>
      <c r="J4" s="1904" t="s">
        <v>4106</v>
      </c>
      <c r="K4" s="1904" t="s">
        <v>4107</v>
      </c>
      <c r="L4" s="1904" t="s">
        <v>4108</v>
      </c>
      <c r="M4" s="1904" t="s">
        <v>4109</v>
      </c>
      <c r="N4" s="1905" t="s">
        <v>4110</v>
      </c>
      <c r="O4" s="1906" t="s">
        <v>199</v>
      </c>
      <c r="P4" s="1907" t="s">
        <v>4111</v>
      </c>
      <c r="Q4" s="1908" t="s">
        <v>4112</v>
      </c>
      <c r="R4" s="1908" t="s">
        <v>4113</v>
      </c>
      <c r="S4" s="1909" t="s">
        <v>4114</v>
      </c>
      <c r="U4" s="1910" t="str">
        <f>IF(AlleZonenNeu,V4,"")</f>
        <v/>
      </c>
      <c r="V4" s="1911" t="str">
        <f>Uebersetzung!D615&amp;" &lt;= 24 cm"</f>
        <v>Epaisseur des dalles &lt;= 24 cm</v>
      </c>
      <c r="W4" s="1901">
        <v>2</v>
      </c>
      <c r="AN4" s="1892"/>
      <c r="AO4" s="1892"/>
      <c r="AP4" s="1892"/>
    </row>
    <row r="5" spans="2:207">
      <c r="B5" s="1912" t="str">
        <f t="shared" si="0"/>
        <v>Contruction massive légère</v>
      </c>
      <c r="C5" s="1913" t="s">
        <v>4115</v>
      </c>
      <c r="D5" s="1914" t="s">
        <v>4116</v>
      </c>
      <c r="E5" s="1914" t="s">
        <v>4117</v>
      </c>
      <c r="F5" s="1914" t="s">
        <v>4118</v>
      </c>
      <c r="G5" s="1914" t="s">
        <v>4119</v>
      </c>
      <c r="H5" s="1914" t="s">
        <v>4120</v>
      </c>
      <c r="I5" s="1914" t="s">
        <v>4121</v>
      </c>
      <c r="J5" s="1914" t="s">
        <v>4122</v>
      </c>
      <c r="K5" s="1914" t="s">
        <v>4123</v>
      </c>
      <c r="L5" s="1914" t="s">
        <v>4124</v>
      </c>
      <c r="M5" s="1914" t="s">
        <v>4125</v>
      </c>
      <c r="N5" s="1915" t="s">
        <v>4126</v>
      </c>
      <c r="O5" s="1906" t="s">
        <v>199</v>
      </c>
      <c r="U5" s="1916" t="str">
        <f>IF(AlleZonenNeu,V5,"")</f>
        <v/>
      </c>
      <c r="V5" s="1917" t="str">
        <f>Uebersetzung!D615&amp;" &gt; 24 cm"</f>
        <v>Epaisseur des dalles &gt; 24 cm</v>
      </c>
      <c r="W5" s="1901">
        <v>3</v>
      </c>
      <c r="AN5" s="1892"/>
      <c r="AO5" s="1892"/>
      <c r="AP5" s="1892"/>
    </row>
    <row r="6" spans="2:207">
      <c r="B6" s="1912" t="str">
        <f t="shared" si="0"/>
        <v>Construction en bois lourde</v>
      </c>
      <c r="C6" s="1913" t="s">
        <v>4127</v>
      </c>
      <c r="D6" s="1914" t="s">
        <v>4128</v>
      </c>
      <c r="E6" s="1914" t="s">
        <v>4129</v>
      </c>
      <c r="F6" s="1914" t="s">
        <v>4130</v>
      </c>
      <c r="G6" s="1914" t="s">
        <v>4131</v>
      </c>
      <c r="H6" s="1914" t="s">
        <v>4132</v>
      </c>
      <c r="I6" s="1914" t="s">
        <v>4133</v>
      </c>
      <c r="J6" s="1914" t="s">
        <v>4134</v>
      </c>
      <c r="K6" s="1914" t="s">
        <v>4135</v>
      </c>
      <c r="L6" s="1914" t="s">
        <v>4136</v>
      </c>
      <c r="M6" s="1914" t="s">
        <v>4137</v>
      </c>
      <c r="N6" s="1915" t="s">
        <v>4138</v>
      </c>
      <c r="O6" s="1906" t="s">
        <v>199</v>
      </c>
      <c r="AN6" s="1892"/>
      <c r="AO6" s="1892"/>
      <c r="AP6" s="1892"/>
      <c r="AS6" s="1914"/>
      <c r="AT6" s="1889" t="s">
        <v>4140</v>
      </c>
      <c r="AU6" s="1919" t="e">
        <f>IF(AU7=4,VLOOKUP(AV6,$BC$9:$BE$20,3),IF(AU7=3,VLOOKUP(AV6,$AZ$9:$BB$20,3),IF(AU7=2,VLOOKUP(AV6,$AW$9:$AY$20,3),VLOOKUP(AV6,$AT$9:$AV$20,3))))</f>
        <v>#VALUE!</v>
      </c>
      <c r="AV6" s="1920" t="e">
        <f>MIN(2.5,MAX(ROUNDUP(Construction!K13,1),Construction!R11))</f>
        <v>#VALUE!</v>
      </c>
      <c r="AW6" s="1921"/>
      <c r="AX6" s="1919" t="e">
        <f>IF(AX7=4,VLOOKUP(AY6,$BC$9:$BE$20,3),IF(AX7=3,VLOOKUP(AY6,$AZ$9:$BB$20,3),IF(AX7=2,VLOOKUP(AY6,$AW$9:$AY$20,3),VLOOKUP(AY6,$AT$9:$AV$20,3))))</f>
        <v>#VALUE!</v>
      </c>
      <c r="AY6" s="1920" t="e">
        <f>MIN(2.5,MAX(ROUNDUP(Construction!L13,1),Construction!T11))</f>
        <v>#VALUE!</v>
      </c>
      <c r="AZ6" s="1921"/>
      <c r="BA6" s="1919" t="e">
        <f>IF(BA7=4,VLOOKUP(BB6,$BC$9:$BE$20,3),IF(BA7=3,VLOOKUP(BB6,$AZ$9:$BB$20,3),IF(BA7=2,VLOOKUP(BB6,$AW$9:$AY$20,3),VLOOKUP(BB6,$AT$9:$AV$20,3))))</f>
        <v>#VALUE!</v>
      </c>
      <c r="BB6" s="1922" t="e">
        <f>MIN(2.5,MAX(ROUNDUP(Construction!M13,1),Construction!V11))</f>
        <v>#VALUE!</v>
      </c>
      <c r="BC6" s="1923"/>
      <c r="BD6" s="1919" t="e">
        <f>IF(BD7=4,VLOOKUP(BE6,$BC$9:$BE$20,3),IF(BD7=3,VLOOKUP(BE6,$AZ$9:$BB$20,3),IF(BD7=2,VLOOKUP(BE6,$AW$9:$AY$20,3),VLOOKUP(BE6,$AT$9:$AV$20,3))))</f>
        <v>#VALUE!</v>
      </c>
      <c r="BE6" s="1922" t="e">
        <f>MIN(2.5,MAX(ROUNDUP(Construction!N13,1),Construction!X11))</f>
        <v>#VALUE!</v>
      </c>
      <c r="BF6" s="1914"/>
      <c r="BG6" s="1914"/>
      <c r="BH6" s="1914"/>
    </row>
    <row r="7" spans="2:207">
      <c r="B7" s="1912" t="str">
        <f t="shared" si="0"/>
        <v>Construction en bois légère</v>
      </c>
      <c r="C7" s="1913" t="s">
        <v>4141</v>
      </c>
      <c r="D7" s="1914" t="s">
        <v>4142</v>
      </c>
      <c r="E7" s="1914" t="s">
        <v>4143</v>
      </c>
      <c r="F7" s="1914" t="s">
        <v>4144</v>
      </c>
      <c r="G7" s="1914" t="s">
        <v>4145</v>
      </c>
      <c r="H7" s="1914" t="s">
        <v>4146</v>
      </c>
      <c r="I7" s="1914" t="s">
        <v>4147</v>
      </c>
      <c r="J7" s="1914" t="s">
        <v>4148</v>
      </c>
      <c r="K7" s="1914" t="s">
        <v>4149</v>
      </c>
      <c r="L7" s="1914" t="s">
        <v>4150</v>
      </c>
      <c r="M7" s="1914" t="s">
        <v>4151</v>
      </c>
      <c r="N7" s="1915" t="s">
        <v>4152</v>
      </c>
      <c r="O7" s="1906" t="s">
        <v>199</v>
      </c>
      <c r="P7" s="1613"/>
      <c r="S7" s="3165"/>
      <c r="T7" s="3165"/>
      <c r="V7" s="1614"/>
      <c r="AN7" s="1932" t="s">
        <v>4159</v>
      </c>
      <c r="AO7" s="1933"/>
      <c r="AP7" s="1933"/>
      <c r="AQ7" s="1934"/>
      <c r="AS7" s="1914"/>
      <c r="AT7" s="1928" t="s">
        <v>16</v>
      </c>
      <c r="AU7" s="1929" t="str">
        <f>IF(AlleZonenNeu,IF(Kategorie1=1,"",IF(Kategorie1=3,2,IF(OR(Kategorie1=7,Kategorie1=13),3,IF(Kategorie1=8,4,1)))),"")</f>
        <v/>
      </c>
      <c r="AV7" s="1194"/>
      <c r="AW7" s="1928" t="s">
        <v>17</v>
      </c>
      <c r="AX7" s="1929" t="str">
        <f>IF(AlleZonenNeu,IF(Kategorie2=1,"",IF(Kategorie2=3,2,IF(OR(Kategorie2=7,Kategorie2=13),3,IF(Kategorie2=8,4,1)))),"")</f>
        <v/>
      </c>
      <c r="AY7" s="1194"/>
      <c r="AZ7" s="1928" t="s">
        <v>18</v>
      </c>
      <c r="BA7" s="1929" t="str">
        <f>IF(AlleZonenNeu,IF(Kategorie3=1,"",IF(Kategorie3=3,2,IF(OR(Kategorie3=7,Kategorie3=13),3,IF(Kategorie3=8,4,1)))),"")</f>
        <v/>
      </c>
      <c r="BB7" s="1193"/>
      <c r="BC7" s="1930" t="s">
        <v>19</v>
      </c>
      <c r="BD7" s="1931" t="str">
        <f>IF(AlleZonenNeu,IF(Kategorie4=1,"",IF(Kategorie4=3,2,IF(OR(Kategorie4=7,Kategorie4=13),3,IF(Kategorie4=8,4,1)))),"")</f>
        <v/>
      </c>
      <c r="BE7" s="1193"/>
      <c r="BF7" s="1914" t="s">
        <v>633</v>
      </c>
      <c r="BG7" s="1914"/>
      <c r="BH7" s="1914" t="s">
        <v>4158</v>
      </c>
    </row>
    <row r="8" spans="2:207" ht="12.6" customHeight="1">
      <c r="B8" s="1912" t="str">
        <f t="shared" si="0"/>
        <v>Construction hybride</v>
      </c>
      <c r="C8" s="1913" t="s">
        <v>4160</v>
      </c>
      <c r="D8" s="1914" t="s">
        <v>4161</v>
      </c>
      <c r="E8" s="1914" t="s">
        <v>4162</v>
      </c>
      <c r="F8" s="1914" t="s">
        <v>4163</v>
      </c>
      <c r="G8" s="1914" t="s">
        <v>4164</v>
      </c>
      <c r="H8" s="1914" t="s">
        <v>4165</v>
      </c>
      <c r="I8" s="1914" t="s">
        <v>4166</v>
      </c>
      <c r="J8" s="1914" t="s">
        <v>4167</v>
      </c>
      <c r="K8" s="1914" t="s">
        <v>4168</v>
      </c>
      <c r="L8" s="1914" t="s">
        <v>4169</v>
      </c>
      <c r="M8" s="1914" t="s">
        <v>4170</v>
      </c>
      <c r="N8" s="1915" t="s">
        <v>4171</v>
      </c>
      <c r="O8" s="1906" t="s">
        <v>199</v>
      </c>
      <c r="T8" s="2" t="str">
        <f>R19</f>
        <v/>
      </c>
      <c r="U8" s="1820" t="str">
        <f>Uebersetzung!D614</f>
        <v>Proportion de fenêtres</v>
      </c>
      <c r="V8" s="1935">
        <f>IF(OR(Kategorie1&gt;7,Kategorie2&gt;7,Kategorie3&gt;7,Kategorie4&gt;7,Kategorie1=6,Kategorie2=6,Kategorie3=6,Kategorie4=6),2,1)</f>
        <v>1</v>
      </c>
      <c r="AN8" s="1943" t="s">
        <v>4175</v>
      </c>
      <c r="AO8" s="1904" t="s">
        <v>4156</v>
      </c>
      <c r="AP8" s="1904" t="s">
        <v>4157</v>
      </c>
      <c r="AQ8" s="1944" t="s">
        <v>4176</v>
      </c>
      <c r="AS8" s="1941" t="s">
        <v>4173</v>
      </c>
      <c r="AT8" s="3166">
        <v>1</v>
      </c>
      <c r="AU8" s="3167"/>
      <c r="AV8" s="3168"/>
      <c r="AW8" s="3169">
        <v>2</v>
      </c>
      <c r="AX8" s="3170"/>
      <c r="AY8" s="3171"/>
      <c r="AZ8" s="3169">
        <v>3</v>
      </c>
      <c r="BA8" s="3170"/>
      <c r="BB8" s="3171"/>
      <c r="BC8" s="3161">
        <v>4</v>
      </c>
      <c r="BD8" s="3162"/>
      <c r="BE8" s="3163"/>
      <c r="BF8" s="1942">
        <v>1</v>
      </c>
      <c r="BG8" s="1914" t="s">
        <v>4174</v>
      </c>
      <c r="BH8" s="1914"/>
    </row>
    <row r="9" spans="2:207" ht="12.6" customHeight="1">
      <c r="B9" s="1912" t="str">
        <f t="shared" si="0"/>
        <v>Construction vitrée</v>
      </c>
      <c r="C9" s="1913" t="s">
        <v>4177</v>
      </c>
      <c r="D9" s="1914" t="s">
        <v>4178</v>
      </c>
      <c r="E9" s="1914" t="s">
        <v>4179</v>
      </c>
      <c r="F9" s="1914" t="s">
        <v>4180</v>
      </c>
      <c r="G9" s="1914" t="s">
        <v>4181</v>
      </c>
      <c r="H9" s="1914" t="s">
        <v>4182</v>
      </c>
      <c r="I9" s="1914" t="s">
        <v>4183</v>
      </c>
      <c r="J9" s="1914" t="s">
        <v>4184</v>
      </c>
      <c r="K9" s="1914" t="s">
        <v>4185</v>
      </c>
      <c r="L9" s="1914" t="s">
        <v>4186</v>
      </c>
      <c r="M9" s="1914" t="s">
        <v>4187</v>
      </c>
      <c r="N9" s="1915" t="s">
        <v>4188</v>
      </c>
      <c r="O9" s="1906" t="s">
        <v>199</v>
      </c>
      <c r="P9" s="1892"/>
      <c r="Q9" s="1892"/>
      <c r="R9" s="1892"/>
      <c r="U9" s="2396"/>
      <c r="V9" s="1945"/>
      <c r="W9" s="1946">
        <v>1</v>
      </c>
      <c r="AI9" s="1947" t="s">
        <v>4189</v>
      </c>
      <c r="AN9" s="1913" t="str">
        <f>Uebersetzung!D82</f>
        <v>Habitat collectif</v>
      </c>
      <c r="AO9" s="1951">
        <v>32.576224117548357</v>
      </c>
      <c r="AP9" s="1951">
        <v>10.161147782068317</v>
      </c>
      <c r="AQ9" s="1952">
        <v>0.11226356136850869</v>
      </c>
      <c r="AS9" s="1941" t="s">
        <v>4191</v>
      </c>
      <c r="AT9" s="1948">
        <v>0.5</v>
      </c>
      <c r="AU9" s="1949">
        <v>0.5</v>
      </c>
      <c r="AV9" s="1900">
        <v>1</v>
      </c>
      <c r="AW9" s="1942">
        <v>1.4</v>
      </c>
      <c r="AX9" s="1942">
        <v>1.4</v>
      </c>
      <c r="AY9" s="1911">
        <v>1</v>
      </c>
      <c r="AZ9" s="1950">
        <v>0.7</v>
      </c>
      <c r="BA9" s="1942">
        <v>0.7</v>
      </c>
      <c r="BB9" s="1942">
        <v>1</v>
      </c>
      <c r="BC9" s="1948">
        <v>1</v>
      </c>
      <c r="BD9" s="1949">
        <v>1</v>
      </c>
      <c r="BE9" s="1900">
        <v>1</v>
      </c>
      <c r="BF9" s="1942">
        <v>2</v>
      </c>
      <c r="BG9" s="1914" t="str">
        <f>Standardwerte!I10</f>
        <v>Habitat collectif</v>
      </c>
      <c r="BH9" s="1942">
        <v>1</v>
      </c>
    </row>
    <row r="10" spans="2:207" ht="12.6" customHeight="1">
      <c r="B10" s="1953" t="str">
        <f t="shared" si="0"/>
        <v>Construction métallique</v>
      </c>
      <c r="C10" s="1907" t="s">
        <v>4192</v>
      </c>
      <c r="D10" s="1908" t="s">
        <v>4193</v>
      </c>
      <c r="E10" s="1908" t="s">
        <v>4194</v>
      </c>
      <c r="F10" s="1908" t="s">
        <v>4195</v>
      </c>
      <c r="G10" s="1908" t="s">
        <v>4196</v>
      </c>
      <c r="H10" s="1908" t="s">
        <v>4197</v>
      </c>
      <c r="I10" s="1954" t="s">
        <v>4198</v>
      </c>
      <c r="J10" s="1908" t="s">
        <v>4199</v>
      </c>
      <c r="K10" s="1908" t="s">
        <v>4200</v>
      </c>
      <c r="L10" s="1908" t="s">
        <v>4201</v>
      </c>
      <c r="M10" s="1908" t="s">
        <v>4202</v>
      </c>
      <c r="N10" s="1955" t="s">
        <v>4203</v>
      </c>
      <c r="O10" s="1906" t="s">
        <v>199</v>
      </c>
      <c r="Q10" s="1614" t="s">
        <v>4204</v>
      </c>
      <c r="U10" s="1956" t="str">
        <f t="shared" ref="U10:U17" si="1">IF(AlleZonenNeu,IF($V$8=1,V13,V10),"")</f>
        <v/>
      </c>
      <c r="V10" s="1956">
        <v>0</v>
      </c>
      <c r="W10" s="2405">
        <f>IF($V$8=1,5,2)</f>
        <v>5</v>
      </c>
      <c r="AN10" s="1913" t="str">
        <f>Uebersetzung!D83</f>
        <v>Habitat individuel</v>
      </c>
      <c r="AO10" s="1951">
        <v>45.887231698631176</v>
      </c>
      <c r="AP10" s="1951">
        <v>14.331892454009354</v>
      </c>
      <c r="AQ10" s="1952">
        <v>6.5487077464963406E-2</v>
      </c>
      <c r="AS10" s="1941" t="s">
        <v>4191</v>
      </c>
      <c r="AT10" s="1950">
        <v>0.6</v>
      </c>
      <c r="AU10" s="1942">
        <v>0.6</v>
      </c>
      <c r="AV10" s="1911">
        <v>2</v>
      </c>
      <c r="AW10" s="1942">
        <v>1.5</v>
      </c>
      <c r="AX10" s="1942">
        <v>1.5</v>
      </c>
      <c r="AY10" s="1911">
        <v>2</v>
      </c>
      <c r="AZ10" s="1950">
        <v>0.8</v>
      </c>
      <c r="BA10" s="1942">
        <v>0.8</v>
      </c>
      <c r="BB10" s="1942">
        <v>2</v>
      </c>
      <c r="BC10" s="1950">
        <v>1.1000000000000001</v>
      </c>
      <c r="BD10" s="1942">
        <v>1.1000000000000001</v>
      </c>
      <c r="BE10" s="1911">
        <v>2</v>
      </c>
      <c r="BF10" s="1942">
        <v>3</v>
      </c>
      <c r="BG10" s="1914" t="str">
        <f>Standardwerte!I11</f>
        <v>Habitat individuel</v>
      </c>
      <c r="BH10" s="1942">
        <v>2</v>
      </c>
    </row>
    <row r="11" spans="2:207" ht="12.6" customHeight="1">
      <c r="B11" s="1914"/>
      <c r="C11" s="1914"/>
      <c r="D11" s="1914"/>
      <c r="E11" s="1914"/>
      <c r="F11" s="1914"/>
      <c r="G11" s="1914"/>
      <c r="H11" s="1914"/>
      <c r="I11" s="1914"/>
      <c r="J11" s="1914"/>
      <c r="K11" s="1914"/>
      <c r="L11" s="1914"/>
      <c r="M11" s="1914"/>
      <c r="N11" s="1914"/>
      <c r="O11" s="1892"/>
      <c r="P11" s="1244" t="s">
        <v>4027</v>
      </c>
      <c r="Q11" s="1957">
        <f>IF(OR(Kategorie1=3, Kategorie2=3,Kategorie3=3,Kategorie4=3,),1,IF(OR(Kategorie1=2, Kategorie2=2,Kategorie3=2,Kategorie4=3,Kategorie1=4, Kategorie2=4,Kategorie3=4,Kategorie4=4,Kategorie1=5, Kategorie2=5,Kategorie3=5,Kategorie4=5,Kategorie1=7, Kategorie2=7,Kategorie3=7,Kategorie4=7,Kategorie1=9, Kategorie2=9,Kategorie3=9,Kategorie4=9),2,3))</f>
        <v>3</v>
      </c>
      <c r="R11" s="1958" t="s">
        <v>4206</v>
      </c>
      <c r="S11" s="1959"/>
      <c r="U11" s="1956" t="str">
        <f t="shared" si="1"/>
        <v/>
      </c>
      <c r="V11" s="1956">
        <v>10</v>
      </c>
      <c r="W11" s="2405">
        <f>IF($V$8=1,6,3)</f>
        <v>6</v>
      </c>
      <c r="Y11" s="1244" t="s">
        <v>4207</v>
      </c>
      <c r="Z11" s="1245"/>
      <c r="AA11" s="1246"/>
      <c r="AC11" s="1244" t="s">
        <v>4033</v>
      </c>
      <c r="AD11" s="1246"/>
      <c r="AF11" s="3081" t="s">
        <v>4208</v>
      </c>
      <c r="AG11" s="3083"/>
      <c r="AI11" s="1256" t="s">
        <v>4189</v>
      </c>
      <c r="AJ11" s="1960"/>
      <c r="AK11" s="1960"/>
      <c r="AL11" s="2395"/>
      <c r="AN11" s="1913" t="str">
        <f>Uebersetzung!D84</f>
        <v>Administration</v>
      </c>
      <c r="AO11" s="1951">
        <v>34.693741659543832</v>
      </c>
      <c r="AP11" s="1951">
        <v>10.655744654251922</v>
      </c>
      <c r="AQ11" s="1952">
        <v>0.11460238556368595</v>
      </c>
      <c r="AS11" s="1941" t="s">
        <v>4191</v>
      </c>
      <c r="AT11" s="1950">
        <v>0.7</v>
      </c>
      <c r="AU11" s="1942">
        <v>0.7</v>
      </c>
      <c r="AV11" s="1911">
        <v>3</v>
      </c>
      <c r="AW11" s="1942">
        <v>1.6</v>
      </c>
      <c r="AX11" s="1942">
        <v>1.6</v>
      </c>
      <c r="AY11" s="1911">
        <v>3</v>
      </c>
      <c r="AZ11" s="1950">
        <v>0.9</v>
      </c>
      <c r="BA11" s="1942">
        <v>0.9</v>
      </c>
      <c r="BB11" s="1942">
        <v>3</v>
      </c>
      <c r="BC11" s="1950">
        <v>1.2</v>
      </c>
      <c r="BD11" s="1942">
        <v>1.2</v>
      </c>
      <c r="BE11" s="1911">
        <v>3</v>
      </c>
      <c r="BF11" s="1942">
        <v>4</v>
      </c>
      <c r="BG11" s="1914" t="str">
        <f>Standardwerte!I12</f>
        <v>Administration</v>
      </c>
      <c r="BH11" s="1942">
        <v>1</v>
      </c>
    </row>
    <row r="12" spans="2:207" ht="12.6" customHeight="1">
      <c r="B12" s="1889" t="s">
        <v>4209</v>
      </c>
      <c r="C12" s="1890"/>
      <c r="D12" s="1890"/>
      <c r="E12" s="1890"/>
      <c r="F12" s="1890"/>
      <c r="G12" s="1890"/>
      <c r="H12" s="1890"/>
      <c r="I12" s="1890"/>
      <c r="J12" s="1890"/>
      <c r="K12" s="1890"/>
      <c r="L12" s="1890"/>
      <c r="M12" s="1890"/>
      <c r="N12" s="1891"/>
      <c r="O12" s="1892"/>
      <c r="P12" s="1961"/>
      <c r="Q12" s="1899"/>
      <c r="R12" s="1899"/>
      <c r="S12" s="1899"/>
      <c r="T12" s="1946">
        <v>1</v>
      </c>
      <c r="U12" s="1956" t="str">
        <f t="shared" si="1"/>
        <v/>
      </c>
      <c r="V12" s="1956">
        <v>20</v>
      </c>
      <c r="W12" s="2405">
        <f>IF($V$8=1,7,4)</f>
        <v>7</v>
      </c>
      <c r="Y12" s="1899"/>
      <c r="Z12" s="1904"/>
      <c r="AA12" s="1944"/>
      <c r="AB12" s="1946">
        <v>1</v>
      </c>
      <c r="AC12" s="1899"/>
      <c r="AD12" s="1944"/>
      <c r="AE12" s="1946">
        <v>1</v>
      </c>
      <c r="AF12" s="1899"/>
      <c r="AG12" s="1944"/>
      <c r="AH12" s="1946">
        <v>1</v>
      </c>
      <c r="AI12" s="2396"/>
      <c r="AJ12" s="2397"/>
      <c r="AK12" s="2397"/>
      <c r="AL12" s="2398"/>
      <c r="AM12" s="1946">
        <v>1</v>
      </c>
      <c r="AN12" s="1913" t="str">
        <f>Uebersetzung!D85</f>
        <v>Ecole</v>
      </c>
      <c r="AO12" s="1951">
        <v>51.26042176129048</v>
      </c>
      <c r="AP12" s="1951">
        <v>15.565923822032502</v>
      </c>
      <c r="AQ12" s="1952">
        <v>8.731610328661786E-2</v>
      </c>
      <c r="AS12" s="1941" t="s">
        <v>4191</v>
      </c>
      <c r="AT12" s="1950">
        <v>0.8</v>
      </c>
      <c r="AU12" s="1942">
        <v>0.8</v>
      </c>
      <c r="AV12" s="1911">
        <v>4</v>
      </c>
      <c r="AW12" s="1942">
        <v>1.7</v>
      </c>
      <c r="AX12" s="1942">
        <v>1.7</v>
      </c>
      <c r="AY12" s="1911">
        <v>4</v>
      </c>
      <c r="AZ12" s="1950">
        <v>1</v>
      </c>
      <c r="BA12" s="1942">
        <v>1.1000000000000001</v>
      </c>
      <c r="BB12" s="1942">
        <v>4</v>
      </c>
      <c r="BC12" s="1950">
        <v>1.3</v>
      </c>
      <c r="BD12" s="1942">
        <v>1.3</v>
      </c>
      <c r="BE12" s="1911">
        <v>4</v>
      </c>
      <c r="BF12" s="1942">
        <v>5</v>
      </c>
      <c r="BG12" s="1914" t="str">
        <f>Standardwerte!I13</f>
        <v>Ecole</v>
      </c>
      <c r="BH12" s="1942">
        <v>1</v>
      </c>
    </row>
    <row r="13" spans="2:207">
      <c r="B13" s="1964"/>
      <c r="C13" s="1894" t="str">
        <f>$AN$9</f>
        <v>Habitat collectif</v>
      </c>
      <c r="D13" s="1894" t="str">
        <f>$AN$10</f>
        <v>Habitat individuel</v>
      </c>
      <c r="E13" s="1894" t="str">
        <f>$AN$11</f>
        <v>Administration</v>
      </c>
      <c r="F13" s="1894" t="str">
        <f>$AN$12</f>
        <v>Ecole</v>
      </c>
      <c r="G13" s="1894" t="str">
        <f>$AN$13</f>
        <v>Commerce</v>
      </c>
      <c r="H13" s="1894" t="str">
        <f>$AN$14</f>
        <v>Restaurant</v>
      </c>
      <c r="I13" s="1894" t="str">
        <f>$AN$15</f>
        <v>Lieu de rassemblement</v>
      </c>
      <c r="J13" s="1894" t="str">
        <f>$AN$16</f>
        <v>Hôpital</v>
      </c>
      <c r="K13" s="1894" t="str">
        <f>$AN$17</f>
        <v>Industrie</v>
      </c>
      <c r="L13" s="1894" t="str">
        <f>$AN$18</f>
        <v>Entrepôt</v>
      </c>
      <c r="M13" s="1894" t="str">
        <f>$AN$19</f>
        <v>Installation sportive</v>
      </c>
      <c r="N13" s="1895" t="str">
        <f>$AN$20</f>
        <v>Piscine couverte</v>
      </c>
      <c r="O13" s="1892"/>
      <c r="P13" s="1965" t="str">
        <f>IF(AlleZonenNeu,IF(Kategorie0=3,$S13,IF(Kategorie2=2,$R13,$Q13)),"")</f>
        <v/>
      </c>
      <c r="Q13" s="1966" t="str">
        <f>S13</f>
        <v>Contruction massive lourde</v>
      </c>
      <c r="R13" s="1966" t="str">
        <f>S13</f>
        <v>Contruction massive lourde</v>
      </c>
      <c r="S13" s="1966" t="str">
        <f>Uebersetzung!$D630</f>
        <v>Contruction massive lourde</v>
      </c>
      <c r="T13" s="1946">
        <v>2</v>
      </c>
      <c r="U13" s="1956" t="str">
        <f t="shared" si="1"/>
        <v/>
      </c>
      <c r="V13" s="1956">
        <v>30</v>
      </c>
      <c r="W13" s="2405">
        <f>IF($V$8=1,8,5)</f>
        <v>8</v>
      </c>
      <c r="Y13" s="1967" t="str">
        <f>IF(AlleZonenNeu,Z13,"")</f>
        <v/>
      </c>
      <c r="Z13" s="1968" t="str">
        <f>Uebersetzung!D625</f>
        <v>Pas de sous-sol</v>
      </c>
      <c r="AA13" s="1969" t="s">
        <v>4211</v>
      </c>
      <c r="AB13" s="1946">
        <v>2</v>
      </c>
      <c r="AC13" s="1967" t="str">
        <f>IF(AlleZonenNeu,AD13,"")</f>
        <v/>
      </c>
      <c r="AD13" s="1970" t="str">
        <f>Uebersetzung!D637</f>
        <v>Fondation superficielle</v>
      </c>
      <c r="AE13" s="1946">
        <v>2</v>
      </c>
      <c r="AF13" s="1967" t="str">
        <f t="shared" ref="AF13:AF18" si="2">IF(AlleZonenNeu,AG13,"")</f>
        <v/>
      </c>
      <c r="AG13" s="1915" t="str">
        <f>Uebersetzung!D642</f>
        <v>Talus</v>
      </c>
      <c r="AH13" s="1946">
        <v>2</v>
      </c>
      <c r="AI13" s="1910" t="str">
        <f>IF(AlleZonenNeu,AJ13,"")</f>
        <v/>
      </c>
      <c r="AJ13" s="1971" t="str">
        <f>Uebersetzung!D648</f>
        <v>petites portées</v>
      </c>
      <c r="AK13" s="1614" t="s">
        <v>4212</v>
      </c>
      <c r="AL13" s="1972" t="s">
        <v>4213</v>
      </c>
      <c r="AM13" s="1946">
        <v>2</v>
      </c>
      <c r="AN13" s="1913" t="str">
        <f>Uebersetzung!D86</f>
        <v>Commerce</v>
      </c>
      <c r="AO13" s="1951">
        <v>34.823768095878179</v>
      </c>
      <c r="AP13" s="1951">
        <v>10.655256989821595</v>
      </c>
      <c r="AQ13" s="1952">
        <v>0.10914512910827234</v>
      </c>
      <c r="AR13" s="1892"/>
      <c r="AS13" s="1941" t="s">
        <v>4191</v>
      </c>
      <c r="AT13" s="1950">
        <v>0.9</v>
      </c>
      <c r="AU13" s="1942">
        <v>0.9</v>
      </c>
      <c r="AV13" s="1911">
        <v>5</v>
      </c>
      <c r="AW13" s="1942">
        <v>1.8</v>
      </c>
      <c r="AX13" s="1942">
        <v>1.8</v>
      </c>
      <c r="AY13" s="1911">
        <v>5</v>
      </c>
      <c r="AZ13" s="1950">
        <v>1.2</v>
      </c>
      <c r="BA13" s="1942">
        <v>1.3</v>
      </c>
      <c r="BB13" s="1942">
        <v>5</v>
      </c>
      <c r="BC13" s="1950">
        <v>1.4</v>
      </c>
      <c r="BD13" s="1942">
        <v>1.4</v>
      </c>
      <c r="BE13" s="1911">
        <v>5</v>
      </c>
      <c r="BF13" s="1942">
        <v>6</v>
      </c>
      <c r="BG13" s="1914" t="str">
        <f>Standardwerte!I14</f>
        <v>Commerce</v>
      </c>
      <c r="BH13" s="1942">
        <v>1</v>
      </c>
    </row>
    <row r="14" spans="2:207">
      <c r="B14" s="1902" t="str">
        <f t="shared" ref="B14:B20" si="3">$S13</f>
        <v>Contruction massive lourde</v>
      </c>
      <c r="C14" s="1943" t="s">
        <v>4217</v>
      </c>
      <c r="D14" s="1904" t="s">
        <v>4218</v>
      </c>
      <c r="E14" s="1904" t="s">
        <v>4219</v>
      </c>
      <c r="F14" s="1904" t="s">
        <v>4220</v>
      </c>
      <c r="G14" s="1904" t="s">
        <v>4221</v>
      </c>
      <c r="H14" s="1904" t="s">
        <v>4222</v>
      </c>
      <c r="I14" s="1904" t="s">
        <v>4223</v>
      </c>
      <c r="J14" s="1904" t="s">
        <v>4224</v>
      </c>
      <c r="K14" s="1904" t="s">
        <v>4225</v>
      </c>
      <c r="L14" s="1904" t="s">
        <v>4226</v>
      </c>
      <c r="M14" s="1904" t="s">
        <v>4227</v>
      </c>
      <c r="N14" s="1905" t="s">
        <v>4228</v>
      </c>
      <c r="O14" s="1906" t="s">
        <v>199</v>
      </c>
      <c r="P14" s="1965" t="str">
        <f>IF(AlleZonenNeu,IF(Kategorie0=3,$S14,IF(Kategorie2=2,$R14,$Q14)),"")</f>
        <v/>
      </c>
      <c r="Q14" s="1966" t="str">
        <f t="shared" ref="Q14:Q17" si="4">S14</f>
        <v>Contruction massive légère</v>
      </c>
      <c r="R14" s="1966" t="str">
        <f t="shared" ref="R14:R18" si="5">S14</f>
        <v>Contruction massive légère</v>
      </c>
      <c r="S14" s="1966" t="str">
        <f>Uebersetzung!$D631</f>
        <v>Contruction massive légère</v>
      </c>
      <c r="T14" s="1946">
        <v>3</v>
      </c>
      <c r="U14" s="1956" t="str">
        <f t="shared" si="1"/>
        <v/>
      </c>
      <c r="V14" s="1956">
        <v>40</v>
      </c>
      <c r="W14" s="2405">
        <f>IF($V$8=1,9,6)</f>
        <v>9</v>
      </c>
      <c r="Y14" s="1967" t="str">
        <f>IF(AlleZonenNeu,Z14,"")</f>
        <v/>
      </c>
      <c r="Z14" s="1968" t="str">
        <f>Uebersetzung!D626</f>
        <v>Sous-sol plus petit que la surface bâtie du bâtiment</v>
      </c>
      <c r="AA14" s="1969" t="s">
        <v>4229</v>
      </c>
      <c r="AB14" s="1946">
        <v>3</v>
      </c>
      <c r="AC14" s="1967" t="str">
        <f>IF(AlleZonenNeu,AD14,"")</f>
        <v/>
      </c>
      <c r="AD14" s="1970" t="str">
        <f>Uebersetzung!D638</f>
        <v>Micro-pieux</v>
      </c>
      <c r="AE14" s="1946">
        <v>3</v>
      </c>
      <c r="AF14" s="1967" t="str">
        <f t="shared" si="2"/>
        <v/>
      </c>
      <c r="AG14" s="1915" t="str">
        <f>Uebersetzung!D643</f>
        <v>Paroi de pieux forés</v>
      </c>
      <c r="AH14" s="1946">
        <v>3</v>
      </c>
      <c r="AI14" s="1910" t="str">
        <f>IF(AlleZonenNeu,AJ14,"")</f>
        <v/>
      </c>
      <c r="AJ14" s="1971" t="str">
        <f>Uebersetzung!D649</f>
        <v>portées modérées</v>
      </c>
      <c r="AK14" s="1614" t="s">
        <v>4230</v>
      </c>
      <c r="AL14" s="1972" t="s">
        <v>4231</v>
      </c>
      <c r="AM14" s="1946">
        <v>3</v>
      </c>
      <c r="AN14" s="1913" t="str">
        <f>Uebersetzung!D87</f>
        <v>Restaurant</v>
      </c>
      <c r="AO14" s="1951">
        <v>39.442396088079853</v>
      </c>
      <c r="AP14" s="1951">
        <v>12.498043151092821</v>
      </c>
      <c r="AQ14" s="1952">
        <v>0.13097415492992678</v>
      </c>
      <c r="AR14" s="1892"/>
      <c r="AS14" s="1941" t="s">
        <v>4191</v>
      </c>
      <c r="AT14" s="1950">
        <v>1</v>
      </c>
      <c r="AU14" s="1942">
        <v>1.1000000000000001</v>
      </c>
      <c r="AV14" s="1911">
        <v>6</v>
      </c>
      <c r="AW14" s="1942">
        <v>1.9</v>
      </c>
      <c r="AX14" s="1942">
        <v>1.9</v>
      </c>
      <c r="AY14" s="1911">
        <v>6</v>
      </c>
      <c r="AZ14" s="1950">
        <v>1.4</v>
      </c>
      <c r="BA14" s="1942">
        <v>1.5</v>
      </c>
      <c r="BB14" s="1942">
        <v>6</v>
      </c>
      <c r="BC14" s="1950">
        <v>1.5</v>
      </c>
      <c r="BD14" s="1942">
        <v>1.5</v>
      </c>
      <c r="BE14" s="1911">
        <v>6</v>
      </c>
      <c r="BF14" s="1942">
        <v>7</v>
      </c>
      <c r="BG14" s="1914" t="str">
        <f>Standardwerte!I15</f>
        <v>Restaurant</v>
      </c>
      <c r="BH14" s="1942">
        <v>3</v>
      </c>
    </row>
    <row r="15" spans="2:207">
      <c r="B15" s="1912" t="str">
        <f t="shared" si="3"/>
        <v>Contruction massive légère</v>
      </c>
      <c r="C15" s="1913" t="s">
        <v>4232</v>
      </c>
      <c r="D15" s="1914" t="s">
        <v>4233</v>
      </c>
      <c r="E15" s="1914" t="s">
        <v>4234</v>
      </c>
      <c r="F15" s="1914" t="s">
        <v>4235</v>
      </c>
      <c r="G15" s="1914" t="s">
        <v>4236</v>
      </c>
      <c r="H15" s="1914" t="s">
        <v>4237</v>
      </c>
      <c r="I15" s="1914" t="s">
        <v>4238</v>
      </c>
      <c r="J15" s="1914" t="s">
        <v>4239</v>
      </c>
      <c r="K15" s="1914" t="s">
        <v>4240</v>
      </c>
      <c r="L15" s="1914" t="s">
        <v>4241</v>
      </c>
      <c r="M15" s="1914" t="s">
        <v>4242</v>
      </c>
      <c r="N15" s="1915" t="s">
        <v>4243</v>
      </c>
      <c r="O15" s="1906" t="s">
        <v>199</v>
      </c>
      <c r="P15" s="1965" t="str">
        <f>IF(AlleZonenNeu,IF(Kategorie0=3,$S15,IF(Kategorie2=2,$R15,$Q15)),"")</f>
        <v/>
      </c>
      <c r="Q15" s="1966" t="str">
        <f t="shared" si="4"/>
        <v>Construction en bois lourde</v>
      </c>
      <c r="R15" s="1966" t="str">
        <f t="shared" si="5"/>
        <v>Construction en bois lourde</v>
      </c>
      <c r="S15" s="1966" t="str">
        <f>Uebersetzung!$D632</f>
        <v>Construction en bois lourde</v>
      </c>
      <c r="T15" s="1946">
        <v>4</v>
      </c>
      <c r="U15" s="1956" t="str">
        <f t="shared" si="1"/>
        <v/>
      </c>
      <c r="V15" s="1956">
        <v>50</v>
      </c>
      <c r="W15" s="2405">
        <f>IF($V$8=1,10,7)</f>
        <v>10</v>
      </c>
      <c r="Y15" s="1967" t="str">
        <f>IF(AlleZonenNeu,Z15,"")</f>
        <v/>
      </c>
      <c r="Z15" s="1968" t="str">
        <f>Uebersetzung!D627</f>
        <v>Sous-sol intégré dans la surface bâtie du bâtiment</v>
      </c>
      <c r="AA15" s="1969" t="s">
        <v>4244</v>
      </c>
      <c r="AB15" s="1946">
        <v>4</v>
      </c>
      <c r="AC15" s="1967" t="str">
        <f>IF(AlleZonenNeu,AD15,"")</f>
        <v/>
      </c>
      <c r="AD15" s="1970" t="str">
        <f>Uebersetzung!D639</f>
        <v>Pieux en béton coulé sur place</v>
      </c>
      <c r="AE15" s="1946">
        <v>4</v>
      </c>
      <c r="AF15" s="1967" t="str">
        <f t="shared" si="2"/>
        <v/>
      </c>
      <c r="AG15" s="1915" t="str">
        <f>Uebersetzung!D644</f>
        <v>Paroi clouée</v>
      </c>
      <c r="AH15" s="1946">
        <v>4</v>
      </c>
      <c r="AI15" s="1910" t="str">
        <f>IF(AlleZonenNeu,AJ15,"")</f>
        <v/>
      </c>
      <c r="AJ15" s="1971" t="str">
        <f>Uebersetzung!D650</f>
        <v>portées moyennes</v>
      </c>
      <c r="AK15" s="1614" t="s">
        <v>4245</v>
      </c>
      <c r="AL15" s="1972" t="s">
        <v>4246</v>
      </c>
      <c r="AM15" s="1946">
        <v>4</v>
      </c>
      <c r="AN15" s="1913" t="str">
        <f>Uebersetzung!D88</f>
        <v>Lieu de rassemblement</v>
      </c>
      <c r="AO15" s="1951">
        <v>52.757541884887893</v>
      </c>
      <c r="AP15" s="1951">
        <v>16.768576302981074</v>
      </c>
      <c r="AQ15" s="1952">
        <v>6.5487077464963406E-2</v>
      </c>
      <c r="AR15" s="1892"/>
      <c r="AS15" s="1941" t="s">
        <v>4191</v>
      </c>
      <c r="AT15" s="1950">
        <v>1.2</v>
      </c>
      <c r="AU15" s="1942">
        <v>1.3</v>
      </c>
      <c r="AV15" s="1911">
        <v>7</v>
      </c>
      <c r="AW15" s="1942">
        <v>2</v>
      </c>
      <c r="AX15" s="1942">
        <v>2</v>
      </c>
      <c r="AY15" s="1911">
        <v>7</v>
      </c>
      <c r="AZ15" s="1950">
        <v>1.6</v>
      </c>
      <c r="BA15" s="1942">
        <v>1.7</v>
      </c>
      <c r="BB15" s="1942">
        <v>7</v>
      </c>
      <c r="BC15" s="1950">
        <v>1.6</v>
      </c>
      <c r="BD15" s="1942">
        <v>1.6</v>
      </c>
      <c r="BE15" s="1911">
        <v>7</v>
      </c>
      <c r="BF15" s="1942">
        <v>8</v>
      </c>
      <c r="BG15" s="1914" t="str">
        <f>Standardwerte!I16</f>
        <v>Lieu de rassemblement</v>
      </c>
      <c r="BH15" s="1942">
        <v>4</v>
      </c>
    </row>
    <row r="16" spans="2:207">
      <c r="B16" s="1912" t="str">
        <f t="shared" si="3"/>
        <v>Construction en bois lourde</v>
      </c>
      <c r="C16" s="1913" t="s">
        <v>4247</v>
      </c>
      <c r="D16" s="1914" t="s">
        <v>4248</v>
      </c>
      <c r="E16" s="1914" t="s">
        <v>4249</v>
      </c>
      <c r="F16" s="1914" t="s">
        <v>4250</v>
      </c>
      <c r="G16" s="1914" t="s">
        <v>4251</v>
      </c>
      <c r="H16" s="1914" t="s">
        <v>4252</v>
      </c>
      <c r="I16" s="1914" t="s">
        <v>4253</v>
      </c>
      <c r="J16" s="1914" t="s">
        <v>4254</v>
      </c>
      <c r="K16" s="1914" t="s">
        <v>4255</v>
      </c>
      <c r="L16" s="1914" t="s">
        <v>4256</v>
      </c>
      <c r="M16" s="1914" t="s">
        <v>4257</v>
      </c>
      <c r="N16" s="1915" t="s">
        <v>4258</v>
      </c>
      <c r="O16" s="1906" t="s">
        <v>199</v>
      </c>
      <c r="P16" s="1965" t="str">
        <f>IF(AlleZonenNeu,IF(Kategorie0=3,$S16,IF(Kategorie2=2,$R16,$Q16)),"")</f>
        <v/>
      </c>
      <c r="Q16" s="1966" t="str">
        <f t="shared" si="4"/>
        <v>Construction en bois légère</v>
      </c>
      <c r="R16" s="1966" t="str">
        <f t="shared" si="5"/>
        <v>Construction en bois légère</v>
      </c>
      <c r="S16" s="1966" t="str">
        <f>Uebersetzung!$D633</f>
        <v>Construction en bois légère</v>
      </c>
      <c r="T16" s="1946">
        <v>5</v>
      </c>
      <c r="U16" s="1956" t="str">
        <f t="shared" si="1"/>
        <v/>
      </c>
      <c r="V16" s="1956">
        <v>60</v>
      </c>
      <c r="W16" s="2405">
        <f>IF($V$8=1,11,8)</f>
        <v>11</v>
      </c>
      <c r="Y16" s="1967" t="str">
        <f>IF(AlleZonenNeu,Z16,"")</f>
        <v/>
      </c>
      <c r="Z16" s="1968" t="str">
        <f>Uebersetzung!D628</f>
        <v>Sous-sol partiellement hors de la surface bâtie du bâtiment</v>
      </c>
      <c r="AA16" s="1969" t="s">
        <v>4259</v>
      </c>
      <c r="AB16" s="1946">
        <v>5</v>
      </c>
      <c r="AC16" s="1967" t="str">
        <f>IF(AlleZonenNeu,AD16,"")</f>
        <v/>
      </c>
      <c r="AD16" s="1970" t="str">
        <f>Uebersetzung!D640</f>
        <v>Colonnes ballastées</v>
      </c>
      <c r="AE16" s="1946">
        <v>5</v>
      </c>
      <c r="AF16" s="1967" t="str">
        <f t="shared" si="2"/>
        <v/>
      </c>
      <c r="AG16" s="1915" t="str">
        <f>Uebersetzung!D645</f>
        <v>Paroi berlinoise</v>
      </c>
      <c r="AH16" s="1946">
        <v>5</v>
      </c>
      <c r="AI16" s="1910" t="str">
        <f>IF(AlleZonenNeu,AJ16,"")</f>
        <v/>
      </c>
      <c r="AJ16" s="1971" t="str">
        <f>Uebersetzung!D651</f>
        <v>portes accrues</v>
      </c>
      <c r="AK16" s="1614" t="s">
        <v>4260</v>
      </c>
      <c r="AL16" s="1972" t="s">
        <v>4261</v>
      </c>
      <c r="AM16" s="1946">
        <v>5</v>
      </c>
      <c r="AN16" s="1913" t="str">
        <f>Uebersetzung!D89</f>
        <v>Hôpital</v>
      </c>
      <c r="AO16" s="1951">
        <v>38.304774179831917</v>
      </c>
      <c r="AP16" s="1951">
        <v>11.42432599416469</v>
      </c>
      <c r="AQ16" s="1952">
        <v>9.8230616197445109E-2</v>
      </c>
      <c r="AR16" s="1892"/>
      <c r="AS16" s="1941" t="s">
        <v>4191</v>
      </c>
      <c r="AT16" s="1950">
        <v>1.4</v>
      </c>
      <c r="AU16" s="1942">
        <v>1.5</v>
      </c>
      <c r="AV16" s="1911">
        <v>8</v>
      </c>
      <c r="AW16" s="1942">
        <v>2.1</v>
      </c>
      <c r="AX16" s="1942">
        <v>2.1</v>
      </c>
      <c r="AY16" s="1911">
        <v>8</v>
      </c>
      <c r="AZ16" s="1950">
        <v>1.8</v>
      </c>
      <c r="BA16" s="1942">
        <v>1.9</v>
      </c>
      <c r="BB16" s="1942">
        <v>8</v>
      </c>
      <c r="BC16" s="1950">
        <v>1.7</v>
      </c>
      <c r="BD16" s="1942">
        <v>1.7</v>
      </c>
      <c r="BE16" s="1911">
        <v>8</v>
      </c>
      <c r="BF16" s="1942">
        <v>9</v>
      </c>
      <c r="BG16" s="1914" t="str">
        <f>Standardwerte!I17</f>
        <v>Hôpital</v>
      </c>
      <c r="BH16" s="1942">
        <v>1</v>
      </c>
      <c r="GY16" s="1974"/>
    </row>
    <row r="17" spans="1:297">
      <c r="B17" s="1912" t="str">
        <f t="shared" si="3"/>
        <v>Construction en bois légère</v>
      </c>
      <c r="C17" s="1913" t="s">
        <v>4262</v>
      </c>
      <c r="D17" s="1914" t="s">
        <v>4263</v>
      </c>
      <c r="E17" s="1914" t="s">
        <v>4264</v>
      </c>
      <c r="F17" s="1914" t="s">
        <v>4265</v>
      </c>
      <c r="G17" s="1914" t="s">
        <v>4266</v>
      </c>
      <c r="H17" s="1914" t="s">
        <v>4267</v>
      </c>
      <c r="I17" s="1914" t="s">
        <v>4268</v>
      </c>
      <c r="J17" s="1914" t="s">
        <v>4269</v>
      </c>
      <c r="K17" s="1914" t="s">
        <v>4270</v>
      </c>
      <c r="L17" s="1914" t="s">
        <v>4271</v>
      </c>
      <c r="M17" s="1914" t="s">
        <v>4272</v>
      </c>
      <c r="N17" s="1915" t="s">
        <v>4273</v>
      </c>
      <c r="O17" s="1906" t="s">
        <v>199</v>
      </c>
      <c r="P17" s="1965" t="str">
        <f>IF(AlleZonenNeu,IF(Kategorie0=3,$S17,IF(Kategorie2=2,$R17,$Q17)),"")</f>
        <v/>
      </c>
      <c r="Q17" s="1975" t="str">
        <f t="shared" si="4"/>
        <v>Construction hybride</v>
      </c>
      <c r="R17" s="1966" t="str">
        <f t="shared" si="5"/>
        <v>Construction hybride</v>
      </c>
      <c r="S17" s="1966" t="str">
        <f>Uebersetzung!$D634</f>
        <v>Construction hybride</v>
      </c>
      <c r="T17" s="1946">
        <v>6</v>
      </c>
      <c r="U17" s="1956" t="str">
        <f t="shared" si="1"/>
        <v/>
      </c>
      <c r="V17" s="1956">
        <v>70</v>
      </c>
      <c r="W17" s="2405">
        <f>IF($V$8=1,12,9)</f>
        <v>12</v>
      </c>
      <c r="Y17" s="1976" t="str">
        <f>IF(AlleZonenNeu,Z17,"")</f>
        <v/>
      </c>
      <c r="Z17" s="1977" t="str">
        <f>Uebersetzung!D629</f>
        <v>Sous-sol partiellement nettement plus grand que la surface bâtie du bâtiment</v>
      </c>
      <c r="AA17" s="1978" t="s">
        <v>4274</v>
      </c>
      <c r="AB17" s="1946">
        <v>6</v>
      </c>
      <c r="AC17" s="1976" t="str">
        <f>IF(AlleZonenNeu,AD17,"")</f>
        <v/>
      </c>
      <c r="AD17" s="1909" t="str">
        <f>Uebersetzung!D641</f>
        <v>Pieu en béton préfabriqué (battus)</v>
      </c>
      <c r="AE17" s="1946">
        <v>6</v>
      </c>
      <c r="AF17" s="1967" t="str">
        <f t="shared" si="2"/>
        <v/>
      </c>
      <c r="AG17" s="1915" t="str">
        <f>Uebersetzung!D646</f>
        <v>Paroi moulée</v>
      </c>
      <c r="AH17" s="1946">
        <v>6</v>
      </c>
      <c r="AI17" s="1916" t="str">
        <f>IF(AlleZonenNeu,AJ17,"")</f>
        <v/>
      </c>
      <c r="AJ17" s="1985" t="str">
        <f>Uebersetzung!D652</f>
        <v>grands portées</v>
      </c>
      <c r="AK17" s="1330" t="s">
        <v>4275</v>
      </c>
      <c r="AL17" s="1986" t="s">
        <v>4276</v>
      </c>
      <c r="AM17" s="1946">
        <v>6</v>
      </c>
      <c r="AN17" s="1913" t="str">
        <f>Uebersetzung!D90</f>
        <v>Industrie</v>
      </c>
      <c r="AO17" s="1951">
        <v>47.081143288532459</v>
      </c>
      <c r="AP17" s="1951">
        <v>14.000545698485018</v>
      </c>
      <c r="AQ17" s="1952">
        <v>8.1361931216931225E-3</v>
      </c>
      <c r="AR17" s="1892"/>
      <c r="AS17" s="1941" t="s">
        <v>4191</v>
      </c>
      <c r="AT17" s="1950">
        <v>1.6</v>
      </c>
      <c r="AU17" s="1942">
        <v>1.7</v>
      </c>
      <c r="AV17" s="1911">
        <v>9</v>
      </c>
      <c r="AW17" s="1942">
        <v>2.2000000000000002</v>
      </c>
      <c r="AX17" s="1942">
        <v>2.2000000000000002</v>
      </c>
      <c r="AY17" s="1911">
        <v>9</v>
      </c>
      <c r="AZ17" s="1950">
        <v>2</v>
      </c>
      <c r="BA17" s="1942">
        <v>2.1</v>
      </c>
      <c r="BB17" s="1942">
        <v>9</v>
      </c>
      <c r="BC17" s="1950">
        <v>1.8</v>
      </c>
      <c r="BD17" s="1942">
        <v>1.8</v>
      </c>
      <c r="BE17" s="1911">
        <v>9</v>
      </c>
      <c r="BF17" s="1942">
        <v>10</v>
      </c>
      <c r="BG17" s="1914" t="str">
        <f>Standardwerte!I18</f>
        <v>Industrie</v>
      </c>
      <c r="BH17" s="1942">
        <v>1</v>
      </c>
      <c r="GY17" s="1980"/>
    </row>
    <row r="18" spans="1:297">
      <c r="B18" s="1912" t="str">
        <f t="shared" si="3"/>
        <v>Construction hybride</v>
      </c>
      <c r="C18" s="1913" t="s">
        <v>4277</v>
      </c>
      <c r="D18" s="1914" t="s">
        <v>4278</v>
      </c>
      <c r="E18" s="1914" t="s">
        <v>4279</v>
      </c>
      <c r="F18" s="1914" t="s">
        <v>4280</v>
      </c>
      <c r="G18" s="1914" t="s">
        <v>4281</v>
      </c>
      <c r="H18" s="1914" t="s">
        <v>4282</v>
      </c>
      <c r="I18" s="1914" t="s">
        <v>4283</v>
      </c>
      <c r="J18" s="1914" t="s">
        <v>4284</v>
      </c>
      <c r="K18" s="1914" t="s">
        <v>4285</v>
      </c>
      <c r="L18" s="1914" t="s">
        <v>4286</v>
      </c>
      <c r="M18" s="1914" t="s">
        <v>4287</v>
      </c>
      <c r="N18" s="1915" t="s">
        <v>4288</v>
      </c>
      <c r="O18" s="1906" t="s">
        <v>199</v>
      </c>
      <c r="P18" s="1965" t="str">
        <f>IF(AlleZonenNeu,IF(Kategorie0=3,$S18,IF(Kategorie0=2,$R18,$Q18)),"")</f>
        <v/>
      </c>
      <c r="Q18" s="1981" t="str">
        <f>""</f>
        <v/>
      </c>
      <c r="R18" s="1975" t="str">
        <f t="shared" si="5"/>
        <v>Construction vitrée</v>
      </c>
      <c r="S18" s="1966" t="str">
        <f>Uebersetzung!$D635</f>
        <v>Construction vitrée</v>
      </c>
      <c r="T18" s="1946">
        <v>7</v>
      </c>
      <c r="U18" s="1956" t="str">
        <f>IF(AlleZonenNeu,IF($V$8=1,"",V18),"")</f>
        <v/>
      </c>
      <c r="V18" s="1956">
        <v>80</v>
      </c>
      <c r="W18" s="2405">
        <f>IF($V$8=1,1,10)</f>
        <v>1</v>
      </c>
      <c r="AF18" s="1976" t="str">
        <f t="shared" si="2"/>
        <v/>
      </c>
      <c r="AG18" s="1982" t="str">
        <f>Uebersetzung!D647</f>
        <v>Palplanches</v>
      </c>
      <c r="AH18" s="1946">
        <v>7</v>
      </c>
      <c r="AN18" s="1913" t="str">
        <f>Uebersetzung!D91</f>
        <v>Entrepôt</v>
      </c>
      <c r="AO18" s="1951">
        <v>44.860007157616842</v>
      </c>
      <c r="AP18" s="1951">
        <v>13.370807178004251</v>
      </c>
      <c r="AQ18" s="1952">
        <v>8.1523518518518516E-3</v>
      </c>
      <c r="AR18" s="1892"/>
      <c r="AS18" s="1941" t="s">
        <v>4191</v>
      </c>
      <c r="AT18" s="1950">
        <v>1.8</v>
      </c>
      <c r="AU18" s="1942">
        <v>1.9</v>
      </c>
      <c r="AV18" s="1911">
        <v>10</v>
      </c>
      <c r="AW18" s="1942">
        <v>2.2999999999999998</v>
      </c>
      <c r="AX18" s="1942">
        <v>2.2999999999999998</v>
      </c>
      <c r="AY18" s="1911">
        <v>10</v>
      </c>
      <c r="AZ18" s="1950">
        <v>2.2000000000000002</v>
      </c>
      <c r="BA18" s="1942">
        <v>2.2999999999999998</v>
      </c>
      <c r="BB18" s="1942">
        <v>10</v>
      </c>
      <c r="BC18" s="1950">
        <v>1.9</v>
      </c>
      <c r="BD18" s="1942">
        <v>1.9</v>
      </c>
      <c r="BE18" s="1911">
        <v>10</v>
      </c>
      <c r="BF18" s="1942">
        <v>11</v>
      </c>
      <c r="BG18" s="1914" t="str">
        <f>Standardwerte!I19</f>
        <v>Entrepôt</v>
      </c>
      <c r="BH18" s="1942">
        <v>1</v>
      </c>
    </row>
    <row r="19" spans="1:297">
      <c r="B19" s="1912" t="str">
        <f t="shared" si="3"/>
        <v>Construction vitrée</v>
      </c>
      <c r="C19" s="1913" t="s">
        <v>4289</v>
      </c>
      <c r="D19" s="1914" t="s">
        <v>4290</v>
      </c>
      <c r="E19" s="1914" t="s">
        <v>4291</v>
      </c>
      <c r="F19" s="1914" t="s">
        <v>4292</v>
      </c>
      <c r="G19" s="1914" t="s">
        <v>4293</v>
      </c>
      <c r="H19" s="1914" t="s">
        <v>4294</v>
      </c>
      <c r="I19" s="1914" t="s">
        <v>4295</v>
      </c>
      <c r="J19" s="1914" t="s">
        <v>4296</v>
      </c>
      <c r="K19" s="1914" t="s">
        <v>4297</v>
      </c>
      <c r="L19" s="1914" t="s">
        <v>4298</v>
      </c>
      <c r="M19" s="1914" t="s">
        <v>4299</v>
      </c>
      <c r="N19" s="1915" t="s">
        <v>4300</v>
      </c>
      <c r="O19" s="1906" t="s">
        <v>199</v>
      </c>
      <c r="P19" s="1965" t="str">
        <f>IF(AlleZonenNeu,IF(Kategorie0=3,$S19,IF(Kategorie2=2,$R19,$Q19)),"")</f>
        <v/>
      </c>
      <c r="Q19" s="1983" t="str">
        <f>""</f>
        <v/>
      </c>
      <c r="R19" s="1983" t="str">
        <f>""</f>
        <v/>
      </c>
      <c r="S19" s="1975" t="str">
        <f>Uebersetzung!$D636</f>
        <v>Construction métallique</v>
      </c>
      <c r="T19" s="1946">
        <v>8</v>
      </c>
      <c r="U19" s="1956" t="str">
        <f>IF(AlleZonenNeu,IF($V$8=1,"",V19),"")</f>
        <v/>
      </c>
      <c r="V19" s="1956">
        <v>90</v>
      </c>
      <c r="W19" s="2405">
        <f>IF($V$8=1,1,11)</f>
        <v>1</v>
      </c>
      <c r="AN19" s="1913" t="str">
        <f>Uebersetzung!D92</f>
        <v>Installation sportive</v>
      </c>
      <c r="AO19" s="1951">
        <v>54.836663811736464</v>
      </c>
      <c r="AP19" s="1951">
        <v>16.498018795448335</v>
      </c>
      <c r="AQ19" s="1952">
        <v>0.13368029554856742</v>
      </c>
      <c r="AS19" s="1941" t="s">
        <v>4191</v>
      </c>
      <c r="AT19" s="1950">
        <v>2</v>
      </c>
      <c r="AU19" s="1942">
        <v>2.4</v>
      </c>
      <c r="AV19" s="1911">
        <v>11</v>
      </c>
      <c r="AW19" s="1942">
        <v>2.4</v>
      </c>
      <c r="AX19" s="1942">
        <v>2.4</v>
      </c>
      <c r="AY19" s="1911">
        <v>11</v>
      </c>
      <c r="AZ19" s="1950">
        <v>2.4</v>
      </c>
      <c r="BA19" s="1942">
        <v>2.5</v>
      </c>
      <c r="BB19" s="1942">
        <v>11</v>
      </c>
      <c r="BC19" s="1950">
        <v>2</v>
      </c>
      <c r="BD19" s="1942">
        <v>2.4</v>
      </c>
      <c r="BE19" s="1911">
        <v>11</v>
      </c>
      <c r="BF19" s="1942">
        <v>12</v>
      </c>
      <c r="BG19" s="1914" t="str">
        <f>Standardwerte!I20</f>
        <v>Installation sportive</v>
      </c>
      <c r="BH19" s="1942">
        <v>1</v>
      </c>
    </row>
    <row r="20" spans="1:297">
      <c r="B20" s="1953" t="str">
        <f t="shared" si="3"/>
        <v>Construction métallique</v>
      </c>
      <c r="C20" s="1907" t="s">
        <v>4301</v>
      </c>
      <c r="D20" s="1908" t="s">
        <v>4302</v>
      </c>
      <c r="E20" s="1908" t="s">
        <v>4303</v>
      </c>
      <c r="F20" s="1908" t="s">
        <v>4304</v>
      </c>
      <c r="G20" s="1908" t="s">
        <v>4305</v>
      </c>
      <c r="H20" s="1908" t="s">
        <v>4306</v>
      </c>
      <c r="I20" s="1908" t="s">
        <v>4307</v>
      </c>
      <c r="J20" s="1908" t="s">
        <v>4308</v>
      </c>
      <c r="K20" s="1908" t="s">
        <v>4309</v>
      </c>
      <c r="L20" s="1908" t="s">
        <v>4310</v>
      </c>
      <c r="M20" s="1908" t="s">
        <v>4311</v>
      </c>
      <c r="N20" s="1982" t="s">
        <v>4312</v>
      </c>
      <c r="O20" s="1906" t="s">
        <v>199</v>
      </c>
      <c r="P20" s="1987"/>
      <c r="Q20" s="1988" t="s">
        <v>4313</v>
      </c>
      <c r="R20" s="1989" t="s">
        <v>4314</v>
      </c>
      <c r="S20" s="1990" t="s">
        <v>4315</v>
      </c>
      <c r="T20" s="1946"/>
      <c r="U20" s="1984" t="str">
        <f>IF(AlleZonenNeu,IF($V$8=1,"",V20),"")</f>
        <v/>
      </c>
      <c r="V20" s="1984">
        <v>100</v>
      </c>
      <c r="W20" s="2405">
        <f>IF($V$8=1,1,12)</f>
        <v>1</v>
      </c>
      <c r="AN20" s="1907" t="str">
        <f>Uebersetzung!D93</f>
        <v>Piscine couverte</v>
      </c>
      <c r="AO20" s="1993">
        <v>62.178990717955109</v>
      </c>
      <c r="AP20" s="1993">
        <v>18.456551402325005</v>
      </c>
      <c r="AQ20" s="1994">
        <v>0.13417437979765168</v>
      </c>
      <c r="AR20" s="1892"/>
      <c r="AS20" s="1941" t="s">
        <v>4191</v>
      </c>
      <c r="AT20" s="1991">
        <v>2.5</v>
      </c>
      <c r="AU20" s="1992">
        <v>2.5</v>
      </c>
      <c r="AV20" s="1917">
        <v>12</v>
      </c>
      <c r="AW20" s="1942">
        <v>2.5</v>
      </c>
      <c r="AX20" s="1942">
        <v>2.5</v>
      </c>
      <c r="AY20" s="1911">
        <v>12</v>
      </c>
      <c r="AZ20" s="1950">
        <v>2.5</v>
      </c>
      <c r="BA20" s="1942">
        <v>2.5</v>
      </c>
      <c r="BB20" s="1942">
        <v>12</v>
      </c>
      <c r="BC20" s="1991">
        <v>2.5</v>
      </c>
      <c r="BD20" s="1992">
        <v>2.5</v>
      </c>
      <c r="BE20" s="1917">
        <v>12</v>
      </c>
      <c r="BF20" s="1942">
        <v>13</v>
      </c>
      <c r="BG20" s="1914" t="str">
        <f>Standardwerte!I21</f>
        <v>Piscine couverte</v>
      </c>
      <c r="BH20" s="1942">
        <v>3</v>
      </c>
    </row>
    <row r="21" spans="1:297" ht="66" customHeight="1">
      <c r="A21" s="1995" t="s">
        <v>4316</v>
      </c>
      <c r="P21" s="1996" t="s">
        <v>4317</v>
      </c>
      <c r="Q21" s="1996" t="s">
        <v>333</v>
      </c>
      <c r="R21" s="1996" t="s">
        <v>4318</v>
      </c>
      <c r="S21" s="1996" t="s">
        <v>4319</v>
      </c>
      <c r="AS21" s="1914"/>
      <c r="AT21" s="3172" t="s">
        <v>4320</v>
      </c>
      <c r="AU21" s="3173"/>
      <c r="AV21" s="3174"/>
      <c r="AW21" s="3175" t="s">
        <v>333</v>
      </c>
      <c r="AX21" s="3176"/>
      <c r="AY21" s="3177"/>
      <c r="AZ21" s="3175" t="s">
        <v>4321</v>
      </c>
      <c r="BA21" s="3176"/>
      <c r="BB21" s="3177"/>
      <c r="BC21" s="3172" t="s">
        <v>831</v>
      </c>
      <c r="BD21" s="3173"/>
      <c r="BE21" s="3174"/>
      <c r="BF21" s="1914"/>
      <c r="BG21" s="1914"/>
      <c r="BH21" s="1914"/>
      <c r="GS21" s="1995"/>
    </row>
    <row r="23" spans="1:297">
      <c r="A23" s="1962"/>
      <c r="B23" s="1962"/>
      <c r="C23" s="1962" t="s">
        <v>4322</v>
      </c>
      <c r="D23" s="1962" t="str">
        <f>$AN$9</f>
        <v>Habitat collectif</v>
      </c>
      <c r="E23" s="1962"/>
      <c r="F23" s="1962"/>
      <c r="G23" s="1962"/>
      <c r="H23" s="1962"/>
      <c r="I23" s="1962"/>
      <c r="J23" s="1962"/>
      <c r="K23" s="1962"/>
      <c r="L23" s="1962"/>
      <c r="M23" s="1962"/>
      <c r="N23" s="1926" t="str">
        <f>$AN$10</f>
        <v>Habitat individuel</v>
      </c>
      <c r="O23" s="1962"/>
      <c r="P23" s="1962"/>
      <c r="Q23" s="1962"/>
      <c r="R23" s="1962"/>
      <c r="S23" s="1962"/>
      <c r="T23" s="1962"/>
      <c r="U23" s="1962"/>
      <c r="V23" s="1962"/>
      <c r="W23" s="1962"/>
      <c r="X23" s="1926" t="str">
        <f>$AN$11</f>
        <v>Administration</v>
      </c>
      <c r="Y23" s="1962"/>
      <c r="Z23" s="1962"/>
      <c r="AA23" s="1962"/>
      <c r="AB23" s="1962"/>
      <c r="AC23" s="1962"/>
      <c r="AD23" s="1962"/>
      <c r="AE23" s="1962"/>
      <c r="AF23" s="1962"/>
      <c r="AG23" s="1962"/>
      <c r="AH23" s="1926" t="str">
        <f>$AN$12</f>
        <v>Ecole</v>
      </c>
      <c r="AI23" s="1962"/>
      <c r="AJ23" s="1962"/>
      <c r="AK23" s="1962"/>
      <c r="AL23" s="1962"/>
      <c r="AM23" s="1962"/>
      <c r="AN23" s="1962"/>
      <c r="AO23" s="1962"/>
      <c r="AP23" s="1962"/>
      <c r="AQ23" s="1962"/>
      <c r="AR23" s="1926" t="str">
        <f>$AN$13</f>
        <v>Commerce</v>
      </c>
      <c r="AS23" s="1962"/>
      <c r="AT23" s="1962"/>
      <c r="AU23" s="1962"/>
      <c r="AV23" s="1962"/>
      <c r="AW23" s="1962"/>
      <c r="AX23" s="1962"/>
      <c r="AY23" s="1962"/>
      <c r="AZ23" s="1962"/>
      <c r="BA23" s="1962"/>
      <c r="BB23" s="1926" t="str">
        <f>$AN$14</f>
        <v>Restaurant</v>
      </c>
      <c r="BC23" s="1962"/>
      <c r="BD23" s="1962"/>
      <c r="BE23" s="1962"/>
      <c r="BF23" s="1962"/>
      <c r="BG23" s="1962"/>
      <c r="BH23" s="1962"/>
      <c r="BI23" s="1962"/>
      <c r="BJ23" s="1962"/>
      <c r="BK23" s="1962"/>
      <c r="BL23" s="1926" t="str">
        <f>$AN$15</f>
        <v>Lieu de rassemblement</v>
      </c>
      <c r="BM23" s="1962"/>
      <c r="BN23" s="1962"/>
      <c r="BO23" s="1962"/>
      <c r="BP23" s="1962"/>
      <c r="BQ23" s="1962"/>
      <c r="BR23" s="1962"/>
      <c r="BS23" s="1962"/>
      <c r="BT23" s="1962"/>
      <c r="BU23" s="1962"/>
      <c r="BV23" s="1926" t="str">
        <f>$AN$16</f>
        <v>Hôpital</v>
      </c>
      <c r="BW23" s="1962"/>
      <c r="BX23" s="1962"/>
      <c r="BY23" s="1962"/>
      <c r="BZ23" s="1962"/>
      <c r="CA23" s="1962"/>
      <c r="CB23" s="1962"/>
      <c r="CC23" s="1962"/>
      <c r="CD23" s="1962"/>
      <c r="CE23" s="1962"/>
      <c r="CF23" s="1926" t="str">
        <f>$AN$17</f>
        <v>Industrie</v>
      </c>
      <c r="CG23" s="1962"/>
      <c r="CH23" s="1962"/>
      <c r="CI23" s="1962"/>
      <c r="CJ23" s="1962"/>
      <c r="CK23" s="1962"/>
      <c r="CL23" s="1962"/>
      <c r="CM23" s="1962"/>
      <c r="CN23" s="1962"/>
      <c r="CO23" s="1962"/>
      <c r="CP23" s="1926" t="str">
        <f>$AN$18</f>
        <v>Entrepôt</v>
      </c>
      <c r="CQ23" s="1962"/>
      <c r="CR23" s="1962"/>
      <c r="CS23" s="1962"/>
      <c r="CT23" s="1962"/>
      <c r="CU23" s="1962"/>
      <c r="CV23" s="1962"/>
      <c r="CW23" s="1962"/>
      <c r="CX23" s="1962"/>
      <c r="CY23" s="1962"/>
      <c r="CZ23" s="1926" t="str">
        <f>$AN$19</f>
        <v>Installation sportive</v>
      </c>
      <c r="DA23" s="1962"/>
      <c r="DB23" s="1962"/>
      <c r="DC23" s="1962"/>
      <c r="DD23" s="1962"/>
      <c r="DE23" s="1962"/>
      <c r="DF23" s="1962"/>
      <c r="DG23" s="1962"/>
      <c r="DH23" s="1962"/>
      <c r="DI23" s="1962"/>
      <c r="DJ23" s="1926" t="str">
        <f>$AN$20</f>
        <v>Piscine couverte</v>
      </c>
      <c r="DK23" s="1962"/>
      <c r="DL23" s="1962"/>
      <c r="DM23" s="1962"/>
      <c r="DN23" s="1962"/>
      <c r="DO23" s="1962"/>
      <c r="DP23" s="1962"/>
      <c r="DQ23" s="1962"/>
      <c r="DR23" s="1962"/>
      <c r="DS23" s="1962"/>
    </row>
    <row r="24" spans="1:297">
      <c r="C24" s="2" t="s">
        <v>4323</v>
      </c>
      <c r="D24" s="1614" t="s">
        <v>4212</v>
      </c>
      <c r="E24" s="1614" t="s">
        <v>4213</v>
      </c>
      <c r="F24" s="1614" t="s">
        <v>4230</v>
      </c>
      <c r="G24" s="1614" t="s">
        <v>4231</v>
      </c>
      <c r="H24" s="1614" t="s">
        <v>4245</v>
      </c>
      <c r="I24" s="1614" t="s">
        <v>4246</v>
      </c>
      <c r="J24" s="1614" t="s">
        <v>4260</v>
      </c>
      <c r="K24" s="1614" t="s">
        <v>4261</v>
      </c>
      <c r="L24" s="1614" t="s">
        <v>4275</v>
      </c>
      <c r="M24" s="1614" t="s">
        <v>4276</v>
      </c>
      <c r="N24" s="1614" t="s">
        <v>4212</v>
      </c>
      <c r="O24" s="1614" t="s">
        <v>4213</v>
      </c>
      <c r="P24" s="1614" t="s">
        <v>4230</v>
      </c>
      <c r="Q24" s="1614" t="s">
        <v>4231</v>
      </c>
      <c r="R24" s="1614" t="s">
        <v>4245</v>
      </c>
      <c r="S24" s="1614" t="s">
        <v>4246</v>
      </c>
      <c r="T24" s="1614" t="s">
        <v>4260</v>
      </c>
      <c r="U24" s="1614" t="s">
        <v>4261</v>
      </c>
      <c r="V24" s="1614" t="s">
        <v>4275</v>
      </c>
      <c r="W24" s="1614" t="s">
        <v>4276</v>
      </c>
      <c r="X24" s="1614" t="s">
        <v>4212</v>
      </c>
      <c r="Y24" s="1614" t="s">
        <v>4213</v>
      </c>
      <c r="Z24" s="1614" t="s">
        <v>4230</v>
      </c>
      <c r="AA24" s="1614" t="s">
        <v>4231</v>
      </c>
      <c r="AB24" s="1614" t="s">
        <v>4245</v>
      </c>
      <c r="AC24" s="1614" t="s">
        <v>4246</v>
      </c>
      <c r="AD24" s="1614" t="s">
        <v>4260</v>
      </c>
      <c r="AE24" s="1614" t="s">
        <v>4261</v>
      </c>
      <c r="AF24" s="1614" t="s">
        <v>4275</v>
      </c>
      <c r="AG24" s="1614" t="s">
        <v>4276</v>
      </c>
      <c r="AH24" s="1614" t="s">
        <v>4212</v>
      </c>
      <c r="AI24" s="1614" t="s">
        <v>4213</v>
      </c>
      <c r="AJ24" s="1614" t="s">
        <v>4230</v>
      </c>
      <c r="AK24" s="1614" t="s">
        <v>4231</v>
      </c>
      <c r="AL24" s="1614" t="s">
        <v>4245</v>
      </c>
      <c r="AM24" s="1614" t="s">
        <v>4246</v>
      </c>
      <c r="AN24" s="1614" t="s">
        <v>4260</v>
      </c>
      <c r="AO24" s="1614" t="s">
        <v>4261</v>
      </c>
      <c r="AP24" s="1614" t="s">
        <v>4275</v>
      </c>
      <c r="AQ24" s="1614" t="s">
        <v>4276</v>
      </c>
      <c r="AR24" s="1614" t="s">
        <v>4212</v>
      </c>
      <c r="AS24" s="1614" t="s">
        <v>4213</v>
      </c>
      <c r="AT24" s="1614" t="s">
        <v>4230</v>
      </c>
      <c r="AU24" s="1614" t="s">
        <v>4231</v>
      </c>
      <c r="AV24" s="1614" t="s">
        <v>4245</v>
      </c>
      <c r="AW24" s="1614" t="s">
        <v>4246</v>
      </c>
      <c r="AX24" s="1614" t="s">
        <v>4260</v>
      </c>
      <c r="AY24" s="1614" t="s">
        <v>4261</v>
      </c>
      <c r="AZ24" s="1614" t="s">
        <v>4275</v>
      </c>
      <c r="BA24" s="1614" t="s">
        <v>4276</v>
      </c>
      <c r="BB24" s="1614" t="s">
        <v>4212</v>
      </c>
      <c r="BC24" s="1614" t="s">
        <v>4213</v>
      </c>
      <c r="BD24" s="1614" t="s">
        <v>4230</v>
      </c>
      <c r="BE24" s="1614" t="s">
        <v>4231</v>
      </c>
      <c r="BF24" s="1614" t="s">
        <v>4245</v>
      </c>
      <c r="BG24" s="1614" t="s">
        <v>4246</v>
      </c>
      <c r="BH24" s="1614" t="s">
        <v>4260</v>
      </c>
      <c r="BI24" s="1614" t="s">
        <v>4261</v>
      </c>
      <c r="BJ24" s="1614" t="s">
        <v>4275</v>
      </c>
      <c r="BK24" s="1614" t="s">
        <v>4276</v>
      </c>
      <c r="BL24" s="1614" t="s">
        <v>4212</v>
      </c>
      <c r="BM24" s="1614" t="s">
        <v>4213</v>
      </c>
      <c r="BN24" s="1614" t="s">
        <v>4230</v>
      </c>
      <c r="BO24" s="1614" t="s">
        <v>4231</v>
      </c>
      <c r="BP24" s="1614" t="s">
        <v>4245</v>
      </c>
      <c r="BQ24" s="1614" t="s">
        <v>4246</v>
      </c>
      <c r="BR24" s="1614" t="s">
        <v>4260</v>
      </c>
      <c r="BS24" s="1614" t="s">
        <v>4261</v>
      </c>
      <c r="BT24" s="1614" t="s">
        <v>4275</v>
      </c>
      <c r="BU24" s="1614" t="s">
        <v>4276</v>
      </c>
      <c r="BV24" s="1614" t="s">
        <v>4212</v>
      </c>
      <c r="BW24" s="1614" t="s">
        <v>4213</v>
      </c>
      <c r="BX24" s="1614" t="s">
        <v>4230</v>
      </c>
      <c r="BY24" s="1614" t="s">
        <v>4231</v>
      </c>
      <c r="BZ24" s="1614" t="s">
        <v>4245</v>
      </c>
      <c r="CA24" s="1614" t="s">
        <v>4246</v>
      </c>
      <c r="CB24" s="1614" t="s">
        <v>4260</v>
      </c>
      <c r="CC24" s="1614" t="s">
        <v>4261</v>
      </c>
      <c r="CD24" s="1614" t="s">
        <v>4275</v>
      </c>
      <c r="CE24" s="1614" t="s">
        <v>4276</v>
      </c>
      <c r="CF24" s="1614" t="s">
        <v>4212</v>
      </c>
      <c r="CG24" s="1614" t="s">
        <v>4213</v>
      </c>
      <c r="CH24" s="1614" t="s">
        <v>4230</v>
      </c>
      <c r="CI24" s="1614" t="s">
        <v>4231</v>
      </c>
      <c r="CJ24" s="1614" t="s">
        <v>4245</v>
      </c>
      <c r="CK24" s="1614" t="s">
        <v>4246</v>
      </c>
      <c r="CL24" s="1614" t="s">
        <v>4260</v>
      </c>
      <c r="CM24" s="1614" t="s">
        <v>4261</v>
      </c>
      <c r="CN24" s="1614" t="s">
        <v>4275</v>
      </c>
      <c r="CO24" s="1614" t="s">
        <v>4276</v>
      </c>
      <c r="CP24" s="1614" t="s">
        <v>4212</v>
      </c>
      <c r="CQ24" s="1614" t="s">
        <v>4213</v>
      </c>
      <c r="CR24" s="1614" t="s">
        <v>4230</v>
      </c>
      <c r="CS24" s="1614" t="s">
        <v>4231</v>
      </c>
      <c r="CT24" s="1614" t="s">
        <v>4245</v>
      </c>
      <c r="CU24" s="1614" t="s">
        <v>4246</v>
      </c>
      <c r="CV24" s="1614" t="s">
        <v>4260</v>
      </c>
      <c r="CW24" s="1614" t="s">
        <v>4261</v>
      </c>
      <c r="CX24" s="1614" t="s">
        <v>4275</v>
      </c>
      <c r="CY24" s="1614" t="s">
        <v>4276</v>
      </c>
      <c r="CZ24" s="1614" t="s">
        <v>4212</v>
      </c>
      <c r="DA24" s="1614" t="s">
        <v>4213</v>
      </c>
      <c r="DB24" s="1614" t="s">
        <v>4230</v>
      </c>
      <c r="DC24" s="1614" t="s">
        <v>4231</v>
      </c>
      <c r="DD24" s="1614" t="s">
        <v>4245</v>
      </c>
      <c r="DE24" s="1614" t="s">
        <v>4246</v>
      </c>
      <c r="DF24" s="1614" t="s">
        <v>4260</v>
      </c>
      <c r="DG24" s="1614" t="s">
        <v>4261</v>
      </c>
      <c r="DH24" s="1614" t="s">
        <v>4275</v>
      </c>
      <c r="DI24" s="1614" t="s">
        <v>4276</v>
      </c>
      <c r="DJ24" s="1614" t="s">
        <v>4212</v>
      </c>
      <c r="DK24" s="1614" t="s">
        <v>4213</v>
      </c>
      <c r="DL24" s="1614" t="s">
        <v>4230</v>
      </c>
      <c r="DM24" s="1614" t="s">
        <v>4231</v>
      </c>
      <c r="DN24" s="1614" t="s">
        <v>4245</v>
      </c>
      <c r="DO24" s="1614" t="s">
        <v>4246</v>
      </c>
      <c r="DP24" s="1614" t="s">
        <v>4260</v>
      </c>
      <c r="DQ24" s="1614" t="s">
        <v>4261</v>
      </c>
      <c r="DR24" s="1614" t="s">
        <v>4275</v>
      </c>
      <c r="DS24" s="1614" t="s">
        <v>4276</v>
      </c>
      <c r="GT24" s="1614"/>
      <c r="GU24" s="1614"/>
      <c r="GV24" s="1614"/>
      <c r="GW24" s="1614"/>
      <c r="GX24" s="1614"/>
      <c r="GY24" s="1614"/>
      <c r="GZ24" s="1614"/>
      <c r="HA24" s="1614"/>
      <c r="HB24" s="1614"/>
      <c r="HC24" s="1614"/>
      <c r="HD24" s="1614"/>
      <c r="HE24" s="1614"/>
      <c r="HF24" s="1614"/>
      <c r="HG24" s="1614"/>
      <c r="HH24" s="1614"/>
      <c r="HI24" s="1614"/>
      <c r="HJ24" s="1614"/>
      <c r="HK24" s="1614"/>
      <c r="HL24" s="1614"/>
      <c r="HM24" s="1614"/>
      <c r="HN24" s="1614"/>
      <c r="HO24" s="1614"/>
      <c r="HP24" s="1614"/>
      <c r="HQ24" s="1614"/>
      <c r="HR24" s="1614"/>
      <c r="HS24" s="1614"/>
      <c r="HT24" s="1614"/>
      <c r="HU24" s="1614"/>
      <c r="HV24" s="1614"/>
      <c r="HW24" s="1614"/>
      <c r="HX24" s="1614"/>
      <c r="HY24" s="1614"/>
      <c r="HZ24" s="1614"/>
      <c r="IA24" s="1614"/>
      <c r="IB24" s="1614"/>
      <c r="IC24" s="1614"/>
      <c r="ID24" s="1614"/>
      <c r="IE24" s="1614"/>
      <c r="IF24" s="1614"/>
      <c r="IG24" s="1614"/>
      <c r="IH24" s="1614"/>
      <c r="II24" s="1614"/>
      <c r="IJ24" s="1614"/>
      <c r="IK24" s="1614"/>
      <c r="IL24" s="1614"/>
      <c r="IM24" s="1614"/>
      <c r="IN24" s="1614"/>
      <c r="IO24" s="1614"/>
      <c r="IP24" s="1614"/>
      <c r="IQ24" s="1614"/>
      <c r="IR24" s="1614"/>
      <c r="IS24" s="1614"/>
      <c r="IT24" s="1614"/>
      <c r="IU24" s="1614"/>
      <c r="IV24" s="1614"/>
      <c r="IW24" s="1614"/>
      <c r="IX24" s="1614"/>
      <c r="IY24" s="1614"/>
      <c r="IZ24" s="1614"/>
      <c r="JA24" s="1614"/>
      <c r="JB24" s="1614"/>
      <c r="JC24" s="1614"/>
      <c r="JD24" s="1614"/>
      <c r="JE24" s="1614"/>
      <c r="JF24" s="1614"/>
      <c r="JG24" s="1614"/>
      <c r="JH24" s="1614"/>
      <c r="JI24" s="1614"/>
      <c r="JJ24" s="1614"/>
      <c r="JK24" s="1614"/>
      <c r="JL24" s="1614"/>
      <c r="JM24" s="1614"/>
      <c r="JN24" s="1614"/>
      <c r="JO24" s="1614"/>
      <c r="JP24" s="1614"/>
      <c r="JQ24" s="1614"/>
      <c r="JR24" s="1614"/>
      <c r="JS24" s="1614"/>
      <c r="JT24" s="1614"/>
      <c r="JU24" s="1614"/>
      <c r="JV24" s="1614"/>
      <c r="JW24" s="1614"/>
      <c r="JX24" s="1614"/>
      <c r="JY24" s="1614"/>
      <c r="JZ24" s="1614"/>
      <c r="KA24" s="1614"/>
      <c r="KB24" s="1614"/>
      <c r="KC24" s="1614"/>
      <c r="KD24" s="1614"/>
      <c r="KE24" s="1614"/>
      <c r="KF24" s="1614"/>
      <c r="KG24" s="1614"/>
      <c r="KH24" s="1614"/>
      <c r="KI24" s="1614"/>
      <c r="KJ24" s="1614"/>
      <c r="KK24" s="1614"/>
    </row>
    <row r="25" spans="1:297">
      <c r="A25" s="2" t="s">
        <v>4324</v>
      </c>
      <c r="B25" s="1614" t="s">
        <v>4325</v>
      </c>
      <c r="C25" s="2" t="s">
        <v>4326</v>
      </c>
      <c r="D25" s="2" t="s">
        <v>4156</v>
      </c>
      <c r="E25" s="2" t="s">
        <v>4157</v>
      </c>
      <c r="F25" s="2" t="s">
        <v>4156</v>
      </c>
      <c r="G25" s="2" t="s">
        <v>4157</v>
      </c>
      <c r="H25" s="2" t="s">
        <v>4156</v>
      </c>
      <c r="I25" s="2" t="s">
        <v>4157</v>
      </c>
      <c r="J25" s="2" t="s">
        <v>4156</v>
      </c>
      <c r="K25" s="2" t="s">
        <v>4157</v>
      </c>
      <c r="L25" s="2" t="s">
        <v>4156</v>
      </c>
      <c r="M25" s="2" t="s">
        <v>4157</v>
      </c>
      <c r="N25" s="1939" t="s">
        <v>4156</v>
      </c>
      <c r="O25" s="2" t="s">
        <v>4157</v>
      </c>
      <c r="P25" s="2" t="s">
        <v>4156</v>
      </c>
      <c r="Q25" s="2" t="s">
        <v>4157</v>
      </c>
      <c r="R25" s="2" t="s">
        <v>4156</v>
      </c>
      <c r="S25" s="2" t="s">
        <v>4157</v>
      </c>
      <c r="T25" s="2" t="s">
        <v>4156</v>
      </c>
      <c r="U25" s="2" t="s">
        <v>4157</v>
      </c>
      <c r="V25" s="2" t="s">
        <v>4156</v>
      </c>
      <c r="W25" s="2" t="s">
        <v>4157</v>
      </c>
      <c r="X25" s="1939" t="s">
        <v>4156</v>
      </c>
      <c r="Y25" s="2" t="s">
        <v>4157</v>
      </c>
      <c r="Z25" s="2" t="s">
        <v>4156</v>
      </c>
      <c r="AA25" s="2" t="s">
        <v>4157</v>
      </c>
      <c r="AB25" s="2" t="s">
        <v>4156</v>
      </c>
      <c r="AC25" s="2" t="s">
        <v>4157</v>
      </c>
      <c r="AD25" s="2" t="s">
        <v>4156</v>
      </c>
      <c r="AE25" s="2" t="s">
        <v>4157</v>
      </c>
      <c r="AF25" s="2" t="s">
        <v>4156</v>
      </c>
      <c r="AG25" s="2" t="s">
        <v>4157</v>
      </c>
      <c r="AH25" s="1939" t="s">
        <v>4156</v>
      </c>
      <c r="AI25" s="2" t="s">
        <v>4157</v>
      </c>
      <c r="AJ25" s="2" t="s">
        <v>4156</v>
      </c>
      <c r="AK25" s="2" t="s">
        <v>4157</v>
      </c>
      <c r="AL25" s="2" t="s">
        <v>4156</v>
      </c>
      <c r="AM25" s="2" t="s">
        <v>4157</v>
      </c>
      <c r="AN25" s="2" t="s">
        <v>4156</v>
      </c>
      <c r="AO25" s="2" t="s">
        <v>4157</v>
      </c>
      <c r="AP25" s="2" t="s">
        <v>4156</v>
      </c>
      <c r="AQ25" s="2" t="s">
        <v>4157</v>
      </c>
      <c r="AR25" s="1939" t="s">
        <v>4156</v>
      </c>
      <c r="AS25" s="2" t="s">
        <v>4157</v>
      </c>
      <c r="AT25" s="2" t="s">
        <v>4156</v>
      </c>
      <c r="AU25" s="2" t="s">
        <v>4157</v>
      </c>
      <c r="AV25" s="2" t="s">
        <v>4156</v>
      </c>
      <c r="AW25" s="2" t="s">
        <v>4157</v>
      </c>
      <c r="AX25" s="2" t="s">
        <v>4156</v>
      </c>
      <c r="AY25" s="2" t="s">
        <v>4157</v>
      </c>
      <c r="AZ25" s="2" t="s">
        <v>4156</v>
      </c>
      <c r="BA25" s="2" t="s">
        <v>4157</v>
      </c>
      <c r="BB25" s="1939" t="s">
        <v>4156</v>
      </c>
      <c r="BC25" s="2" t="s">
        <v>4157</v>
      </c>
      <c r="BD25" s="2" t="s">
        <v>4156</v>
      </c>
      <c r="BE25" s="2" t="s">
        <v>4157</v>
      </c>
      <c r="BF25" s="2" t="s">
        <v>4156</v>
      </c>
      <c r="BG25" s="2" t="s">
        <v>4157</v>
      </c>
      <c r="BH25" s="2" t="s">
        <v>4156</v>
      </c>
      <c r="BI25" s="2" t="s">
        <v>4157</v>
      </c>
      <c r="BJ25" s="2" t="s">
        <v>4156</v>
      </c>
      <c r="BK25" s="2" t="s">
        <v>4157</v>
      </c>
      <c r="BL25" s="1939" t="s">
        <v>4156</v>
      </c>
      <c r="BM25" s="2" t="s">
        <v>4157</v>
      </c>
      <c r="BN25" s="2" t="s">
        <v>4156</v>
      </c>
      <c r="BO25" s="2" t="s">
        <v>4157</v>
      </c>
      <c r="BP25" s="2" t="s">
        <v>4156</v>
      </c>
      <c r="BQ25" s="2" t="s">
        <v>4157</v>
      </c>
      <c r="BR25" s="2" t="s">
        <v>4156</v>
      </c>
      <c r="BS25" s="2" t="s">
        <v>4157</v>
      </c>
      <c r="BT25" s="2" t="s">
        <v>4156</v>
      </c>
      <c r="BU25" s="2" t="s">
        <v>4157</v>
      </c>
      <c r="BV25" s="1939" t="s">
        <v>4156</v>
      </c>
      <c r="BW25" s="2" t="s">
        <v>4157</v>
      </c>
      <c r="BX25" s="2" t="s">
        <v>4156</v>
      </c>
      <c r="BY25" s="2" t="s">
        <v>4157</v>
      </c>
      <c r="BZ25" s="2" t="s">
        <v>4156</v>
      </c>
      <c r="CA25" s="2" t="s">
        <v>4157</v>
      </c>
      <c r="CB25" s="2" t="s">
        <v>4156</v>
      </c>
      <c r="CC25" s="2" t="s">
        <v>4157</v>
      </c>
      <c r="CD25" s="2" t="s">
        <v>4156</v>
      </c>
      <c r="CE25" s="2" t="s">
        <v>4157</v>
      </c>
      <c r="CF25" s="1939" t="s">
        <v>4156</v>
      </c>
      <c r="CG25" s="2" t="s">
        <v>4157</v>
      </c>
      <c r="CH25" s="2" t="s">
        <v>4156</v>
      </c>
      <c r="CI25" s="2" t="s">
        <v>4157</v>
      </c>
      <c r="CJ25" s="2" t="s">
        <v>4156</v>
      </c>
      <c r="CK25" s="2" t="s">
        <v>4157</v>
      </c>
      <c r="CL25" s="2" t="s">
        <v>4156</v>
      </c>
      <c r="CM25" s="2" t="s">
        <v>4157</v>
      </c>
      <c r="CN25" s="2" t="s">
        <v>4156</v>
      </c>
      <c r="CO25" s="2" t="s">
        <v>4157</v>
      </c>
      <c r="CP25" s="1939" t="s">
        <v>4156</v>
      </c>
      <c r="CQ25" s="2" t="s">
        <v>4157</v>
      </c>
      <c r="CR25" s="2" t="s">
        <v>4156</v>
      </c>
      <c r="CS25" s="2" t="s">
        <v>4157</v>
      </c>
      <c r="CT25" s="2" t="s">
        <v>4156</v>
      </c>
      <c r="CU25" s="2" t="s">
        <v>4157</v>
      </c>
      <c r="CV25" s="2" t="s">
        <v>4156</v>
      </c>
      <c r="CW25" s="2" t="s">
        <v>4157</v>
      </c>
      <c r="CX25" s="2" t="s">
        <v>4156</v>
      </c>
      <c r="CY25" s="2" t="s">
        <v>4157</v>
      </c>
      <c r="CZ25" s="1939" t="s">
        <v>4156</v>
      </c>
      <c r="DA25" s="2" t="s">
        <v>4157</v>
      </c>
      <c r="DB25" s="2" t="s">
        <v>4156</v>
      </c>
      <c r="DC25" s="2" t="s">
        <v>4157</v>
      </c>
      <c r="DD25" s="2" t="s">
        <v>4156</v>
      </c>
      <c r="DE25" s="2" t="s">
        <v>4157</v>
      </c>
      <c r="DF25" s="2" t="s">
        <v>4156</v>
      </c>
      <c r="DG25" s="2" t="s">
        <v>4157</v>
      </c>
      <c r="DH25" s="2" t="s">
        <v>4156</v>
      </c>
      <c r="DI25" s="2" t="s">
        <v>4157</v>
      </c>
      <c r="DJ25" s="1939" t="s">
        <v>4156</v>
      </c>
      <c r="DK25" s="2" t="s">
        <v>4157</v>
      </c>
      <c r="DL25" s="2" t="s">
        <v>4156</v>
      </c>
      <c r="DM25" s="2" t="s">
        <v>4157</v>
      </c>
      <c r="DN25" s="2" t="s">
        <v>4156</v>
      </c>
      <c r="DO25" s="2" t="s">
        <v>4157</v>
      </c>
      <c r="DP25" s="2" t="s">
        <v>4156</v>
      </c>
      <c r="DQ25" s="2" t="s">
        <v>4157</v>
      </c>
      <c r="DR25" s="2" t="s">
        <v>4156</v>
      </c>
      <c r="DS25" s="2" t="s">
        <v>4157</v>
      </c>
      <c r="GQ25" s="1614"/>
      <c r="GR25" s="1614"/>
    </row>
    <row r="26" spans="1:297">
      <c r="A26" s="1997" t="str">
        <f>Uebersetzung!$D630</f>
        <v>Contruction massive lourde</v>
      </c>
      <c r="B26" s="2">
        <v>1</v>
      </c>
      <c r="C26" s="2" t="s">
        <v>4327</v>
      </c>
      <c r="D26" s="1998">
        <v>0.89393179380408117</v>
      </c>
      <c r="E26" s="1998">
        <v>0.90337783456149656</v>
      </c>
      <c r="F26" s="1998">
        <v>0.90770943285753358</v>
      </c>
      <c r="G26" s="1998">
        <v>0.92190587339226604</v>
      </c>
      <c r="H26" s="1998">
        <v>0.9392370718983859</v>
      </c>
      <c r="I26" s="1998">
        <v>0.96103793478808575</v>
      </c>
      <c r="J26" s="1998">
        <v>0.9686891614055696</v>
      </c>
      <c r="K26" s="1998">
        <v>1.0000774911544439</v>
      </c>
      <c r="L26" s="1998">
        <v>1.0007586775267434</v>
      </c>
      <c r="M26" s="1998">
        <v>1.0407535618137844</v>
      </c>
      <c r="N26" s="1999">
        <v>0.78422128371207145</v>
      </c>
      <c r="O26" s="1979">
        <v>0.7680477930924996</v>
      </c>
      <c r="P26" s="1979">
        <v>0.79693363614193602</v>
      </c>
      <c r="Q26" s="1979">
        <v>0.78513030645769133</v>
      </c>
      <c r="R26" s="1979">
        <v>0.82060032811410932</v>
      </c>
      <c r="S26" s="1979">
        <v>0.81457346044237544</v>
      </c>
      <c r="T26" s="1979">
        <v>0.8421820493884471</v>
      </c>
      <c r="U26" s="1979">
        <v>0.84316194237142927</v>
      </c>
      <c r="V26" s="1979">
        <v>0.86970988667508753</v>
      </c>
      <c r="W26" s="1979">
        <v>0.87546328801487616</v>
      </c>
      <c r="X26" s="2000">
        <v>0.89919448158504056</v>
      </c>
      <c r="Y26" s="1998">
        <v>0.89479766872376509</v>
      </c>
      <c r="Z26" s="1998">
        <v>0.92951435844962282</v>
      </c>
      <c r="AA26" s="1998">
        <v>0.93304499189455281</v>
      </c>
      <c r="AB26" s="1998">
        <v>0.93087461327002829</v>
      </c>
      <c r="AC26" s="1998">
        <v>0.93473375316206331</v>
      </c>
      <c r="AD26" s="1998">
        <v>0.93223486809043365</v>
      </c>
      <c r="AE26" s="1998">
        <v>0.93642251442957425</v>
      </c>
      <c r="AF26" s="1998">
        <v>0.93359512291083901</v>
      </c>
      <c r="AG26" s="1998">
        <v>0.9381112756970853</v>
      </c>
      <c r="AH26" s="1999">
        <v>0.67613822258061351</v>
      </c>
      <c r="AI26" s="1979">
        <v>0.67831858798949007</v>
      </c>
      <c r="AJ26" s="1979">
        <v>0.69690106938823415</v>
      </c>
      <c r="AK26" s="1979">
        <v>0.70465640499907289</v>
      </c>
      <c r="AL26" s="1979">
        <v>0.69791377198567017</v>
      </c>
      <c r="AM26" s="1979">
        <v>0.7059280615971496</v>
      </c>
      <c r="AN26" s="1979">
        <v>0.69892647458310619</v>
      </c>
      <c r="AO26" s="1979">
        <v>0.70719971819522609</v>
      </c>
      <c r="AP26" s="1979">
        <v>0.69993917718054222</v>
      </c>
      <c r="AQ26" s="1979">
        <v>0.70847137479330269</v>
      </c>
      <c r="AR26" s="2000">
        <v>0.91651237830235421</v>
      </c>
      <c r="AS26" s="1998">
        <v>0.91851180767196883</v>
      </c>
      <c r="AT26" s="1998">
        <v>0.94875415956168652</v>
      </c>
      <c r="AU26" s="1998">
        <v>0.95805802442894239</v>
      </c>
      <c r="AV26" s="1998">
        <v>0.95088372160269563</v>
      </c>
      <c r="AW26" s="1998">
        <v>0.96071191359133323</v>
      </c>
      <c r="AX26" s="1998">
        <v>0.95301328364370486</v>
      </c>
      <c r="AY26" s="1998">
        <v>0.96336580275372408</v>
      </c>
      <c r="AZ26" s="1998">
        <v>0.95514284568471408</v>
      </c>
      <c r="BA26" s="1998">
        <v>0.96601969191611514</v>
      </c>
      <c r="BB26" s="1999">
        <v>0.91164623241410436</v>
      </c>
      <c r="BC26" s="1979">
        <v>0.88411834104126674</v>
      </c>
      <c r="BD26" s="1979">
        <v>0.94093609983151516</v>
      </c>
      <c r="BE26" s="1979">
        <v>0.91834049106289539</v>
      </c>
      <c r="BF26" s="1979">
        <v>0.94312966003626697</v>
      </c>
      <c r="BG26" s="1979">
        <v>0.92098017226393669</v>
      </c>
      <c r="BH26" s="1979">
        <v>0.94532322024101867</v>
      </c>
      <c r="BI26" s="1979">
        <v>0.92361985346497788</v>
      </c>
      <c r="BJ26" s="1979">
        <v>0.94751678044577059</v>
      </c>
      <c r="BK26" s="1979">
        <v>0.92625953466601896</v>
      </c>
      <c r="BL26" s="2000">
        <v>0.84626015250363695</v>
      </c>
      <c r="BM26" s="1998">
        <v>0.84631509951269257</v>
      </c>
      <c r="BN26" s="2000">
        <v>0.84749010845895301</v>
      </c>
      <c r="BO26" s="1998">
        <v>0.84779066528045577</v>
      </c>
      <c r="BP26" s="2000">
        <v>0.84872006441426917</v>
      </c>
      <c r="BQ26" s="1998">
        <v>0.84926623104821908</v>
      </c>
      <c r="BR26" s="2000">
        <v>0.84995002036958522</v>
      </c>
      <c r="BS26" s="1998">
        <v>0.85074179681598228</v>
      </c>
      <c r="BT26" s="2000">
        <v>0.85117997632490139</v>
      </c>
      <c r="BU26" s="1998">
        <v>0.8522173625837457</v>
      </c>
      <c r="BV26" s="1999">
        <v>0.88174231148927018</v>
      </c>
      <c r="BW26" s="1979">
        <v>0.87430400773875194</v>
      </c>
      <c r="BX26" s="1979">
        <v>0.89349441727889056</v>
      </c>
      <c r="BY26" s="1979">
        <v>0.89082981896716718</v>
      </c>
      <c r="BZ26" s="1979">
        <v>0.92029164584457268</v>
      </c>
      <c r="CA26" s="1979">
        <v>0.9256061624615165</v>
      </c>
      <c r="CB26" s="1979">
        <v>0.94521273551050145</v>
      </c>
      <c r="CC26" s="1979">
        <v>0.96015024202195887</v>
      </c>
      <c r="CD26" s="1979">
        <v>0.97310180598523777</v>
      </c>
      <c r="CE26" s="1979">
        <v>0.99663507660951978</v>
      </c>
      <c r="CF26" s="2000">
        <v>0.72362127381997177</v>
      </c>
      <c r="CG26" s="1998">
        <v>0.77432965523240982</v>
      </c>
      <c r="CH26" s="2000">
        <v>0.72440884363542235</v>
      </c>
      <c r="CI26" s="1998">
        <v>0.77533953983465209</v>
      </c>
      <c r="CJ26" s="2000">
        <v>0.7251964134508726</v>
      </c>
      <c r="CK26" s="1998">
        <v>0.77634942443689436</v>
      </c>
      <c r="CL26" s="2000">
        <v>0.72598398326632296</v>
      </c>
      <c r="CM26" s="1998">
        <v>0.77735930903913664</v>
      </c>
      <c r="CN26" s="2000">
        <v>0.72677155308177355</v>
      </c>
      <c r="CO26" s="1998">
        <v>0.77836919364137891</v>
      </c>
      <c r="CP26" s="1999">
        <v>0.66956046649547507</v>
      </c>
      <c r="CQ26" s="1979">
        <v>0.72289017051260307</v>
      </c>
      <c r="CR26" s="1999">
        <v>0.67038703094965946</v>
      </c>
      <c r="CS26" s="1979">
        <v>0.72394761867827184</v>
      </c>
      <c r="CT26" s="1999">
        <v>0.67121359540384395</v>
      </c>
      <c r="CU26" s="1979">
        <v>0.72500506684394039</v>
      </c>
      <c r="CV26" s="1999">
        <v>0.67204015985802845</v>
      </c>
      <c r="CW26" s="1979">
        <v>0.72606251500960883</v>
      </c>
      <c r="CX26" s="1999">
        <v>0.67286672431221273</v>
      </c>
      <c r="CY26" s="1979">
        <v>0.7271199631752775</v>
      </c>
      <c r="CZ26" s="2000">
        <v>0.62228512128250335</v>
      </c>
      <c r="DA26" s="1998">
        <v>0.64927196192873726</v>
      </c>
      <c r="DB26" s="2000">
        <v>0.6230740028849282</v>
      </c>
      <c r="DC26" s="1998">
        <v>0.65027180469667145</v>
      </c>
      <c r="DD26" s="2000">
        <v>0.62386288448735316</v>
      </c>
      <c r="DE26" s="1998">
        <v>0.65127164746460553</v>
      </c>
      <c r="DF26" s="2000">
        <v>0.62465176608977802</v>
      </c>
      <c r="DG26" s="1998">
        <v>0.65227149023253972</v>
      </c>
      <c r="DH26" s="2000">
        <v>0.62622952929462772</v>
      </c>
      <c r="DI26" s="1998">
        <v>0.65427117576840799</v>
      </c>
      <c r="DJ26" s="1999">
        <v>0.5663239513567121</v>
      </c>
      <c r="DK26" s="1979">
        <v>0.60241750699601659</v>
      </c>
      <c r="DL26" s="1999">
        <v>0.56736754264180522</v>
      </c>
      <c r="DM26" s="1979">
        <v>0.6037581224028411</v>
      </c>
      <c r="DN26" s="1999">
        <v>0.56841113392689857</v>
      </c>
      <c r="DO26" s="1979">
        <v>0.60509873780966561</v>
      </c>
      <c r="DP26" s="1999">
        <v>0.56945472521199192</v>
      </c>
      <c r="DQ26" s="1979">
        <v>0.60643935321649001</v>
      </c>
      <c r="DR26" s="1999">
        <v>0.57154190778217839</v>
      </c>
      <c r="DS26" s="1979">
        <v>0.60912058403013913</v>
      </c>
      <c r="GT26" s="1980"/>
      <c r="GU26" s="1980"/>
      <c r="GV26" s="1980"/>
      <c r="GW26" s="1980"/>
      <c r="GX26" s="1980"/>
      <c r="GY26" s="1980"/>
      <c r="GZ26" s="1980"/>
      <c r="HA26" s="1980"/>
      <c r="HB26" s="1980"/>
      <c r="HC26" s="1980"/>
      <c r="HD26" s="1980"/>
      <c r="HE26" s="1980"/>
      <c r="HF26" s="1980"/>
      <c r="HG26" s="1980"/>
      <c r="HH26" s="1980"/>
      <c r="HI26" s="1980"/>
      <c r="HJ26" s="1980"/>
      <c r="HK26" s="1980"/>
      <c r="HL26" s="1980"/>
      <c r="HM26" s="1980"/>
      <c r="HN26" s="1980"/>
      <c r="HO26" s="1980"/>
      <c r="HP26" s="1980"/>
      <c r="HQ26" s="1980"/>
      <c r="HR26" s="1980"/>
      <c r="HS26" s="1980"/>
      <c r="HT26" s="1980"/>
      <c r="HU26" s="1980"/>
      <c r="HV26" s="1980"/>
      <c r="HW26" s="1980"/>
      <c r="HX26" s="1980"/>
      <c r="HY26" s="1980"/>
      <c r="HZ26" s="1980"/>
      <c r="IA26" s="1980"/>
      <c r="IB26" s="1980"/>
      <c r="IC26" s="1980"/>
      <c r="ID26" s="1980"/>
      <c r="IE26" s="1980"/>
      <c r="IF26" s="1980"/>
      <c r="IG26" s="1980"/>
      <c r="IH26" s="1980"/>
      <c r="II26" s="1980"/>
      <c r="IJ26" s="1980"/>
      <c r="IK26" s="1980"/>
      <c r="IL26" s="1980"/>
      <c r="IM26" s="1980"/>
      <c r="IN26" s="1980"/>
      <c r="IO26" s="1980"/>
      <c r="IP26" s="1980"/>
      <c r="IQ26" s="1980"/>
      <c r="IR26" s="1980"/>
      <c r="IS26" s="1980"/>
      <c r="IT26" s="1980"/>
      <c r="IU26" s="1980"/>
      <c r="IV26" s="1980"/>
      <c r="IW26" s="1980"/>
      <c r="IX26" s="1980"/>
      <c r="IY26" s="1980"/>
      <c r="IZ26" s="1980"/>
      <c r="JA26" s="1980"/>
      <c r="JB26" s="1980"/>
      <c r="JC26" s="1980"/>
      <c r="JD26" s="1980"/>
      <c r="JE26" s="1980"/>
      <c r="JF26" s="1980"/>
      <c r="JG26" s="1980"/>
      <c r="JH26" s="1980"/>
      <c r="JI26" s="1980"/>
      <c r="JJ26" s="1980"/>
      <c r="JK26" s="1980"/>
      <c r="JL26" s="1980"/>
      <c r="JM26" s="1980"/>
      <c r="JN26" s="1980"/>
      <c r="JO26" s="1980"/>
      <c r="JP26" s="1980"/>
      <c r="JQ26" s="1980"/>
      <c r="JR26" s="1980"/>
      <c r="JS26" s="1980"/>
      <c r="JT26" s="1980"/>
      <c r="JU26" s="1980"/>
      <c r="JV26" s="1980"/>
      <c r="JW26" s="1980"/>
      <c r="JX26" s="1980"/>
      <c r="JY26" s="1980"/>
      <c r="JZ26" s="1980"/>
      <c r="KA26" s="1980"/>
      <c r="KB26" s="1980"/>
      <c r="KC26" s="1980"/>
      <c r="KD26" s="1980"/>
      <c r="KE26" s="1980"/>
      <c r="KF26" s="1980"/>
      <c r="KG26" s="1980"/>
      <c r="KH26" s="1980"/>
      <c r="KI26" s="1980"/>
      <c r="KJ26" s="1980"/>
      <c r="KK26" s="1980"/>
    </row>
    <row r="27" spans="1:297">
      <c r="A27" s="1997"/>
      <c r="B27" s="2">
        <v>2</v>
      </c>
      <c r="C27" s="2" t="s">
        <v>4328</v>
      </c>
      <c r="D27" s="1998">
        <v>0.92009463958175275</v>
      </c>
      <c r="E27" s="1998">
        <v>0.92753671264356641</v>
      </c>
      <c r="F27" s="1998">
        <v>0.93430282177074653</v>
      </c>
      <c r="G27" s="1998">
        <v>0.9466440637403396</v>
      </c>
      <c r="H27" s="1998">
        <v>0.96600709079739522</v>
      </c>
      <c r="I27" s="1998">
        <v>0.98600718248010544</v>
      </c>
      <c r="J27" s="1998">
        <v>0.99550530068638166</v>
      </c>
      <c r="K27" s="1998">
        <v>1.0251091635064407</v>
      </c>
      <c r="L27" s="1998">
        <v>1.0284934127273557</v>
      </c>
      <c r="M27" s="1998">
        <v>1.0663931635900852</v>
      </c>
      <c r="N27" s="1999">
        <v>0.81642985419645397</v>
      </c>
      <c r="O27" s="1979">
        <v>0.79672747577320779</v>
      </c>
      <c r="P27" s="1979">
        <v>0.82949417326413644</v>
      </c>
      <c r="Q27" s="1979">
        <v>0.81428575703334638</v>
      </c>
      <c r="R27" s="1979">
        <v>0.8533368485552183</v>
      </c>
      <c r="S27" s="1979">
        <v>0.84396679496550375</v>
      </c>
      <c r="T27" s="1979">
        <v>0.87509455314846496</v>
      </c>
      <c r="U27" s="1979">
        <v>0.87279316084203129</v>
      </c>
      <c r="V27" s="1979">
        <v>0.9027983737540145</v>
      </c>
      <c r="W27" s="1979">
        <v>0.90533239043295144</v>
      </c>
      <c r="X27" s="2000">
        <v>0.9217729759607699</v>
      </c>
      <c r="Y27" s="1998">
        <v>0.91496961107944075</v>
      </c>
      <c r="Z27" s="1998">
        <v>0.95209285282535194</v>
      </c>
      <c r="AA27" s="1998">
        <v>0.95321693425022846</v>
      </c>
      <c r="AB27" s="1998">
        <v>0.95345310764575741</v>
      </c>
      <c r="AC27" s="1998">
        <v>0.95490569551773929</v>
      </c>
      <c r="AD27" s="1998">
        <v>0.954813362466163</v>
      </c>
      <c r="AE27" s="1998">
        <v>0.95659445678525001</v>
      </c>
      <c r="AF27" s="1998">
        <v>0.95617361728656813</v>
      </c>
      <c r="AG27" s="1998">
        <v>0.95828321805276084</v>
      </c>
      <c r="AH27" s="1999">
        <v>0.68056802158740748</v>
      </c>
      <c r="AI27" s="1979">
        <v>0.68298969938831522</v>
      </c>
      <c r="AJ27" s="1979">
        <v>0.70162658148970625</v>
      </c>
      <c r="AK27" s="1979">
        <v>0.70951743396705391</v>
      </c>
      <c r="AL27" s="1979">
        <v>0.70275180659796821</v>
      </c>
      <c r="AM27" s="1979">
        <v>0.71093038574269463</v>
      </c>
      <c r="AN27" s="1979">
        <v>0.70387703170623062</v>
      </c>
      <c r="AO27" s="1979">
        <v>0.71234333751833523</v>
      </c>
      <c r="AP27" s="1979">
        <v>0.7050022568144928</v>
      </c>
      <c r="AQ27" s="1979">
        <v>0.71375628929397594</v>
      </c>
      <c r="AR27" s="2000">
        <v>0.95937850775858358</v>
      </c>
      <c r="AS27" s="1998">
        <v>0.95695095709801625</v>
      </c>
      <c r="AT27" s="1998">
        <v>0.99162028901791566</v>
      </c>
      <c r="AU27" s="1998">
        <v>0.9964971738549897</v>
      </c>
      <c r="AV27" s="1998">
        <v>0.99374985105892488</v>
      </c>
      <c r="AW27" s="1998">
        <v>0.99915106301738055</v>
      </c>
      <c r="AX27" s="1998">
        <v>0.995879413099934</v>
      </c>
      <c r="AY27" s="1998">
        <v>1.0018049521797714</v>
      </c>
      <c r="AZ27" s="1998">
        <v>0.99800897514094344</v>
      </c>
      <c r="BA27" s="1998">
        <v>1.0044588413421625</v>
      </c>
      <c r="BB27" s="1999">
        <v>0.9599714136651547</v>
      </c>
      <c r="BC27" s="1979">
        <v>0.92456018441406407</v>
      </c>
      <c r="BD27" s="1979">
        <v>0.98926128108256539</v>
      </c>
      <c r="BE27" s="1979">
        <v>0.95878233443569272</v>
      </c>
      <c r="BF27" s="1979">
        <v>0.99145484128731709</v>
      </c>
      <c r="BG27" s="1979">
        <v>0.9614220156367338</v>
      </c>
      <c r="BH27" s="1979">
        <v>0.9936484014920689</v>
      </c>
      <c r="BI27" s="1979">
        <v>0.96406169683777521</v>
      </c>
      <c r="BJ27" s="1979">
        <v>0.99584196169682082</v>
      </c>
      <c r="BK27" s="1979">
        <v>0.96670137803881606</v>
      </c>
      <c r="BL27" s="2000">
        <v>0.87173171348158729</v>
      </c>
      <c r="BM27" s="1998">
        <v>0.86822292052583638</v>
      </c>
      <c r="BN27" s="2000">
        <v>0.87296166943690323</v>
      </c>
      <c r="BO27" s="1998">
        <v>0.8696984862935998</v>
      </c>
      <c r="BP27" s="2000">
        <v>0.87419162539221962</v>
      </c>
      <c r="BQ27" s="1998">
        <v>0.87117405206136311</v>
      </c>
      <c r="BR27" s="2000">
        <v>0.87542158134753545</v>
      </c>
      <c r="BS27" s="1998">
        <v>0.87264961782912642</v>
      </c>
      <c r="BT27" s="2000">
        <v>0.87665153730285139</v>
      </c>
      <c r="BU27" s="1998">
        <v>0.87412518359688973</v>
      </c>
      <c r="BV27" s="1999">
        <v>0.89927597239463331</v>
      </c>
      <c r="BW27" s="1979">
        <v>0.8916672292923562</v>
      </c>
      <c r="BX27" s="1979">
        <v>0.91126940184626881</v>
      </c>
      <c r="BY27" s="1979">
        <v>0.90853220424914627</v>
      </c>
      <c r="BZ27" s="1979">
        <v>0.93816100211361375</v>
      </c>
      <c r="CA27" s="1979">
        <v>0.9434364339518867</v>
      </c>
      <c r="CB27" s="1979">
        <v>0.96308767016078611</v>
      </c>
      <c r="CC27" s="1979">
        <v>0.97798841003390158</v>
      </c>
      <c r="CD27" s="1979">
        <v>0.99157591517852728</v>
      </c>
      <c r="CE27" s="1979">
        <v>1.0148692921484581</v>
      </c>
      <c r="CF27" s="2000">
        <v>0.73517741091707689</v>
      </c>
      <c r="CG27" s="1998">
        <v>0.78642575377269153</v>
      </c>
      <c r="CH27" s="2000">
        <v>0.73609624236843585</v>
      </c>
      <c r="CI27" s="1998">
        <v>0.78760395247530735</v>
      </c>
      <c r="CJ27" s="2000">
        <v>0.7370150738197947</v>
      </c>
      <c r="CK27" s="1998">
        <v>0.78878215117792327</v>
      </c>
      <c r="CL27" s="2000">
        <v>0.73793390527115343</v>
      </c>
      <c r="CM27" s="1998">
        <v>0.7899603498805392</v>
      </c>
      <c r="CN27" s="2000">
        <v>0.73885273672251239</v>
      </c>
      <c r="CO27" s="1998">
        <v>0.79113854858315524</v>
      </c>
      <c r="CP27" s="1999">
        <v>0.69892615437696592</v>
      </c>
      <c r="CQ27" s="1979">
        <v>0.75341541220786279</v>
      </c>
      <c r="CR27" s="1999">
        <v>0.70008334461282418</v>
      </c>
      <c r="CS27" s="1979">
        <v>0.75489583963979889</v>
      </c>
      <c r="CT27" s="1999">
        <v>0.70124053484868232</v>
      </c>
      <c r="CU27" s="1979">
        <v>0.75637626707173489</v>
      </c>
      <c r="CV27" s="1999">
        <v>0.70239772508454057</v>
      </c>
      <c r="CW27" s="1979">
        <v>0.75785669450367088</v>
      </c>
      <c r="CX27" s="1999">
        <v>0.70355491532039871</v>
      </c>
      <c r="CY27" s="1979">
        <v>0.75933712193560698</v>
      </c>
      <c r="CZ27" s="2000">
        <v>0.63576359054559894</v>
      </c>
      <c r="DA27" s="1998">
        <v>0.66477885417772431</v>
      </c>
      <c r="DB27" s="2000">
        <v>0.63671024846850888</v>
      </c>
      <c r="DC27" s="1998">
        <v>0.66597866549924511</v>
      </c>
      <c r="DD27" s="2000">
        <v>0.6376569063914187</v>
      </c>
      <c r="DE27" s="1998">
        <v>0.66717847682076603</v>
      </c>
      <c r="DF27" s="2000">
        <v>0.63860356431432863</v>
      </c>
      <c r="DG27" s="1998">
        <v>0.66837828814228706</v>
      </c>
      <c r="DH27" s="2000">
        <v>0.64049688016014827</v>
      </c>
      <c r="DI27" s="1998">
        <v>0.670777910785329</v>
      </c>
      <c r="DJ27" s="1999">
        <v>0.57084911947331951</v>
      </c>
      <c r="DK27" s="1979">
        <v>0.60650797018466551</v>
      </c>
      <c r="DL27" s="1999">
        <v>0.57189271075841286</v>
      </c>
      <c r="DM27" s="1979">
        <v>0.60784858559149013</v>
      </c>
      <c r="DN27" s="1999">
        <v>0.5729363020435061</v>
      </c>
      <c r="DO27" s="1979">
        <v>0.60918920099831475</v>
      </c>
      <c r="DP27" s="1999">
        <v>0.57397989332859944</v>
      </c>
      <c r="DQ27" s="1979">
        <v>0.61052981640513915</v>
      </c>
      <c r="DR27" s="1999">
        <v>0.57606707589878603</v>
      </c>
      <c r="DS27" s="1979">
        <v>0.61321104721878827</v>
      </c>
      <c r="GT27" s="1980"/>
      <c r="GU27" s="1980"/>
      <c r="GV27" s="1980"/>
      <c r="GW27" s="1980"/>
      <c r="GX27" s="1980"/>
      <c r="GY27" s="1980"/>
      <c r="GZ27" s="1980"/>
      <c r="HA27" s="1980"/>
      <c r="HB27" s="1980"/>
      <c r="HC27" s="1980"/>
      <c r="HD27" s="1980"/>
      <c r="HE27" s="1980"/>
      <c r="HF27" s="1980"/>
      <c r="HG27" s="1980"/>
      <c r="HH27" s="1980"/>
      <c r="HI27" s="1980"/>
      <c r="HJ27" s="1980"/>
      <c r="HK27" s="1980"/>
      <c r="HL27" s="1980"/>
      <c r="HM27" s="1980"/>
      <c r="HN27" s="1980"/>
      <c r="HO27" s="1980"/>
      <c r="HP27" s="1980"/>
      <c r="HQ27" s="1980"/>
      <c r="HR27" s="1980"/>
      <c r="HS27" s="1980"/>
      <c r="HT27" s="1980"/>
      <c r="HU27" s="1980"/>
      <c r="HV27" s="1980"/>
      <c r="HW27" s="1980"/>
      <c r="HX27" s="1980"/>
      <c r="HY27" s="1980"/>
      <c r="HZ27" s="1980"/>
      <c r="IA27" s="1980"/>
      <c r="IB27" s="1980"/>
      <c r="IC27" s="1980"/>
      <c r="ID27" s="1980"/>
      <c r="IE27" s="1980"/>
      <c r="IF27" s="1980"/>
      <c r="IG27" s="1980"/>
      <c r="IH27" s="1980"/>
      <c r="II27" s="1980"/>
      <c r="IJ27" s="1980"/>
      <c r="IK27" s="1980"/>
      <c r="IL27" s="1980"/>
      <c r="IM27" s="1980"/>
      <c r="IN27" s="1980"/>
      <c r="IO27" s="1980"/>
      <c r="IP27" s="1980"/>
      <c r="IQ27" s="1980"/>
      <c r="IR27" s="1980"/>
      <c r="IS27" s="1980"/>
      <c r="IT27" s="1980"/>
      <c r="IU27" s="1980"/>
      <c r="IV27" s="1980"/>
      <c r="IW27" s="1980"/>
      <c r="IX27" s="1980"/>
      <c r="IY27" s="1980"/>
      <c r="IZ27" s="1980"/>
      <c r="JA27" s="1980"/>
      <c r="JB27" s="1980"/>
      <c r="JC27" s="1980"/>
      <c r="JD27" s="1980"/>
      <c r="JE27" s="1980"/>
      <c r="JF27" s="1980"/>
      <c r="JG27" s="1980"/>
      <c r="JH27" s="1980"/>
      <c r="JI27" s="1980"/>
      <c r="JJ27" s="1980"/>
      <c r="JK27" s="1980"/>
      <c r="JL27" s="1980"/>
      <c r="JM27" s="1980"/>
      <c r="JN27" s="1980"/>
      <c r="JO27" s="1980"/>
      <c r="JP27" s="1980"/>
      <c r="JQ27" s="1980"/>
      <c r="JR27" s="1980"/>
      <c r="JS27" s="1980"/>
      <c r="JT27" s="1980"/>
      <c r="JU27" s="1980"/>
      <c r="JV27" s="1980"/>
      <c r="JW27" s="1980"/>
      <c r="JX27" s="1980"/>
      <c r="JY27" s="1980"/>
      <c r="JZ27" s="1980"/>
      <c r="KA27" s="1980"/>
      <c r="KB27" s="1980"/>
      <c r="KC27" s="1980"/>
      <c r="KD27" s="1980"/>
      <c r="KE27" s="1980"/>
      <c r="KF27" s="1980"/>
      <c r="KG27" s="1980"/>
      <c r="KH27" s="1980"/>
      <c r="KI27" s="1980"/>
      <c r="KJ27" s="1980"/>
      <c r="KK27" s="1980"/>
    </row>
    <row r="28" spans="1:297">
      <c r="A28" s="1997"/>
      <c r="B28" s="2">
        <v>3</v>
      </c>
      <c r="C28" s="2" t="s">
        <v>4329</v>
      </c>
      <c r="D28" s="1998">
        <v>0.94662027718434139</v>
      </c>
      <c r="E28" s="1998">
        <v>0.95080021504943524</v>
      </c>
      <c r="F28" s="1998">
        <v>0.96115832134212564</v>
      </c>
      <c r="G28" s="1998">
        <v>0.97035279054103218</v>
      </c>
      <c r="H28" s="1998">
        <v>0.99301346986881567</v>
      </c>
      <c r="I28" s="1998">
        <v>1.0099172128276439</v>
      </c>
      <c r="J28" s="1998">
        <v>1.0226151012200275</v>
      </c>
      <c r="K28" s="1998">
        <v>1.0491591764248365</v>
      </c>
      <c r="L28" s="1998">
        <v>1.0560238985552253</v>
      </c>
      <c r="M28" s="1998">
        <v>1.0907815244481851</v>
      </c>
      <c r="N28" s="1999">
        <v>0.84511822589891261</v>
      </c>
      <c r="O28" s="1979">
        <v>0.82769024362221133</v>
      </c>
      <c r="P28" s="1979">
        <v>0.85856686167154095</v>
      </c>
      <c r="Q28" s="1979">
        <v>0.84576217745031679</v>
      </c>
      <c r="R28" s="1979">
        <v>0.88253585755824482</v>
      </c>
      <c r="S28" s="1979">
        <v>0.87560033157599659</v>
      </c>
      <c r="T28" s="1979">
        <v>0.90419751970876217</v>
      </c>
      <c r="U28" s="1979">
        <v>0.90429687290129335</v>
      </c>
      <c r="V28" s="1979">
        <v>0.93329182687465806</v>
      </c>
      <c r="W28" s="1979">
        <v>0.93763449386958109</v>
      </c>
      <c r="X28" s="2000">
        <v>0.94759988112832461</v>
      </c>
      <c r="Y28" s="1998">
        <v>0.93898096926883379</v>
      </c>
      <c r="Z28" s="1998">
        <v>0.97827723771810959</v>
      </c>
      <c r="AA28" s="1998">
        <v>0.97745528209371968</v>
      </c>
      <c r="AB28" s="1998">
        <v>0.97977351802055546</v>
      </c>
      <c r="AC28" s="1998">
        <v>0.9793129194879816</v>
      </c>
      <c r="AD28" s="1998">
        <v>0.98126979832300143</v>
      </c>
      <c r="AE28" s="1998">
        <v>0.98117055688224342</v>
      </c>
      <c r="AF28" s="1998">
        <v>0.98276607862544718</v>
      </c>
      <c r="AG28" s="1998">
        <v>0.98302819427650556</v>
      </c>
      <c r="AH28" s="1999">
        <v>0.76516324582151107</v>
      </c>
      <c r="AI28" s="1979">
        <v>0.76028700203036459</v>
      </c>
      <c r="AJ28" s="1979">
        <v>0.78659144709215723</v>
      </c>
      <c r="AK28" s="1979">
        <v>0.78705213357054837</v>
      </c>
      <c r="AL28" s="1979">
        <v>0.78785732533895225</v>
      </c>
      <c r="AM28" s="1979">
        <v>0.78864170431814395</v>
      </c>
      <c r="AN28" s="1979">
        <v>0.78912320358574706</v>
      </c>
      <c r="AO28" s="1979">
        <v>0.79023127506573965</v>
      </c>
      <c r="AP28" s="1979">
        <v>0.79038908183254208</v>
      </c>
      <c r="AQ28" s="1979">
        <v>0.79182084581333545</v>
      </c>
      <c r="AR28" s="2000">
        <v>0.97228268322774913</v>
      </c>
      <c r="AS28" s="1998">
        <v>0.97043731055046478</v>
      </c>
      <c r="AT28" s="1998">
        <v>1.0054572250769866</v>
      </c>
      <c r="AU28" s="1998">
        <v>1.0105780512291791</v>
      </c>
      <c r="AV28" s="1998">
        <v>1.0079417141248308</v>
      </c>
      <c r="AW28" s="1998">
        <v>1.0136742552519684</v>
      </c>
      <c r="AX28" s="1998">
        <v>1.0104262031726747</v>
      </c>
      <c r="AY28" s="1998">
        <v>1.016770459274758</v>
      </c>
      <c r="AZ28" s="1998">
        <v>1.0129106922205193</v>
      </c>
      <c r="BA28" s="1998">
        <v>1.0198666632975473</v>
      </c>
      <c r="BB28" s="1999">
        <v>1.0121761773664562</v>
      </c>
      <c r="BC28" s="1979">
        <v>0.96922847230817499</v>
      </c>
      <c r="BD28" s="1979">
        <v>1.0414660447838671</v>
      </c>
      <c r="BE28" s="1979">
        <v>1.0034506223298036</v>
      </c>
      <c r="BF28" s="1979">
        <v>1.0436596049886191</v>
      </c>
      <c r="BG28" s="1979">
        <v>1.0060903035308448</v>
      </c>
      <c r="BH28" s="1979">
        <v>1.0458531651933707</v>
      </c>
      <c r="BI28" s="1979">
        <v>1.0087299847318858</v>
      </c>
      <c r="BJ28" s="1979">
        <v>1.0480467253981227</v>
      </c>
      <c r="BK28" s="1979">
        <v>1.0113696659329272</v>
      </c>
      <c r="BL28" s="2000">
        <v>0.9008669275425577</v>
      </c>
      <c r="BM28" s="1998">
        <v>0.89349034112123105</v>
      </c>
      <c r="BN28" s="2000">
        <v>0.90209688349787365</v>
      </c>
      <c r="BO28" s="1998">
        <v>0.89496590688899447</v>
      </c>
      <c r="BP28" s="2000">
        <v>0.90332683945318981</v>
      </c>
      <c r="BQ28" s="1998">
        <v>0.89644147265675755</v>
      </c>
      <c r="BR28" s="2000">
        <v>0.90455679540850575</v>
      </c>
      <c r="BS28" s="1998">
        <v>0.89791703842452097</v>
      </c>
      <c r="BT28" s="2000">
        <v>0.90578675136382181</v>
      </c>
      <c r="BU28" s="1998">
        <v>0.89939260419228417</v>
      </c>
      <c r="BV28" s="1999">
        <v>0.92774570378597987</v>
      </c>
      <c r="BW28" s="1979">
        <v>0.92093083141529763</v>
      </c>
      <c r="BX28" s="1979">
        <v>0.94018037468569093</v>
      </c>
      <c r="BY28" s="1979">
        <v>0.93841412490880183</v>
      </c>
      <c r="BZ28" s="1979">
        <v>0.9672249924873294</v>
      </c>
      <c r="CA28" s="1979">
        <v>0.97352029647928051</v>
      </c>
      <c r="CB28" s="1979">
        <v>0.99207635238771685</v>
      </c>
      <c r="CC28" s="1979">
        <v>1.0079656695200707</v>
      </c>
      <c r="CD28" s="1979">
        <v>1.0220156793889172</v>
      </c>
      <c r="CE28" s="1979">
        <v>1.0457380511787779</v>
      </c>
      <c r="CF28" s="2000">
        <v>0.7682466479730069</v>
      </c>
      <c r="CG28" s="1998">
        <v>0.8194659928186947</v>
      </c>
      <c r="CH28" s="2000">
        <v>0.76934924571463759</v>
      </c>
      <c r="CI28" s="1998">
        <v>0.82087983126183384</v>
      </c>
      <c r="CJ28" s="2000">
        <v>0.77045184345626816</v>
      </c>
      <c r="CK28" s="1998">
        <v>0.82229366970497308</v>
      </c>
      <c r="CL28" s="2000">
        <v>0.77155444119789895</v>
      </c>
      <c r="CM28" s="1998">
        <v>0.823707508148112</v>
      </c>
      <c r="CN28" s="2000">
        <v>0.77265703893952942</v>
      </c>
      <c r="CO28" s="1998">
        <v>0.82512134659125125</v>
      </c>
      <c r="CP28" s="1999">
        <v>0.73951577062085605</v>
      </c>
      <c r="CQ28" s="1979">
        <v>0.79790895016855901</v>
      </c>
      <c r="CR28" s="1999">
        <v>0.74067296085671419</v>
      </c>
      <c r="CS28" s="1979">
        <v>0.79938937760049511</v>
      </c>
      <c r="CT28" s="1999">
        <v>0.74183015109257255</v>
      </c>
      <c r="CU28" s="1979">
        <v>0.8008698050324311</v>
      </c>
      <c r="CV28" s="1999">
        <v>0.74298734132843069</v>
      </c>
      <c r="CW28" s="1979">
        <v>0.80235023246436721</v>
      </c>
      <c r="CX28" s="1999">
        <v>0.74414453156428884</v>
      </c>
      <c r="CY28" s="1979">
        <v>0.80383065989630309</v>
      </c>
      <c r="CZ28" s="2000">
        <v>0.65598129444024245</v>
      </c>
      <c r="DA28" s="1998">
        <v>0.68803919255120449</v>
      </c>
      <c r="DB28" s="2000">
        <v>0.65716461684387983</v>
      </c>
      <c r="DC28" s="1998">
        <v>0.68953895670310583</v>
      </c>
      <c r="DD28" s="2000">
        <v>0.65834793924751711</v>
      </c>
      <c r="DE28" s="1998">
        <v>0.69103872085500695</v>
      </c>
      <c r="DF28" s="2000">
        <v>0.65953126165115439</v>
      </c>
      <c r="DG28" s="1998">
        <v>0.69253848500690807</v>
      </c>
      <c r="DH28" s="2000">
        <v>0.66189790645842905</v>
      </c>
      <c r="DI28" s="1998">
        <v>0.69553801331071052</v>
      </c>
      <c r="DJ28" s="1999">
        <v>0.60057525773009279</v>
      </c>
      <c r="DK28" s="1979">
        <v>0.64116740339207778</v>
      </c>
      <c r="DL28" s="1999">
        <v>0.60196671277688385</v>
      </c>
      <c r="DM28" s="1979">
        <v>0.64295489060117716</v>
      </c>
      <c r="DN28" s="1999">
        <v>0.60335816782367491</v>
      </c>
      <c r="DO28" s="1979">
        <v>0.64474237781027655</v>
      </c>
      <c r="DP28" s="1999">
        <v>0.60474962287046607</v>
      </c>
      <c r="DQ28" s="1979">
        <v>0.64652986501937593</v>
      </c>
      <c r="DR28" s="1999">
        <v>0.60753253296404808</v>
      </c>
      <c r="DS28" s="1979">
        <v>0.65010483943757458</v>
      </c>
      <c r="GT28" s="1980"/>
      <c r="GU28" s="1980"/>
      <c r="GV28" s="1980"/>
      <c r="GW28" s="1980"/>
      <c r="GX28" s="1980"/>
      <c r="GY28" s="1980"/>
      <c r="GZ28" s="1980"/>
      <c r="HA28" s="1980"/>
      <c r="HB28" s="1980"/>
      <c r="HC28" s="1980"/>
      <c r="HD28" s="1980"/>
      <c r="HE28" s="1980"/>
      <c r="HF28" s="1980"/>
      <c r="HG28" s="1980"/>
      <c r="HH28" s="1980"/>
      <c r="HI28" s="1980"/>
      <c r="HJ28" s="1980"/>
      <c r="HK28" s="1980"/>
      <c r="HL28" s="1980"/>
      <c r="HM28" s="1980"/>
      <c r="HN28" s="1980"/>
      <c r="HO28" s="1980"/>
      <c r="HP28" s="1980"/>
      <c r="HQ28" s="1980"/>
      <c r="HR28" s="1980"/>
      <c r="HS28" s="1980"/>
      <c r="HT28" s="1980"/>
      <c r="HU28" s="1980"/>
      <c r="HV28" s="1980"/>
      <c r="HW28" s="1980"/>
      <c r="HX28" s="1980"/>
      <c r="HY28" s="1980"/>
      <c r="HZ28" s="1980"/>
      <c r="IA28" s="1980"/>
      <c r="IB28" s="1980"/>
      <c r="IC28" s="1980"/>
      <c r="ID28" s="1980"/>
      <c r="IE28" s="1980"/>
      <c r="IF28" s="1980"/>
      <c r="IG28" s="1980"/>
      <c r="IH28" s="1980"/>
      <c r="II28" s="1980"/>
      <c r="IJ28" s="1980"/>
      <c r="IK28" s="1980"/>
      <c r="IL28" s="1980"/>
      <c r="IM28" s="1980"/>
      <c r="IN28" s="1980"/>
      <c r="IO28" s="1980"/>
      <c r="IP28" s="1980"/>
      <c r="IQ28" s="1980"/>
      <c r="IR28" s="1980"/>
      <c r="IS28" s="1980"/>
      <c r="IT28" s="1980"/>
      <c r="IU28" s="1980"/>
      <c r="IV28" s="1980"/>
      <c r="IW28" s="1980"/>
      <c r="IX28" s="1980"/>
      <c r="IY28" s="1980"/>
      <c r="IZ28" s="1980"/>
      <c r="JA28" s="1980"/>
      <c r="JB28" s="1980"/>
      <c r="JC28" s="1980"/>
      <c r="JD28" s="1980"/>
      <c r="JE28" s="1980"/>
      <c r="JF28" s="1980"/>
      <c r="JG28" s="1980"/>
      <c r="JH28" s="1980"/>
      <c r="JI28" s="1980"/>
      <c r="JJ28" s="1980"/>
      <c r="JK28" s="1980"/>
      <c r="JL28" s="1980"/>
      <c r="JM28" s="1980"/>
      <c r="JN28" s="1980"/>
      <c r="JO28" s="1980"/>
      <c r="JP28" s="1980"/>
      <c r="JQ28" s="1980"/>
      <c r="JR28" s="1980"/>
      <c r="JS28" s="1980"/>
      <c r="JT28" s="1980"/>
      <c r="JU28" s="1980"/>
      <c r="JV28" s="1980"/>
      <c r="JW28" s="1980"/>
      <c r="JX28" s="1980"/>
      <c r="JY28" s="1980"/>
      <c r="JZ28" s="1980"/>
      <c r="KA28" s="1980"/>
      <c r="KB28" s="1980"/>
      <c r="KC28" s="1980"/>
      <c r="KD28" s="1980"/>
      <c r="KE28" s="1980"/>
      <c r="KF28" s="1980"/>
      <c r="KG28" s="1980"/>
      <c r="KH28" s="1980"/>
      <c r="KI28" s="1980"/>
      <c r="KJ28" s="1980"/>
      <c r="KK28" s="1980"/>
    </row>
    <row r="29" spans="1:297">
      <c r="A29" s="1997"/>
      <c r="B29" s="2">
        <v>4</v>
      </c>
      <c r="C29" s="2" t="s">
        <v>4330</v>
      </c>
      <c r="D29" s="1998">
        <v>0.98746255489554891</v>
      </c>
      <c r="E29" s="1998">
        <v>0.98352953933649712</v>
      </c>
      <c r="F29" s="1998">
        <v>1.0025149111898046</v>
      </c>
      <c r="G29" s="1998">
        <v>1.0037782443696548</v>
      </c>
      <c r="H29" s="1998">
        <v>1.0346272157847303</v>
      </c>
      <c r="I29" s="1998">
        <v>1.0436907314270472</v>
      </c>
      <c r="J29" s="1998">
        <v>1.0644860032041781</v>
      </c>
      <c r="K29" s="1998">
        <v>1.0832807597950203</v>
      </c>
      <c r="L29" s="1998">
        <v>1.0981519566076119</v>
      </c>
      <c r="M29" s="1998">
        <v>1.1252511725891494</v>
      </c>
      <c r="N29" s="1999">
        <v>0.87556239155506244</v>
      </c>
      <c r="O29" s="1979">
        <v>0.85525730995173876</v>
      </c>
      <c r="P29" s="1979">
        <v>0.88927296126240696</v>
      </c>
      <c r="Q29" s="1979">
        <v>0.87368331073774641</v>
      </c>
      <c r="R29" s="1979">
        <v>0.91337292411646898</v>
      </c>
      <c r="S29" s="1979">
        <v>0.90369849834237714</v>
      </c>
      <c r="T29" s="1979">
        <v>0.93516555323434447</v>
      </c>
      <c r="U29" s="1979">
        <v>0.9325720731466246</v>
      </c>
      <c r="V29" s="1979">
        <v>0.96439082736759829</v>
      </c>
      <c r="W29" s="1979">
        <v>0.96608672759386349</v>
      </c>
      <c r="X29" s="2000">
        <v>0.99129487477663292</v>
      </c>
      <c r="Y29" s="1998">
        <v>0.97933976934164635</v>
      </c>
      <c r="Z29" s="1998">
        <v>1.0224091510305544</v>
      </c>
      <c r="AA29" s="1998">
        <v>1.0180915139659861</v>
      </c>
      <c r="AB29" s="1998">
        <v>1.0240716846999389</v>
      </c>
      <c r="AC29" s="1998">
        <v>1.020155555515166</v>
      </c>
      <c r="AD29" s="1998">
        <v>1.025734218369323</v>
      </c>
      <c r="AE29" s="1998">
        <v>1.022219597064346</v>
      </c>
      <c r="AF29" s="1998">
        <v>1.0273967520387077</v>
      </c>
      <c r="AG29" s="1998">
        <v>1.0242836386135259</v>
      </c>
      <c r="AH29" s="1999">
        <v>0.78014028065916508</v>
      </c>
      <c r="AI29" s="1979">
        <v>0.77636390448630321</v>
      </c>
      <c r="AJ29" s="1979">
        <v>0.80267740603485338</v>
      </c>
      <c r="AK29" s="1979">
        <v>0.80384122691082205</v>
      </c>
      <c r="AL29" s="1979">
        <v>0.80436524369724649</v>
      </c>
      <c r="AM29" s="1979">
        <v>0.80596065457428301</v>
      </c>
      <c r="AN29" s="1979">
        <v>0.80605308135963993</v>
      </c>
      <c r="AO29" s="1979">
        <v>0.80808008223774397</v>
      </c>
      <c r="AP29" s="1979">
        <v>0.80774091902203338</v>
      </c>
      <c r="AQ29" s="1979">
        <v>0.81019950990120482</v>
      </c>
      <c r="AR29" s="2000">
        <v>1.014654221657795</v>
      </c>
      <c r="AS29" s="1998">
        <v>1.0086002470360886</v>
      </c>
      <c r="AT29" s="1998">
        <v>1.0478287635070325</v>
      </c>
      <c r="AU29" s="1998">
        <v>1.0487409877148033</v>
      </c>
      <c r="AV29" s="1998">
        <v>1.0503132525548766</v>
      </c>
      <c r="AW29" s="1998">
        <v>1.0518371917375926</v>
      </c>
      <c r="AX29" s="1998">
        <v>1.0527977416027205</v>
      </c>
      <c r="AY29" s="1998">
        <v>1.0549333957603819</v>
      </c>
      <c r="AZ29" s="1998">
        <v>1.0552822306505649</v>
      </c>
      <c r="BA29" s="1998">
        <v>1.0580295997831712</v>
      </c>
      <c r="BB29" s="1999">
        <v>1.0507838674728365</v>
      </c>
      <c r="BC29" s="1979">
        <v>1.0063473056128935</v>
      </c>
      <c r="BD29" s="1979">
        <v>1.0812266854807493</v>
      </c>
      <c r="BE29" s="1979">
        <v>1.0412790649017194</v>
      </c>
      <c r="BF29" s="1979">
        <v>1.0838589577264515</v>
      </c>
      <c r="BG29" s="1979">
        <v>1.0444466823429688</v>
      </c>
      <c r="BH29" s="1979">
        <v>1.0864912299721541</v>
      </c>
      <c r="BI29" s="1979">
        <v>1.0476142997842182</v>
      </c>
      <c r="BJ29" s="1979">
        <v>1.089123502217856</v>
      </c>
      <c r="BK29" s="1979">
        <v>1.0507819172254675</v>
      </c>
      <c r="BL29" s="2000">
        <v>0.92558018873271652</v>
      </c>
      <c r="BM29" s="1998">
        <v>0.91979531188466224</v>
      </c>
      <c r="BN29" s="2000">
        <v>0.92722013000647119</v>
      </c>
      <c r="BO29" s="1998">
        <v>0.92176273290834676</v>
      </c>
      <c r="BP29" s="2000">
        <v>0.92886007128022596</v>
      </c>
      <c r="BQ29" s="1998">
        <v>0.92373015393203095</v>
      </c>
      <c r="BR29" s="2000">
        <v>0.93050001255398063</v>
      </c>
      <c r="BS29" s="1998">
        <v>0.92569757495571536</v>
      </c>
      <c r="BT29" s="2000">
        <v>0.9321399538277354</v>
      </c>
      <c r="BU29" s="1998">
        <v>0.92766499597939978</v>
      </c>
      <c r="BV29" s="1999">
        <v>0.95308994140241188</v>
      </c>
      <c r="BW29" s="1979">
        <v>0.94519602377109213</v>
      </c>
      <c r="BX29" s="1979">
        <v>0.96576368578397942</v>
      </c>
      <c r="BY29" s="1979">
        <v>0.96301773961769077</v>
      </c>
      <c r="BZ29" s="1979">
        <v>0.99292784032654591</v>
      </c>
      <c r="CA29" s="1979">
        <v>0.99829312236471657</v>
      </c>
      <c r="CB29" s="1979">
        <v>1.0178987369678616</v>
      </c>
      <c r="CC29" s="1979">
        <v>1.0329077065820538</v>
      </c>
      <c r="CD29" s="1979">
        <v>1.0479576007099902</v>
      </c>
      <c r="CE29" s="1979">
        <v>1.070849299417308</v>
      </c>
      <c r="CF29" s="2000">
        <v>0.79215639745668076</v>
      </c>
      <c r="CG29" s="1998">
        <v>0.84469047668157948</v>
      </c>
      <c r="CH29" s="2000">
        <v>0.79353464463371914</v>
      </c>
      <c r="CI29" s="1998">
        <v>0.84645777473550354</v>
      </c>
      <c r="CJ29" s="2000">
        <v>0.79491289181075753</v>
      </c>
      <c r="CK29" s="1998">
        <v>0.84822507278942738</v>
      </c>
      <c r="CL29" s="2000">
        <v>0.79629113898779569</v>
      </c>
      <c r="CM29" s="1998">
        <v>0.84999237084335133</v>
      </c>
      <c r="CN29" s="2000">
        <v>0.79766938616483418</v>
      </c>
      <c r="CO29" s="1998">
        <v>0.85175966889727517</v>
      </c>
      <c r="CP29" s="1999">
        <v>0.77527080440310214</v>
      </c>
      <c r="CQ29" s="1979">
        <v>0.83423521946087809</v>
      </c>
      <c r="CR29" s="1999">
        <v>0.77671729219792496</v>
      </c>
      <c r="CS29" s="1979">
        <v>0.83608575375079808</v>
      </c>
      <c r="CT29" s="1999">
        <v>0.77816377999274766</v>
      </c>
      <c r="CU29" s="1979">
        <v>0.83793628804071818</v>
      </c>
      <c r="CV29" s="1999">
        <v>0.77961026778757048</v>
      </c>
      <c r="CW29" s="1979">
        <v>0.83978682233063817</v>
      </c>
      <c r="CX29" s="1999">
        <v>0.78105675558239307</v>
      </c>
      <c r="CY29" s="1979">
        <v>0.84163735662055816</v>
      </c>
      <c r="CZ29" s="2000">
        <v>0.66793959164603589</v>
      </c>
      <c r="DA29" s="1998">
        <v>0.6987072258583984</v>
      </c>
      <c r="DB29" s="2000">
        <v>0.66912291404967317</v>
      </c>
      <c r="DC29" s="1998">
        <v>0.70020699001029962</v>
      </c>
      <c r="DD29" s="2000">
        <v>0.67030623645331067</v>
      </c>
      <c r="DE29" s="1998">
        <v>0.70170675416220085</v>
      </c>
      <c r="DF29" s="2000">
        <v>0.67148955885694783</v>
      </c>
      <c r="DG29" s="1998">
        <v>0.70320651831410197</v>
      </c>
      <c r="DH29" s="2000">
        <v>0.67385620366422239</v>
      </c>
      <c r="DI29" s="1998">
        <v>0.70620604661790443</v>
      </c>
      <c r="DJ29" s="1999">
        <v>0.67777177620617368</v>
      </c>
      <c r="DK29" s="1979">
        <v>0.7056167448982259</v>
      </c>
      <c r="DL29" s="1999">
        <v>0.67881536749126714</v>
      </c>
      <c r="DM29" s="1979">
        <v>0.70695736030505052</v>
      </c>
      <c r="DN29" s="1999">
        <v>0.67985895877636027</v>
      </c>
      <c r="DO29" s="1979">
        <v>0.70829797571187492</v>
      </c>
      <c r="DP29" s="1999">
        <v>0.68090255006145362</v>
      </c>
      <c r="DQ29" s="1979">
        <v>0.70963859111869942</v>
      </c>
      <c r="DR29" s="1999">
        <v>0.68298973263164009</v>
      </c>
      <c r="DS29" s="1979">
        <v>0.71231982193234855</v>
      </c>
      <c r="GT29" s="1980"/>
      <c r="GU29" s="1980"/>
      <c r="GV29" s="1980"/>
      <c r="GW29" s="1980"/>
      <c r="GX29" s="1980"/>
      <c r="GY29" s="1980"/>
      <c r="GZ29" s="1980"/>
      <c r="HA29" s="1980"/>
      <c r="HB29" s="1980"/>
      <c r="HC29" s="1980"/>
      <c r="HD29" s="1980"/>
      <c r="HE29" s="1980"/>
      <c r="HF29" s="1980"/>
      <c r="HG29" s="1980"/>
      <c r="HH29" s="1980"/>
      <c r="HI29" s="1980"/>
      <c r="HJ29" s="1980"/>
      <c r="HK29" s="1980"/>
      <c r="HL29" s="1980"/>
      <c r="HM29" s="1980"/>
      <c r="HN29" s="1980"/>
      <c r="HO29" s="1980"/>
      <c r="HP29" s="1980"/>
      <c r="HQ29" s="1980"/>
      <c r="HR29" s="1980"/>
      <c r="HS29" s="1980"/>
      <c r="HT29" s="1980"/>
      <c r="HU29" s="1980"/>
      <c r="HV29" s="1980"/>
      <c r="HW29" s="1980"/>
      <c r="HX29" s="1980"/>
      <c r="HY29" s="1980"/>
      <c r="HZ29" s="1980"/>
      <c r="IA29" s="1980"/>
      <c r="IB29" s="1980"/>
      <c r="IC29" s="1980"/>
      <c r="ID29" s="1980"/>
      <c r="IE29" s="1980"/>
      <c r="IF29" s="1980"/>
      <c r="IG29" s="1980"/>
      <c r="IH29" s="1980"/>
      <c r="II29" s="1980"/>
      <c r="IJ29" s="1980"/>
      <c r="IK29" s="1980"/>
      <c r="IL29" s="1980"/>
      <c r="IM29" s="1980"/>
      <c r="IN29" s="1980"/>
      <c r="IO29" s="1980"/>
      <c r="IP29" s="1980"/>
      <c r="IQ29" s="1980"/>
      <c r="IR29" s="1980"/>
      <c r="IS29" s="1980"/>
      <c r="IT29" s="1980"/>
      <c r="IU29" s="1980"/>
      <c r="IV29" s="1980"/>
      <c r="IW29" s="1980"/>
      <c r="IX29" s="1980"/>
      <c r="IY29" s="1980"/>
      <c r="IZ29" s="1980"/>
      <c r="JA29" s="1980"/>
      <c r="JB29" s="1980"/>
      <c r="JC29" s="1980"/>
      <c r="JD29" s="1980"/>
      <c r="JE29" s="1980"/>
      <c r="JF29" s="1980"/>
      <c r="JG29" s="1980"/>
      <c r="JH29" s="1980"/>
      <c r="JI29" s="1980"/>
      <c r="JJ29" s="1980"/>
      <c r="JK29" s="1980"/>
      <c r="JL29" s="1980"/>
      <c r="JM29" s="1980"/>
      <c r="JN29" s="1980"/>
      <c r="JO29" s="1980"/>
      <c r="JP29" s="1980"/>
      <c r="JQ29" s="1980"/>
      <c r="JR29" s="1980"/>
      <c r="JS29" s="1980"/>
      <c r="JT29" s="1980"/>
      <c r="JU29" s="1980"/>
      <c r="JV29" s="1980"/>
      <c r="JW29" s="1980"/>
      <c r="JX29" s="1980"/>
      <c r="JY29" s="1980"/>
      <c r="JZ29" s="1980"/>
      <c r="KA29" s="1980"/>
      <c r="KB29" s="1980"/>
      <c r="KC29" s="1980"/>
      <c r="KD29" s="1980"/>
      <c r="KE29" s="1980"/>
      <c r="KF29" s="1980"/>
      <c r="KG29" s="1980"/>
      <c r="KH29" s="1980"/>
      <c r="KI29" s="1980"/>
      <c r="KJ29" s="1980"/>
      <c r="KK29" s="1980"/>
    </row>
    <row r="30" spans="1:297">
      <c r="A30" s="1997"/>
      <c r="B30" s="2">
        <v>5</v>
      </c>
      <c r="C30" s="2" t="s">
        <v>4331</v>
      </c>
      <c r="D30" s="1998">
        <v>0.99810188821841117</v>
      </c>
      <c r="E30" s="1998">
        <v>0.98832918527640634</v>
      </c>
      <c r="F30" s="1998">
        <v>1.0137132794436143</v>
      </c>
      <c r="G30" s="1998">
        <v>1.0093345528547393</v>
      </c>
      <c r="H30" s="1998">
        <v>1.0461051015040139</v>
      </c>
      <c r="I30" s="1998">
        <v>1.049625371184719</v>
      </c>
      <c r="J30" s="1998">
        <v>1.0762434063889352</v>
      </c>
      <c r="K30" s="1998">
        <v>1.0895937308252794</v>
      </c>
      <c r="L30" s="1998">
        <v>1.1101888772578428</v>
      </c>
      <c r="M30" s="1998">
        <v>1.1319424748919962</v>
      </c>
      <c r="N30" s="1999">
        <v>0.89585850199249584</v>
      </c>
      <c r="O30" s="1979">
        <v>0.87363535417142402</v>
      </c>
      <c r="P30" s="1979">
        <v>0.90974369432298452</v>
      </c>
      <c r="Q30" s="1979">
        <v>0.8922973995960326</v>
      </c>
      <c r="R30" s="1979">
        <v>0.93393096848861834</v>
      </c>
      <c r="S30" s="1979">
        <v>0.92243060951996403</v>
      </c>
      <c r="T30" s="1979">
        <v>0.95581090891806586</v>
      </c>
      <c r="U30" s="1979">
        <v>0.9514222066435124</v>
      </c>
      <c r="V30" s="1979">
        <v>0.98512349436289171</v>
      </c>
      <c r="W30" s="1979">
        <v>0.98505488341005198</v>
      </c>
      <c r="X30" s="2000">
        <v>1.0425849192886427</v>
      </c>
      <c r="Y30" s="1998">
        <v>1.025486022617458</v>
      </c>
      <c r="Z30" s="1998">
        <v>1.0736991955425639</v>
      </c>
      <c r="AA30" s="1998">
        <v>1.0642377672417975</v>
      </c>
      <c r="AB30" s="1998">
        <v>1.0753617292119484</v>
      </c>
      <c r="AC30" s="1998">
        <v>1.0663018087909775</v>
      </c>
      <c r="AD30" s="1998">
        <v>1.0770242628813325</v>
      </c>
      <c r="AE30" s="1998">
        <v>1.0683658503401574</v>
      </c>
      <c r="AF30" s="1998">
        <v>1.078686796550717</v>
      </c>
      <c r="AG30" s="1998">
        <v>1.0704298918893373</v>
      </c>
      <c r="AH30" s="1999">
        <v>0.80038852576580255</v>
      </c>
      <c r="AI30" s="1979">
        <v>0.79477097645238248</v>
      </c>
      <c r="AJ30" s="1979">
        <v>0.82292565114149063</v>
      </c>
      <c r="AK30" s="1979">
        <v>0.82224829887690132</v>
      </c>
      <c r="AL30" s="1979">
        <v>0.82461348880388396</v>
      </c>
      <c r="AM30" s="1979">
        <v>0.82436772654036228</v>
      </c>
      <c r="AN30" s="1979">
        <v>0.82630132646627719</v>
      </c>
      <c r="AO30" s="1979">
        <v>0.82648715420382324</v>
      </c>
      <c r="AP30" s="1979">
        <v>0.82798916412867052</v>
      </c>
      <c r="AQ30" s="1979">
        <v>0.82860658186728409</v>
      </c>
      <c r="AR30" s="2000">
        <v>1.0525087428904896</v>
      </c>
      <c r="AS30" s="1998">
        <v>1.0426891943566245</v>
      </c>
      <c r="AT30" s="1998">
        <v>1.0856832847397273</v>
      </c>
      <c r="AU30" s="1998">
        <v>1.082829935035339</v>
      </c>
      <c r="AV30" s="1998">
        <v>1.0881677737875712</v>
      </c>
      <c r="AW30" s="1998">
        <v>1.0859261390581283</v>
      </c>
      <c r="AX30" s="1998">
        <v>1.0906522628354154</v>
      </c>
      <c r="AY30" s="1998">
        <v>1.0890223430809178</v>
      </c>
      <c r="AZ30" s="1998">
        <v>1.0931367518832595</v>
      </c>
      <c r="BA30" s="1998">
        <v>1.0921185471037071</v>
      </c>
      <c r="BB30" s="1999">
        <v>1.0826061373965039</v>
      </c>
      <c r="BC30" s="1979">
        <v>1.0394574528965994</v>
      </c>
      <c r="BD30" s="1979">
        <v>1.1147783812901706</v>
      </c>
      <c r="BE30" s="1979">
        <v>1.0754536260862211</v>
      </c>
      <c r="BF30" s="1979">
        <v>1.1180687215972984</v>
      </c>
      <c r="BG30" s="1979">
        <v>1.0794131478877824</v>
      </c>
      <c r="BH30" s="1979">
        <v>1.1213590619044262</v>
      </c>
      <c r="BI30" s="1979">
        <v>1.0833726696893444</v>
      </c>
      <c r="BJ30" s="1979">
        <v>1.1246494022115541</v>
      </c>
      <c r="BK30" s="1979">
        <v>1.087332191490906</v>
      </c>
      <c r="BL30" s="2000">
        <v>0.94179698565491332</v>
      </c>
      <c r="BM30" s="1998">
        <v>0.93401865522742566</v>
      </c>
      <c r="BN30" s="2000">
        <v>0.94343692692866798</v>
      </c>
      <c r="BO30" s="1998">
        <v>0.93598607625111008</v>
      </c>
      <c r="BP30" s="2000">
        <v>0.94507686820242276</v>
      </c>
      <c r="BQ30" s="1998">
        <v>0.93795349727479438</v>
      </c>
      <c r="BR30" s="2000">
        <v>0.94671680947617753</v>
      </c>
      <c r="BS30" s="1998">
        <v>0.93992091829847879</v>
      </c>
      <c r="BT30" s="2000">
        <v>0.94835675074993231</v>
      </c>
      <c r="BU30" s="1998">
        <v>0.9418883393221632</v>
      </c>
      <c r="BV30" s="1999">
        <v>0.99056559237046504</v>
      </c>
      <c r="BW30" s="1979">
        <v>0.98453428633432738</v>
      </c>
      <c r="BX30" s="1979">
        <v>1.003789406925703</v>
      </c>
      <c r="BY30" s="1979">
        <v>1.0031262793200502</v>
      </c>
      <c r="BZ30" s="1979">
        <v>1.0311384589687793</v>
      </c>
      <c r="CA30" s="1979">
        <v>1.0386438441024795</v>
      </c>
      <c r="CB30" s="1979">
        <v>1.0559898188691665</v>
      </c>
      <c r="CC30" s="1979">
        <v>1.0730892171432693</v>
      </c>
      <c r="CD30" s="1979">
        <v>1.087964332710692</v>
      </c>
      <c r="CE30" s="1979">
        <v>1.1121924022491434</v>
      </c>
      <c r="CF30" s="2000">
        <v>0.81202844538127084</v>
      </c>
      <c r="CG30" s="1998">
        <v>0.86382675165913092</v>
      </c>
      <c r="CH30" s="2000">
        <v>0.81340669255830889</v>
      </c>
      <c r="CI30" s="1998">
        <v>0.86559404971305476</v>
      </c>
      <c r="CJ30" s="2000">
        <v>0.81478493973534738</v>
      </c>
      <c r="CK30" s="1998">
        <v>0.86736134776697871</v>
      </c>
      <c r="CL30" s="2000">
        <v>0.81616318691238554</v>
      </c>
      <c r="CM30" s="1998">
        <v>0.86912864582090266</v>
      </c>
      <c r="CN30" s="2000">
        <v>0.81754143408942381</v>
      </c>
      <c r="CO30" s="1998">
        <v>0.87089594387482649</v>
      </c>
      <c r="CP30" s="1999">
        <v>0.81589191689014706</v>
      </c>
      <c r="CQ30" s="1979">
        <v>0.87686870973113917</v>
      </c>
      <c r="CR30" s="1999">
        <v>0.81782056728324404</v>
      </c>
      <c r="CS30" s="1979">
        <v>0.87933608878436587</v>
      </c>
      <c r="CT30" s="1999">
        <v>0.81974921767634101</v>
      </c>
      <c r="CU30" s="1979">
        <v>0.88180346783759256</v>
      </c>
      <c r="CV30" s="1999">
        <v>0.82167786806943788</v>
      </c>
      <c r="CW30" s="1979">
        <v>0.88427084689081914</v>
      </c>
      <c r="CX30" s="1999">
        <v>0.82360651846253485</v>
      </c>
      <c r="CY30" s="1979">
        <v>0.88673822594404594</v>
      </c>
      <c r="CZ30" s="2000">
        <v>0.7016357648037751</v>
      </c>
      <c r="DA30" s="1998">
        <v>0.73747445648086563</v>
      </c>
      <c r="DB30" s="2000">
        <v>0.7032135280086248</v>
      </c>
      <c r="DC30" s="1998">
        <v>0.73947414201673389</v>
      </c>
      <c r="DD30" s="2000">
        <v>0.7047912912134745</v>
      </c>
      <c r="DE30" s="1998">
        <v>0.74147382755260216</v>
      </c>
      <c r="DF30" s="2000">
        <v>0.70636905441832409</v>
      </c>
      <c r="DG30" s="1998">
        <v>0.74347351308847032</v>
      </c>
      <c r="DH30" s="2000">
        <v>0.70952458082802383</v>
      </c>
      <c r="DI30" s="1998">
        <v>0.74747288416020696</v>
      </c>
      <c r="DJ30" s="1999">
        <v>0.81299063173691966</v>
      </c>
      <c r="DK30" s="1979">
        <v>0.83112064480922099</v>
      </c>
      <c r="DL30" s="1999">
        <v>0.81403422302201289</v>
      </c>
      <c r="DM30" s="1979">
        <v>0.83246126021604538</v>
      </c>
      <c r="DN30" s="1999">
        <v>0.81507781430710613</v>
      </c>
      <c r="DO30" s="1979">
        <v>0.83380187562287</v>
      </c>
      <c r="DP30" s="1999">
        <v>0.81612140559219937</v>
      </c>
      <c r="DQ30" s="1979">
        <v>0.83514249102969429</v>
      </c>
      <c r="DR30" s="1999">
        <v>0.81820858816238584</v>
      </c>
      <c r="DS30" s="1979">
        <v>0.83782372184334353</v>
      </c>
      <c r="GT30" s="1980"/>
      <c r="GU30" s="1980"/>
      <c r="GV30" s="1980"/>
      <c r="GW30" s="1980"/>
      <c r="GX30" s="1980"/>
      <c r="GY30" s="1980"/>
      <c r="GZ30" s="1980"/>
      <c r="HA30" s="1980"/>
      <c r="HB30" s="1980"/>
      <c r="HC30" s="1980"/>
      <c r="HD30" s="1980"/>
      <c r="HE30" s="1980"/>
      <c r="HF30" s="1980"/>
      <c r="HG30" s="1980"/>
      <c r="HH30" s="1980"/>
      <c r="HI30" s="1980"/>
      <c r="HJ30" s="1980"/>
      <c r="HK30" s="1980"/>
      <c r="HL30" s="1980"/>
      <c r="HM30" s="1980"/>
      <c r="HN30" s="1980"/>
      <c r="HO30" s="1980"/>
      <c r="HP30" s="1980"/>
      <c r="HQ30" s="1980"/>
      <c r="HR30" s="1980"/>
      <c r="HS30" s="1980"/>
      <c r="HT30" s="1980"/>
      <c r="HU30" s="1980"/>
      <c r="HV30" s="1980"/>
      <c r="HW30" s="1980"/>
      <c r="HX30" s="1980"/>
      <c r="HY30" s="1980"/>
      <c r="HZ30" s="1980"/>
      <c r="IA30" s="1980"/>
      <c r="IB30" s="1980"/>
      <c r="IC30" s="1980"/>
      <c r="ID30" s="1980"/>
      <c r="IE30" s="1980"/>
      <c r="IF30" s="1980"/>
      <c r="IG30" s="1980"/>
      <c r="IH30" s="1980"/>
      <c r="II30" s="1980"/>
      <c r="IJ30" s="1980"/>
      <c r="IK30" s="1980"/>
      <c r="IL30" s="1980"/>
      <c r="IM30" s="1980"/>
      <c r="IN30" s="1980"/>
      <c r="IO30" s="1980"/>
      <c r="IP30" s="1980"/>
      <c r="IQ30" s="1980"/>
      <c r="IR30" s="1980"/>
      <c r="IS30" s="1980"/>
      <c r="IT30" s="1980"/>
      <c r="IU30" s="1980"/>
      <c r="IV30" s="1980"/>
      <c r="IW30" s="1980"/>
      <c r="IX30" s="1980"/>
      <c r="IY30" s="1980"/>
      <c r="IZ30" s="1980"/>
      <c r="JA30" s="1980"/>
      <c r="JB30" s="1980"/>
      <c r="JC30" s="1980"/>
      <c r="JD30" s="1980"/>
      <c r="JE30" s="1980"/>
      <c r="JF30" s="1980"/>
      <c r="JG30" s="1980"/>
      <c r="JH30" s="1980"/>
      <c r="JI30" s="1980"/>
      <c r="JJ30" s="1980"/>
      <c r="JK30" s="1980"/>
      <c r="JL30" s="1980"/>
      <c r="JM30" s="1980"/>
      <c r="JN30" s="1980"/>
      <c r="JO30" s="1980"/>
      <c r="JP30" s="1980"/>
      <c r="JQ30" s="1980"/>
      <c r="JR30" s="1980"/>
      <c r="JS30" s="1980"/>
      <c r="JT30" s="1980"/>
      <c r="JU30" s="1980"/>
      <c r="JV30" s="1980"/>
      <c r="JW30" s="1980"/>
      <c r="JX30" s="1980"/>
      <c r="JY30" s="1980"/>
      <c r="JZ30" s="1980"/>
      <c r="KA30" s="1980"/>
      <c r="KB30" s="1980"/>
      <c r="KC30" s="1980"/>
      <c r="KD30" s="1980"/>
      <c r="KE30" s="1980"/>
      <c r="KF30" s="1980"/>
      <c r="KG30" s="1980"/>
      <c r="KH30" s="1980"/>
      <c r="KI30" s="1980"/>
      <c r="KJ30" s="1980"/>
      <c r="KK30" s="1980"/>
    </row>
    <row r="31" spans="1:297">
      <c r="A31" s="1997"/>
      <c r="B31" s="2">
        <v>6</v>
      </c>
      <c r="C31" s="2" t="s">
        <v>4332</v>
      </c>
      <c r="D31" s="1998">
        <v>1.0713737065063351</v>
      </c>
      <c r="E31" s="1998">
        <v>1.0581540954329072</v>
      </c>
      <c r="F31" s="1998">
        <v>1.0876395433618009</v>
      </c>
      <c r="G31" s="1998">
        <v>1.0800367011887051</v>
      </c>
      <c r="H31" s="1998">
        <v>1.120262235201759</v>
      </c>
      <c r="I31" s="1998">
        <v>1.1206200221463956</v>
      </c>
      <c r="J31" s="1998">
        <v>1.1503059833212177</v>
      </c>
      <c r="K31" s="1998">
        <v>1.1604603977221721</v>
      </c>
      <c r="L31" s="1998">
        <v>1.1863324208440822</v>
      </c>
      <c r="M31" s="1998">
        <v>1.2040413773961942</v>
      </c>
      <c r="N31" s="1999">
        <v>0.91950263369608631</v>
      </c>
      <c r="O31" s="1979">
        <v>0.90389941448535427</v>
      </c>
      <c r="P31" s="1979">
        <v>0.93385284931256751</v>
      </c>
      <c r="Q31" s="1979">
        <v>0.92318031074000018</v>
      </c>
      <c r="R31" s="1979">
        <v>0.95816290552644556</v>
      </c>
      <c r="S31" s="1979">
        <v>0.95345676259484835</v>
      </c>
      <c r="T31" s="1979">
        <v>0.97979502294021881</v>
      </c>
      <c r="U31" s="1979">
        <v>0.98211336707472507</v>
      </c>
      <c r="V31" s="1979">
        <v>1.0113373337078302</v>
      </c>
      <c r="W31" s="1979">
        <v>1.0169580777452569</v>
      </c>
      <c r="X31" s="2000">
        <v>1.0638135353753815</v>
      </c>
      <c r="Y31" s="1998">
        <v>1.0462490906716109</v>
      </c>
      <c r="Z31" s="1998">
        <v>1.0954739612094733</v>
      </c>
      <c r="AA31" s="1998">
        <v>1.0853476250452678</v>
      </c>
      <c r="AB31" s="1998">
        <v>1.0973443115875308</v>
      </c>
      <c r="AC31" s="1998">
        <v>1.0876696717880951</v>
      </c>
      <c r="AD31" s="1998">
        <v>1.0992146619655883</v>
      </c>
      <c r="AE31" s="1998">
        <v>1.0899917185309227</v>
      </c>
      <c r="AF31" s="1998">
        <v>1.1010850123436455</v>
      </c>
      <c r="AG31" s="1998">
        <v>1.09231376527375</v>
      </c>
      <c r="AH31" s="1999">
        <v>0.83309248877900233</v>
      </c>
      <c r="AI31" s="1979">
        <v>0.82672797306195822</v>
      </c>
      <c r="AJ31" s="1979">
        <v>0.85651675343872424</v>
      </c>
      <c r="AK31" s="1979">
        <v>0.85477504819394534</v>
      </c>
      <c r="AL31" s="1979">
        <v>0.85854215863359618</v>
      </c>
      <c r="AM31" s="1979">
        <v>0.85731836139009843</v>
      </c>
      <c r="AN31" s="1979">
        <v>0.86056756382846822</v>
      </c>
      <c r="AO31" s="1979">
        <v>0.85986167458625151</v>
      </c>
      <c r="AP31" s="1979">
        <v>0.86259296902334015</v>
      </c>
      <c r="AQ31" s="1979">
        <v>0.86240498778240449</v>
      </c>
      <c r="AR31" s="2000">
        <v>1.0692105014156663</v>
      </c>
      <c r="AS31" s="1998">
        <v>1.0608032065949347</v>
      </c>
      <c r="AT31" s="1998">
        <v>1.103690908090772</v>
      </c>
      <c r="AU31" s="1998">
        <v>1.1017762807640867</v>
      </c>
      <c r="AV31" s="1998">
        <v>1.1066722949481846</v>
      </c>
      <c r="AW31" s="1998">
        <v>1.1054917255914338</v>
      </c>
      <c r="AX31" s="1998">
        <v>1.1096536818055975</v>
      </c>
      <c r="AY31" s="1998">
        <v>1.1092071704187811</v>
      </c>
      <c r="AZ31" s="1998">
        <v>1.1126350686630107</v>
      </c>
      <c r="BA31" s="1998">
        <v>1.1129226152461287</v>
      </c>
      <c r="BB31" s="1999">
        <v>1.1587140992049936</v>
      </c>
      <c r="BC31" s="1979">
        <v>1.1139483056062423</v>
      </c>
      <c r="BD31" s="1979">
        <v>1.193768719574916</v>
      </c>
      <c r="BE31" s="1979">
        <v>1.1517185019638567</v>
      </c>
      <c r="BF31" s="1979">
        <v>1.1981558399844199</v>
      </c>
      <c r="BG31" s="1979">
        <v>1.1569978643659391</v>
      </c>
      <c r="BH31" s="1979">
        <v>1.2025429603939235</v>
      </c>
      <c r="BI31" s="1979">
        <v>1.1622772267680215</v>
      </c>
      <c r="BJ31" s="1979">
        <v>1.2069300808034273</v>
      </c>
      <c r="BK31" s="1979">
        <v>1.1675565891701036</v>
      </c>
      <c r="BL31" s="2000">
        <v>0.96341002123712693</v>
      </c>
      <c r="BM31" s="1998">
        <v>0.95297722310617583</v>
      </c>
      <c r="BN31" s="2000">
        <v>0.96504996251088171</v>
      </c>
      <c r="BO31" s="1998">
        <v>0.95494464412986013</v>
      </c>
      <c r="BP31" s="2000">
        <v>0.96668990378463626</v>
      </c>
      <c r="BQ31" s="1998">
        <v>0.95691206515354454</v>
      </c>
      <c r="BR31" s="2000">
        <v>0.96832984505839115</v>
      </c>
      <c r="BS31" s="1998">
        <v>0.95887948617722896</v>
      </c>
      <c r="BT31" s="2000">
        <v>0.96996978633214603</v>
      </c>
      <c r="BU31" s="1998">
        <v>0.96084690720091337</v>
      </c>
      <c r="BV31" s="1999">
        <v>1.0233567869675118</v>
      </c>
      <c r="BW31" s="1979">
        <v>1.0189552660771584</v>
      </c>
      <c r="BX31" s="1979">
        <v>1.0370619129247112</v>
      </c>
      <c r="BY31" s="1979">
        <v>1.0382212515596145</v>
      </c>
      <c r="BZ31" s="1979">
        <v>1.0645727502807334</v>
      </c>
      <c r="CA31" s="1979">
        <v>1.0739507256230219</v>
      </c>
      <c r="CB31" s="1979">
        <v>1.0893195155328086</v>
      </c>
      <c r="CC31" s="1979">
        <v>1.1082480388843332</v>
      </c>
      <c r="CD31" s="1979">
        <v>1.1229702232113066</v>
      </c>
      <c r="CE31" s="1979">
        <v>1.1483676172269996</v>
      </c>
      <c r="CF31" s="2000">
        <v>0.85117276430853561</v>
      </c>
      <c r="CG31" s="1998">
        <v>0.90552031907254893</v>
      </c>
      <c r="CH31" s="2000">
        <v>0.85301042721125342</v>
      </c>
      <c r="CI31" s="1998">
        <v>0.90787671647778068</v>
      </c>
      <c r="CJ31" s="2000">
        <v>0.854848090113971</v>
      </c>
      <c r="CK31" s="1998">
        <v>0.91023311388301253</v>
      </c>
      <c r="CL31" s="2000">
        <v>0.8566857530166887</v>
      </c>
      <c r="CM31" s="1998">
        <v>0.91258951128824461</v>
      </c>
      <c r="CN31" s="2000">
        <v>0.8585234159194064</v>
      </c>
      <c r="CO31" s="1998">
        <v>0.91494590869347625</v>
      </c>
      <c r="CP31" s="1999">
        <v>0.85572801431341183</v>
      </c>
      <c r="CQ31" s="1979">
        <v>0.9206723428595216</v>
      </c>
      <c r="CR31" s="1999">
        <v>0.85765666470650892</v>
      </c>
      <c r="CS31" s="1979">
        <v>0.92313972191274818</v>
      </c>
      <c r="CT31" s="1999">
        <v>0.85958531509960601</v>
      </c>
      <c r="CU31" s="1979">
        <v>0.92560710096597476</v>
      </c>
      <c r="CV31" s="1999">
        <v>0.86151396549270298</v>
      </c>
      <c r="CW31" s="1979">
        <v>0.92807448001920156</v>
      </c>
      <c r="CX31" s="1999">
        <v>0.86344261588579996</v>
      </c>
      <c r="CY31" s="1979">
        <v>0.93054185907242815</v>
      </c>
      <c r="CZ31" s="2000">
        <v>0.74418417864598818</v>
      </c>
      <c r="DA31" s="1998">
        <v>0.77633756060189685</v>
      </c>
      <c r="DB31" s="2000">
        <v>0.74576194185083788</v>
      </c>
      <c r="DC31" s="1998">
        <v>0.77833724613776523</v>
      </c>
      <c r="DD31" s="2000">
        <v>0.7473397050556877</v>
      </c>
      <c r="DE31" s="1998">
        <v>0.78033693167363338</v>
      </c>
      <c r="DF31" s="2000">
        <v>0.7489174682605374</v>
      </c>
      <c r="DG31" s="1998">
        <v>0.78233661720950154</v>
      </c>
      <c r="DH31" s="2000">
        <v>0.75207299467023692</v>
      </c>
      <c r="DI31" s="1998">
        <v>0.78633598828123819</v>
      </c>
      <c r="DJ31" s="1999">
        <v>0.85651164606762908</v>
      </c>
      <c r="DK31" s="1979">
        <v>0.87046862695351901</v>
      </c>
      <c r="DL31" s="1999">
        <v>0.85755523735272221</v>
      </c>
      <c r="DM31" s="1979">
        <v>0.87180924236034363</v>
      </c>
      <c r="DN31" s="1999">
        <v>0.85859882863781567</v>
      </c>
      <c r="DO31" s="1979">
        <v>0.87314985776716814</v>
      </c>
      <c r="DP31" s="1999">
        <v>0.85964241992290891</v>
      </c>
      <c r="DQ31" s="1979">
        <v>0.87449047317399264</v>
      </c>
      <c r="DR31" s="1999">
        <v>0.86172960249309538</v>
      </c>
      <c r="DS31" s="1979">
        <v>0.87717170398764155</v>
      </c>
      <c r="GT31" s="1980"/>
      <c r="GU31" s="1980"/>
      <c r="GV31" s="1980"/>
      <c r="GW31" s="1980"/>
      <c r="GX31" s="1980"/>
      <c r="GY31" s="1980"/>
      <c r="GZ31" s="1980"/>
      <c r="HA31" s="1980"/>
      <c r="HB31" s="1980"/>
      <c r="HC31" s="1980"/>
      <c r="HD31" s="1980"/>
      <c r="HE31" s="1980"/>
      <c r="HF31" s="1980"/>
      <c r="HG31" s="1980"/>
      <c r="HH31" s="1980"/>
      <c r="HI31" s="1980"/>
      <c r="HJ31" s="1980"/>
      <c r="HK31" s="1980"/>
      <c r="HL31" s="1980"/>
      <c r="HM31" s="1980"/>
      <c r="HN31" s="1980"/>
      <c r="HO31" s="1980"/>
      <c r="HP31" s="1980"/>
      <c r="HQ31" s="1980"/>
      <c r="HR31" s="1980"/>
      <c r="HS31" s="1980"/>
      <c r="HT31" s="1980"/>
      <c r="HU31" s="1980"/>
      <c r="HV31" s="1980"/>
      <c r="HW31" s="1980"/>
      <c r="HX31" s="1980"/>
      <c r="HY31" s="1980"/>
      <c r="HZ31" s="1980"/>
      <c r="IA31" s="1980"/>
      <c r="IB31" s="1980"/>
      <c r="IC31" s="1980"/>
      <c r="ID31" s="1980"/>
      <c r="IE31" s="1980"/>
      <c r="IF31" s="1980"/>
      <c r="IG31" s="1980"/>
      <c r="IH31" s="1980"/>
      <c r="II31" s="1980"/>
      <c r="IJ31" s="1980"/>
      <c r="IK31" s="1980"/>
      <c r="IL31" s="1980"/>
      <c r="IM31" s="1980"/>
      <c r="IN31" s="1980"/>
      <c r="IO31" s="1980"/>
      <c r="IP31" s="1980"/>
      <c r="IQ31" s="1980"/>
      <c r="IR31" s="1980"/>
      <c r="IS31" s="1980"/>
      <c r="IT31" s="1980"/>
      <c r="IU31" s="1980"/>
      <c r="IV31" s="1980"/>
      <c r="IW31" s="1980"/>
      <c r="IX31" s="1980"/>
      <c r="IY31" s="1980"/>
      <c r="IZ31" s="1980"/>
      <c r="JA31" s="1980"/>
      <c r="JB31" s="1980"/>
      <c r="JC31" s="1980"/>
      <c r="JD31" s="1980"/>
      <c r="JE31" s="1980"/>
      <c r="JF31" s="1980"/>
      <c r="JG31" s="1980"/>
      <c r="JH31" s="1980"/>
      <c r="JI31" s="1980"/>
      <c r="JJ31" s="1980"/>
      <c r="JK31" s="1980"/>
      <c r="JL31" s="1980"/>
      <c r="JM31" s="1980"/>
      <c r="JN31" s="1980"/>
      <c r="JO31" s="1980"/>
      <c r="JP31" s="1980"/>
      <c r="JQ31" s="1980"/>
      <c r="JR31" s="1980"/>
      <c r="JS31" s="1980"/>
      <c r="JT31" s="1980"/>
      <c r="JU31" s="1980"/>
      <c r="JV31" s="1980"/>
      <c r="JW31" s="1980"/>
      <c r="JX31" s="1980"/>
      <c r="JY31" s="1980"/>
      <c r="JZ31" s="1980"/>
      <c r="KA31" s="1980"/>
      <c r="KB31" s="1980"/>
      <c r="KC31" s="1980"/>
      <c r="KD31" s="1980"/>
      <c r="KE31" s="1980"/>
      <c r="KF31" s="1980"/>
      <c r="KG31" s="1980"/>
      <c r="KH31" s="1980"/>
      <c r="KI31" s="1980"/>
      <c r="KJ31" s="1980"/>
      <c r="KK31" s="1980"/>
    </row>
    <row r="32" spans="1:297">
      <c r="A32" s="1997"/>
      <c r="B32" s="2">
        <v>7</v>
      </c>
      <c r="C32" s="2" t="s">
        <v>4333</v>
      </c>
      <c r="D32" s="1998">
        <v>1.0716454601284309</v>
      </c>
      <c r="E32" s="1998">
        <v>1.0555956892690233</v>
      </c>
      <c r="F32" s="1998">
        <v>1.0879992981099207</v>
      </c>
      <c r="G32" s="1998">
        <v>1.0775974059288269</v>
      </c>
      <c r="H32" s="1998">
        <v>1.1206659905128911</v>
      </c>
      <c r="I32" s="1998">
        <v>1.1182402823385202</v>
      </c>
      <c r="J32" s="1998">
        <v>1.1507537391953617</v>
      </c>
      <c r="K32" s="1998">
        <v>1.1581402133662997</v>
      </c>
      <c r="L32" s="1998">
        <v>1.1868241772812389</v>
      </c>
      <c r="M32" s="1998">
        <v>1.2017807484923244</v>
      </c>
      <c r="N32" s="1999">
        <v>0.95065683236519571</v>
      </c>
      <c r="O32" s="1979">
        <v>0.93275017209589828</v>
      </c>
      <c r="P32" s="1979">
        <v>0.96532807138988119</v>
      </c>
      <c r="Q32" s="1979">
        <v>0.95246500899928599</v>
      </c>
      <c r="R32" s="1979">
        <v>0.98979863930786138</v>
      </c>
      <c r="S32" s="1979">
        <v>0.9829584311785049</v>
      </c>
      <c r="T32" s="1979">
        <v>1.0115912684257367</v>
      </c>
      <c r="U32" s="1979">
        <v>1.0118320059827526</v>
      </c>
      <c r="V32" s="1979">
        <v>1.04329409089745</v>
      </c>
      <c r="W32" s="1979">
        <v>1.0468936869776551</v>
      </c>
      <c r="X32" s="2000">
        <v>1.1369273372779956</v>
      </c>
      <c r="Y32" s="1998">
        <v>1.1176140902247875</v>
      </c>
      <c r="Z32" s="1998">
        <v>1.1702262118525995</v>
      </c>
      <c r="AA32" s="1998">
        <v>1.157752993846396</v>
      </c>
      <c r="AB32" s="1998">
        <v>1.1727200123566761</v>
      </c>
      <c r="AC32" s="1998">
        <v>1.1608490561701656</v>
      </c>
      <c r="AD32" s="1998">
        <v>1.1752138128607525</v>
      </c>
      <c r="AE32" s="1998">
        <v>1.1639451184939353</v>
      </c>
      <c r="AF32" s="1998">
        <v>1.1777076133648294</v>
      </c>
      <c r="AG32" s="1998">
        <v>1.1670411808177052</v>
      </c>
      <c r="AH32" s="1999">
        <v>0.86360800956405792</v>
      </c>
      <c r="AI32" s="1979">
        <v>0.85802441640858962</v>
      </c>
      <c r="AJ32" s="1979">
        <v>0.88836298314983075</v>
      </c>
      <c r="AK32" s="1979">
        <v>0.88692612060177867</v>
      </c>
      <c r="AL32" s="1979">
        <v>0.8908947396434207</v>
      </c>
      <c r="AM32" s="1979">
        <v>0.89010526209697005</v>
      </c>
      <c r="AN32" s="1979">
        <v>0.89342649613701053</v>
      </c>
      <c r="AO32" s="1979">
        <v>0.89328440359216132</v>
      </c>
      <c r="AP32" s="1979">
        <v>0.8959582526306008</v>
      </c>
      <c r="AQ32" s="1979">
        <v>0.89646354508735293</v>
      </c>
      <c r="AR32" s="2000">
        <v>1.1392027921063208</v>
      </c>
      <c r="AS32" s="1998">
        <v>1.1291196718795107</v>
      </c>
      <c r="AT32" s="1998">
        <v>1.1756419960202278</v>
      </c>
      <c r="AU32" s="1998">
        <v>1.1713412462843185</v>
      </c>
      <c r="AV32" s="1998">
        <v>1.1793687295919939</v>
      </c>
      <c r="AW32" s="1998">
        <v>1.1759855523185025</v>
      </c>
      <c r="AX32" s="1998">
        <v>1.18309546316376</v>
      </c>
      <c r="AY32" s="1998">
        <v>1.1806298583526869</v>
      </c>
      <c r="AZ32" s="1998">
        <v>1.1868221967355264</v>
      </c>
      <c r="BA32" s="1998">
        <v>1.1852741643868707</v>
      </c>
      <c r="BB32" s="1999">
        <v>1.2179361350518687</v>
      </c>
      <c r="BC32" s="1979">
        <v>1.1635093881709446</v>
      </c>
      <c r="BD32" s="1979">
        <v>1.2529907554217914</v>
      </c>
      <c r="BE32" s="1979">
        <v>1.2012795845285593</v>
      </c>
      <c r="BF32" s="1979">
        <v>1.2573778758312948</v>
      </c>
      <c r="BG32" s="1979">
        <v>1.2065589469306415</v>
      </c>
      <c r="BH32" s="1979">
        <v>1.2617649962407986</v>
      </c>
      <c r="BI32" s="1979">
        <v>1.2118383093327236</v>
      </c>
      <c r="BJ32" s="1979">
        <v>1.2661521166503027</v>
      </c>
      <c r="BK32" s="1979">
        <v>1.217117671734806</v>
      </c>
      <c r="BL32" s="2000">
        <v>0.98627591855348529</v>
      </c>
      <c r="BM32" s="1998">
        <v>0.97303202203133676</v>
      </c>
      <c r="BN32" s="2000">
        <v>0.98791585982723995</v>
      </c>
      <c r="BO32" s="1998">
        <v>0.97499944305502118</v>
      </c>
      <c r="BP32" s="2000">
        <v>0.98955580110099484</v>
      </c>
      <c r="BQ32" s="1998">
        <v>0.97696686407870537</v>
      </c>
      <c r="BR32" s="2000">
        <v>0.9911957423747495</v>
      </c>
      <c r="BS32" s="1998">
        <v>0.97893428510238978</v>
      </c>
      <c r="BT32" s="2000">
        <v>0.99283568364850439</v>
      </c>
      <c r="BU32" s="1998">
        <v>0.98090170612607419</v>
      </c>
      <c r="BV32" s="1999">
        <v>1.0768121878806856</v>
      </c>
      <c r="BW32" s="1979">
        <v>1.0733483927901428</v>
      </c>
      <c r="BX32" s="1979">
        <v>1.0908833951069781</v>
      </c>
      <c r="BY32" s="1979">
        <v>1.0931325875007747</v>
      </c>
      <c r="BZ32" s="1979">
        <v>1.1185772730975463</v>
      </c>
      <c r="CA32" s="1979">
        <v>1.1291211661782699</v>
      </c>
      <c r="CB32" s="1979">
        <v>1.1435070789841679</v>
      </c>
      <c r="CC32" s="1979">
        <v>1.1636775840536688</v>
      </c>
      <c r="CD32" s="1979">
        <v>1.1773408272972121</v>
      </c>
      <c r="CE32" s="1979">
        <v>1.2040562670104231</v>
      </c>
      <c r="CF32" s="2000">
        <v>0.90867311744572987</v>
      </c>
      <c r="CG32" s="1998">
        <v>0.96188742693103169</v>
      </c>
      <c r="CH32" s="2000">
        <v>0.91051078034844768</v>
      </c>
      <c r="CI32" s="1998">
        <v>0.96424382433626354</v>
      </c>
      <c r="CJ32" s="2000">
        <v>0.91234844325116538</v>
      </c>
      <c r="CK32" s="1998">
        <v>0.96660022174149551</v>
      </c>
      <c r="CL32" s="2000">
        <v>0.91418610615388318</v>
      </c>
      <c r="CM32" s="1998">
        <v>0.96895661914672737</v>
      </c>
      <c r="CN32" s="2000">
        <v>0.91602376905660066</v>
      </c>
      <c r="CO32" s="1998">
        <v>0.97131301655195934</v>
      </c>
      <c r="CP32" s="1999">
        <v>0.86106563854409679</v>
      </c>
      <c r="CQ32" s="1979">
        <v>0.92178158130484833</v>
      </c>
      <c r="CR32" s="1999">
        <v>0.86395861413374253</v>
      </c>
      <c r="CS32" s="1979">
        <v>0.92548264988468842</v>
      </c>
      <c r="CT32" s="1999">
        <v>0.86685158972338794</v>
      </c>
      <c r="CU32" s="1979">
        <v>0.92918371846452841</v>
      </c>
      <c r="CV32" s="1999">
        <v>0.86974456531303346</v>
      </c>
      <c r="CW32" s="1979">
        <v>0.9328847870443685</v>
      </c>
      <c r="CX32" s="1999">
        <v>0.87263754090267887</v>
      </c>
      <c r="CY32" s="1979">
        <v>0.93658585562420837</v>
      </c>
      <c r="CZ32" s="2000">
        <v>0.87182942017262777</v>
      </c>
      <c r="DA32" s="1998">
        <v>0.89292687296499051</v>
      </c>
      <c r="DB32" s="2000">
        <v>0.87340718337747747</v>
      </c>
      <c r="DC32" s="1998">
        <v>0.89492655850085878</v>
      </c>
      <c r="DD32" s="2000">
        <v>0.87498494658232728</v>
      </c>
      <c r="DE32" s="1998">
        <v>0.89692624403672705</v>
      </c>
      <c r="DF32" s="2000">
        <v>0.8765627097871771</v>
      </c>
      <c r="DG32" s="1998">
        <v>0.89892592957259521</v>
      </c>
      <c r="DH32" s="2000">
        <v>0.8797182361968765</v>
      </c>
      <c r="DI32" s="1998">
        <v>0.90292530064433185</v>
      </c>
      <c r="DJ32" s="1999">
        <v>0.90207497925460467</v>
      </c>
      <c r="DK32" s="1979">
        <v>0.91944407930672756</v>
      </c>
      <c r="DL32" s="1999">
        <v>0.90346643430139562</v>
      </c>
      <c r="DM32" s="1979">
        <v>0.92123156651582694</v>
      </c>
      <c r="DN32" s="1999">
        <v>0.90485788934818678</v>
      </c>
      <c r="DO32" s="1979">
        <v>0.92301905372492588</v>
      </c>
      <c r="DP32" s="1999">
        <v>0.90624934439497773</v>
      </c>
      <c r="DQ32" s="1979">
        <v>0.92480654093402526</v>
      </c>
      <c r="DR32" s="1999">
        <v>0.90903225448855973</v>
      </c>
      <c r="DS32" s="1979">
        <v>0.92838151535222424</v>
      </c>
      <c r="GT32" s="1980"/>
      <c r="GU32" s="1980"/>
      <c r="GV32" s="1980"/>
      <c r="GW32" s="1980"/>
      <c r="GX32" s="1980"/>
      <c r="GY32" s="1980"/>
      <c r="GZ32" s="1980"/>
      <c r="HA32" s="1980"/>
      <c r="HB32" s="1980"/>
      <c r="HC32" s="1980"/>
      <c r="HD32" s="1980"/>
      <c r="HE32" s="1980"/>
      <c r="HF32" s="1980"/>
      <c r="HG32" s="1980"/>
      <c r="HH32" s="1980"/>
      <c r="HI32" s="1980"/>
      <c r="HJ32" s="1980"/>
      <c r="HK32" s="1980"/>
      <c r="HL32" s="1980"/>
      <c r="HM32" s="1980"/>
      <c r="HN32" s="1980"/>
      <c r="HO32" s="1980"/>
      <c r="HP32" s="1980"/>
      <c r="HQ32" s="1980"/>
      <c r="HR32" s="1980"/>
      <c r="HS32" s="1980"/>
      <c r="HT32" s="1980"/>
      <c r="HU32" s="1980"/>
      <c r="HV32" s="1980"/>
      <c r="HW32" s="1980"/>
      <c r="HX32" s="1980"/>
      <c r="HY32" s="1980"/>
      <c r="HZ32" s="1980"/>
      <c r="IA32" s="1980"/>
      <c r="IB32" s="1980"/>
      <c r="IC32" s="1980"/>
      <c r="ID32" s="1980"/>
      <c r="IE32" s="1980"/>
      <c r="IF32" s="1980"/>
      <c r="IG32" s="1980"/>
      <c r="IH32" s="1980"/>
      <c r="II32" s="1980"/>
      <c r="IJ32" s="1980"/>
      <c r="IK32" s="1980"/>
      <c r="IL32" s="1980"/>
      <c r="IM32" s="1980"/>
      <c r="IN32" s="1980"/>
      <c r="IO32" s="1980"/>
      <c r="IP32" s="1980"/>
      <c r="IQ32" s="1980"/>
      <c r="IR32" s="1980"/>
      <c r="IS32" s="1980"/>
      <c r="IT32" s="1980"/>
      <c r="IU32" s="1980"/>
      <c r="IV32" s="1980"/>
      <c r="IW32" s="1980"/>
      <c r="IX32" s="1980"/>
      <c r="IY32" s="1980"/>
      <c r="IZ32" s="1980"/>
      <c r="JA32" s="1980"/>
      <c r="JB32" s="1980"/>
      <c r="JC32" s="1980"/>
      <c r="JD32" s="1980"/>
      <c r="JE32" s="1980"/>
      <c r="JF32" s="1980"/>
      <c r="JG32" s="1980"/>
      <c r="JH32" s="1980"/>
      <c r="JI32" s="1980"/>
      <c r="JJ32" s="1980"/>
      <c r="JK32" s="1980"/>
      <c r="JL32" s="1980"/>
      <c r="JM32" s="1980"/>
      <c r="JN32" s="1980"/>
      <c r="JO32" s="1980"/>
      <c r="JP32" s="1980"/>
      <c r="JQ32" s="1980"/>
      <c r="JR32" s="1980"/>
      <c r="JS32" s="1980"/>
      <c r="JT32" s="1980"/>
      <c r="JU32" s="1980"/>
      <c r="JV32" s="1980"/>
      <c r="JW32" s="1980"/>
      <c r="JX32" s="1980"/>
      <c r="JY32" s="1980"/>
      <c r="JZ32" s="1980"/>
      <c r="KA32" s="1980"/>
      <c r="KB32" s="1980"/>
      <c r="KC32" s="1980"/>
      <c r="KD32" s="1980"/>
      <c r="KE32" s="1980"/>
      <c r="KF32" s="1980"/>
      <c r="KG32" s="1980"/>
      <c r="KH32" s="1980"/>
      <c r="KI32" s="1980"/>
      <c r="KJ32" s="1980"/>
      <c r="KK32" s="1980"/>
    </row>
    <row r="33" spans="1:297">
      <c r="A33" s="1997"/>
      <c r="B33" s="2">
        <v>8</v>
      </c>
      <c r="C33" s="2" t="s">
        <v>4334</v>
      </c>
      <c r="D33" s="1998">
        <v>1.1620076799569821</v>
      </c>
      <c r="E33" s="1998">
        <v>1.1343618157040933</v>
      </c>
      <c r="F33" s="1998">
        <v>1.178842774096418</v>
      </c>
      <c r="G33" s="1998">
        <v>1.1570149201201783</v>
      </c>
      <c r="H33" s="1998">
        <v>1.2117500945783615</v>
      </c>
      <c r="I33" s="1998">
        <v>1.1979834904080118</v>
      </c>
      <c r="J33" s="1998">
        <v>1.2420784713398056</v>
      </c>
      <c r="K33" s="1998">
        <v>1.2382091153139321</v>
      </c>
      <c r="L33" s="1998">
        <v>1.2783895375046554</v>
      </c>
      <c r="M33" s="1998">
        <v>1.2821753443180974</v>
      </c>
      <c r="N33" s="1999">
        <v>0.96777728105706573</v>
      </c>
      <c r="O33" s="1979">
        <v>0.94834856752169161</v>
      </c>
      <c r="P33" s="1979">
        <v>0.98232152181037358</v>
      </c>
      <c r="Q33" s="1979">
        <v>0.9678917355970057</v>
      </c>
      <c r="R33" s="1979">
        <v>1.0067285905926651</v>
      </c>
      <c r="S33" s="1979">
        <v>0.99829932336218785</v>
      </c>
      <c r="T33" s="1979">
        <v>1.0284577205748517</v>
      </c>
      <c r="U33" s="1979">
        <v>1.0270870637523988</v>
      </c>
      <c r="V33" s="1979">
        <v>1.0600970439108763</v>
      </c>
      <c r="W33" s="1979">
        <v>1.0620629103332644</v>
      </c>
      <c r="X33" s="2000">
        <v>1.1934103828350646</v>
      </c>
      <c r="Y33" s="1998">
        <v>1.173408510086541</v>
      </c>
      <c r="Z33" s="1998">
        <v>1.2280200164020785</v>
      </c>
      <c r="AA33" s="1998">
        <v>1.2143797091065107</v>
      </c>
      <c r="AB33" s="1998">
        <v>1.2310125770069702</v>
      </c>
      <c r="AC33" s="1998">
        <v>1.2180949838950343</v>
      </c>
      <c r="AD33" s="1998">
        <v>1.2340051376118621</v>
      </c>
      <c r="AE33" s="1998">
        <v>1.2218102586835582</v>
      </c>
      <c r="AF33" s="1998">
        <v>1.2369976982167541</v>
      </c>
      <c r="AG33" s="1998">
        <v>1.2255255334720818</v>
      </c>
      <c r="AH33" s="1999">
        <v>0.93338817763255111</v>
      </c>
      <c r="AI33" s="1979">
        <v>0.92256625067077191</v>
      </c>
      <c r="AJ33" s="1979">
        <v>0.95814315121832361</v>
      </c>
      <c r="AK33" s="1979">
        <v>0.95146795486396096</v>
      </c>
      <c r="AL33" s="1979">
        <v>0.96067490771191366</v>
      </c>
      <c r="AM33" s="1979">
        <v>0.95464709635915235</v>
      </c>
      <c r="AN33" s="1979">
        <v>0.9632066642055036</v>
      </c>
      <c r="AO33" s="1979">
        <v>0.95782623785434373</v>
      </c>
      <c r="AP33" s="1979">
        <v>0.96573842069909366</v>
      </c>
      <c r="AQ33" s="1979">
        <v>0.961005379349535</v>
      </c>
      <c r="AR33" s="2000">
        <v>1.2406657043867308</v>
      </c>
      <c r="AS33" s="1998">
        <v>1.2220197754174078</v>
      </c>
      <c r="AT33" s="1998">
        <v>1.2771049083006374</v>
      </c>
      <c r="AU33" s="1998">
        <v>1.2642413498222154</v>
      </c>
      <c r="AV33" s="1998">
        <v>1.2808316418724037</v>
      </c>
      <c r="AW33" s="1998">
        <v>1.2688856558563997</v>
      </c>
      <c r="AX33" s="1998">
        <v>1.2845583754441698</v>
      </c>
      <c r="AY33" s="1998">
        <v>1.2735299618905838</v>
      </c>
      <c r="AZ33" s="1998">
        <v>1.288285109015936</v>
      </c>
      <c r="BA33" s="1998">
        <v>1.2781742679247676</v>
      </c>
      <c r="BB33" s="1999">
        <v>1.2984781038036193</v>
      </c>
      <c r="BC33" s="1979">
        <v>1.2309124604589401</v>
      </c>
      <c r="BD33" s="1979">
        <v>1.3335327241735417</v>
      </c>
      <c r="BE33" s="1979">
        <v>1.2686826568165548</v>
      </c>
      <c r="BF33" s="1979">
        <v>1.3379198445830456</v>
      </c>
      <c r="BG33" s="1979">
        <v>1.2739620192186372</v>
      </c>
      <c r="BH33" s="1979">
        <v>1.3423069649925494</v>
      </c>
      <c r="BI33" s="1979">
        <v>1.2792413816207193</v>
      </c>
      <c r="BJ33" s="1979">
        <v>1.346694085402053</v>
      </c>
      <c r="BK33" s="1979">
        <v>1.2845207440228017</v>
      </c>
      <c r="BL33" s="2000">
        <v>1.0074230298913542</v>
      </c>
      <c r="BM33" s="1998">
        <v>0.99158091650299018</v>
      </c>
      <c r="BN33" s="2000">
        <v>1.0090629711651089</v>
      </c>
      <c r="BO33" s="1998">
        <v>0.99354833752667437</v>
      </c>
      <c r="BP33" s="2000">
        <v>1.0107029124388636</v>
      </c>
      <c r="BQ33" s="1998">
        <v>0.99551575855035879</v>
      </c>
      <c r="BR33" s="2000">
        <v>1.0123428537126187</v>
      </c>
      <c r="BS33" s="1998">
        <v>0.9974831795740432</v>
      </c>
      <c r="BT33" s="2000">
        <v>1.0139827949863736</v>
      </c>
      <c r="BU33" s="1998">
        <v>0.99945060059772761</v>
      </c>
      <c r="BV33" s="1999">
        <v>1.1455405604833377</v>
      </c>
      <c r="BW33" s="1979">
        <v>1.1432824128496946</v>
      </c>
      <c r="BX33" s="1979">
        <v>1.1600824436270349</v>
      </c>
      <c r="BY33" s="1979">
        <v>1.1637328765679806</v>
      </c>
      <c r="BZ33" s="1979">
        <v>1.1880116595763059</v>
      </c>
      <c r="CA33" s="1979">
        <v>1.2000545897493033</v>
      </c>
      <c r="CB33" s="1979">
        <v>1.2131768034216297</v>
      </c>
      <c r="CC33" s="1979">
        <v>1.2349441421285294</v>
      </c>
      <c r="CD33" s="1979">
        <v>1.2472458896933767</v>
      </c>
      <c r="CE33" s="1979">
        <v>1.2756559595891108</v>
      </c>
      <c r="CF33" s="2000">
        <v>1.0408253844751754</v>
      </c>
      <c r="CG33" s="1998">
        <v>1.1157952169082577</v>
      </c>
      <c r="CH33" s="2000">
        <v>1.0435818788292521</v>
      </c>
      <c r="CI33" s="1998">
        <v>1.1193298130161056</v>
      </c>
      <c r="CJ33" s="2000">
        <v>1.0463383731833287</v>
      </c>
      <c r="CK33" s="1998">
        <v>1.1228644091239532</v>
      </c>
      <c r="CL33" s="2000">
        <v>1.049094867537405</v>
      </c>
      <c r="CM33" s="1998">
        <v>1.1263990052318011</v>
      </c>
      <c r="CN33" s="2000">
        <v>1.0518513618914818</v>
      </c>
      <c r="CO33" s="1998">
        <v>1.1299336013396488</v>
      </c>
      <c r="CP33" s="1999">
        <v>1.0414081551447949</v>
      </c>
      <c r="CQ33" s="1979">
        <v>1.1235521261389125</v>
      </c>
      <c r="CR33" s="1999">
        <v>1.0443011307344405</v>
      </c>
      <c r="CS33" s="1979">
        <v>1.1272531947187527</v>
      </c>
      <c r="CT33" s="1999">
        <v>1.0471941063240862</v>
      </c>
      <c r="CU33" s="1979">
        <v>1.1309542632985927</v>
      </c>
      <c r="CV33" s="1999">
        <v>1.0500870819137316</v>
      </c>
      <c r="CW33" s="1979">
        <v>1.1346553318784327</v>
      </c>
      <c r="CX33" s="1999">
        <v>1.052980057503377</v>
      </c>
      <c r="CY33" s="1979">
        <v>1.1383564004582727</v>
      </c>
      <c r="CZ33" s="2000">
        <v>0.92307926534031404</v>
      </c>
      <c r="DA33" s="1998">
        <v>0.938647015710107</v>
      </c>
      <c r="DB33" s="2000">
        <v>0.92465702854516385</v>
      </c>
      <c r="DC33" s="1998">
        <v>0.94064670124597538</v>
      </c>
      <c r="DD33" s="2000">
        <v>0.92623479175001355</v>
      </c>
      <c r="DE33" s="1998">
        <v>0.94264638678184365</v>
      </c>
      <c r="DF33" s="2000">
        <v>0.92781255495486314</v>
      </c>
      <c r="DG33" s="1998">
        <v>0.94464607231771192</v>
      </c>
      <c r="DH33" s="2000">
        <v>0.93096808136456266</v>
      </c>
      <c r="DI33" s="1998">
        <v>0.94864544338944845</v>
      </c>
      <c r="DJ33" s="1999">
        <v>0.94164711876187912</v>
      </c>
      <c r="DK33" s="1979">
        <v>0.95522008016679005</v>
      </c>
      <c r="DL33" s="1999">
        <v>0.94303857380866996</v>
      </c>
      <c r="DM33" s="1979">
        <v>0.95700756737588943</v>
      </c>
      <c r="DN33" s="1999">
        <v>0.94443002885546123</v>
      </c>
      <c r="DO33" s="1979">
        <v>0.95879505458498882</v>
      </c>
      <c r="DP33" s="1999">
        <v>0.9458214839022524</v>
      </c>
      <c r="DQ33" s="1979">
        <v>0.96058254179408809</v>
      </c>
      <c r="DR33" s="1999">
        <v>0.94860439399583441</v>
      </c>
      <c r="DS33" s="1979">
        <v>0.96415751621228685</v>
      </c>
      <c r="GT33" s="1980"/>
      <c r="GU33" s="1980"/>
      <c r="GV33" s="1980"/>
      <c r="GW33" s="1980"/>
      <c r="GX33" s="1980"/>
      <c r="GY33" s="1980"/>
      <c r="GZ33" s="1980"/>
      <c r="HA33" s="1980"/>
      <c r="HB33" s="1980"/>
      <c r="HC33" s="1980"/>
      <c r="HD33" s="1980"/>
      <c r="HE33" s="1980"/>
      <c r="HF33" s="1980"/>
      <c r="HG33" s="1980"/>
      <c r="HH33" s="1980"/>
      <c r="HI33" s="1980"/>
      <c r="HJ33" s="1980"/>
      <c r="HK33" s="1980"/>
      <c r="HL33" s="1980"/>
      <c r="HM33" s="1980"/>
      <c r="HN33" s="1980"/>
      <c r="HO33" s="1980"/>
      <c r="HP33" s="1980"/>
      <c r="HQ33" s="1980"/>
      <c r="HR33" s="1980"/>
      <c r="HS33" s="1980"/>
      <c r="HT33" s="1980"/>
      <c r="HU33" s="1980"/>
      <c r="HV33" s="1980"/>
      <c r="HW33" s="1980"/>
      <c r="HX33" s="1980"/>
      <c r="HY33" s="1980"/>
      <c r="HZ33" s="1980"/>
      <c r="IA33" s="1980"/>
      <c r="IB33" s="1980"/>
      <c r="IC33" s="1980"/>
      <c r="ID33" s="1980"/>
      <c r="IE33" s="1980"/>
      <c r="IF33" s="1980"/>
      <c r="IG33" s="1980"/>
      <c r="IH33" s="1980"/>
      <c r="II33" s="1980"/>
      <c r="IJ33" s="1980"/>
      <c r="IK33" s="1980"/>
      <c r="IL33" s="1980"/>
      <c r="IM33" s="1980"/>
      <c r="IN33" s="1980"/>
      <c r="IO33" s="1980"/>
      <c r="IP33" s="1980"/>
      <c r="IQ33" s="1980"/>
      <c r="IR33" s="1980"/>
      <c r="IS33" s="1980"/>
      <c r="IT33" s="1980"/>
      <c r="IU33" s="1980"/>
      <c r="IV33" s="1980"/>
      <c r="IW33" s="1980"/>
      <c r="IX33" s="1980"/>
      <c r="IY33" s="1980"/>
      <c r="IZ33" s="1980"/>
      <c r="JA33" s="1980"/>
      <c r="JB33" s="1980"/>
      <c r="JC33" s="1980"/>
      <c r="JD33" s="1980"/>
      <c r="JE33" s="1980"/>
      <c r="JF33" s="1980"/>
      <c r="JG33" s="1980"/>
      <c r="JH33" s="1980"/>
      <c r="JI33" s="1980"/>
      <c r="JJ33" s="1980"/>
      <c r="JK33" s="1980"/>
      <c r="JL33" s="1980"/>
      <c r="JM33" s="1980"/>
      <c r="JN33" s="1980"/>
      <c r="JO33" s="1980"/>
      <c r="JP33" s="1980"/>
      <c r="JQ33" s="1980"/>
      <c r="JR33" s="1980"/>
      <c r="JS33" s="1980"/>
      <c r="JT33" s="1980"/>
      <c r="JU33" s="1980"/>
      <c r="JV33" s="1980"/>
      <c r="JW33" s="1980"/>
      <c r="JX33" s="1980"/>
      <c r="JY33" s="1980"/>
      <c r="JZ33" s="1980"/>
      <c r="KA33" s="1980"/>
      <c r="KB33" s="1980"/>
      <c r="KC33" s="1980"/>
      <c r="KD33" s="1980"/>
      <c r="KE33" s="1980"/>
      <c r="KF33" s="1980"/>
      <c r="KG33" s="1980"/>
      <c r="KH33" s="1980"/>
      <c r="KI33" s="1980"/>
      <c r="KJ33" s="1980"/>
      <c r="KK33" s="1980"/>
    </row>
    <row r="34" spans="1:297">
      <c r="A34" s="1997"/>
      <c r="B34" s="2">
        <v>9</v>
      </c>
      <c r="C34" s="2" t="s">
        <v>4335</v>
      </c>
      <c r="D34" s="1998">
        <v>1.2230338685021891</v>
      </c>
      <c r="E34" s="1998">
        <v>1.1870991452975175</v>
      </c>
      <c r="F34" s="1998">
        <v>1.2400948583892324</v>
      </c>
      <c r="G34" s="1998">
        <v>1.2100580031502244</v>
      </c>
      <c r="H34" s="1998">
        <v>1.2731151267449796</v>
      </c>
      <c r="I34" s="1998">
        <v>1.2511794501563689</v>
      </c>
      <c r="J34" s="1998">
        <v>1.3035564513802267</v>
      </c>
      <c r="K34" s="1998">
        <v>1.2915579517806</v>
      </c>
      <c r="L34" s="1998">
        <v>1.3399804654188807</v>
      </c>
      <c r="M34" s="1998">
        <v>1.3356770575030763</v>
      </c>
      <c r="N34" s="1999">
        <v>0.98484099495894417</v>
      </c>
      <c r="O34" s="1979">
        <v>0.96422169811051295</v>
      </c>
      <c r="P34" s="1979">
        <v>0.9996674540930911</v>
      </c>
      <c r="Q34" s="1979">
        <v>0.98414635247043536</v>
      </c>
      <c r="R34" s="1979">
        <v>1.024215632065802</v>
      </c>
      <c r="S34" s="1979">
        <v>1.0147446833779215</v>
      </c>
      <c r="T34" s="1979">
        <v>1.0460858712384082</v>
      </c>
      <c r="U34" s="1979">
        <v>1.0437231669104363</v>
      </c>
      <c r="V34" s="1979">
        <v>1.0778663037648524</v>
      </c>
      <c r="W34" s="1979">
        <v>1.078889756633606</v>
      </c>
      <c r="X34" s="2000">
        <v>1.2806593407329239</v>
      </c>
      <c r="Y34" s="1998">
        <v>1.2602288217840856</v>
      </c>
      <c r="Z34" s="1998">
        <v>1.3172351127885513</v>
      </c>
      <c r="AA34" s="1998">
        <v>1.302448463901597</v>
      </c>
      <c r="AB34" s="1998">
        <v>1.3209758135446663</v>
      </c>
      <c r="AC34" s="1998">
        <v>1.3070925573872516</v>
      </c>
      <c r="AD34" s="1998">
        <v>1.3247165143007813</v>
      </c>
      <c r="AE34" s="1998">
        <v>1.3117366508729063</v>
      </c>
      <c r="AF34" s="1998">
        <v>1.3284572150568963</v>
      </c>
      <c r="AG34" s="1998">
        <v>1.3163807443585609</v>
      </c>
      <c r="AH34" s="1999">
        <v>0.98543522570132602</v>
      </c>
      <c r="AI34" s="1979">
        <v>0.97067485089011307</v>
      </c>
      <c r="AJ34" s="1979">
        <v>1.0101901992870987</v>
      </c>
      <c r="AK34" s="1979">
        <v>0.99957655508330234</v>
      </c>
      <c r="AL34" s="1979">
        <v>1.0127219557806888</v>
      </c>
      <c r="AM34" s="1979">
        <v>1.0027556965784936</v>
      </c>
      <c r="AN34" s="1979">
        <v>1.0152537122742786</v>
      </c>
      <c r="AO34" s="1979">
        <v>1.005934838073685</v>
      </c>
      <c r="AP34" s="1979">
        <v>1.0177854687678687</v>
      </c>
      <c r="AQ34" s="1979">
        <v>1.0091139795688764</v>
      </c>
      <c r="AR34" s="2000">
        <v>1.2915566939680112</v>
      </c>
      <c r="AS34" s="1998">
        <v>1.2685741053949597</v>
      </c>
      <c r="AT34" s="1998">
        <v>1.3279958978819182</v>
      </c>
      <c r="AU34" s="1998">
        <v>1.3107956797997675</v>
      </c>
      <c r="AV34" s="1998">
        <v>1.3317226314536845</v>
      </c>
      <c r="AW34" s="1998">
        <v>1.3154399858339518</v>
      </c>
      <c r="AX34" s="1998">
        <v>1.3354493650254504</v>
      </c>
      <c r="AY34" s="1998">
        <v>1.3200842918681357</v>
      </c>
      <c r="AZ34" s="1998">
        <v>1.3391760985972168</v>
      </c>
      <c r="BA34" s="1998">
        <v>1.3247285979023202</v>
      </c>
      <c r="BB34" s="1999">
        <v>1.3387490881794943</v>
      </c>
      <c r="BC34" s="1979">
        <v>1.2646139966029377</v>
      </c>
      <c r="BD34" s="1979">
        <v>1.373803708549417</v>
      </c>
      <c r="BE34" s="1979">
        <v>1.3023841929605524</v>
      </c>
      <c r="BF34" s="1979">
        <v>1.3781908289589206</v>
      </c>
      <c r="BG34" s="1979">
        <v>1.3076635553626346</v>
      </c>
      <c r="BH34" s="1979">
        <v>1.3825779493684243</v>
      </c>
      <c r="BI34" s="1979">
        <v>1.3129429177647169</v>
      </c>
      <c r="BJ34" s="1979">
        <v>1.3869650697779281</v>
      </c>
      <c r="BK34" s="1979">
        <v>1.3182222801667991</v>
      </c>
      <c r="BL34" s="2000">
        <v>1.044522086790258</v>
      </c>
      <c r="BM34" s="1998">
        <v>1.0241116095547953</v>
      </c>
      <c r="BN34" s="2000">
        <v>1.0461620280640127</v>
      </c>
      <c r="BO34" s="1998">
        <v>1.0260790305784797</v>
      </c>
      <c r="BP34" s="2000">
        <v>1.0478019693377674</v>
      </c>
      <c r="BQ34" s="1998">
        <v>1.0280464516021641</v>
      </c>
      <c r="BR34" s="2000">
        <v>1.0494419106115223</v>
      </c>
      <c r="BS34" s="1998">
        <v>1.0300138726258483</v>
      </c>
      <c r="BT34" s="2000">
        <v>1.0510818518852769</v>
      </c>
      <c r="BU34" s="1998">
        <v>1.0319812936495327</v>
      </c>
      <c r="BV34" s="1999">
        <v>1.2072125896046515</v>
      </c>
      <c r="BW34" s="1979">
        <v>1.2058350196412342</v>
      </c>
      <c r="BX34" s="1979">
        <v>1.2221728513415977</v>
      </c>
      <c r="BY34" s="1979">
        <v>1.2268777224774352</v>
      </c>
      <c r="BZ34" s="1979">
        <v>1.2503112565874932</v>
      </c>
      <c r="CA34" s="1979">
        <v>1.2634955552177156</v>
      </c>
      <c r="CB34" s="1979">
        <v>1.2756855897294415</v>
      </c>
      <c r="CC34" s="1979">
        <v>1.2986812271558994</v>
      </c>
      <c r="CD34" s="1979">
        <v>1.3099638652978127</v>
      </c>
      <c r="CE34" s="1979">
        <v>1.3396891641754383</v>
      </c>
      <c r="CF34" s="2000">
        <v>1.0886072625449039</v>
      </c>
      <c r="CG34" s="1998">
        <v>1.1623573676483281</v>
      </c>
      <c r="CH34" s="2000">
        <v>1.0913637568989807</v>
      </c>
      <c r="CI34" s="1998">
        <v>1.1658919637561758</v>
      </c>
      <c r="CJ34" s="2000">
        <v>1.0941202512530572</v>
      </c>
      <c r="CK34" s="1998">
        <v>1.1694265598640237</v>
      </c>
      <c r="CL34" s="2000">
        <v>1.0968767456071338</v>
      </c>
      <c r="CM34" s="1998">
        <v>1.1729611559718716</v>
      </c>
      <c r="CN34" s="2000">
        <v>1.0996332399612101</v>
      </c>
      <c r="CO34" s="1998">
        <v>1.1764957520797195</v>
      </c>
      <c r="CP34" s="1999">
        <v>1.1082253184010806</v>
      </c>
      <c r="CQ34" s="1979">
        <v>1.1883366061380889</v>
      </c>
      <c r="CR34" s="1999">
        <v>1.1111182939907263</v>
      </c>
      <c r="CS34" s="1979">
        <v>1.1920376747179293</v>
      </c>
      <c r="CT34" s="1999">
        <v>1.1140112695803717</v>
      </c>
      <c r="CU34" s="1979">
        <v>1.1957387432977693</v>
      </c>
      <c r="CV34" s="1999">
        <v>1.1169042451700173</v>
      </c>
      <c r="CW34" s="1979">
        <v>1.1994398118776091</v>
      </c>
      <c r="CX34" s="1999">
        <v>1.1197972207596627</v>
      </c>
      <c r="CY34" s="1979">
        <v>1.2031408804574493</v>
      </c>
      <c r="CZ34" s="2000">
        <v>0.93922176648810596</v>
      </c>
      <c r="DA34" s="1998">
        <v>0.97046133420992498</v>
      </c>
      <c r="DB34" s="2000">
        <v>0.94158841129538062</v>
      </c>
      <c r="DC34" s="1998">
        <v>0.97346086251372732</v>
      </c>
      <c r="DD34" s="2000">
        <v>0.94395505610265518</v>
      </c>
      <c r="DE34" s="1998">
        <v>0.97646039081752967</v>
      </c>
      <c r="DF34" s="2000">
        <v>0.94632170090992973</v>
      </c>
      <c r="DG34" s="1998">
        <v>0.97945991912133212</v>
      </c>
      <c r="DH34" s="2000">
        <v>0.95105499052447906</v>
      </c>
      <c r="DI34" s="1998">
        <v>0.98545897572893704</v>
      </c>
      <c r="DJ34" s="1999">
        <v>0.97850971927503372</v>
      </c>
      <c r="DK34" s="1979">
        <v>1.0041109978909477</v>
      </c>
      <c r="DL34" s="1999">
        <v>0.98059690184522053</v>
      </c>
      <c r="DM34" s="1979">
        <v>1.0067922287045967</v>
      </c>
      <c r="DN34" s="1999">
        <v>0.98268408441540711</v>
      </c>
      <c r="DO34" s="1979">
        <v>1.0094734595182457</v>
      </c>
      <c r="DP34" s="1999">
        <v>0.98477126698559359</v>
      </c>
      <c r="DQ34" s="1979">
        <v>1.0121546903318948</v>
      </c>
      <c r="DR34" s="1999">
        <v>0.98894563212596664</v>
      </c>
      <c r="DS34" s="1979">
        <v>1.0175171519591928</v>
      </c>
      <c r="GT34" s="1980"/>
      <c r="GU34" s="1980"/>
      <c r="GV34" s="1980"/>
      <c r="GW34" s="1980"/>
      <c r="GX34" s="1980"/>
      <c r="GY34" s="1980"/>
      <c r="GZ34" s="1980"/>
      <c r="HA34" s="1980"/>
      <c r="HB34" s="1980"/>
      <c r="HC34" s="1980"/>
      <c r="HD34" s="1980"/>
      <c r="HE34" s="1980"/>
      <c r="HF34" s="1980"/>
      <c r="HG34" s="1980"/>
      <c r="HH34" s="1980"/>
      <c r="HI34" s="1980"/>
      <c r="HJ34" s="1980"/>
      <c r="HK34" s="1980"/>
      <c r="HL34" s="1980"/>
      <c r="HM34" s="1980"/>
      <c r="HN34" s="1980"/>
      <c r="HO34" s="1980"/>
      <c r="HP34" s="1980"/>
      <c r="HQ34" s="1980"/>
      <c r="HR34" s="1980"/>
      <c r="HS34" s="1980"/>
      <c r="HT34" s="1980"/>
      <c r="HU34" s="1980"/>
      <c r="HV34" s="1980"/>
      <c r="HW34" s="1980"/>
      <c r="HX34" s="1980"/>
      <c r="HY34" s="1980"/>
      <c r="HZ34" s="1980"/>
      <c r="IA34" s="1980"/>
      <c r="IB34" s="1980"/>
      <c r="IC34" s="1980"/>
      <c r="ID34" s="1980"/>
      <c r="IE34" s="1980"/>
      <c r="IF34" s="1980"/>
      <c r="IG34" s="1980"/>
      <c r="IH34" s="1980"/>
      <c r="II34" s="1980"/>
      <c r="IJ34" s="1980"/>
      <c r="IK34" s="1980"/>
      <c r="IL34" s="1980"/>
      <c r="IM34" s="1980"/>
      <c r="IN34" s="1980"/>
      <c r="IO34" s="1980"/>
      <c r="IP34" s="1980"/>
      <c r="IQ34" s="1980"/>
      <c r="IR34" s="1980"/>
      <c r="IS34" s="1980"/>
      <c r="IT34" s="1980"/>
      <c r="IU34" s="1980"/>
      <c r="IV34" s="1980"/>
      <c r="IW34" s="1980"/>
      <c r="IX34" s="1980"/>
      <c r="IY34" s="1980"/>
      <c r="IZ34" s="1980"/>
      <c r="JA34" s="1980"/>
      <c r="JB34" s="1980"/>
      <c r="JC34" s="1980"/>
      <c r="JD34" s="1980"/>
      <c r="JE34" s="1980"/>
      <c r="JF34" s="1980"/>
      <c r="JG34" s="1980"/>
      <c r="JH34" s="1980"/>
      <c r="JI34" s="1980"/>
      <c r="JJ34" s="1980"/>
      <c r="JK34" s="1980"/>
      <c r="JL34" s="1980"/>
      <c r="JM34" s="1980"/>
      <c r="JN34" s="1980"/>
      <c r="JO34" s="1980"/>
      <c r="JP34" s="1980"/>
      <c r="JQ34" s="1980"/>
      <c r="JR34" s="1980"/>
      <c r="JS34" s="1980"/>
      <c r="JT34" s="1980"/>
      <c r="JU34" s="1980"/>
      <c r="JV34" s="1980"/>
      <c r="JW34" s="1980"/>
      <c r="JX34" s="1980"/>
      <c r="JY34" s="1980"/>
      <c r="JZ34" s="1980"/>
      <c r="KA34" s="1980"/>
      <c r="KB34" s="1980"/>
      <c r="KC34" s="1980"/>
      <c r="KD34" s="1980"/>
      <c r="KE34" s="1980"/>
      <c r="KF34" s="1980"/>
      <c r="KG34" s="1980"/>
      <c r="KH34" s="1980"/>
      <c r="KI34" s="1980"/>
      <c r="KJ34" s="1980"/>
      <c r="KK34" s="1980"/>
    </row>
    <row r="35" spans="1:297">
      <c r="A35" s="1997"/>
      <c r="B35" s="2">
        <v>10</v>
      </c>
      <c r="C35" s="2" t="s">
        <v>4336</v>
      </c>
      <c r="D35" s="1998">
        <v>1.3033878831794519</v>
      </c>
      <c r="E35" s="1998">
        <v>1.2566342106135668</v>
      </c>
      <c r="F35" s="1998">
        <v>1.3209417365158203</v>
      </c>
      <c r="G35" s="1998">
        <v>1.2802601668734481</v>
      </c>
      <c r="H35" s="1998">
        <v>1.3542084365962301</v>
      </c>
      <c r="I35" s="1998">
        <v>1.32171516308318</v>
      </c>
      <c r="J35" s="1998">
        <v>1.3848961929561401</v>
      </c>
      <c r="K35" s="1998">
        <v>1.3624272139109985</v>
      </c>
      <c r="L35" s="1998">
        <v>1.4215666387194565</v>
      </c>
      <c r="M35" s="1998">
        <v>1.4068798688370621</v>
      </c>
      <c r="N35" s="1999">
        <v>0.99009847934797002</v>
      </c>
      <c r="O35" s="1979">
        <v>0.98258835873217454</v>
      </c>
      <c r="P35" s="1979">
        <v>1.0052940760221845</v>
      </c>
      <c r="Q35" s="1979">
        <v>1.002992510761513</v>
      </c>
      <c r="R35" s="1979">
        <v>1.0298073635754248</v>
      </c>
      <c r="S35" s="1979">
        <v>1.0334982235355032</v>
      </c>
      <c r="T35" s="1979">
        <v>1.0509015022007238</v>
      </c>
      <c r="U35" s="1979">
        <v>1.0614276197853458</v>
      </c>
      <c r="V35" s="1979">
        <v>1.08686093085678</v>
      </c>
      <c r="W35" s="1979">
        <v>1.0986391753211706</v>
      </c>
      <c r="X35" s="2000">
        <v>1.3480755904522121</v>
      </c>
      <c r="Y35" s="1998">
        <v>1.3331679613340723</v>
      </c>
      <c r="Z35" s="1998">
        <v>1.3879282599888636</v>
      </c>
      <c r="AA35" s="1998">
        <v>1.3774683419474862</v>
      </c>
      <c r="AB35" s="1998">
        <v>1.3929158609970169</v>
      </c>
      <c r="AC35" s="1998">
        <v>1.3836604665950258</v>
      </c>
      <c r="AD35" s="1998">
        <v>1.3979034620051702</v>
      </c>
      <c r="AE35" s="1998">
        <v>1.3898525912425657</v>
      </c>
      <c r="AF35" s="1998">
        <v>1.4028910630133229</v>
      </c>
      <c r="AG35" s="1998">
        <v>1.3960447158901053</v>
      </c>
      <c r="AH35" s="1999">
        <v>1.0179646307443104</v>
      </c>
      <c r="AI35" s="1979">
        <v>1.0007427260272013</v>
      </c>
      <c r="AJ35" s="1979">
        <v>1.042719604330083</v>
      </c>
      <c r="AK35" s="1979">
        <v>1.0296444302203904</v>
      </c>
      <c r="AL35" s="1979">
        <v>1.0452513608236731</v>
      </c>
      <c r="AM35" s="1979">
        <v>1.0328235717155818</v>
      </c>
      <c r="AN35" s="1979">
        <v>1.0477831173172631</v>
      </c>
      <c r="AO35" s="1979">
        <v>1.0360027132107734</v>
      </c>
      <c r="AP35" s="1979">
        <v>1.050314873810853</v>
      </c>
      <c r="AQ35" s="1979">
        <v>1.0391818547059646</v>
      </c>
      <c r="AR35" s="2000">
        <v>1.3611408505332279</v>
      </c>
      <c r="AS35" s="1998">
        <v>1.342971906286633</v>
      </c>
      <c r="AT35" s="1998">
        <v>1.4008447165118036</v>
      </c>
      <c r="AU35" s="1998">
        <v>1.3872743144175343</v>
      </c>
      <c r="AV35" s="1998">
        <v>1.4058136946074922</v>
      </c>
      <c r="AW35" s="1998">
        <v>1.3934667224631132</v>
      </c>
      <c r="AX35" s="1998">
        <v>1.4107826727031803</v>
      </c>
      <c r="AY35" s="1998">
        <v>1.3996591305086921</v>
      </c>
      <c r="AZ35" s="1998">
        <v>1.4157516507988683</v>
      </c>
      <c r="BA35" s="1998">
        <v>1.4058515385542709</v>
      </c>
      <c r="BB35" s="1999">
        <v>1.4394265491191824</v>
      </c>
      <c r="BC35" s="1979">
        <v>1.3488678369629321</v>
      </c>
      <c r="BD35" s="1979">
        <v>1.4744811694891051</v>
      </c>
      <c r="BE35" s="1979">
        <v>1.3866380333205468</v>
      </c>
      <c r="BF35" s="1979">
        <v>1.4788682898986087</v>
      </c>
      <c r="BG35" s="1979">
        <v>1.3919173957226292</v>
      </c>
      <c r="BH35" s="1979">
        <v>1.4832554103081124</v>
      </c>
      <c r="BI35" s="1979">
        <v>1.3971967581247113</v>
      </c>
      <c r="BJ35" s="1979">
        <v>1.4876425307176164</v>
      </c>
      <c r="BK35" s="1979">
        <v>1.4024761205267937</v>
      </c>
      <c r="BL35" s="2000">
        <v>1.0439940935249585</v>
      </c>
      <c r="BM35" s="1998">
        <v>1.0346727982738617</v>
      </c>
      <c r="BN35" s="2000">
        <v>1.0464540054355906</v>
      </c>
      <c r="BO35" s="1998">
        <v>1.0376239298093883</v>
      </c>
      <c r="BP35" s="2000">
        <v>1.0489139173462225</v>
      </c>
      <c r="BQ35" s="1998">
        <v>1.0405750613449147</v>
      </c>
      <c r="BR35" s="2000">
        <v>1.0513738292568546</v>
      </c>
      <c r="BS35" s="1998">
        <v>1.0435261928804414</v>
      </c>
      <c r="BT35" s="2000">
        <v>1.053833741167487</v>
      </c>
      <c r="BU35" s="1998">
        <v>1.0464773244159677</v>
      </c>
      <c r="BV35" s="1999">
        <v>1.2868147409601336</v>
      </c>
      <c r="BW35" s="1979">
        <v>1.2987590855522648</v>
      </c>
      <c r="BX35" s="1979">
        <v>1.3022982693048499</v>
      </c>
      <c r="BY35" s="1979">
        <v>1.3205302831377452</v>
      </c>
      <c r="BZ35" s="1979">
        <v>1.330566857207905</v>
      </c>
      <c r="CA35" s="1979">
        <v>1.3573038849736836</v>
      </c>
      <c r="CB35" s="1979">
        <v>1.355627406404917</v>
      </c>
      <c r="CC35" s="1979">
        <v>1.3920453775734309</v>
      </c>
      <c r="CD35" s="1979">
        <v>1.3925598788371591</v>
      </c>
      <c r="CE35" s="1979">
        <v>1.4345498902816523</v>
      </c>
      <c r="CF35" s="2000">
        <v>1.1630202873920195</v>
      </c>
      <c r="CG35" s="1998">
        <v>1.2348449908337982</v>
      </c>
      <c r="CH35" s="2000">
        <v>1.165776781746096</v>
      </c>
      <c r="CI35" s="1998">
        <v>1.2383795869416463</v>
      </c>
      <c r="CJ35" s="2000">
        <v>1.1685332761001725</v>
      </c>
      <c r="CK35" s="1998">
        <v>1.241914183049494</v>
      </c>
      <c r="CL35" s="2000">
        <v>1.1712897704542489</v>
      </c>
      <c r="CM35" s="1998">
        <v>1.2454487791573419</v>
      </c>
      <c r="CN35" s="2000">
        <v>1.1740462648083256</v>
      </c>
      <c r="CO35" s="1998">
        <v>1.2489833752651898</v>
      </c>
      <c r="CP35" s="1999">
        <v>1.1666903362503305</v>
      </c>
      <c r="CQ35" s="1979">
        <v>1.2450230261373678</v>
      </c>
      <c r="CR35" s="1999">
        <v>1.1695833118399761</v>
      </c>
      <c r="CS35" s="1979">
        <v>1.2487240947172078</v>
      </c>
      <c r="CT35" s="1999">
        <v>1.1724762874296215</v>
      </c>
      <c r="CU35" s="1979">
        <v>1.2524251632970478</v>
      </c>
      <c r="CV35" s="1999">
        <v>1.1753692630192671</v>
      </c>
      <c r="CW35" s="1979">
        <v>1.256126231876888</v>
      </c>
      <c r="CX35" s="1999">
        <v>1.1782622386089125</v>
      </c>
      <c r="CY35" s="1979">
        <v>1.259827300456728</v>
      </c>
      <c r="CZ35" s="2000">
        <v>0.99047161165579223</v>
      </c>
      <c r="DA35" s="1998">
        <v>1.0161814769550415</v>
      </c>
      <c r="DB35" s="2000">
        <v>0.99283825646306678</v>
      </c>
      <c r="DC35" s="1998">
        <v>1.0191810052588439</v>
      </c>
      <c r="DD35" s="2000">
        <v>0.99520490127034145</v>
      </c>
      <c r="DE35" s="1998">
        <v>1.0221805335626464</v>
      </c>
      <c r="DF35" s="2000">
        <v>0.99757154607761611</v>
      </c>
      <c r="DG35" s="1998">
        <v>1.0251800618664486</v>
      </c>
      <c r="DH35" s="2000">
        <v>1.0023048356921653</v>
      </c>
      <c r="DI35" s="1998">
        <v>1.0311791184740533</v>
      </c>
      <c r="DJ35" s="1999">
        <v>1.0192404991374462</v>
      </c>
      <c r="DK35" s="1979">
        <v>1.040928041515059</v>
      </c>
      <c r="DL35" s="1999">
        <v>1.0213276817076329</v>
      </c>
      <c r="DM35" s="1979">
        <v>1.043609272328708</v>
      </c>
      <c r="DN35" s="1999">
        <v>1.0234148642778194</v>
      </c>
      <c r="DO35" s="1979">
        <v>1.0462905031423571</v>
      </c>
      <c r="DP35" s="1999">
        <v>1.0255020468480061</v>
      </c>
      <c r="DQ35" s="1979">
        <v>1.0489717339560061</v>
      </c>
      <c r="DR35" s="1999">
        <v>1.0296764119883792</v>
      </c>
      <c r="DS35" s="1979">
        <v>1.0543341955833041</v>
      </c>
      <c r="GT35" s="1980"/>
      <c r="GU35" s="1980"/>
      <c r="GV35" s="1980"/>
      <c r="GW35" s="1980"/>
      <c r="GX35" s="1980"/>
      <c r="GY35" s="1980"/>
      <c r="GZ35" s="1980"/>
      <c r="HA35" s="1980"/>
      <c r="HB35" s="1980"/>
      <c r="HC35" s="1980"/>
      <c r="HD35" s="1980"/>
      <c r="HE35" s="1980"/>
      <c r="HF35" s="1980"/>
      <c r="HG35" s="1980"/>
      <c r="HH35" s="1980"/>
      <c r="HI35" s="1980"/>
      <c r="HJ35" s="1980"/>
      <c r="HK35" s="1980"/>
      <c r="HL35" s="1980"/>
      <c r="HM35" s="1980"/>
      <c r="HN35" s="1980"/>
      <c r="HO35" s="1980"/>
      <c r="HP35" s="1980"/>
      <c r="HQ35" s="1980"/>
      <c r="HR35" s="1980"/>
      <c r="HS35" s="1980"/>
      <c r="HT35" s="1980"/>
      <c r="HU35" s="1980"/>
      <c r="HV35" s="1980"/>
      <c r="HW35" s="1980"/>
      <c r="HX35" s="1980"/>
      <c r="HY35" s="1980"/>
      <c r="HZ35" s="1980"/>
      <c r="IA35" s="1980"/>
      <c r="IB35" s="1980"/>
      <c r="IC35" s="1980"/>
      <c r="ID35" s="1980"/>
      <c r="IE35" s="1980"/>
      <c r="IF35" s="1980"/>
      <c r="IG35" s="1980"/>
      <c r="IH35" s="1980"/>
      <c r="II35" s="1980"/>
      <c r="IJ35" s="1980"/>
      <c r="IK35" s="1980"/>
      <c r="IL35" s="1980"/>
      <c r="IM35" s="1980"/>
      <c r="IN35" s="1980"/>
      <c r="IO35" s="1980"/>
      <c r="IP35" s="1980"/>
      <c r="IQ35" s="1980"/>
      <c r="IR35" s="1980"/>
      <c r="IS35" s="1980"/>
      <c r="IT35" s="1980"/>
      <c r="IU35" s="1980"/>
      <c r="IV35" s="1980"/>
      <c r="IW35" s="1980"/>
      <c r="IX35" s="1980"/>
      <c r="IY35" s="1980"/>
      <c r="IZ35" s="1980"/>
      <c r="JA35" s="1980"/>
      <c r="JB35" s="1980"/>
      <c r="JC35" s="1980"/>
      <c r="JD35" s="1980"/>
      <c r="JE35" s="1980"/>
      <c r="JF35" s="1980"/>
      <c r="JG35" s="1980"/>
      <c r="JH35" s="1980"/>
      <c r="JI35" s="1980"/>
      <c r="JJ35" s="1980"/>
      <c r="JK35" s="1980"/>
      <c r="JL35" s="1980"/>
      <c r="JM35" s="1980"/>
      <c r="JN35" s="1980"/>
      <c r="JO35" s="1980"/>
      <c r="JP35" s="1980"/>
      <c r="JQ35" s="1980"/>
      <c r="JR35" s="1980"/>
      <c r="JS35" s="1980"/>
      <c r="JT35" s="1980"/>
      <c r="JU35" s="1980"/>
      <c r="JV35" s="1980"/>
      <c r="JW35" s="1980"/>
      <c r="JX35" s="1980"/>
      <c r="JY35" s="1980"/>
      <c r="JZ35" s="1980"/>
      <c r="KA35" s="1980"/>
      <c r="KB35" s="1980"/>
      <c r="KC35" s="1980"/>
      <c r="KD35" s="1980"/>
      <c r="KE35" s="1980"/>
      <c r="KF35" s="1980"/>
      <c r="KG35" s="1980"/>
      <c r="KH35" s="1980"/>
      <c r="KI35" s="1980"/>
      <c r="KJ35" s="1980"/>
      <c r="KK35" s="1980"/>
    </row>
    <row r="36" spans="1:297">
      <c r="A36" s="1997"/>
      <c r="B36" s="2">
        <v>11</v>
      </c>
      <c r="C36" s="2" t="s">
        <v>4337</v>
      </c>
      <c r="D36" s="1998">
        <v>1.3417806514778436</v>
      </c>
      <c r="E36" s="1998">
        <v>1.2923952066015676</v>
      </c>
      <c r="F36" s="1998">
        <v>1.3595986808258347</v>
      </c>
      <c r="G36" s="1998">
        <v>1.3163748039565626</v>
      </c>
      <c r="H36" s="1998">
        <v>1.3929533071040854</v>
      </c>
      <c r="I36" s="1998">
        <v>1.3579396506692158</v>
      </c>
      <c r="J36" s="1998">
        <v>1.4235798358287008</v>
      </c>
      <c r="K36" s="1998">
        <v>1.3985688289325626</v>
      </c>
      <c r="L36" s="1998">
        <v>1.4611861688572909</v>
      </c>
      <c r="M36" s="1998">
        <v>1.4435620453105291</v>
      </c>
      <c r="N36" s="1999">
        <v>1.0474771558851224</v>
      </c>
      <c r="O36" s="1979">
        <v>1.0367931930029639</v>
      </c>
      <c r="P36" s="1979">
        <v>1.0630526134603324</v>
      </c>
      <c r="Q36" s="1979">
        <v>1.0577108187591298</v>
      </c>
      <c r="R36" s="1979">
        <v>1.0877558314640703</v>
      </c>
      <c r="S36" s="1979">
        <v>1.0884732683965339</v>
      </c>
      <c r="T36" s="1979">
        <v>1.109039900539867</v>
      </c>
      <c r="U36" s="1979">
        <v>1.1166594015097902</v>
      </c>
      <c r="V36" s="1979">
        <v>1.1451892596464208</v>
      </c>
      <c r="W36" s="1979">
        <v>1.1541276939090286</v>
      </c>
      <c r="X36" s="2000">
        <v>1.4010266541694456</v>
      </c>
      <c r="Y36" s="1998">
        <v>1.3831182667243089</v>
      </c>
      <c r="Z36" s="1998">
        <v>1.4408793237060971</v>
      </c>
      <c r="AA36" s="1998">
        <v>1.4274186473377231</v>
      </c>
      <c r="AB36" s="1998">
        <v>1.4458669247142504</v>
      </c>
      <c r="AC36" s="1998">
        <v>1.4336107719852627</v>
      </c>
      <c r="AD36" s="1998">
        <v>1.4508545257224037</v>
      </c>
      <c r="AE36" s="1998">
        <v>1.4398028966328025</v>
      </c>
      <c r="AF36" s="1998">
        <v>1.4558421267305566</v>
      </c>
      <c r="AG36" s="1998">
        <v>1.4459950212803419</v>
      </c>
      <c r="AH36" s="1999">
        <v>1.0709749292069299</v>
      </c>
      <c r="AI36" s="1979">
        <v>1.0581415689356262</v>
      </c>
      <c r="AJ36" s="1979">
        <v>1.0979477510027873</v>
      </c>
      <c r="AK36" s="1979">
        <v>1.0884676548974859</v>
      </c>
      <c r="AL36" s="1979">
        <v>1.1013234263275737</v>
      </c>
      <c r="AM36" s="1979">
        <v>1.0927065102244073</v>
      </c>
      <c r="AN36" s="1979">
        <v>1.1046991016523604</v>
      </c>
      <c r="AO36" s="1979">
        <v>1.0969453655513293</v>
      </c>
      <c r="AP36" s="1979">
        <v>1.1080747769771473</v>
      </c>
      <c r="AQ36" s="1979">
        <v>1.1011842208782512</v>
      </c>
      <c r="AR36" s="2000">
        <v>1.4220076937328816</v>
      </c>
      <c r="AS36" s="1998">
        <v>1.3996267613800286</v>
      </c>
      <c r="AT36" s="1998">
        <v>1.4617115597114576</v>
      </c>
      <c r="AU36" s="1998">
        <v>1.44392916951093</v>
      </c>
      <c r="AV36" s="1998">
        <v>1.4666805378071455</v>
      </c>
      <c r="AW36" s="1998">
        <v>1.4501215775565086</v>
      </c>
      <c r="AX36" s="1998">
        <v>1.4716495159028338</v>
      </c>
      <c r="AY36" s="1998">
        <v>1.4563139856020875</v>
      </c>
      <c r="AZ36" s="1998">
        <v>1.4766184939985223</v>
      </c>
      <c r="BA36" s="1998">
        <v>1.4625063936476663</v>
      </c>
      <c r="BB36" s="1999">
        <v>1.4570797078075659</v>
      </c>
      <c r="BC36" s="1979">
        <v>1.3852381434765071</v>
      </c>
      <c r="BD36" s="1979">
        <v>1.4978990811300004</v>
      </c>
      <c r="BE36" s="1979">
        <v>1.4265563861701076</v>
      </c>
      <c r="BF36" s="1979">
        <v>1.504479761744256</v>
      </c>
      <c r="BG36" s="1979">
        <v>1.4344754297732307</v>
      </c>
      <c r="BH36" s="1979">
        <v>1.5110604423585117</v>
      </c>
      <c r="BI36" s="1979">
        <v>1.4423944733763543</v>
      </c>
      <c r="BJ36" s="1979">
        <v>1.5176411229727671</v>
      </c>
      <c r="BK36" s="1979">
        <v>1.4503135169794779</v>
      </c>
      <c r="BL36" s="2000">
        <v>1.0752908844615257</v>
      </c>
      <c r="BM36" s="1998">
        <v>1.0629054286145183</v>
      </c>
      <c r="BN36" s="2000">
        <v>1.0777507963721575</v>
      </c>
      <c r="BO36" s="1998">
        <v>1.0658565601500447</v>
      </c>
      <c r="BP36" s="2000">
        <v>1.0802107082827899</v>
      </c>
      <c r="BQ36" s="1998">
        <v>1.0688076916855713</v>
      </c>
      <c r="BR36" s="2000">
        <v>1.082670620193422</v>
      </c>
      <c r="BS36" s="1998">
        <v>1.0717588232210979</v>
      </c>
      <c r="BT36" s="2000">
        <v>1.0851305321040541</v>
      </c>
      <c r="BU36" s="1998">
        <v>1.0747099547566243</v>
      </c>
      <c r="BV36" s="1999">
        <v>1.376423570766516</v>
      </c>
      <c r="BW36" s="1979">
        <v>1.3815504630178821</v>
      </c>
      <c r="BX36" s="1979">
        <v>1.3923254777044811</v>
      </c>
      <c r="BY36" s="1979">
        <v>1.4039138997212774</v>
      </c>
      <c r="BZ36" s="1979">
        <v>1.4208032549041609</v>
      </c>
      <c r="CA36" s="1979">
        <v>1.4409836211161733</v>
      </c>
      <c r="CB36" s="1979">
        <v>1.4460729933977972</v>
      </c>
      <c r="CC36" s="1979">
        <v>1.4760212332748786</v>
      </c>
      <c r="CD36" s="1979">
        <v>1.4832146551266638</v>
      </c>
      <c r="CE36" s="1979">
        <v>1.5188218655420569</v>
      </c>
      <c r="CF36" s="2000">
        <v>1.2162039145541561</v>
      </c>
      <c r="CG36" s="1998">
        <v>1.2866430277339611</v>
      </c>
      <c r="CH36" s="2000">
        <v>1.2189604089082327</v>
      </c>
      <c r="CI36" s="1998">
        <v>1.2901776238418092</v>
      </c>
      <c r="CJ36" s="2000">
        <v>1.2217169032623092</v>
      </c>
      <c r="CK36" s="1998">
        <v>1.2937122199496567</v>
      </c>
      <c r="CL36" s="2000">
        <v>1.2244733976163857</v>
      </c>
      <c r="CM36" s="1998">
        <v>1.2972468160575048</v>
      </c>
      <c r="CN36" s="2000">
        <v>1.2272298919704625</v>
      </c>
      <c r="CO36" s="1998">
        <v>1.3007814121653527</v>
      </c>
      <c r="CP36" s="1999">
        <v>1.2135812389042815</v>
      </c>
      <c r="CQ36" s="1979">
        <v>1.2904519379238821</v>
      </c>
      <c r="CR36" s="1999">
        <v>1.2164742144939273</v>
      </c>
      <c r="CS36" s="1979">
        <v>1.2941530065037223</v>
      </c>
      <c r="CT36" s="1999">
        <v>1.2193671900835725</v>
      </c>
      <c r="CU36" s="1979">
        <v>1.2978540750835623</v>
      </c>
      <c r="CV36" s="1999">
        <v>1.2222601656732184</v>
      </c>
      <c r="CW36" s="1979">
        <v>1.3015551436634021</v>
      </c>
      <c r="CX36" s="1999">
        <v>1.2251531412628636</v>
      </c>
      <c r="CY36" s="1979">
        <v>1.3052562122432423</v>
      </c>
      <c r="CZ36" s="2000">
        <v>1.0545339181154003</v>
      </c>
      <c r="DA36" s="1998">
        <v>1.0733316553864372</v>
      </c>
      <c r="DB36" s="2000">
        <v>1.0569005629226746</v>
      </c>
      <c r="DC36" s="1998">
        <v>1.0763311836902396</v>
      </c>
      <c r="DD36" s="2000">
        <v>1.0592672077299492</v>
      </c>
      <c r="DE36" s="1998">
        <v>1.0793307119940421</v>
      </c>
      <c r="DF36" s="2000">
        <v>1.0616338525372238</v>
      </c>
      <c r="DG36" s="1998">
        <v>1.0823302402978443</v>
      </c>
      <c r="DH36" s="2000">
        <v>1.0663671421517731</v>
      </c>
      <c r="DI36" s="1998">
        <v>1.0883292969054492</v>
      </c>
      <c r="DJ36" s="1999">
        <v>1.0565682949078492</v>
      </c>
      <c r="DK36" s="1979">
        <v>1.0746711008858372</v>
      </c>
      <c r="DL36" s="1999">
        <v>1.0586554774780357</v>
      </c>
      <c r="DM36" s="1979">
        <v>1.0773523316994862</v>
      </c>
      <c r="DN36" s="1999">
        <v>1.0607426600482222</v>
      </c>
      <c r="DO36" s="1979">
        <v>1.080033562513135</v>
      </c>
      <c r="DP36" s="1999">
        <v>1.0628298426184088</v>
      </c>
      <c r="DQ36" s="1979">
        <v>1.0827147933267842</v>
      </c>
      <c r="DR36" s="1999">
        <v>1.067004207758782</v>
      </c>
      <c r="DS36" s="1979">
        <v>1.088077254954082</v>
      </c>
      <c r="GT36" s="1980"/>
      <c r="GU36" s="1980"/>
      <c r="GV36" s="1980"/>
      <c r="GW36" s="1980"/>
      <c r="GX36" s="1980"/>
      <c r="GY36" s="1980"/>
      <c r="GZ36" s="1980"/>
      <c r="HA36" s="1980"/>
      <c r="HB36" s="1980"/>
      <c r="HC36" s="1980"/>
      <c r="HD36" s="1980"/>
      <c r="HE36" s="1980"/>
      <c r="HF36" s="1980"/>
      <c r="HG36" s="1980"/>
      <c r="HH36" s="1980"/>
      <c r="HI36" s="1980"/>
      <c r="HJ36" s="1980"/>
      <c r="HK36" s="1980"/>
      <c r="HL36" s="1980"/>
      <c r="HM36" s="1980"/>
      <c r="HN36" s="1980"/>
      <c r="HO36" s="1980"/>
      <c r="HP36" s="1980"/>
      <c r="HQ36" s="1980"/>
      <c r="HR36" s="1980"/>
      <c r="HS36" s="1980"/>
      <c r="HT36" s="1980"/>
      <c r="HU36" s="1980"/>
      <c r="HV36" s="1980"/>
      <c r="HW36" s="1980"/>
      <c r="HX36" s="1980"/>
      <c r="HY36" s="1980"/>
      <c r="HZ36" s="1980"/>
      <c r="IA36" s="1980"/>
      <c r="IB36" s="1980"/>
      <c r="IC36" s="1980"/>
      <c r="ID36" s="1980"/>
      <c r="IE36" s="1980"/>
      <c r="IF36" s="1980"/>
      <c r="IG36" s="1980"/>
      <c r="IH36" s="1980"/>
      <c r="II36" s="1980"/>
      <c r="IJ36" s="1980"/>
      <c r="IK36" s="1980"/>
      <c r="IL36" s="1980"/>
      <c r="IM36" s="1980"/>
      <c r="IN36" s="1980"/>
      <c r="IO36" s="1980"/>
      <c r="IP36" s="1980"/>
      <c r="IQ36" s="1980"/>
      <c r="IR36" s="1980"/>
      <c r="IS36" s="1980"/>
      <c r="IT36" s="1980"/>
      <c r="IU36" s="1980"/>
      <c r="IV36" s="1980"/>
      <c r="IW36" s="1980"/>
      <c r="IX36" s="1980"/>
      <c r="IY36" s="1980"/>
      <c r="IZ36" s="1980"/>
      <c r="JA36" s="1980"/>
      <c r="JB36" s="1980"/>
      <c r="JC36" s="1980"/>
      <c r="JD36" s="1980"/>
      <c r="JE36" s="1980"/>
      <c r="JF36" s="1980"/>
      <c r="JG36" s="1980"/>
      <c r="JH36" s="1980"/>
      <c r="JI36" s="1980"/>
      <c r="JJ36" s="1980"/>
      <c r="JK36" s="1980"/>
      <c r="JL36" s="1980"/>
      <c r="JM36" s="1980"/>
      <c r="JN36" s="1980"/>
      <c r="JO36" s="1980"/>
      <c r="JP36" s="1980"/>
      <c r="JQ36" s="1980"/>
      <c r="JR36" s="1980"/>
      <c r="JS36" s="1980"/>
      <c r="JT36" s="1980"/>
      <c r="JU36" s="1980"/>
      <c r="JV36" s="1980"/>
      <c r="JW36" s="1980"/>
      <c r="JX36" s="1980"/>
      <c r="JY36" s="1980"/>
      <c r="JZ36" s="1980"/>
      <c r="KA36" s="1980"/>
      <c r="KB36" s="1980"/>
      <c r="KC36" s="1980"/>
      <c r="KD36" s="1980"/>
      <c r="KE36" s="1980"/>
      <c r="KF36" s="1980"/>
      <c r="KG36" s="1980"/>
      <c r="KH36" s="1980"/>
      <c r="KI36" s="1980"/>
      <c r="KJ36" s="1980"/>
      <c r="KK36" s="1980"/>
    </row>
    <row r="37" spans="1:297">
      <c r="A37" s="1997"/>
      <c r="B37" s="2">
        <v>12</v>
      </c>
      <c r="C37" s="2" t="s">
        <v>4338</v>
      </c>
      <c r="D37" s="1998">
        <v>1.5608961384736642</v>
      </c>
      <c r="E37" s="1998">
        <v>1.4938121069242845</v>
      </c>
      <c r="F37" s="1998">
        <v>1.5796922442427979</v>
      </c>
      <c r="G37" s="1998">
        <v>1.5191100506615891</v>
      </c>
      <c r="H37" s="1998">
        <v>1.6134740822004612</v>
      </c>
      <c r="I37" s="1998">
        <v>1.5612403125029082</v>
      </c>
      <c r="J37" s="1998">
        <v>1.6443190072381002</v>
      </c>
      <c r="K37" s="1998">
        <v>1.60216509360057</v>
      </c>
      <c r="L37" s="1998">
        <v>1.6835396974405088</v>
      </c>
      <c r="M37" s="1998">
        <v>1.6483267204357754</v>
      </c>
      <c r="N37" s="1999">
        <v>1.0907964748593597</v>
      </c>
      <c r="O37" s="1979">
        <v>1.0774777393792119</v>
      </c>
      <c r="P37" s="1979">
        <v>1.1065629531861609</v>
      </c>
      <c r="Q37" s="1979">
        <v>1.0986535758039775</v>
      </c>
      <c r="R37" s="1979">
        <v>1.1313616815656944</v>
      </c>
      <c r="S37" s="1979">
        <v>1.1295451307756812</v>
      </c>
      <c r="T37" s="1979">
        <v>1.1527412610172867</v>
      </c>
      <c r="U37" s="1979">
        <v>1.1578603692232377</v>
      </c>
      <c r="V37" s="1979">
        <v>1.1889861304996361</v>
      </c>
      <c r="W37" s="1979">
        <v>1.1954577669567759</v>
      </c>
      <c r="X37" s="2000">
        <v>1.5435489731717063</v>
      </c>
      <c r="Y37" s="1998">
        <v>1.5376133926026376</v>
      </c>
      <c r="Z37" s="1998">
        <v>1.5899554376704053</v>
      </c>
      <c r="AA37" s="1998">
        <v>1.5860752502078579</v>
      </c>
      <c r="AB37" s="1998">
        <v>1.597436839182635</v>
      </c>
      <c r="AC37" s="1998">
        <v>1.5953634371791672</v>
      </c>
      <c r="AD37" s="1998">
        <v>1.6049182406948648</v>
      </c>
      <c r="AE37" s="1998">
        <v>1.6046516241504765</v>
      </c>
      <c r="AF37" s="1998">
        <v>1.6123996422070945</v>
      </c>
      <c r="AG37" s="1998">
        <v>1.6139398111217858</v>
      </c>
      <c r="AH37" s="1999">
        <v>1.1883174282920177</v>
      </c>
      <c r="AI37" s="1979">
        <v>1.1837260288965326</v>
      </c>
      <c r="AJ37" s="1979">
        <v>1.2197259465080434</v>
      </c>
      <c r="AK37" s="1979">
        <v>1.2169008783957327</v>
      </c>
      <c r="AL37" s="1979">
        <v>1.2247894594952233</v>
      </c>
      <c r="AM37" s="1979">
        <v>1.2232591613861155</v>
      </c>
      <c r="AN37" s="1979">
        <v>1.2298529724824034</v>
      </c>
      <c r="AO37" s="1979">
        <v>1.2296174443764982</v>
      </c>
      <c r="AP37" s="1979">
        <v>1.2349164854695833</v>
      </c>
      <c r="AQ37" s="1979">
        <v>1.2359757273668808</v>
      </c>
      <c r="AR37" s="2000">
        <v>1.5680489795980979</v>
      </c>
      <c r="AS37" s="1998">
        <v>1.5613102567837809</v>
      </c>
      <c r="AT37" s="1998">
        <v>1.6142821697060121</v>
      </c>
      <c r="AU37" s="1998">
        <v>1.6097743323668694</v>
      </c>
      <c r="AV37" s="1998">
        <v>1.6217356368495446</v>
      </c>
      <c r="AW37" s="1998">
        <v>1.6190629444352378</v>
      </c>
      <c r="AX37" s="1998">
        <v>1.6291891039930768</v>
      </c>
      <c r="AY37" s="1998">
        <v>1.6283515565036062</v>
      </c>
      <c r="AZ37" s="1998">
        <v>1.6366425711366093</v>
      </c>
      <c r="BA37" s="1998">
        <v>1.6376401685719741</v>
      </c>
      <c r="BB37" s="1999">
        <v>1.9109185283416559</v>
      </c>
      <c r="BC37" s="1979">
        <v>1.8298325364506633</v>
      </c>
      <c r="BD37" s="1979">
        <v>1.9690321605216261</v>
      </c>
      <c r="BE37" s="1979">
        <v>1.8817949181522216</v>
      </c>
      <c r="BF37" s="1979">
        <v>1.9821935217501374</v>
      </c>
      <c r="BG37" s="1979">
        <v>1.8976330053584682</v>
      </c>
      <c r="BH37" s="1979">
        <v>1.9953548829786483</v>
      </c>
      <c r="BI37" s="1979">
        <v>1.9134710925647154</v>
      </c>
      <c r="BJ37" s="1979">
        <v>2.0085162442071596</v>
      </c>
      <c r="BK37" s="1979">
        <v>1.9293091797709618</v>
      </c>
      <c r="BL37" s="2000">
        <v>1.2120879805693454</v>
      </c>
      <c r="BM37" s="1998">
        <v>1.1863436725482781</v>
      </c>
      <c r="BN37" s="2000">
        <v>1.2145478924799773</v>
      </c>
      <c r="BO37" s="1998">
        <v>1.1892948040838043</v>
      </c>
      <c r="BP37" s="2000">
        <v>1.2170078043906094</v>
      </c>
      <c r="BQ37" s="1998">
        <v>1.1922459356193311</v>
      </c>
      <c r="BR37" s="2000">
        <v>1.2194677163012417</v>
      </c>
      <c r="BS37" s="1998">
        <v>1.1951970671548575</v>
      </c>
      <c r="BT37" s="2000">
        <v>1.2219276282118738</v>
      </c>
      <c r="BU37" s="1998">
        <v>1.1981481986903844</v>
      </c>
      <c r="BV37" s="1999">
        <v>1.5597409743426653</v>
      </c>
      <c r="BW37" s="1979">
        <v>1.5592329776216769</v>
      </c>
      <c r="BX37" s="1979">
        <v>1.5762405649852715</v>
      </c>
      <c r="BY37" s="1979">
        <v>1.5824424702078081</v>
      </c>
      <c r="BZ37" s="1979">
        <v>1.6050171840372716</v>
      </c>
      <c r="CA37" s="1979">
        <v>1.6199352195440722</v>
      </c>
      <c r="CB37" s="1979">
        <v>1.6305857643832289</v>
      </c>
      <c r="CC37" s="1979">
        <v>1.6553958596441449</v>
      </c>
      <c r="CD37" s="1979">
        <v>1.6680262679644162</v>
      </c>
      <c r="CE37" s="1979">
        <v>1.6986195198526912</v>
      </c>
      <c r="CF37" s="2000">
        <v>1.3546040647482247</v>
      </c>
      <c r="CG37" s="1998">
        <v>1.4214004601397792</v>
      </c>
      <c r="CH37" s="2000">
        <v>1.3573605591023012</v>
      </c>
      <c r="CI37" s="1998">
        <v>1.4249350562476273</v>
      </c>
      <c r="CJ37" s="2000">
        <v>1.3601170534563778</v>
      </c>
      <c r="CK37" s="1998">
        <v>1.4284696523554754</v>
      </c>
      <c r="CL37" s="2000">
        <v>1.3628735478104541</v>
      </c>
      <c r="CM37" s="1998">
        <v>1.4320042484633233</v>
      </c>
      <c r="CN37" s="2000">
        <v>1.3656300421645311</v>
      </c>
      <c r="CO37" s="1998">
        <v>1.4355388445711705</v>
      </c>
      <c r="CP37" s="1999">
        <v>1.3894221238565994</v>
      </c>
      <c r="CQ37" s="1979">
        <v>1.4608103571233104</v>
      </c>
      <c r="CR37" s="1999">
        <v>1.392315099446245</v>
      </c>
      <c r="CS37" s="1979">
        <v>1.4645114257031504</v>
      </c>
      <c r="CT37" s="1999">
        <v>1.3952080750358904</v>
      </c>
      <c r="CU37" s="1979">
        <v>1.4682124942829906</v>
      </c>
      <c r="CV37" s="1999">
        <v>1.398101050625536</v>
      </c>
      <c r="CW37" s="1979">
        <v>1.4719135628628301</v>
      </c>
      <c r="CX37" s="1999">
        <v>1.4009940262151814</v>
      </c>
      <c r="CY37" s="1979">
        <v>1.4756146314426704</v>
      </c>
      <c r="CZ37" s="2000">
        <v>1.0250174874917586</v>
      </c>
      <c r="DA37" s="1998">
        <v>1.0956184513429759</v>
      </c>
      <c r="DB37" s="2000">
        <v>1.0297507771063079</v>
      </c>
      <c r="DC37" s="1998">
        <v>1.1016175079505808</v>
      </c>
      <c r="DD37" s="2000">
        <v>1.034484066720857</v>
      </c>
      <c r="DE37" s="1998">
        <v>1.1076165645581852</v>
      </c>
      <c r="DF37" s="2000">
        <v>1.0392173563354061</v>
      </c>
      <c r="DG37" s="1998">
        <v>1.1136156211657902</v>
      </c>
      <c r="DH37" s="2000">
        <v>1.0486839355645048</v>
      </c>
      <c r="DI37" s="1998">
        <v>1.1256137343809998</v>
      </c>
      <c r="DJ37" s="1999">
        <v>1.1569354742555402</v>
      </c>
      <c r="DK37" s="1979">
        <v>1.2121140382520994</v>
      </c>
      <c r="DL37" s="1999">
        <v>1.1611098393959136</v>
      </c>
      <c r="DM37" s="1979">
        <v>1.2174764998793972</v>
      </c>
      <c r="DN37" s="1999">
        <v>1.1652842045362866</v>
      </c>
      <c r="DO37" s="1979">
        <v>1.2228389615066952</v>
      </c>
      <c r="DP37" s="1999">
        <v>1.1694585696766595</v>
      </c>
      <c r="DQ37" s="1979">
        <v>1.2282014231339933</v>
      </c>
      <c r="DR37" s="1999">
        <v>1.1778072999574059</v>
      </c>
      <c r="DS37" s="1979">
        <v>1.2389263463885896</v>
      </c>
      <c r="GT37" s="1980"/>
      <c r="GU37" s="1980"/>
      <c r="GV37" s="1980"/>
      <c r="GW37" s="1980"/>
      <c r="GX37" s="1980"/>
      <c r="GY37" s="1980"/>
      <c r="GZ37" s="1980"/>
      <c r="HA37" s="1980"/>
      <c r="HB37" s="1980"/>
      <c r="HC37" s="1980"/>
      <c r="HD37" s="1980"/>
      <c r="HE37" s="1980"/>
      <c r="HF37" s="1980"/>
      <c r="HG37" s="1980"/>
      <c r="HH37" s="1980"/>
      <c r="HI37" s="1980"/>
      <c r="HJ37" s="1980"/>
      <c r="HK37" s="1980"/>
      <c r="HL37" s="1980"/>
      <c r="HM37" s="1980"/>
      <c r="HN37" s="1980"/>
      <c r="HO37" s="1980"/>
      <c r="HP37" s="1980"/>
      <c r="HQ37" s="1980"/>
      <c r="HR37" s="1980"/>
      <c r="HS37" s="1980"/>
      <c r="HT37" s="1980"/>
      <c r="HU37" s="1980"/>
      <c r="HV37" s="1980"/>
      <c r="HW37" s="1980"/>
      <c r="HX37" s="1980"/>
      <c r="HY37" s="1980"/>
      <c r="HZ37" s="1980"/>
      <c r="IA37" s="1980"/>
      <c r="IB37" s="1980"/>
      <c r="IC37" s="1980"/>
      <c r="ID37" s="1980"/>
      <c r="IE37" s="1980"/>
      <c r="IF37" s="1980"/>
      <c r="IG37" s="1980"/>
      <c r="IH37" s="1980"/>
      <c r="II37" s="1980"/>
      <c r="IJ37" s="1980"/>
      <c r="IK37" s="1980"/>
      <c r="IL37" s="1980"/>
      <c r="IM37" s="1980"/>
      <c r="IN37" s="1980"/>
      <c r="IO37" s="1980"/>
      <c r="IP37" s="1980"/>
      <c r="IQ37" s="1980"/>
      <c r="IR37" s="1980"/>
      <c r="IS37" s="1980"/>
      <c r="IT37" s="1980"/>
      <c r="IU37" s="1980"/>
      <c r="IV37" s="1980"/>
      <c r="IW37" s="1980"/>
      <c r="IX37" s="1980"/>
      <c r="IY37" s="1980"/>
      <c r="IZ37" s="1980"/>
      <c r="JA37" s="1980"/>
      <c r="JB37" s="1980"/>
      <c r="JC37" s="1980"/>
      <c r="JD37" s="1980"/>
      <c r="JE37" s="1980"/>
      <c r="JF37" s="1980"/>
      <c r="JG37" s="1980"/>
      <c r="JH37" s="1980"/>
      <c r="JI37" s="1980"/>
      <c r="JJ37" s="1980"/>
      <c r="JK37" s="1980"/>
      <c r="JL37" s="1980"/>
      <c r="JM37" s="1980"/>
      <c r="JN37" s="1980"/>
      <c r="JO37" s="1980"/>
      <c r="JP37" s="1980"/>
      <c r="JQ37" s="1980"/>
      <c r="JR37" s="1980"/>
      <c r="JS37" s="1980"/>
      <c r="JT37" s="1980"/>
      <c r="JU37" s="1980"/>
      <c r="JV37" s="1980"/>
      <c r="JW37" s="1980"/>
      <c r="JX37" s="1980"/>
      <c r="JY37" s="1980"/>
      <c r="JZ37" s="1980"/>
      <c r="KA37" s="1980"/>
      <c r="KB37" s="1980"/>
      <c r="KC37" s="1980"/>
      <c r="KD37" s="1980"/>
      <c r="KE37" s="1980"/>
      <c r="KF37" s="1980"/>
      <c r="KG37" s="1980"/>
      <c r="KH37" s="1980"/>
      <c r="KI37" s="1980"/>
      <c r="KJ37" s="1980"/>
      <c r="KK37" s="1980"/>
    </row>
    <row r="38" spans="1:297">
      <c r="A38" s="1997"/>
      <c r="B38" s="2">
        <v>13</v>
      </c>
      <c r="C38" s="2" t="str">
        <f>CONCATENATE($U$8," ",$V$10)</f>
        <v>Proportion de fenêtres 0</v>
      </c>
      <c r="D38" s="1998">
        <v>0</v>
      </c>
      <c r="E38" s="1998">
        <v>0</v>
      </c>
      <c r="F38" s="1998">
        <v>0</v>
      </c>
      <c r="G38" s="1998">
        <v>0</v>
      </c>
      <c r="H38" s="1998">
        <v>0</v>
      </c>
      <c r="I38" s="1998">
        <v>0</v>
      </c>
      <c r="J38" s="1998">
        <v>0</v>
      </c>
      <c r="K38" s="1998">
        <v>0</v>
      </c>
      <c r="L38" s="1998">
        <v>0</v>
      </c>
      <c r="M38" s="1998">
        <v>0</v>
      </c>
      <c r="N38" s="1999">
        <v>0</v>
      </c>
      <c r="O38" s="1979">
        <v>0</v>
      </c>
      <c r="P38" s="1979">
        <v>0</v>
      </c>
      <c r="Q38" s="1979">
        <v>0</v>
      </c>
      <c r="R38" s="1979">
        <v>0</v>
      </c>
      <c r="S38" s="1979">
        <v>0</v>
      </c>
      <c r="T38" s="1979">
        <v>0</v>
      </c>
      <c r="U38" s="1979">
        <v>0</v>
      </c>
      <c r="V38" s="1979">
        <v>0</v>
      </c>
      <c r="W38" s="1979">
        <v>0</v>
      </c>
      <c r="X38" s="2000">
        <v>0</v>
      </c>
      <c r="Y38" s="1998">
        <v>0</v>
      </c>
      <c r="Z38" s="1998">
        <v>0</v>
      </c>
      <c r="AA38" s="1998">
        <v>0</v>
      </c>
      <c r="AB38" s="1998">
        <v>0</v>
      </c>
      <c r="AC38" s="1998">
        <v>0</v>
      </c>
      <c r="AD38" s="1998">
        <v>0</v>
      </c>
      <c r="AE38" s="1998">
        <v>0</v>
      </c>
      <c r="AF38" s="1998">
        <v>0</v>
      </c>
      <c r="AG38" s="1998">
        <v>0</v>
      </c>
      <c r="AH38" s="1999">
        <v>0</v>
      </c>
      <c r="AI38" s="1979">
        <v>0</v>
      </c>
      <c r="AJ38" s="1979">
        <v>0</v>
      </c>
      <c r="AK38" s="1979">
        <v>0</v>
      </c>
      <c r="AL38" s="1979">
        <v>0</v>
      </c>
      <c r="AM38" s="1979">
        <v>0</v>
      </c>
      <c r="AN38" s="1979">
        <v>0</v>
      </c>
      <c r="AO38" s="1979">
        <v>0</v>
      </c>
      <c r="AP38" s="1979">
        <v>0</v>
      </c>
      <c r="AQ38" s="1979">
        <v>0</v>
      </c>
      <c r="AR38" s="2000">
        <v>1.0772947386947094</v>
      </c>
      <c r="AS38" s="1998">
        <v>1.0714914271982074</v>
      </c>
      <c r="AT38" s="1998">
        <v>1.1104692805439469</v>
      </c>
      <c r="AU38" s="1998">
        <v>1.1116321678769217</v>
      </c>
      <c r="AV38" s="1998">
        <v>1.112953769591791</v>
      </c>
      <c r="AW38" s="1998">
        <v>1.1147283718997112</v>
      </c>
      <c r="AX38" s="1998">
        <v>1.1154382586396354</v>
      </c>
      <c r="AY38" s="1998">
        <v>1.1178245759225005</v>
      </c>
      <c r="AZ38" s="1998">
        <v>1.1179227476874791</v>
      </c>
      <c r="BA38" s="1998">
        <v>1.1209207799452898</v>
      </c>
      <c r="BB38" s="1999">
        <v>0</v>
      </c>
      <c r="BC38" s="1979">
        <v>0</v>
      </c>
      <c r="BD38" s="1979">
        <v>0</v>
      </c>
      <c r="BE38" s="1979">
        <v>0</v>
      </c>
      <c r="BF38" s="1979">
        <v>0</v>
      </c>
      <c r="BG38" s="1979">
        <v>0</v>
      </c>
      <c r="BH38" s="1979">
        <v>0</v>
      </c>
      <c r="BI38" s="1979">
        <v>0</v>
      </c>
      <c r="BJ38" s="1979">
        <v>0</v>
      </c>
      <c r="BK38" s="1979">
        <v>0</v>
      </c>
      <c r="BL38" s="2000">
        <v>1.0659432454101234</v>
      </c>
      <c r="BM38" s="1998">
        <v>1.0594407689304983</v>
      </c>
      <c r="BN38" s="2000">
        <v>1.0684031573207555</v>
      </c>
      <c r="BO38" s="1998">
        <v>1.0623919004660249</v>
      </c>
      <c r="BP38" s="2000">
        <v>1.0708630692313876</v>
      </c>
      <c r="BQ38" s="1998">
        <v>1.0653430320015513</v>
      </c>
      <c r="BR38" s="2000">
        <v>1.07332298114202</v>
      </c>
      <c r="BS38" s="1998">
        <v>1.068294163537078</v>
      </c>
      <c r="BT38" s="2000">
        <v>1.0757828930526521</v>
      </c>
      <c r="BU38" s="1998">
        <v>1.0712452950726046</v>
      </c>
      <c r="BV38" s="1999">
        <v>1.0319639536862864</v>
      </c>
      <c r="BW38" s="1979">
        <v>1.0287489359252069</v>
      </c>
      <c r="BX38" s="1979">
        <v>1.0467150261266081</v>
      </c>
      <c r="BY38" s="1979">
        <v>1.0494955192024507</v>
      </c>
      <c r="BZ38" s="1979">
        <v>1.0747488367241911</v>
      </c>
      <c r="CA38" s="1979">
        <v>1.0859652921632521</v>
      </c>
      <c r="CB38" s="1979">
        <v>1.1000185752178273</v>
      </c>
      <c r="CC38" s="1979">
        <v>1.1210029043219571</v>
      </c>
      <c r="CD38" s="1979">
        <v>1.1341922561378863</v>
      </c>
      <c r="CE38" s="1979">
        <v>1.1618627815620173</v>
      </c>
      <c r="CF38" s="2000">
        <v>1.0473990853899768</v>
      </c>
      <c r="CG38" s="1998">
        <v>1.1237238130658931</v>
      </c>
      <c r="CH38" s="2000">
        <v>1.0501555797440534</v>
      </c>
      <c r="CI38" s="1998">
        <v>1.127258409173741</v>
      </c>
      <c r="CJ38" s="2000">
        <v>1.0529120740981301</v>
      </c>
      <c r="CK38" s="1998">
        <v>1.1307930052815887</v>
      </c>
      <c r="CL38" s="2000">
        <v>1.0556685684522065</v>
      </c>
      <c r="CM38" s="1998">
        <v>1.1343276013894366</v>
      </c>
      <c r="CN38" s="2000">
        <v>1.058425062806283</v>
      </c>
      <c r="CO38" s="1998">
        <v>1.1378621974972842</v>
      </c>
      <c r="CP38" s="1999">
        <v>1.0485889364287555</v>
      </c>
      <c r="CQ38" s="1979">
        <v>1.1321930013130395</v>
      </c>
      <c r="CR38" s="1999">
        <v>1.0514819120184009</v>
      </c>
      <c r="CS38" s="1979">
        <v>1.1358940698928792</v>
      </c>
      <c r="CT38" s="1999">
        <v>1.0543748876080463</v>
      </c>
      <c r="CU38" s="1979">
        <v>1.1395951384727194</v>
      </c>
      <c r="CV38" s="1999">
        <v>1.0572678631976922</v>
      </c>
      <c r="CW38" s="1979">
        <v>1.1432962070525596</v>
      </c>
      <c r="CX38" s="1999">
        <v>1.0601608387873376</v>
      </c>
      <c r="CY38" s="1979">
        <v>1.1469972756323994</v>
      </c>
      <c r="CZ38" s="2000">
        <v>1.1543022096887741</v>
      </c>
      <c r="DA38" s="1998">
        <v>1.2199257437728608</v>
      </c>
      <c r="DB38" s="2000">
        <v>1.1590354993033229</v>
      </c>
      <c r="DC38" s="1998">
        <v>1.2259248003804655</v>
      </c>
      <c r="DD38" s="2000">
        <v>1.1637687889178723</v>
      </c>
      <c r="DE38" s="1998">
        <v>1.2319238569880699</v>
      </c>
      <c r="DF38" s="2000">
        <v>1.1685020785324216</v>
      </c>
      <c r="DG38" s="1998">
        <v>1.2379229135956749</v>
      </c>
      <c r="DH38" s="2000">
        <v>1.17796865776152</v>
      </c>
      <c r="DI38" s="1998">
        <v>1.2499210268108847</v>
      </c>
      <c r="DJ38" s="1999">
        <v>1.1871561494457417</v>
      </c>
      <c r="DK38" s="1979">
        <v>1.2486299034042465</v>
      </c>
      <c r="DL38" s="1999">
        <v>1.1913305145861148</v>
      </c>
      <c r="DM38" s="1979">
        <v>1.2539923650315443</v>
      </c>
      <c r="DN38" s="1999">
        <v>1.195504879726488</v>
      </c>
      <c r="DO38" s="1979">
        <v>1.2593548266588428</v>
      </c>
      <c r="DP38" s="1999">
        <v>1.1996792448668609</v>
      </c>
      <c r="DQ38" s="1979">
        <v>1.2647172882861406</v>
      </c>
      <c r="DR38" s="1999">
        <v>1.2080279751476073</v>
      </c>
      <c r="DS38" s="1979">
        <v>1.2754422115407367</v>
      </c>
      <c r="GT38" s="1980"/>
      <c r="GU38" s="1980"/>
      <c r="GV38" s="1980"/>
      <c r="GW38" s="1980"/>
      <c r="GX38" s="1980"/>
      <c r="GY38" s="1980"/>
      <c r="GZ38" s="1980"/>
      <c r="HA38" s="1980"/>
      <c r="HB38" s="1980"/>
      <c r="HC38" s="1980"/>
      <c r="HD38" s="1980"/>
      <c r="HE38" s="1980"/>
      <c r="HF38" s="1980"/>
      <c r="HG38" s="1980"/>
      <c r="HH38" s="1980"/>
      <c r="HI38" s="1980"/>
      <c r="HJ38" s="1980"/>
      <c r="HK38" s="1980"/>
      <c r="HL38" s="1980"/>
      <c r="HM38" s="1980"/>
      <c r="HN38" s="1980"/>
      <c r="HO38" s="1980"/>
      <c r="HP38" s="1980"/>
      <c r="HQ38" s="1980"/>
      <c r="HR38" s="1980"/>
      <c r="HS38" s="1980"/>
      <c r="HT38" s="1980"/>
      <c r="HU38" s="1980"/>
      <c r="HV38" s="1980"/>
      <c r="HW38" s="1980"/>
      <c r="HX38" s="1980"/>
      <c r="HY38" s="1980"/>
      <c r="HZ38" s="1980"/>
      <c r="IA38" s="1980"/>
      <c r="IB38" s="1980"/>
      <c r="IC38" s="1980"/>
      <c r="ID38" s="1980"/>
      <c r="IE38" s="1980"/>
      <c r="IF38" s="1980"/>
      <c r="IG38" s="1980"/>
      <c r="IH38" s="1980"/>
      <c r="II38" s="1980"/>
      <c r="IJ38" s="1980"/>
      <c r="IK38" s="1980"/>
      <c r="IL38" s="1980"/>
      <c r="IM38" s="1980"/>
      <c r="IN38" s="1980"/>
      <c r="IO38" s="1980"/>
      <c r="IP38" s="1980"/>
      <c r="IQ38" s="1980"/>
      <c r="IR38" s="1980"/>
      <c r="IS38" s="1980"/>
      <c r="IT38" s="1980"/>
      <c r="IU38" s="1980"/>
      <c r="IV38" s="1980"/>
      <c r="IW38" s="1980"/>
      <c r="IX38" s="1980"/>
      <c r="IY38" s="1980"/>
      <c r="IZ38" s="1980"/>
      <c r="JA38" s="1980"/>
      <c r="JB38" s="1980"/>
      <c r="JC38" s="1980"/>
      <c r="JD38" s="1980"/>
      <c r="JE38" s="1980"/>
      <c r="JF38" s="1980"/>
      <c r="JG38" s="1980"/>
      <c r="JH38" s="1980"/>
      <c r="JI38" s="1980"/>
      <c r="JJ38" s="1980"/>
      <c r="JK38" s="1980"/>
      <c r="JL38" s="1980"/>
      <c r="JM38" s="1980"/>
      <c r="JN38" s="1980"/>
      <c r="JO38" s="1980"/>
      <c r="JP38" s="1980"/>
      <c r="JQ38" s="1980"/>
      <c r="JR38" s="1980"/>
      <c r="JS38" s="1980"/>
      <c r="JT38" s="1980"/>
      <c r="JU38" s="1980"/>
      <c r="JV38" s="1980"/>
      <c r="JW38" s="1980"/>
      <c r="JX38" s="1980"/>
      <c r="JY38" s="1980"/>
      <c r="JZ38" s="1980"/>
      <c r="KA38" s="1980"/>
      <c r="KB38" s="1980"/>
      <c r="KC38" s="1980"/>
      <c r="KD38" s="1980"/>
      <c r="KE38" s="1980"/>
      <c r="KF38" s="1980"/>
      <c r="KG38" s="1980"/>
      <c r="KH38" s="1980"/>
      <c r="KI38" s="1980"/>
      <c r="KJ38" s="1980"/>
      <c r="KK38" s="1980"/>
    </row>
    <row r="39" spans="1:297">
      <c r="A39" s="1997"/>
      <c r="B39" s="2">
        <v>14</v>
      </c>
      <c r="C39" s="2" t="str">
        <f>CONCATENATE($U$8," ",$V$11)</f>
        <v>Proportion de fenêtres 10</v>
      </c>
      <c r="D39" s="1998">
        <v>0</v>
      </c>
      <c r="E39" s="1998">
        <v>0</v>
      </c>
      <c r="F39" s="1998">
        <v>0</v>
      </c>
      <c r="G39" s="1998">
        <v>0</v>
      </c>
      <c r="H39" s="1998">
        <v>0</v>
      </c>
      <c r="I39" s="1998">
        <v>0</v>
      </c>
      <c r="J39" s="1998">
        <v>0</v>
      </c>
      <c r="K39" s="1998">
        <v>0</v>
      </c>
      <c r="L39" s="1998">
        <v>0</v>
      </c>
      <c r="M39" s="1998">
        <v>0</v>
      </c>
      <c r="N39" s="1999">
        <v>0</v>
      </c>
      <c r="O39" s="1979">
        <v>0</v>
      </c>
      <c r="P39" s="1979">
        <v>0</v>
      </c>
      <c r="Q39" s="1979">
        <v>0</v>
      </c>
      <c r="R39" s="1979">
        <v>0</v>
      </c>
      <c r="S39" s="1979">
        <v>0</v>
      </c>
      <c r="T39" s="1979">
        <v>0</v>
      </c>
      <c r="U39" s="1979">
        <v>0</v>
      </c>
      <c r="V39" s="1979">
        <v>0</v>
      </c>
      <c r="W39" s="1979">
        <v>0</v>
      </c>
      <c r="X39" s="2000">
        <v>0</v>
      </c>
      <c r="Y39" s="1998">
        <v>0</v>
      </c>
      <c r="Z39" s="1998">
        <v>0</v>
      </c>
      <c r="AA39" s="1998">
        <v>0</v>
      </c>
      <c r="AB39" s="1998">
        <v>0</v>
      </c>
      <c r="AC39" s="1998">
        <v>0</v>
      </c>
      <c r="AD39" s="1998">
        <v>0</v>
      </c>
      <c r="AE39" s="1998">
        <v>0</v>
      </c>
      <c r="AF39" s="1998">
        <v>0</v>
      </c>
      <c r="AG39" s="1998">
        <v>0</v>
      </c>
      <c r="AH39" s="1999">
        <v>0</v>
      </c>
      <c r="AI39" s="1979">
        <v>0</v>
      </c>
      <c r="AJ39" s="1979">
        <v>0</v>
      </c>
      <c r="AK39" s="1979">
        <v>0</v>
      </c>
      <c r="AL39" s="1979">
        <v>0</v>
      </c>
      <c r="AM39" s="1979">
        <v>0</v>
      </c>
      <c r="AN39" s="1979">
        <v>0</v>
      </c>
      <c r="AO39" s="1979">
        <v>0</v>
      </c>
      <c r="AP39" s="1979">
        <v>0</v>
      </c>
      <c r="AQ39" s="1979">
        <v>0</v>
      </c>
      <c r="AR39" s="2000">
        <v>1.0723375395338652</v>
      </c>
      <c r="AS39" s="1998">
        <v>1.0657309806298907</v>
      </c>
      <c r="AT39" s="1998">
        <v>1.105512081383103</v>
      </c>
      <c r="AU39" s="1998">
        <v>1.1058717213086051</v>
      </c>
      <c r="AV39" s="1998">
        <v>1.1079965704309471</v>
      </c>
      <c r="AW39" s="1998">
        <v>1.1089679253313947</v>
      </c>
      <c r="AX39" s="1998">
        <v>1.1104810594787911</v>
      </c>
      <c r="AY39" s="1998">
        <v>1.112064129354184</v>
      </c>
      <c r="AZ39" s="1998">
        <v>1.1129655485266354</v>
      </c>
      <c r="BA39" s="1998">
        <v>1.1151603333769735</v>
      </c>
      <c r="BB39" s="1999">
        <v>0</v>
      </c>
      <c r="BC39" s="1979">
        <v>0</v>
      </c>
      <c r="BD39" s="1979">
        <v>0</v>
      </c>
      <c r="BE39" s="1979">
        <v>0</v>
      </c>
      <c r="BF39" s="1979">
        <v>0</v>
      </c>
      <c r="BG39" s="1979">
        <v>0</v>
      </c>
      <c r="BH39" s="1979">
        <v>0</v>
      </c>
      <c r="BI39" s="1979">
        <v>0</v>
      </c>
      <c r="BJ39" s="1979">
        <v>0</v>
      </c>
      <c r="BK39" s="1979">
        <v>0</v>
      </c>
      <c r="BL39" s="2000">
        <v>1.0615534150330903</v>
      </c>
      <c r="BM39" s="1998">
        <v>1.0544871747991711</v>
      </c>
      <c r="BN39" s="2000">
        <v>1.0640133269437226</v>
      </c>
      <c r="BO39" s="1998">
        <v>1.0574383063346975</v>
      </c>
      <c r="BP39" s="2000">
        <v>1.0664732388543545</v>
      </c>
      <c r="BQ39" s="1998">
        <v>1.0603894378702241</v>
      </c>
      <c r="BR39" s="2000">
        <v>1.0689331507649866</v>
      </c>
      <c r="BS39" s="1998">
        <v>1.0633405694057505</v>
      </c>
      <c r="BT39" s="2000">
        <v>1.071393062675619</v>
      </c>
      <c r="BU39" s="1998">
        <v>1.0662917009412771</v>
      </c>
      <c r="BV39" s="1999">
        <v>1.0302425203425314</v>
      </c>
      <c r="BW39" s="1979">
        <v>1.0267902019555972</v>
      </c>
      <c r="BX39" s="1979">
        <v>1.0447844034862286</v>
      </c>
      <c r="BY39" s="1979">
        <v>1.0472406656738835</v>
      </c>
      <c r="BZ39" s="1979">
        <v>1.0727136194354996</v>
      </c>
      <c r="CA39" s="1979">
        <v>1.083562378855206</v>
      </c>
      <c r="CB39" s="1979">
        <v>1.0978787632808236</v>
      </c>
      <c r="CC39" s="1979">
        <v>1.1184519312344323</v>
      </c>
      <c r="CD39" s="1979">
        <v>1.1319478495525703</v>
      </c>
      <c r="CE39" s="1979">
        <v>1.1591637486950137</v>
      </c>
      <c r="CF39" s="2000">
        <v>1.0452078517517098</v>
      </c>
      <c r="CG39" s="1998">
        <v>1.1210809476800148</v>
      </c>
      <c r="CH39" s="2000">
        <v>1.0479643461057864</v>
      </c>
      <c r="CI39" s="1998">
        <v>1.1246155437878624</v>
      </c>
      <c r="CJ39" s="2000">
        <v>1.0507208404598629</v>
      </c>
      <c r="CK39" s="1998">
        <v>1.1281501398957103</v>
      </c>
      <c r="CL39" s="2000">
        <v>1.0534773348139392</v>
      </c>
      <c r="CM39" s="1998">
        <v>1.1316847360035578</v>
      </c>
      <c r="CN39" s="2000">
        <v>1.056233829168016</v>
      </c>
      <c r="CO39" s="1998">
        <v>1.1352193321114059</v>
      </c>
      <c r="CP39" s="1999">
        <v>1.0461953426674353</v>
      </c>
      <c r="CQ39" s="1979">
        <v>1.1293127095883306</v>
      </c>
      <c r="CR39" s="1999">
        <v>1.0490883182570809</v>
      </c>
      <c r="CS39" s="1979">
        <v>1.1330137781681706</v>
      </c>
      <c r="CT39" s="1999">
        <v>1.0519812938467263</v>
      </c>
      <c r="CU39" s="1979">
        <v>1.1367148467480104</v>
      </c>
      <c r="CV39" s="1999">
        <v>1.054874269436372</v>
      </c>
      <c r="CW39" s="1979">
        <v>1.1404159153278506</v>
      </c>
      <c r="CX39" s="1999">
        <v>1.0577672450260174</v>
      </c>
      <c r="CY39" s="1979">
        <v>1.1441169839076906</v>
      </c>
      <c r="CZ39" s="2000">
        <v>1.150735954892395</v>
      </c>
      <c r="DA39" s="1998">
        <v>1.2156743050929051</v>
      </c>
      <c r="DB39" s="2000">
        <v>1.1554692445069439</v>
      </c>
      <c r="DC39" s="1998">
        <v>1.2216733617005096</v>
      </c>
      <c r="DD39" s="2000">
        <v>1.1602025341214932</v>
      </c>
      <c r="DE39" s="1998">
        <v>1.2276724183081145</v>
      </c>
      <c r="DF39" s="2000">
        <v>1.1649358237360425</v>
      </c>
      <c r="DG39" s="1998">
        <v>1.2336714749157192</v>
      </c>
      <c r="DH39" s="2000">
        <v>1.1744024029651408</v>
      </c>
      <c r="DI39" s="1998">
        <v>1.2456695881309288</v>
      </c>
      <c r="DJ39" s="1999">
        <v>1.1811120144077014</v>
      </c>
      <c r="DK39" s="1979">
        <v>1.2413267303738169</v>
      </c>
      <c r="DL39" s="1999">
        <v>1.1852863795480744</v>
      </c>
      <c r="DM39" s="1979">
        <v>1.2466891920011149</v>
      </c>
      <c r="DN39" s="1999">
        <v>1.1894607446884475</v>
      </c>
      <c r="DO39" s="1979">
        <v>1.252051653628413</v>
      </c>
      <c r="DP39" s="1999">
        <v>1.1936351098288207</v>
      </c>
      <c r="DQ39" s="1979">
        <v>1.2574141152557112</v>
      </c>
      <c r="DR39" s="1999">
        <v>1.201983840109567</v>
      </c>
      <c r="DS39" s="1979">
        <v>1.2681390385103073</v>
      </c>
      <c r="GT39" s="1980"/>
      <c r="GU39" s="1980"/>
      <c r="GV39" s="1980"/>
      <c r="GW39" s="1980"/>
      <c r="GX39" s="1980"/>
      <c r="GY39" s="1980"/>
      <c r="GZ39" s="1980"/>
      <c r="HA39" s="1980"/>
      <c r="HB39" s="1980"/>
      <c r="HC39" s="1980"/>
      <c r="HD39" s="1980"/>
      <c r="HE39" s="1980"/>
      <c r="HF39" s="1980"/>
      <c r="HG39" s="1980"/>
      <c r="HH39" s="1980"/>
      <c r="HI39" s="1980"/>
      <c r="HJ39" s="1980"/>
      <c r="HK39" s="1980"/>
      <c r="HL39" s="1980"/>
      <c r="HM39" s="1980"/>
      <c r="HN39" s="1980"/>
      <c r="HO39" s="1980"/>
      <c r="HP39" s="1980"/>
      <c r="HQ39" s="1980"/>
      <c r="HR39" s="1980"/>
      <c r="HS39" s="1980"/>
      <c r="HT39" s="1980"/>
      <c r="HU39" s="1980"/>
      <c r="HV39" s="1980"/>
      <c r="HW39" s="1980"/>
      <c r="HX39" s="1980"/>
      <c r="HY39" s="1980"/>
      <c r="HZ39" s="1980"/>
      <c r="IA39" s="1980"/>
      <c r="IB39" s="1980"/>
      <c r="IC39" s="1980"/>
      <c r="ID39" s="1980"/>
      <c r="IE39" s="1980"/>
      <c r="IF39" s="1980"/>
      <c r="IG39" s="1980"/>
      <c r="IH39" s="1980"/>
      <c r="II39" s="1980"/>
      <c r="IJ39" s="1980"/>
      <c r="IK39" s="1980"/>
      <c r="IL39" s="1980"/>
      <c r="IM39" s="1980"/>
      <c r="IN39" s="1980"/>
      <c r="IO39" s="1980"/>
      <c r="IP39" s="1980"/>
      <c r="IQ39" s="1980"/>
      <c r="IR39" s="1980"/>
      <c r="IS39" s="1980"/>
      <c r="IT39" s="1980"/>
      <c r="IU39" s="1980"/>
      <c r="IV39" s="1980"/>
      <c r="IW39" s="1980"/>
      <c r="IX39" s="1980"/>
      <c r="IY39" s="1980"/>
      <c r="IZ39" s="1980"/>
      <c r="JA39" s="1980"/>
      <c r="JB39" s="1980"/>
      <c r="JC39" s="1980"/>
      <c r="JD39" s="1980"/>
      <c r="JE39" s="1980"/>
      <c r="JF39" s="1980"/>
      <c r="JG39" s="1980"/>
      <c r="JH39" s="1980"/>
      <c r="JI39" s="1980"/>
      <c r="JJ39" s="1980"/>
      <c r="JK39" s="1980"/>
      <c r="JL39" s="1980"/>
      <c r="JM39" s="1980"/>
      <c r="JN39" s="1980"/>
      <c r="JO39" s="1980"/>
      <c r="JP39" s="1980"/>
      <c r="JQ39" s="1980"/>
      <c r="JR39" s="1980"/>
      <c r="JS39" s="1980"/>
      <c r="JT39" s="1980"/>
      <c r="JU39" s="1980"/>
      <c r="JV39" s="1980"/>
      <c r="JW39" s="1980"/>
      <c r="JX39" s="1980"/>
      <c r="JY39" s="1980"/>
      <c r="JZ39" s="1980"/>
      <c r="KA39" s="1980"/>
      <c r="KB39" s="1980"/>
      <c r="KC39" s="1980"/>
      <c r="KD39" s="1980"/>
      <c r="KE39" s="1980"/>
      <c r="KF39" s="1980"/>
      <c r="KG39" s="1980"/>
      <c r="KH39" s="1980"/>
      <c r="KI39" s="1980"/>
      <c r="KJ39" s="1980"/>
      <c r="KK39" s="1980"/>
    </row>
    <row r="40" spans="1:297">
      <c r="A40" s="1997"/>
      <c r="B40" s="2">
        <v>15</v>
      </c>
      <c r="C40" s="2" t="str">
        <f>CONCATENATE($U$8," ",$V$12)</f>
        <v>Proportion de fenêtres 20</v>
      </c>
      <c r="D40" s="1998">
        <v>0</v>
      </c>
      <c r="E40" s="1998">
        <v>0</v>
      </c>
      <c r="F40" s="1998">
        <v>0</v>
      </c>
      <c r="G40" s="1998">
        <v>0</v>
      </c>
      <c r="H40" s="1998">
        <v>0</v>
      </c>
      <c r="I40" s="1998">
        <v>0</v>
      </c>
      <c r="J40" s="1998">
        <v>0</v>
      </c>
      <c r="K40" s="1998">
        <v>0</v>
      </c>
      <c r="L40" s="1998">
        <v>0</v>
      </c>
      <c r="M40" s="1998">
        <v>0</v>
      </c>
      <c r="N40" s="1999">
        <v>0</v>
      </c>
      <c r="O40" s="1979">
        <v>0</v>
      </c>
      <c r="P40" s="1979">
        <v>0</v>
      </c>
      <c r="Q40" s="1979">
        <v>0</v>
      </c>
      <c r="R40" s="1979">
        <v>0</v>
      </c>
      <c r="S40" s="1979">
        <v>0</v>
      </c>
      <c r="T40" s="1979">
        <v>0</v>
      </c>
      <c r="U40" s="1979">
        <v>0</v>
      </c>
      <c r="V40" s="1979">
        <v>0</v>
      </c>
      <c r="W40" s="1979">
        <v>0</v>
      </c>
      <c r="X40" s="2000">
        <v>0</v>
      </c>
      <c r="Y40" s="1998">
        <v>0</v>
      </c>
      <c r="Z40" s="1998">
        <v>0</v>
      </c>
      <c r="AA40" s="1998">
        <v>0</v>
      </c>
      <c r="AB40" s="1998">
        <v>0</v>
      </c>
      <c r="AC40" s="1998">
        <v>0</v>
      </c>
      <c r="AD40" s="1998">
        <v>0</v>
      </c>
      <c r="AE40" s="1998">
        <v>0</v>
      </c>
      <c r="AF40" s="1998">
        <v>0</v>
      </c>
      <c r="AG40" s="1998">
        <v>0</v>
      </c>
      <c r="AH40" s="1999">
        <v>0</v>
      </c>
      <c r="AI40" s="1979">
        <v>0</v>
      </c>
      <c r="AJ40" s="1979">
        <v>0</v>
      </c>
      <c r="AK40" s="1979">
        <v>0</v>
      </c>
      <c r="AL40" s="1979">
        <v>0</v>
      </c>
      <c r="AM40" s="1979">
        <v>0</v>
      </c>
      <c r="AN40" s="1979">
        <v>0</v>
      </c>
      <c r="AO40" s="1979">
        <v>0</v>
      </c>
      <c r="AP40" s="1979">
        <v>0</v>
      </c>
      <c r="AQ40" s="1979">
        <v>0</v>
      </c>
      <c r="AR40" s="2000">
        <v>1.0673803403730213</v>
      </c>
      <c r="AS40" s="1998">
        <v>1.0599705340615744</v>
      </c>
      <c r="AT40" s="1998">
        <v>1.1005548822222591</v>
      </c>
      <c r="AU40" s="1998">
        <v>1.1001112747402886</v>
      </c>
      <c r="AV40" s="1998">
        <v>1.1030393712701032</v>
      </c>
      <c r="AW40" s="1998">
        <v>1.1032074787630781</v>
      </c>
      <c r="AX40" s="1998">
        <v>1.1055238603179471</v>
      </c>
      <c r="AY40" s="1998">
        <v>1.1063036827858674</v>
      </c>
      <c r="AZ40" s="1998">
        <v>1.1080083493657915</v>
      </c>
      <c r="BA40" s="1998">
        <v>1.109399886808657</v>
      </c>
      <c r="BB40" s="1999">
        <v>0</v>
      </c>
      <c r="BC40" s="1979">
        <v>0</v>
      </c>
      <c r="BD40" s="1979">
        <v>0</v>
      </c>
      <c r="BE40" s="1979">
        <v>0</v>
      </c>
      <c r="BF40" s="1979">
        <v>0</v>
      </c>
      <c r="BG40" s="1979">
        <v>0</v>
      </c>
      <c r="BH40" s="1979">
        <v>0</v>
      </c>
      <c r="BI40" s="1979">
        <v>0</v>
      </c>
      <c r="BJ40" s="1979">
        <v>0</v>
      </c>
      <c r="BK40" s="1979">
        <v>0</v>
      </c>
      <c r="BL40" s="2000">
        <v>1.0571635846560574</v>
      </c>
      <c r="BM40" s="1998">
        <v>1.0495335806678436</v>
      </c>
      <c r="BN40" s="2000">
        <v>1.0596234965666897</v>
      </c>
      <c r="BO40" s="1998">
        <v>1.0524847122033703</v>
      </c>
      <c r="BP40" s="2000">
        <v>1.0620834084773219</v>
      </c>
      <c r="BQ40" s="1998">
        <v>1.0554358437388967</v>
      </c>
      <c r="BR40" s="2000">
        <v>1.0645433203879537</v>
      </c>
      <c r="BS40" s="1998">
        <v>1.0583869752744233</v>
      </c>
      <c r="BT40" s="2000">
        <v>1.0670032322985858</v>
      </c>
      <c r="BU40" s="1998">
        <v>1.0613381068099497</v>
      </c>
      <c r="BV40" s="1999">
        <v>1.0285210869987764</v>
      </c>
      <c r="BW40" s="1979">
        <v>1.0248314679859876</v>
      </c>
      <c r="BX40" s="1979">
        <v>1.0428537808458493</v>
      </c>
      <c r="BY40" s="1979">
        <v>1.0449858121453162</v>
      </c>
      <c r="BZ40" s="1979">
        <v>1.0706784021468081</v>
      </c>
      <c r="CA40" s="1979">
        <v>1.0811594655471601</v>
      </c>
      <c r="CB40" s="1979">
        <v>1.0957389513438198</v>
      </c>
      <c r="CC40" s="1979">
        <v>1.1159009581469075</v>
      </c>
      <c r="CD40" s="1979">
        <v>1.1297034429672543</v>
      </c>
      <c r="CE40" s="1979">
        <v>1.1564647158280101</v>
      </c>
      <c r="CF40" s="2000">
        <v>1.0430166181134426</v>
      </c>
      <c r="CG40" s="1998">
        <v>1.118438082294136</v>
      </c>
      <c r="CH40" s="2000">
        <v>1.0457731124675191</v>
      </c>
      <c r="CI40" s="1998">
        <v>1.1219726784019839</v>
      </c>
      <c r="CJ40" s="2000">
        <v>1.0485296068215959</v>
      </c>
      <c r="CK40" s="1998">
        <v>1.1255072745098318</v>
      </c>
      <c r="CL40" s="2000">
        <v>1.0512861011756722</v>
      </c>
      <c r="CM40" s="1998">
        <v>1.1290418706176797</v>
      </c>
      <c r="CN40" s="2000">
        <v>1.0540425955297488</v>
      </c>
      <c r="CO40" s="1998">
        <v>1.1325764667255276</v>
      </c>
      <c r="CP40" s="1999">
        <v>1.0438017489061153</v>
      </c>
      <c r="CQ40" s="1979">
        <v>1.1264324178636216</v>
      </c>
      <c r="CR40" s="1999">
        <v>1.0466947244957607</v>
      </c>
      <c r="CS40" s="1979">
        <v>1.1301334864434616</v>
      </c>
      <c r="CT40" s="1999">
        <v>1.0495877000854061</v>
      </c>
      <c r="CU40" s="1979">
        <v>1.1338345550233015</v>
      </c>
      <c r="CV40" s="1999">
        <v>1.0524806756750518</v>
      </c>
      <c r="CW40" s="1979">
        <v>1.1375356236031415</v>
      </c>
      <c r="CX40" s="1999">
        <v>1.0553736512646972</v>
      </c>
      <c r="CY40" s="1979">
        <v>1.1412366921829815</v>
      </c>
      <c r="CZ40" s="2000">
        <v>1.1471697000960157</v>
      </c>
      <c r="DA40" s="1998">
        <v>1.2114228664129492</v>
      </c>
      <c r="DB40" s="2000">
        <v>1.151902989710565</v>
      </c>
      <c r="DC40" s="1998">
        <v>1.2174219230205543</v>
      </c>
      <c r="DD40" s="2000">
        <v>1.1566362793251144</v>
      </c>
      <c r="DE40" s="1998">
        <v>1.223420979628159</v>
      </c>
      <c r="DF40" s="2000">
        <v>1.1613695689396633</v>
      </c>
      <c r="DG40" s="1998">
        <v>1.2294200362357637</v>
      </c>
      <c r="DH40" s="2000">
        <v>1.1708361481687619</v>
      </c>
      <c r="DI40" s="1998">
        <v>1.2414181494509733</v>
      </c>
      <c r="DJ40" s="1999">
        <v>1.175067879369661</v>
      </c>
      <c r="DK40" s="1979">
        <v>1.2340235573433875</v>
      </c>
      <c r="DL40" s="1999">
        <v>1.1792422445100341</v>
      </c>
      <c r="DM40" s="1979">
        <v>1.2393860189706856</v>
      </c>
      <c r="DN40" s="1999">
        <v>1.1834166096504075</v>
      </c>
      <c r="DO40" s="1979">
        <v>1.2447484805979836</v>
      </c>
      <c r="DP40" s="1999">
        <v>1.1875909747907805</v>
      </c>
      <c r="DQ40" s="1979">
        <v>1.2501109422252816</v>
      </c>
      <c r="DR40" s="1999">
        <v>1.195939705071527</v>
      </c>
      <c r="DS40" s="1979">
        <v>1.2608358654798779</v>
      </c>
      <c r="GT40" s="1980"/>
      <c r="GU40" s="1980"/>
      <c r="GV40" s="1980"/>
      <c r="GW40" s="1980"/>
      <c r="GX40" s="1980"/>
      <c r="GY40" s="1980"/>
      <c r="GZ40" s="1980"/>
      <c r="HA40" s="1980"/>
      <c r="HB40" s="1980"/>
      <c r="HC40" s="1980"/>
      <c r="HD40" s="1980"/>
      <c r="HE40" s="1980"/>
      <c r="HF40" s="1980"/>
      <c r="HG40" s="1980"/>
      <c r="HH40" s="1980"/>
      <c r="HI40" s="1980"/>
      <c r="HJ40" s="1980"/>
      <c r="HK40" s="1980"/>
      <c r="HL40" s="1980"/>
      <c r="HM40" s="1980"/>
      <c r="HN40" s="1980"/>
      <c r="HO40" s="1980"/>
      <c r="HP40" s="1980"/>
      <c r="HQ40" s="1980"/>
      <c r="HR40" s="1980"/>
      <c r="HS40" s="1980"/>
      <c r="HT40" s="1980"/>
      <c r="HU40" s="1980"/>
      <c r="HV40" s="1980"/>
      <c r="HW40" s="1980"/>
      <c r="HX40" s="1980"/>
      <c r="HY40" s="1980"/>
      <c r="HZ40" s="1980"/>
      <c r="IA40" s="1980"/>
      <c r="IB40" s="1980"/>
      <c r="IC40" s="1980"/>
      <c r="ID40" s="1980"/>
      <c r="IE40" s="1980"/>
      <c r="IF40" s="1980"/>
      <c r="IG40" s="1980"/>
      <c r="IH40" s="1980"/>
      <c r="II40" s="1980"/>
      <c r="IJ40" s="1980"/>
      <c r="IK40" s="1980"/>
      <c r="IL40" s="1980"/>
      <c r="IM40" s="1980"/>
      <c r="IN40" s="1980"/>
      <c r="IO40" s="1980"/>
      <c r="IP40" s="1980"/>
      <c r="IQ40" s="1980"/>
      <c r="IR40" s="1980"/>
      <c r="IS40" s="1980"/>
      <c r="IT40" s="1980"/>
      <c r="IU40" s="1980"/>
      <c r="IV40" s="1980"/>
      <c r="IW40" s="1980"/>
      <c r="IX40" s="1980"/>
      <c r="IY40" s="1980"/>
      <c r="IZ40" s="1980"/>
      <c r="JA40" s="1980"/>
      <c r="JB40" s="1980"/>
      <c r="JC40" s="1980"/>
      <c r="JD40" s="1980"/>
      <c r="JE40" s="1980"/>
      <c r="JF40" s="1980"/>
      <c r="JG40" s="1980"/>
      <c r="JH40" s="1980"/>
      <c r="JI40" s="1980"/>
      <c r="JJ40" s="1980"/>
      <c r="JK40" s="1980"/>
      <c r="JL40" s="1980"/>
      <c r="JM40" s="1980"/>
      <c r="JN40" s="1980"/>
      <c r="JO40" s="1980"/>
      <c r="JP40" s="1980"/>
      <c r="JQ40" s="1980"/>
      <c r="JR40" s="1980"/>
      <c r="JS40" s="1980"/>
      <c r="JT40" s="1980"/>
      <c r="JU40" s="1980"/>
      <c r="JV40" s="1980"/>
      <c r="JW40" s="1980"/>
      <c r="JX40" s="1980"/>
      <c r="JY40" s="1980"/>
      <c r="JZ40" s="1980"/>
      <c r="KA40" s="1980"/>
      <c r="KB40" s="1980"/>
      <c r="KC40" s="1980"/>
      <c r="KD40" s="1980"/>
      <c r="KE40" s="1980"/>
      <c r="KF40" s="1980"/>
      <c r="KG40" s="1980"/>
      <c r="KH40" s="1980"/>
      <c r="KI40" s="1980"/>
      <c r="KJ40" s="1980"/>
      <c r="KK40" s="1980"/>
    </row>
    <row r="41" spans="1:297">
      <c r="A41" s="1997"/>
      <c r="B41" s="2">
        <v>16</v>
      </c>
      <c r="C41" s="2" t="str">
        <f>CONCATENATE($U$8," ",$V$13)</f>
        <v>Proportion de fenêtres 30</v>
      </c>
      <c r="D41" s="1998">
        <v>1.049934067615327</v>
      </c>
      <c r="E41" s="1998">
        <v>1.0312151714508921</v>
      </c>
      <c r="F41" s="1998">
        <v>1.0675712553513397</v>
      </c>
      <c r="G41" s="1998">
        <v>1.0549539221274455</v>
      </c>
      <c r="H41" s="1998">
        <v>1.1008796226315716</v>
      </c>
      <c r="I41" s="1998">
        <v>1.0964653155455133</v>
      </c>
      <c r="J41" s="1998">
        <v>1.1316090461913038</v>
      </c>
      <c r="K41" s="1998">
        <v>1.1372337635816678</v>
      </c>
      <c r="L41" s="1998">
        <v>1.1683211591544422</v>
      </c>
      <c r="M41" s="1998">
        <v>1.1817428157160677</v>
      </c>
      <c r="N41" s="1999">
        <v>1.0544754437336163</v>
      </c>
      <c r="O41" s="1979">
        <v>1.0443972093952378</v>
      </c>
      <c r="P41" s="1979">
        <v>1.0709013361618009</v>
      </c>
      <c r="Q41" s="1979">
        <v>1.0664644031965398</v>
      </c>
      <c r="R41" s="1979">
        <v>1.0960297715920262</v>
      </c>
      <c r="S41" s="1979">
        <v>1.097801636856512</v>
      </c>
      <c r="T41" s="1979">
        <v>1.1177390580943101</v>
      </c>
      <c r="U41" s="1979">
        <v>1.1265625539923361</v>
      </c>
      <c r="V41" s="1979">
        <v>1.154313634627351</v>
      </c>
      <c r="W41" s="1979">
        <v>1.1646056304141426</v>
      </c>
      <c r="X41" s="2000">
        <v>1.075862439485429</v>
      </c>
      <c r="Y41" s="1998">
        <v>1.0601974406376768</v>
      </c>
      <c r="Z41" s="1998">
        <v>1.1075228653195208</v>
      </c>
      <c r="AA41" s="1998">
        <v>1.0992959750113336</v>
      </c>
      <c r="AB41" s="1998">
        <v>1.1093932156975785</v>
      </c>
      <c r="AC41" s="1998">
        <v>1.1016180217541609</v>
      </c>
      <c r="AD41" s="1998">
        <v>1.1112635660756358</v>
      </c>
      <c r="AE41" s="1998">
        <v>1.1039400684969882</v>
      </c>
      <c r="AF41" s="1998">
        <v>1.1131339164536933</v>
      </c>
      <c r="AG41" s="1998">
        <v>1.1062621152398155</v>
      </c>
      <c r="AH41" s="1999">
        <v>1.0843760064423662</v>
      </c>
      <c r="AI41" s="1979">
        <v>1.0738327248030262</v>
      </c>
      <c r="AJ41" s="1979">
        <v>1.1113488282382231</v>
      </c>
      <c r="AK41" s="1979">
        <v>1.1041588107648859</v>
      </c>
      <c r="AL41" s="1979">
        <v>1.1147245035630098</v>
      </c>
      <c r="AM41" s="1979">
        <v>1.1083976660918078</v>
      </c>
      <c r="AN41" s="1979">
        <v>1.1181001788877967</v>
      </c>
      <c r="AO41" s="1979">
        <v>1.1126365214187297</v>
      </c>
      <c r="AP41" s="1979">
        <v>1.1214758542125833</v>
      </c>
      <c r="AQ41" s="1979">
        <v>1.1168753767456514</v>
      </c>
      <c r="AR41" s="2000">
        <v>1.0624231412121774</v>
      </c>
      <c r="AS41" s="1998">
        <v>1.0542100874932578</v>
      </c>
      <c r="AT41" s="1998">
        <v>1.0955976830614151</v>
      </c>
      <c r="AU41" s="1998">
        <v>1.094350828171972</v>
      </c>
      <c r="AV41" s="1998">
        <v>1.0980821721092593</v>
      </c>
      <c r="AW41" s="1998">
        <v>1.0974470321947614</v>
      </c>
      <c r="AX41" s="1998">
        <v>1.1005666611571034</v>
      </c>
      <c r="AY41" s="1998">
        <v>1.1005432362175509</v>
      </c>
      <c r="AZ41" s="1998">
        <v>1.1030511502049476</v>
      </c>
      <c r="BA41" s="1998">
        <v>1.1036394402403404</v>
      </c>
      <c r="BB41" s="1999">
        <v>1.4423026793931775</v>
      </c>
      <c r="BC41" s="1979">
        <v>1.4424635539514172</v>
      </c>
      <c r="BD41" s="1979">
        <v>1.5004163115731475</v>
      </c>
      <c r="BE41" s="1979">
        <v>1.4944259356529757</v>
      </c>
      <c r="BF41" s="1979">
        <v>1.5135776728016586</v>
      </c>
      <c r="BG41" s="1979">
        <v>1.5102640228592223</v>
      </c>
      <c r="BH41" s="1979">
        <v>1.5267390340301699</v>
      </c>
      <c r="BI41" s="1979">
        <v>1.526102110065469</v>
      </c>
      <c r="BJ41" s="1979">
        <v>1.5399003952586812</v>
      </c>
      <c r="BK41" s="1979">
        <v>1.5419401972717162</v>
      </c>
      <c r="BL41" s="2000">
        <v>1.0527737542790243</v>
      </c>
      <c r="BM41" s="1998">
        <v>1.0445799865365164</v>
      </c>
      <c r="BN41" s="2000">
        <v>1.0552336661896566</v>
      </c>
      <c r="BO41" s="1998">
        <v>1.0475311180720428</v>
      </c>
      <c r="BP41" s="2000">
        <v>1.0576935781002887</v>
      </c>
      <c r="BQ41" s="1998">
        <v>1.0504822496075694</v>
      </c>
      <c r="BR41" s="2000">
        <v>1.0601534900109209</v>
      </c>
      <c r="BS41" s="1998">
        <v>1.0534333811430958</v>
      </c>
      <c r="BT41" s="2000">
        <v>1.062613401921553</v>
      </c>
      <c r="BU41" s="1998">
        <v>1.0563845126786224</v>
      </c>
      <c r="BV41" s="1999">
        <v>1.0267996536550215</v>
      </c>
      <c r="BW41" s="1979">
        <v>1.0228727340163779</v>
      </c>
      <c r="BX41" s="1979">
        <v>1.0409231582054699</v>
      </c>
      <c r="BY41" s="1979">
        <v>1.042730958616749</v>
      </c>
      <c r="BZ41" s="1979">
        <v>1.0686431848581166</v>
      </c>
      <c r="CA41" s="1979">
        <v>1.078756552239114</v>
      </c>
      <c r="CB41" s="1979">
        <v>1.0935991394068161</v>
      </c>
      <c r="CC41" s="1979">
        <v>1.1133499850593829</v>
      </c>
      <c r="CD41" s="1979">
        <v>1.1274590363819383</v>
      </c>
      <c r="CE41" s="1979">
        <v>1.1537656829610066</v>
      </c>
      <c r="CF41" s="2000">
        <v>1.0408253844751754</v>
      </c>
      <c r="CG41" s="1998">
        <v>1.1157952169082577</v>
      </c>
      <c r="CH41" s="2000">
        <v>1.0435818788292521</v>
      </c>
      <c r="CI41" s="1998">
        <v>1.1193298130161056</v>
      </c>
      <c r="CJ41" s="2000">
        <v>1.0463383731833287</v>
      </c>
      <c r="CK41" s="1998">
        <v>1.1228644091239532</v>
      </c>
      <c r="CL41" s="2000">
        <v>1.049094867537405</v>
      </c>
      <c r="CM41" s="1998">
        <v>1.1263990052318011</v>
      </c>
      <c r="CN41" s="2000">
        <v>1.0518513618914818</v>
      </c>
      <c r="CO41" s="1998">
        <v>1.1299336013396488</v>
      </c>
      <c r="CP41" s="1999">
        <v>1.0414081551447949</v>
      </c>
      <c r="CQ41" s="1979">
        <v>1.1235521261389125</v>
      </c>
      <c r="CR41" s="1999">
        <v>1.0443011307344405</v>
      </c>
      <c r="CS41" s="1979">
        <v>1.1272531947187527</v>
      </c>
      <c r="CT41" s="1999">
        <v>1.0471941063240862</v>
      </c>
      <c r="CU41" s="1979">
        <v>1.1309542632985927</v>
      </c>
      <c r="CV41" s="1999">
        <v>1.0500870819137316</v>
      </c>
      <c r="CW41" s="1979">
        <v>1.1346553318784327</v>
      </c>
      <c r="CX41" s="1999">
        <v>1.052980057503377</v>
      </c>
      <c r="CY41" s="1979">
        <v>1.1383564004582727</v>
      </c>
      <c r="CZ41" s="2000">
        <v>1.1436034452996366</v>
      </c>
      <c r="DA41" s="1998">
        <v>1.2071714277329937</v>
      </c>
      <c r="DB41" s="2000">
        <v>1.148336734914186</v>
      </c>
      <c r="DC41" s="1998">
        <v>1.2131704843405986</v>
      </c>
      <c r="DD41" s="2000">
        <v>1.1530700245287351</v>
      </c>
      <c r="DE41" s="1998">
        <v>1.2191695409482031</v>
      </c>
      <c r="DF41" s="2000">
        <v>1.1578033141432842</v>
      </c>
      <c r="DG41" s="1998">
        <v>1.225168597555808</v>
      </c>
      <c r="DH41" s="2000">
        <v>1.1672698933723828</v>
      </c>
      <c r="DI41" s="1998">
        <v>1.2371667107710178</v>
      </c>
      <c r="DJ41" s="1999">
        <v>1.1690237443316207</v>
      </c>
      <c r="DK41" s="1979">
        <v>1.2267203843129582</v>
      </c>
      <c r="DL41" s="1999">
        <v>1.1731981094719939</v>
      </c>
      <c r="DM41" s="1979">
        <v>1.2320828459402562</v>
      </c>
      <c r="DN41" s="1999">
        <v>1.177372474612367</v>
      </c>
      <c r="DO41" s="1979">
        <v>1.2374453075675542</v>
      </c>
      <c r="DP41" s="1999">
        <v>1.18154683975274</v>
      </c>
      <c r="DQ41" s="1979">
        <v>1.242807769194852</v>
      </c>
      <c r="DR41" s="1999">
        <v>1.1898955700334866</v>
      </c>
      <c r="DS41" s="1979">
        <v>1.2535326924494483</v>
      </c>
      <c r="GT41" s="1980"/>
      <c r="GU41" s="1980"/>
      <c r="GV41" s="1980"/>
      <c r="GW41" s="1980"/>
      <c r="GX41" s="1980"/>
      <c r="GY41" s="1980"/>
      <c r="GZ41" s="1980"/>
      <c r="HA41" s="1980"/>
      <c r="HB41" s="1980"/>
      <c r="HC41" s="1980"/>
      <c r="HD41" s="1980"/>
      <c r="HE41" s="1980"/>
      <c r="HF41" s="1980"/>
      <c r="HG41" s="1980"/>
      <c r="HH41" s="1980"/>
      <c r="HI41" s="1980"/>
      <c r="HJ41" s="1980"/>
      <c r="HK41" s="1980"/>
      <c r="HL41" s="1980"/>
      <c r="HM41" s="1980"/>
      <c r="HN41" s="1980"/>
      <c r="HO41" s="1980"/>
      <c r="HP41" s="1980"/>
      <c r="HQ41" s="1980"/>
      <c r="HR41" s="1980"/>
      <c r="HS41" s="1980"/>
      <c r="HT41" s="1980"/>
      <c r="HU41" s="1980"/>
      <c r="HV41" s="1980"/>
      <c r="HW41" s="1980"/>
      <c r="HX41" s="1980"/>
      <c r="HY41" s="1980"/>
      <c r="HZ41" s="1980"/>
      <c r="IA41" s="1980"/>
      <c r="IB41" s="1980"/>
      <c r="IC41" s="1980"/>
      <c r="ID41" s="1980"/>
      <c r="IE41" s="1980"/>
      <c r="IF41" s="1980"/>
      <c r="IG41" s="1980"/>
      <c r="IH41" s="1980"/>
      <c r="II41" s="1980"/>
      <c r="IJ41" s="1980"/>
      <c r="IK41" s="1980"/>
      <c r="IL41" s="1980"/>
      <c r="IM41" s="1980"/>
      <c r="IN41" s="1980"/>
      <c r="IO41" s="1980"/>
      <c r="IP41" s="1980"/>
      <c r="IQ41" s="1980"/>
      <c r="IR41" s="1980"/>
      <c r="IS41" s="1980"/>
      <c r="IT41" s="1980"/>
      <c r="IU41" s="1980"/>
      <c r="IV41" s="1980"/>
      <c r="IW41" s="1980"/>
      <c r="IX41" s="1980"/>
      <c r="IY41" s="1980"/>
      <c r="IZ41" s="1980"/>
      <c r="JA41" s="1980"/>
      <c r="JB41" s="1980"/>
      <c r="JC41" s="1980"/>
      <c r="JD41" s="1980"/>
      <c r="JE41" s="1980"/>
      <c r="JF41" s="1980"/>
      <c r="JG41" s="1980"/>
      <c r="JH41" s="1980"/>
      <c r="JI41" s="1980"/>
      <c r="JJ41" s="1980"/>
      <c r="JK41" s="1980"/>
      <c r="JL41" s="1980"/>
      <c r="JM41" s="1980"/>
      <c r="JN41" s="1980"/>
      <c r="JO41" s="1980"/>
      <c r="JP41" s="1980"/>
      <c r="JQ41" s="1980"/>
      <c r="JR41" s="1980"/>
      <c r="JS41" s="1980"/>
      <c r="JT41" s="1980"/>
      <c r="JU41" s="1980"/>
      <c r="JV41" s="1980"/>
      <c r="JW41" s="1980"/>
      <c r="JX41" s="1980"/>
      <c r="JY41" s="1980"/>
      <c r="JZ41" s="1980"/>
      <c r="KA41" s="1980"/>
      <c r="KB41" s="1980"/>
      <c r="KC41" s="1980"/>
      <c r="KD41" s="1980"/>
      <c r="KE41" s="1980"/>
      <c r="KF41" s="1980"/>
      <c r="KG41" s="1980"/>
      <c r="KH41" s="1980"/>
      <c r="KI41" s="1980"/>
      <c r="KJ41" s="1980"/>
      <c r="KK41" s="1980"/>
    </row>
    <row r="42" spans="1:297">
      <c r="A42" s="1997"/>
      <c r="B42" s="2">
        <v>17</v>
      </c>
      <c r="C42" s="2" t="str">
        <f>CONCATENATE($U$8," ",$V$14)</f>
        <v>Proportion de fenêtres 40</v>
      </c>
      <c r="D42" s="1998">
        <v>1.0446536801988004</v>
      </c>
      <c r="E42" s="1998">
        <v>1.0254702156854689</v>
      </c>
      <c r="F42" s="1998">
        <v>1.0616491930575516</v>
      </c>
      <c r="G42" s="1998">
        <v>1.0483404493536477</v>
      </c>
      <c r="H42" s="1998">
        <v>1.0946367228991529</v>
      </c>
      <c r="I42" s="1998">
        <v>1.089417584267528</v>
      </c>
      <c r="J42" s="1998">
        <v>1.1250453090202541</v>
      </c>
      <c r="K42" s="1998">
        <v>1.1297517737994953</v>
      </c>
      <c r="L42" s="1998">
        <v>1.1614365845447621</v>
      </c>
      <c r="M42" s="1998">
        <v>1.1738265674297075</v>
      </c>
      <c r="N42" s="1999">
        <v>1.0509762998093692</v>
      </c>
      <c r="O42" s="1979">
        <v>1.0405952011991009</v>
      </c>
      <c r="P42" s="1979">
        <v>1.0669769748110665</v>
      </c>
      <c r="Q42" s="1979">
        <v>1.0620876109778348</v>
      </c>
      <c r="R42" s="1979">
        <v>1.0918928015280482</v>
      </c>
      <c r="S42" s="1979">
        <v>1.093137452626523</v>
      </c>
      <c r="T42" s="1979">
        <v>1.1133894793170886</v>
      </c>
      <c r="U42" s="1979">
        <v>1.1216109777510632</v>
      </c>
      <c r="V42" s="1979">
        <v>1.1497514471368859</v>
      </c>
      <c r="W42" s="1979">
        <v>1.1593666621615857</v>
      </c>
      <c r="X42" s="2000">
        <v>1.0698379874304051</v>
      </c>
      <c r="Y42" s="1998">
        <v>1.0532232656546436</v>
      </c>
      <c r="Z42" s="1998">
        <v>1.1014984132644972</v>
      </c>
      <c r="AA42" s="1998">
        <v>1.0923218000283008</v>
      </c>
      <c r="AB42" s="1998">
        <v>1.1033687636425549</v>
      </c>
      <c r="AC42" s="1998">
        <v>1.0946438467711284</v>
      </c>
      <c r="AD42" s="1998">
        <v>1.1052391140206121</v>
      </c>
      <c r="AE42" s="1998">
        <v>1.0969658935139552</v>
      </c>
      <c r="AF42" s="1998">
        <v>1.1071094643986694</v>
      </c>
      <c r="AG42" s="1998">
        <v>1.0992879402567828</v>
      </c>
      <c r="AH42" s="1999">
        <v>1.0776754678246481</v>
      </c>
      <c r="AI42" s="1979">
        <v>1.0659871468693263</v>
      </c>
      <c r="AJ42" s="1979">
        <v>1.1046482896205052</v>
      </c>
      <c r="AK42" s="1979">
        <v>1.096313232831186</v>
      </c>
      <c r="AL42" s="1979">
        <v>1.1080239649452919</v>
      </c>
      <c r="AM42" s="1979">
        <v>1.1005520881581077</v>
      </c>
      <c r="AN42" s="1979">
        <v>1.1113996402700783</v>
      </c>
      <c r="AO42" s="1979">
        <v>1.1047909434850294</v>
      </c>
      <c r="AP42" s="1979">
        <v>1.1147753155948652</v>
      </c>
      <c r="AQ42" s="1979">
        <v>1.1090297988119513</v>
      </c>
      <c r="AR42" s="2000">
        <v>1.0574659420513333</v>
      </c>
      <c r="AS42" s="1998">
        <v>1.0484496409249411</v>
      </c>
      <c r="AT42" s="1998">
        <v>1.0906404839005712</v>
      </c>
      <c r="AU42" s="1998">
        <v>1.0885903816036557</v>
      </c>
      <c r="AV42" s="1998">
        <v>1.0931249729484154</v>
      </c>
      <c r="AW42" s="1998">
        <v>1.091686585626445</v>
      </c>
      <c r="AX42" s="1998">
        <v>1.0956094619962593</v>
      </c>
      <c r="AY42" s="1998">
        <v>1.0947827896492344</v>
      </c>
      <c r="AZ42" s="1998">
        <v>1.0980939510441035</v>
      </c>
      <c r="BA42" s="1998">
        <v>1.0978789936720239</v>
      </c>
      <c r="BB42" s="1999">
        <v>1.4366918251565777</v>
      </c>
      <c r="BC42" s="1979">
        <v>1.4361676483392236</v>
      </c>
      <c r="BD42" s="1979">
        <v>1.4948054573365479</v>
      </c>
      <c r="BE42" s="1979">
        <v>1.4881300300407816</v>
      </c>
      <c r="BF42" s="1979">
        <v>1.5079668185650592</v>
      </c>
      <c r="BG42" s="1979">
        <v>1.5039681172470287</v>
      </c>
      <c r="BH42" s="1979">
        <v>1.5211281797935703</v>
      </c>
      <c r="BI42" s="1979">
        <v>1.5198062044532756</v>
      </c>
      <c r="BJ42" s="1979">
        <v>1.5342895410220816</v>
      </c>
      <c r="BK42" s="1979">
        <v>1.5356442916595223</v>
      </c>
      <c r="BL42" s="2000">
        <v>1.0483839239019914</v>
      </c>
      <c r="BM42" s="1998">
        <v>1.0396263924051889</v>
      </c>
      <c r="BN42" s="2000">
        <v>1.0508438358126235</v>
      </c>
      <c r="BO42" s="1998">
        <v>1.0425775239407156</v>
      </c>
      <c r="BP42" s="2000">
        <v>1.0533037477232556</v>
      </c>
      <c r="BQ42" s="1998">
        <v>1.045528655476242</v>
      </c>
      <c r="BR42" s="2000">
        <v>1.0557636596338877</v>
      </c>
      <c r="BS42" s="1998">
        <v>1.0484797870117686</v>
      </c>
      <c r="BT42" s="2000">
        <v>1.0582235715445198</v>
      </c>
      <c r="BU42" s="1998">
        <v>1.051430918547295</v>
      </c>
      <c r="BV42" s="1999">
        <v>1.0250782203112667</v>
      </c>
      <c r="BW42" s="1979">
        <v>1.0209140000467682</v>
      </c>
      <c r="BX42" s="1979">
        <v>1.0389925355650906</v>
      </c>
      <c r="BY42" s="1979">
        <v>1.0404761050881817</v>
      </c>
      <c r="BZ42" s="1979">
        <v>1.0666079675694249</v>
      </c>
      <c r="CA42" s="1979">
        <v>1.0763536389310679</v>
      </c>
      <c r="CB42" s="1979">
        <v>1.0914593274698123</v>
      </c>
      <c r="CC42" s="1979">
        <v>1.110799011971858</v>
      </c>
      <c r="CD42" s="1979">
        <v>1.1252146297966226</v>
      </c>
      <c r="CE42" s="1979">
        <v>1.151066650094003</v>
      </c>
      <c r="CF42" s="2000">
        <v>1.0386341508369081</v>
      </c>
      <c r="CG42" s="1998">
        <v>1.1131523515223791</v>
      </c>
      <c r="CH42" s="2000">
        <v>1.0413906451909849</v>
      </c>
      <c r="CI42" s="1998">
        <v>1.1166869476302268</v>
      </c>
      <c r="CJ42" s="2000">
        <v>1.0441471395450617</v>
      </c>
      <c r="CK42" s="1998">
        <v>1.1202215437380749</v>
      </c>
      <c r="CL42" s="2000">
        <v>1.0469036338991378</v>
      </c>
      <c r="CM42" s="1998">
        <v>1.1237561398459228</v>
      </c>
      <c r="CN42" s="2000">
        <v>1.0496601282532145</v>
      </c>
      <c r="CO42" s="1998">
        <v>1.1272907359537703</v>
      </c>
      <c r="CP42" s="1999">
        <v>1.0390145613834749</v>
      </c>
      <c r="CQ42" s="1979">
        <v>1.1206718344142037</v>
      </c>
      <c r="CR42" s="1999">
        <v>1.0419075369731203</v>
      </c>
      <c r="CS42" s="1979">
        <v>1.1243729029940437</v>
      </c>
      <c r="CT42" s="1999">
        <v>1.0448005125627657</v>
      </c>
      <c r="CU42" s="1979">
        <v>1.1280739715738839</v>
      </c>
      <c r="CV42" s="1999">
        <v>1.0476934881524111</v>
      </c>
      <c r="CW42" s="1979">
        <v>1.1317750401537237</v>
      </c>
      <c r="CX42" s="1999">
        <v>1.050586463742057</v>
      </c>
      <c r="CY42" s="1979">
        <v>1.1354761087335639</v>
      </c>
      <c r="CZ42" s="2000">
        <v>1.1400371905032578</v>
      </c>
      <c r="DA42" s="1998">
        <v>1.2029199890530382</v>
      </c>
      <c r="DB42" s="2000">
        <v>1.1447704801178071</v>
      </c>
      <c r="DC42" s="1998">
        <v>1.2089190456606427</v>
      </c>
      <c r="DD42" s="2000">
        <v>1.149503769732356</v>
      </c>
      <c r="DE42" s="1998">
        <v>1.2149181022682476</v>
      </c>
      <c r="DF42" s="2000">
        <v>1.1542370593469051</v>
      </c>
      <c r="DG42" s="1998">
        <v>1.2209171588758523</v>
      </c>
      <c r="DH42" s="2000">
        <v>1.1637036385760038</v>
      </c>
      <c r="DI42" s="1998">
        <v>1.2329152720910619</v>
      </c>
      <c r="DJ42" s="1999">
        <v>1.1629796092935805</v>
      </c>
      <c r="DK42" s="1979">
        <v>1.2194172112825288</v>
      </c>
      <c r="DL42" s="1999">
        <v>1.1671539744339539</v>
      </c>
      <c r="DM42" s="1979">
        <v>1.2247796729098268</v>
      </c>
      <c r="DN42" s="1999">
        <v>1.171328339574327</v>
      </c>
      <c r="DO42" s="1979">
        <v>1.2301421345371246</v>
      </c>
      <c r="DP42" s="1999">
        <v>1.1755027047147</v>
      </c>
      <c r="DQ42" s="1979">
        <v>1.2355045961644229</v>
      </c>
      <c r="DR42" s="1999">
        <v>1.1838514349954463</v>
      </c>
      <c r="DS42" s="1979">
        <v>1.2462295194190192</v>
      </c>
      <c r="GT42" s="1980"/>
      <c r="GU42" s="1980"/>
      <c r="GV42" s="1980"/>
      <c r="GW42" s="1980"/>
      <c r="GX42" s="1980"/>
      <c r="GY42" s="1980"/>
      <c r="GZ42" s="1980"/>
      <c r="HA42" s="1980"/>
      <c r="HB42" s="1980"/>
      <c r="HC42" s="1980"/>
      <c r="HD42" s="1980"/>
      <c r="HE42" s="1980"/>
      <c r="HF42" s="1980"/>
      <c r="HG42" s="1980"/>
      <c r="HH42" s="1980"/>
      <c r="HI42" s="1980"/>
      <c r="HJ42" s="1980"/>
      <c r="HK42" s="1980"/>
      <c r="HL42" s="1980"/>
      <c r="HM42" s="1980"/>
      <c r="HN42" s="1980"/>
      <c r="HO42" s="1980"/>
      <c r="HP42" s="1980"/>
      <c r="HQ42" s="1980"/>
      <c r="HR42" s="1980"/>
      <c r="HS42" s="1980"/>
      <c r="HT42" s="1980"/>
      <c r="HU42" s="1980"/>
      <c r="HV42" s="1980"/>
      <c r="HW42" s="1980"/>
      <c r="HX42" s="1980"/>
      <c r="HY42" s="1980"/>
      <c r="HZ42" s="1980"/>
      <c r="IA42" s="1980"/>
      <c r="IB42" s="1980"/>
      <c r="IC42" s="1980"/>
      <c r="ID42" s="1980"/>
      <c r="IE42" s="1980"/>
      <c r="IF42" s="1980"/>
      <c r="IG42" s="1980"/>
      <c r="IH42" s="1980"/>
      <c r="II42" s="1980"/>
      <c r="IJ42" s="1980"/>
      <c r="IK42" s="1980"/>
      <c r="IL42" s="1980"/>
      <c r="IM42" s="1980"/>
      <c r="IN42" s="1980"/>
      <c r="IO42" s="1980"/>
      <c r="IP42" s="1980"/>
      <c r="IQ42" s="1980"/>
      <c r="IR42" s="1980"/>
      <c r="IS42" s="1980"/>
      <c r="IT42" s="1980"/>
      <c r="IU42" s="1980"/>
      <c r="IV42" s="1980"/>
      <c r="IW42" s="1980"/>
      <c r="IX42" s="1980"/>
      <c r="IY42" s="1980"/>
      <c r="IZ42" s="1980"/>
      <c r="JA42" s="1980"/>
      <c r="JB42" s="1980"/>
      <c r="JC42" s="1980"/>
      <c r="JD42" s="1980"/>
      <c r="JE42" s="1980"/>
      <c r="JF42" s="1980"/>
      <c r="JG42" s="1980"/>
      <c r="JH42" s="1980"/>
      <c r="JI42" s="1980"/>
      <c r="JJ42" s="1980"/>
      <c r="JK42" s="1980"/>
      <c r="JL42" s="1980"/>
      <c r="JM42" s="1980"/>
      <c r="JN42" s="1980"/>
      <c r="JO42" s="1980"/>
      <c r="JP42" s="1980"/>
      <c r="JQ42" s="1980"/>
      <c r="JR42" s="1980"/>
      <c r="JS42" s="1980"/>
      <c r="JT42" s="1980"/>
      <c r="JU42" s="1980"/>
      <c r="JV42" s="1980"/>
      <c r="JW42" s="1980"/>
      <c r="JX42" s="1980"/>
      <c r="JY42" s="1980"/>
      <c r="JZ42" s="1980"/>
      <c r="KA42" s="1980"/>
      <c r="KB42" s="1980"/>
      <c r="KC42" s="1980"/>
      <c r="KD42" s="1980"/>
      <c r="KE42" s="1980"/>
      <c r="KF42" s="1980"/>
      <c r="KG42" s="1980"/>
      <c r="KH42" s="1980"/>
      <c r="KI42" s="1980"/>
      <c r="KJ42" s="1980"/>
      <c r="KK42" s="1980"/>
    </row>
    <row r="43" spans="1:297">
      <c r="A43" s="1997"/>
      <c r="B43" s="2">
        <v>18</v>
      </c>
      <c r="C43" s="2" t="str">
        <f>CONCATENATE($U$8," ",$V$15)</f>
        <v>Proportion de fenêtres 50</v>
      </c>
      <c r="D43" s="1998">
        <v>1.0393732927822739</v>
      </c>
      <c r="E43" s="1998">
        <v>1.0197252599200457</v>
      </c>
      <c r="F43" s="1998">
        <v>1.0557271307637635</v>
      </c>
      <c r="G43" s="1998">
        <v>1.0417269765798494</v>
      </c>
      <c r="H43" s="1998">
        <v>1.0883938231667341</v>
      </c>
      <c r="I43" s="1998">
        <v>1.0823698529895427</v>
      </c>
      <c r="J43" s="1998">
        <v>1.1184815718492047</v>
      </c>
      <c r="K43" s="1998">
        <v>1.1222697840173224</v>
      </c>
      <c r="L43" s="1998">
        <v>1.1545520099350819</v>
      </c>
      <c r="M43" s="1998">
        <v>1.1659103191433471</v>
      </c>
      <c r="N43" s="1999">
        <v>1.0474771558851224</v>
      </c>
      <c r="O43" s="1979">
        <v>1.0367931930029639</v>
      </c>
      <c r="P43" s="1979">
        <v>1.0630526134603324</v>
      </c>
      <c r="Q43" s="1979">
        <v>1.0577108187591298</v>
      </c>
      <c r="R43" s="1979">
        <v>1.0877558314640703</v>
      </c>
      <c r="S43" s="1979">
        <v>1.0884732683965339</v>
      </c>
      <c r="T43" s="1979">
        <v>1.109039900539867</v>
      </c>
      <c r="U43" s="1979">
        <v>1.1166594015097902</v>
      </c>
      <c r="V43" s="1979">
        <v>1.1451892596464208</v>
      </c>
      <c r="W43" s="1979">
        <v>1.1541276939090286</v>
      </c>
      <c r="X43" s="2000">
        <v>1.0638135353753815</v>
      </c>
      <c r="Y43" s="1998">
        <v>1.0462490906716109</v>
      </c>
      <c r="Z43" s="1998">
        <v>1.0954739612094733</v>
      </c>
      <c r="AA43" s="1998">
        <v>1.0853476250452678</v>
      </c>
      <c r="AB43" s="1998">
        <v>1.0973443115875308</v>
      </c>
      <c r="AC43" s="1998">
        <v>1.0876696717880951</v>
      </c>
      <c r="AD43" s="1998">
        <v>1.0992146619655883</v>
      </c>
      <c r="AE43" s="1998">
        <v>1.0899917185309227</v>
      </c>
      <c r="AF43" s="1998">
        <v>1.1010850123436455</v>
      </c>
      <c r="AG43" s="1998">
        <v>1.09231376527375</v>
      </c>
      <c r="AH43" s="1999">
        <v>1.0709749292069299</v>
      </c>
      <c r="AI43" s="1979">
        <v>1.0581415689356262</v>
      </c>
      <c r="AJ43" s="1979">
        <v>1.0979477510027873</v>
      </c>
      <c r="AK43" s="1979">
        <v>1.0884676548974859</v>
      </c>
      <c r="AL43" s="1979">
        <v>1.1013234263275737</v>
      </c>
      <c r="AM43" s="1979">
        <v>1.0927065102244073</v>
      </c>
      <c r="AN43" s="1979">
        <v>1.1046991016523604</v>
      </c>
      <c r="AO43" s="1979">
        <v>1.0969453655513293</v>
      </c>
      <c r="AP43" s="1979">
        <v>1.1080747769771473</v>
      </c>
      <c r="AQ43" s="1979">
        <v>1.1011842208782512</v>
      </c>
      <c r="AR43" s="2000">
        <v>1.0525087428904896</v>
      </c>
      <c r="AS43" s="1998">
        <v>1.0426891943566245</v>
      </c>
      <c r="AT43" s="1998">
        <v>1.0856832847397273</v>
      </c>
      <c r="AU43" s="1998">
        <v>1.082829935035339</v>
      </c>
      <c r="AV43" s="1998">
        <v>1.0881677737875712</v>
      </c>
      <c r="AW43" s="1998">
        <v>1.0859261390581283</v>
      </c>
      <c r="AX43" s="1998">
        <v>1.0906522628354154</v>
      </c>
      <c r="AY43" s="1998">
        <v>1.0890223430809178</v>
      </c>
      <c r="AZ43" s="1998">
        <v>1.0931367518832595</v>
      </c>
      <c r="BA43" s="1998">
        <v>1.0921185471037071</v>
      </c>
      <c r="BB43" s="1999">
        <v>1.4310809709199781</v>
      </c>
      <c r="BC43" s="1979">
        <v>1.42987174272703</v>
      </c>
      <c r="BD43" s="1979">
        <v>1.4891946030999483</v>
      </c>
      <c r="BE43" s="1979">
        <v>1.4818341244285882</v>
      </c>
      <c r="BF43" s="1979">
        <v>1.5023559643284596</v>
      </c>
      <c r="BG43" s="1979">
        <v>1.4976722116348351</v>
      </c>
      <c r="BH43" s="1979">
        <v>1.5155173255569707</v>
      </c>
      <c r="BI43" s="1979">
        <v>1.5135102988410818</v>
      </c>
      <c r="BJ43" s="1979">
        <v>1.528678686785482</v>
      </c>
      <c r="BK43" s="1979">
        <v>1.5293483860473287</v>
      </c>
      <c r="BL43" s="2000">
        <v>1.0439940935249585</v>
      </c>
      <c r="BM43" s="1998">
        <v>1.0346727982738617</v>
      </c>
      <c r="BN43" s="2000">
        <v>1.0464540054355906</v>
      </c>
      <c r="BO43" s="1998">
        <v>1.0376239298093883</v>
      </c>
      <c r="BP43" s="2000">
        <v>1.0489139173462225</v>
      </c>
      <c r="BQ43" s="1998">
        <v>1.0405750613449147</v>
      </c>
      <c r="BR43" s="2000">
        <v>1.0513738292568546</v>
      </c>
      <c r="BS43" s="1998">
        <v>1.0435261928804414</v>
      </c>
      <c r="BT43" s="2000">
        <v>1.053833741167487</v>
      </c>
      <c r="BU43" s="1998">
        <v>1.0464773244159677</v>
      </c>
      <c r="BV43" s="1999">
        <v>1.0233567869675118</v>
      </c>
      <c r="BW43" s="1979">
        <v>1.0189552660771584</v>
      </c>
      <c r="BX43" s="1979">
        <v>1.0370619129247112</v>
      </c>
      <c r="BY43" s="1979">
        <v>1.0382212515596145</v>
      </c>
      <c r="BZ43" s="1979">
        <v>1.0645727502807334</v>
      </c>
      <c r="CA43" s="1979">
        <v>1.0739507256230219</v>
      </c>
      <c r="CB43" s="1979">
        <v>1.0893195155328086</v>
      </c>
      <c r="CC43" s="1979">
        <v>1.1082480388843332</v>
      </c>
      <c r="CD43" s="1979">
        <v>1.1229702232113066</v>
      </c>
      <c r="CE43" s="1979">
        <v>1.1483676172269996</v>
      </c>
      <c r="CF43" s="2000">
        <v>1.0364429171986411</v>
      </c>
      <c r="CG43" s="1998">
        <v>1.1105094861365008</v>
      </c>
      <c r="CH43" s="2000">
        <v>1.0391994115527179</v>
      </c>
      <c r="CI43" s="1998">
        <v>1.1140440822443485</v>
      </c>
      <c r="CJ43" s="2000">
        <v>1.0419559059067944</v>
      </c>
      <c r="CK43" s="1998">
        <v>1.1175786783521964</v>
      </c>
      <c r="CL43" s="2000">
        <v>1.0447124002608708</v>
      </c>
      <c r="CM43" s="1998">
        <v>1.1211132744600441</v>
      </c>
      <c r="CN43" s="2000">
        <v>1.0474688946149473</v>
      </c>
      <c r="CO43" s="1998">
        <v>1.1246478705678922</v>
      </c>
      <c r="CP43" s="1999">
        <v>1.0366209676221547</v>
      </c>
      <c r="CQ43" s="1979">
        <v>1.1177915426894947</v>
      </c>
      <c r="CR43" s="1999">
        <v>1.0395139432118001</v>
      </c>
      <c r="CS43" s="1979">
        <v>1.1214926112693349</v>
      </c>
      <c r="CT43" s="1999">
        <v>1.0424069188014455</v>
      </c>
      <c r="CU43" s="1979">
        <v>1.1251936798491748</v>
      </c>
      <c r="CV43" s="1999">
        <v>1.0452998943910914</v>
      </c>
      <c r="CW43" s="1979">
        <v>1.1288947484290148</v>
      </c>
      <c r="CX43" s="1999">
        <v>1.0481928699807368</v>
      </c>
      <c r="CY43" s="1979">
        <v>1.1325958170088548</v>
      </c>
      <c r="CZ43" s="2000">
        <v>1.1364709357068787</v>
      </c>
      <c r="DA43" s="1998">
        <v>1.1986685503730825</v>
      </c>
      <c r="DB43" s="2000">
        <v>1.1412042253214278</v>
      </c>
      <c r="DC43" s="1998">
        <v>1.2046676069806872</v>
      </c>
      <c r="DD43" s="2000">
        <v>1.145937514935977</v>
      </c>
      <c r="DE43" s="1998">
        <v>1.2106666635882919</v>
      </c>
      <c r="DF43" s="2000">
        <v>1.1506708045505263</v>
      </c>
      <c r="DG43" s="1998">
        <v>1.2166657201958968</v>
      </c>
      <c r="DH43" s="2000">
        <v>1.1601373837796247</v>
      </c>
      <c r="DI43" s="1998">
        <v>1.2286638334111064</v>
      </c>
      <c r="DJ43" s="1999">
        <v>1.1569354742555402</v>
      </c>
      <c r="DK43" s="1979">
        <v>1.2121140382520994</v>
      </c>
      <c r="DL43" s="1999">
        <v>1.1611098393959136</v>
      </c>
      <c r="DM43" s="1979">
        <v>1.2174764998793972</v>
      </c>
      <c r="DN43" s="1999">
        <v>1.1652842045362866</v>
      </c>
      <c r="DO43" s="1979">
        <v>1.2228389615066952</v>
      </c>
      <c r="DP43" s="1999">
        <v>1.1694585696766595</v>
      </c>
      <c r="DQ43" s="1979">
        <v>1.2282014231339933</v>
      </c>
      <c r="DR43" s="1999">
        <v>1.1778072999574059</v>
      </c>
      <c r="DS43" s="1979">
        <v>1.2389263463885896</v>
      </c>
      <c r="GT43" s="1980"/>
      <c r="GU43" s="1980"/>
      <c r="GV43" s="1980"/>
      <c r="GW43" s="1980"/>
      <c r="GX43" s="1980"/>
      <c r="GY43" s="1980"/>
      <c r="GZ43" s="1980"/>
      <c r="HA43" s="1980"/>
      <c r="HB43" s="1980"/>
      <c r="HC43" s="1980"/>
      <c r="HD43" s="1980"/>
      <c r="HE43" s="1980"/>
      <c r="HF43" s="1980"/>
      <c r="HG43" s="1980"/>
      <c r="HH43" s="1980"/>
      <c r="HI43" s="1980"/>
      <c r="HJ43" s="1980"/>
      <c r="HK43" s="1980"/>
      <c r="HL43" s="1980"/>
      <c r="HM43" s="1980"/>
      <c r="HN43" s="1980"/>
      <c r="HO43" s="1980"/>
      <c r="HP43" s="1980"/>
      <c r="HQ43" s="1980"/>
      <c r="HR43" s="1980"/>
      <c r="HS43" s="1980"/>
      <c r="HT43" s="1980"/>
      <c r="HU43" s="1980"/>
      <c r="HV43" s="1980"/>
      <c r="HW43" s="1980"/>
      <c r="HX43" s="1980"/>
      <c r="HY43" s="1980"/>
      <c r="HZ43" s="1980"/>
      <c r="IA43" s="1980"/>
      <c r="IB43" s="1980"/>
      <c r="IC43" s="1980"/>
      <c r="ID43" s="1980"/>
      <c r="IE43" s="1980"/>
      <c r="IF43" s="1980"/>
      <c r="IG43" s="1980"/>
      <c r="IH43" s="1980"/>
      <c r="II43" s="1980"/>
      <c r="IJ43" s="1980"/>
      <c r="IK43" s="1980"/>
      <c r="IL43" s="1980"/>
      <c r="IM43" s="1980"/>
      <c r="IN43" s="1980"/>
      <c r="IO43" s="1980"/>
      <c r="IP43" s="1980"/>
      <c r="IQ43" s="1980"/>
      <c r="IR43" s="1980"/>
      <c r="IS43" s="1980"/>
      <c r="IT43" s="1980"/>
      <c r="IU43" s="1980"/>
      <c r="IV43" s="1980"/>
      <c r="IW43" s="1980"/>
      <c r="IX43" s="1980"/>
      <c r="IY43" s="1980"/>
      <c r="IZ43" s="1980"/>
      <c r="JA43" s="1980"/>
      <c r="JB43" s="1980"/>
      <c r="JC43" s="1980"/>
      <c r="JD43" s="1980"/>
      <c r="JE43" s="1980"/>
      <c r="JF43" s="1980"/>
      <c r="JG43" s="1980"/>
      <c r="JH43" s="1980"/>
      <c r="JI43" s="1980"/>
      <c r="JJ43" s="1980"/>
      <c r="JK43" s="1980"/>
      <c r="JL43" s="1980"/>
      <c r="JM43" s="1980"/>
      <c r="JN43" s="1980"/>
      <c r="JO43" s="1980"/>
      <c r="JP43" s="1980"/>
      <c r="JQ43" s="1980"/>
      <c r="JR43" s="1980"/>
      <c r="JS43" s="1980"/>
      <c r="JT43" s="1980"/>
      <c r="JU43" s="1980"/>
      <c r="JV43" s="1980"/>
      <c r="JW43" s="1980"/>
      <c r="JX43" s="1980"/>
      <c r="JY43" s="1980"/>
      <c r="JZ43" s="1980"/>
      <c r="KA43" s="1980"/>
      <c r="KB43" s="1980"/>
      <c r="KC43" s="1980"/>
      <c r="KD43" s="1980"/>
      <c r="KE43" s="1980"/>
      <c r="KF43" s="1980"/>
      <c r="KG43" s="1980"/>
      <c r="KH43" s="1980"/>
      <c r="KI43" s="1980"/>
      <c r="KJ43" s="1980"/>
      <c r="KK43" s="1980"/>
    </row>
    <row r="44" spans="1:297">
      <c r="A44" s="1997"/>
      <c r="B44" s="2">
        <v>19</v>
      </c>
      <c r="C44" s="2" t="str">
        <f>CONCATENATE($U$8," ",$V$16)</f>
        <v>Proportion de fenêtres 60</v>
      </c>
      <c r="D44" s="1998">
        <v>1.0340929053657468</v>
      </c>
      <c r="E44" s="1998">
        <v>1.0139803041546225</v>
      </c>
      <c r="F44" s="1998">
        <v>1.0498050684699753</v>
      </c>
      <c r="G44" s="1998">
        <v>1.0351135038060515</v>
      </c>
      <c r="H44" s="1998">
        <v>1.0821509234343152</v>
      </c>
      <c r="I44" s="1998">
        <v>1.0753221217115572</v>
      </c>
      <c r="J44" s="1998">
        <v>1.1119178346781551</v>
      </c>
      <c r="K44" s="1998">
        <v>1.1147877942351494</v>
      </c>
      <c r="L44" s="1998">
        <v>1.1476674353254015</v>
      </c>
      <c r="M44" s="1998">
        <v>1.1579940708569869</v>
      </c>
      <c r="N44" s="1999">
        <v>1.0439780119608755</v>
      </c>
      <c r="O44" s="1979">
        <v>1.0329911848068272</v>
      </c>
      <c r="P44" s="1979">
        <v>1.0591282521095982</v>
      </c>
      <c r="Q44" s="1979">
        <v>1.0533340265404247</v>
      </c>
      <c r="R44" s="1979">
        <v>1.0836188614000926</v>
      </c>
      <c r="S44" s="1979">
        <v>1.0838090841665449</v>
      </c>
      <c r="T44" s="1979">
        <v>1.1046903217626454</v>
      </c>
      <c r="U44" s="1979">
        <v>1.1117078252685171</v>
      </c>
      <c r="V44" s="1979">
        <v>1.1406270721559555</v>
      </c>
      <c r="W44" s="1979">
        <v>1.1488887256564717</v>
      </c>
      <c r="X44" s="2000">
        <v>1.0577890833203576</v>
      </c>
      <c r="Y44" s="1998">
        <v>1.0392749156885777</v>
      </c>
      <c r="Z44" s="1998">
        <v>1.0894495091544496</v>
      </c>
      <c r="AA44" s="1998">
        <v>1.0783734500622348</v>
      </c>
      <c r="AB44" s="1998">
        <v>1.0913198595325071</v>
      </c>
      <c r="AC44" s="1998">
        <v>1.0806954968050622</v>
      </c>
      <c r="AD44" s="1998">
        <v>1.0931902099105644</v>
      </c>
      <c r="AE44" s="1998">
        <v>1.0830175435478897</v>
      </c>
      <c r="AF44" s="1998">
        <v>1.0950605602886216</v>
      </c>
      <c r="AG44" s="1998">
        <v>1.0853395902907168</v>
      </c>
      <c r="AH44" s="1999">
        <v>1.0642743905892118</v>
      </c>
      <c r="AI44" s="1979">
        <v>1.0502959910019263</v>
      </c>
      <c r="AJ44" s="1979">
        <v>1.0912472123850692</v>
      </c>
      <c r="AK44" s="1979">
        <v>1.0806220769637858</v>
      </c>
      <c r="AL44" s="1979">
        <v>1.0946228877098558</v>
      </c>
      <c r="AM44" s="1979">
        <v>1.0848609322907072</v>
      </c>
      <c r="AN44" s="1979">
        <v>1.0979985630346423</v>
      </c>
      <c r="AO44" s="1979">
        <v>1.0890997876176294</v>
      </c>
      <c r="AP44" s="1979">
        <v>1.1013742383594289</v>
      </c>
      <c r="AQ44" s="1979">
        <v>1.0933386429445511</v>
      </c>
      <c r="AR44" s="2000">
        <v>1.0475515437296457</v>
      </c>
      <c r="AS44" s="1998">
        <v>1.036928747788308</v>
      </c>
      <c r="AT44" s="1998">
        <v>1.0807260855788832</v>
      </c>
      <c r="AU44" s="1998">
        <v>1.0770694884670224</v>
      </c>
      <c r="AV44" s="1998">
        <v>1.0832105746267271</v>
      </c>
      <c r="AW44" s="1998">
        <v>1.080165692489812</v>
      </c>
      <c r="AX44" s="1998">
        <v>1.0856950636745715</v>
      </c>
      <c r="AY44" s="1998">
        <v>1.0832618965126015</v>
      </c>
      <c r="AZ44" s="1998">
        <v>1.0881795527224154</v>
      </c>
      <c r="BA44" s="1998">
        <v>1.0863581005353906</v>
      </c>
      <c r="BB44" s="1999">
        <v>1.4254701166833785</v>
      </c>
      <c r="BC44" s="1979">
        <v>1.4235758371148362</v>
      </c>
      <c r="BD44" s="1979">
        <v>1.4835837488633488</v>
      </c>
      <c r="BE44" s="1979">
        <v>1.4755382188163946</v>
      </c>
      <c r="BF44" s="1979">
        <v>1.4967451100918601</v>
      </c>
      <c r="BG44" s="1979">
        <v>1.4913763060226413</v>
      </c>
      <c r="BH44" s="1979">
        <v>1.5099064713203711</v>
      </c>
      <c r="BI44" s="1979">
        <v>1.5072143932288882</v>
      </c>
      <c r="BJ44" s="1979">
        <v>1.5230678325488824</v>
      </c>
      <c r="BK44" s="1979">
        <v>1.5230524804351351</v>
      </c>
      <c r="BL44" s="2000">
        <v>1.0396042631479254</v>
      </c>
      <c r="BM44" s="1998">
        <v>1.0297192041425345</v>
      </c>
      <c r="BN44" s="2000">
        <v>1.0420641750585575</v>
      </c>
      <c r="BO44" s="1998">
        <v>1.0326703356780609</v>
      </c>
      <c r="BP44" s="2000">
        <v>1.0445240869691896</v>
      </c>
      <c r="BQ44" s="1998">
        <v>1.0356214672135875</v>
      </c>
      <c r="BR44" s="2000">
        <v>1.0469839988798217</v>
      </c>
      <c r="BS44" s="1998">
        <v>1.0385725987491139</v>
      </c>
      <c r="BT44" s="2000">
        <v>1.0494439107904541</v>
      </c>
      <c r="BU44" s="1998">
        <v>1.0415237302846405</v>
      </c>
      <c r="BV44" s="1999">
        <v>1.0216353536237568</v>
      </c>
      <c r="BW44" s="1979">
        <v>1.0169965321075487</v>
      </c>
      <c r="BX44" s="1979">
        <v>1.0351312902843319</v>
      </c>
      <c r="BY44" s="1979">
        <v>1.0359663980310474</v>
      </c>
      <c r="BZ44" s="1979">
        <v>1.0625375329920419</v>
      </c>
      <c r="CA44" s="1979">
        <v>1.071547812314976</v>
      </c>
      <c r="CB44" s="1979">
        <v>1.0871797035958046</v>
      </c>
      <c r="CC44" s="1979">
        <v>1.1056970657968084</v>
      </c>
      <c r="CD44" s="1979">
        <v>1.1207258166259906</v>
      </c>
      <c r="CE44" s="1979">
        <v>1.1456685843599959</v>
      </c>
      <c r="CF44" s="2000">
        <v>1.0342516835603741</v>
      </c>
      <c r="CG44" s="1998">
        <v>1.1078666207506223</v>
      </c>
      <c r="CH44" s="2000">
        <v>1.0370081779144507</v>
      </c>
      <c r="CI44" s="1998">
        <v>1.1114012168584702</v>
      </c>
      <c r="CJ44" s="2000">
        <v>1.0397646722685274</v>
      </c>
      <c r="CK44" s="1998">
        <v>1.1149358129663178</v>
      </c>
      <c r="CL44" s="2000">
        <v>1.042521166622604</v>
      </c>
      <c r="CM44" s="1998">
        <v>1.1184704090741657</v>
      </c>
      <c r="CN44" s="2000">
        <v>1.0452776609766803</v>
      </c>
      <c r="CO44" s="1998">
        <v>1.1220050051820136</v>
      </c>
      <c r="CP44" s="1999">
        <v>1.0342273738608343</v>
      </c>
      <c r="CQ44" s="1979">
        <v>1.114911250964786</v>
      </c>
      <c r="CR44" s="1999">
        <v>1.0371203494504802</v>
      </c>
      <c r="CS44" s="1979">
        <v>1.1186123195446258</v>
      </c>
      <c r="CT44" s="1999">
        <v>1.0400133250401256</v>
      </c>
      <c r="CU44" s="1979">
        <v>1.122313388124466</v>
      </c>
      <c r="CV44" s="1999">
        <v>1.042906300629771</v>
      </c>
      <c r="CW44" s="1979">
        <v>1.126014456704306</v>
      </c>
      <c r="CX44" s="1999">
        <v>1.0457992762194166</v>
      </c>
      <c r="CY44" s="1979">
        <v>1.129715525284146</v>
      </c>
      <c r="CZ44" s="2000">
        <v>1.1329046809104995</v>
      </c>
      <c r="DA44" s="1998">
        <v>1.1944171116931268</v>
      </c>
      <c r="DB44" s="2000">
        <v>1.1376379705250486</v>
      </c>
      <c r="DC44" s="1998">
        <v>1.2004161683007317</v>
      </c>
      <c r="DD44" s="2000">
        <v>1.1423712601395979</v>
      </c>
      <c r="DE44" s="1998">
        <v>1.2064152249083364</v>
      </c>
      <c r="DF44" s="2000">
        <v>1.147104549754147</v>
      </c>
      <c r="DG44" s="1998">
        <v>1.2124142815159411</v>
      </c>
      <c r="DH44" s="2000">
        <v>1.1565711289832454</v>
      </c>
      <c r="DI44" s="1998">
        <v>1.2244123947311509</v>
      </c>
      <c r="DJ44" s="1999">
        <v>1.1508913392175</v>
      </c>
      <c r="DK44" s="1979">
        <v>1.2048108652216696</v>
      </c>
      <c r="DL44" s="1999">
        <v>1.1550657043578731</v>
      </c>
      <c r="DM44" s="1979">
        <v>1.2101733268489678</v>
      </c>
      <c r="DN44" s="1999">
        <v>1.1592400694982463</v>
      </c>
      <c r="DO44" s="1979">
        <v>1.2155357884762656</v>
      </c>
      <c r="DP44" s="1999">
        <v>1.1634144346386195</v>
      </c>
      <c r="DQ44" s="1979">
        <v>1.2208982501035639</v>
      </c>
      <c r="DR44" s="1999">
        <v>1.1717631649193656</v>
      </c>
      <c r="DS44" s="1979">
        <v>1.2316231733581602</v>
      </c>
      <c r="GT44" s="1980"/>
      <c r="GU44" s="1980"/>
      <c r="GV44" s="1980"/>
      <c r="GW44" s="1980"/>
      <c r="GX44" s="1980"/>
      <c r="GY44" s="1980"/>
      <c r="GZ44" s="1980"/>
      <c r="HA44" s="1980"/>
      <c r="HB44" s="1980"/>
      <c r="HC44" s="1980"/>
      <c r="HD44" s="1980"/>
      <c r="HE44" s="1980"/>
      <c r="HF44" s="1980"/>
      <c r="HG44" s="1980"/>
      <c r="HH44" s="1980"/>
      <c r="HI44" s="1980"/>
      <c r="HJ44" s="1980"/>
      <c r="HK44" s="1980"/>
      <c r="HL44" s="1980"/>
      <c r="HM44" s="1980"/>
      <c r="HN44" s="1980"/>
      <c r="HO44" s="1980"/>
      <c r="HP44" s="1980"/>
      <c r="HQ44" s="1980"/>
      <c r="HR44" s="1980"/>
      <c r="HS44" s="1980"/>
      <c r="HT44" s="1980"/>
      <c r="HU44" s="1980"/>
      <c r="HV44" s="1980"/>
      <c r="HW44" s="1980"/>
      <c r="HX44" s="1980"/>
      <c r="HY44" s="1980"/>
      <c r="HZ44" s="1980"/>
      <c r="IA44" s="1980"/>
      <c r="IB44" s="1980"/>
      <c r="IC44" s="1980"/>
      <c r="ID44" s="1980"/>
      <c r="IE44" s="1980"/>
      <c r="IF44" s="1980"/>
      <c r="IG44" s="1980"/>
      <c r="IH44" s="1980"/>
      <c r="II44" s="1980"/>
      <c r="IJ44" s="1980"/>
      <c r="IK44" s="1980"/>
      <c r="IL44" s="1980"/>
      <c r="IM44" s="1980"/>
      <c r="IN44" s="1980"/>
      <c r="IO44" s="1980"/>
      <c r="IP44" s="1980"/>
      <c r="IQ44" s="1980"/>
      <c r="IR44" s="1980"/>
      <c r="IS44" s="1980"/>
      <c r="IT44" s="1980"/>
      <c r="IU44" s="1980"/>
      <c r="IV44" s="1980"/>
      <c r="IW44" s="1980"/>
      <c r="IX44" s="1980"/>
      <c r="IY44" s="1980"/>
      <c r="IZ44" s="1980"/>
      <c r="JA44" s="1980"/>
      <c r="JB44" s="1980"/>
      <c r="JC44" s="1980"/>
      <c r="JD44" s="1980"/>
      <c r="JE44" s="1980"/>
      <c r="JF44" s="1980"/>
      <c r="JG44" s="1980"/>
      <c r="JH44" s="1980"/>
      <c r="JI44" s="1980"/>
      <c r="JJ44" s="1980"/>
      <c r="JK44" s="1980"/>
      <c r="JL44" s="1980"/>
      <c r="JM44" s="1980"/>
      <c r="JN44" s="1980"/>
      <c r="JO44" s="1980"/>
      <c r="JP44" s="1980"/>
      <c r="JQ44" s="1980"/>
      <c r="JR44" s="1980"/>
      <c r="JS44" s="1980"/>
      <c r="JT44" s="1980"/>
      <c r="JU44" s="1980"/>
      <c r="JV44" s="1980"/>
      <c r="JW44" s="1980"/>
      <c r="JX44" s="1980"/>
      <c r="JY44" s="1980"/>
      <c r="JZ44" s="1980"/>
      <c r="KA44" s="1980"/>
      <c r="KB44" s="1980"/>
      <c r="KC44" s="1980"/>
      <c r="KD44" s="1980"/>
      <c r="KE44" s="1980"/>
      <c r="KF44" s="1980"/>
      <c r="KG44" s="1980"/>
      <c r="KH44" s="1980"/>
      <c r="KI44" s="1980"/>
      <c r="KJ44" s="1980"/>
      <c r="KK44" s="1980"/>
    </row>
    <row r="45" spans="1:297">
      <c r="A45" s="1997"/>
      <c r="B45" s="2">
        <v>20</v>
      </c>
      <c r="C45" s="2" t="str">
        <f>CONCATENATE($U$8," ",$V$17)</f>
        <v>Proportion de fenêtres 70</v>
      </c>
      <c r="D45" s="1998">
        <v>1.0288125179492205</v>
      </c>
      <c r="E45" s="1998">
        <v>1.0082353483891993</v>
      </c>
      <c r="F45" s="1998">
        <v>1.0438830061761872</v>
      </c>
      <c r="G45" s="1998">
        <v>1.0285000310322534</v>
      </c>
      <c r="H45" s="1998">
        <v>1.0759080237018965</v>
      </c>
      <c r="I45" s="1998">
        <v>1.0682743904335716</v>
      </c>
      <c r="J45" s="1998">
        <v>1.1053540975071054</v>
      </c>
      <c r="K45" s="1998">
        <v>1.1073058044529767</v>
      </c>
      <c r="L45" s="1998">
        <v>1.1407828607157213</v>
      </c>
      <c r="M45" s="1998">
        <v>1.1500778225706265</v>
      </c>
      <c r="N45" s="1999">
        <v>1.0404788680366286</v>
      </c>
      <c r="O45" s="1979">
        <v>1.0291891766106902</v>
      </c>
      <c r="P45" s="1979">
        <v>1.0552038907588639</v>
      </c>
      <c r="Q45" s="1979">
        <v>1.0489572343217199</v>
      </c>
      <c r="R45" s="1979">
        <v>1.0794818913361146</v>
      </c>
      <c r="S45" s="1979">
        <v>1.0791448999365558</v>
      </c>
      <c r="T45" s="1979">
        <v>1.1003407429854239</v>
      </c>
      <c r="U45" s="1979">
        <v>1.106756249027244</v>
      </c>
      <c r="V45" s="1979">
        <v>1.1360648846654904</v>
      </c>
      <c r="W45" s="1979">
        <v>1.1436497574039146</v>
      </c>
      <c r="X45" s="2000">
        <v>1.0517646312653339</v>
      </c>
      <c r="Y45" s="1998">
        <v>1.0323007407055451</v>
      </c>
      <c r="Z45" s="1998">
        <v>1.0834250570994257</v>
      </c>
      <c r="AA45" s="1998">
        <v>1.0713992750792019</v>
      </c>
      <c r="AB45" s="1998">
        <v>1.0852954074774832</v>
      </c>
      <c r="AC45" s="1998">
        <v>1.0737213218220292</v>
      </c>
      <c r="AD45" s="1998">
        <v>1.0871657578555405</v>
      </c>
      <c r="AE45" s="1998">
        <v>1.0760433685648565</v>
      </c>
      <c r="AF45" s="1998">
        <v>1.089036108233598</v>
      </c>
      <c r="AG45" s="1998">
        <v>1.078365415307684</v>
      </c>
      <c r="AH45" s="1999">
        <v>1.0575738519714939</v>
      </c>
      <c r="AI45" s="1979">
        <v>1.0424504130682259</v>
      </c>
      <c r="AJ45" s="1979">
        <v>1.0845466737673508</v>
      </c>
      <c r="AK45" s="1979">
        <v>1.0727764990300854</v>
      </c>
      <c r="AL45" s="1979">
        <v>1.0879223490921377</v>
      </c>
      <c r="AM45" s="1979">
        <v>1.0770153543570073</v>
      </c>
      <c r="AN45" s="1979">
        <v>1.0912980244169244</v>
      </c>
      <c r="AO45" s="1979">
        <v>1.0812542096839293</v>
      </c>
      <c r="AP45" s="1979">
        <v>1.0946736997417108</v>
      </c>
      <c r="AQ45" s="1979">
        <v>1.085493065010851</v>
      </c>
      <c r="AR45" s="2000">
        <v>1.0425943445688015</v>
      </c>
      <c r="AS45" s="1998">
        <v>1.0311683012199917</v>
      </c>
      <c r="AT45" s="1998">
        <v>1.0757688864180392</v>
      </c>
      <c r="AU45" s="1998">
        <v>1.0713090418987059</v>
      </c>
      <c r="AV45" s="1998">
        <v>1.0782533754658834</v>
      </c>
      <c r="AW45" s="1998">
        <v>1.0744052459214954</v>
      </c>
      <c r="AX45" s="1998">
        <v>1.0807378645137276</v>
      </c>
      <c r="AY45" s="1998">
        <v>1.0775014499442848</v>
      </c>
      <c r="AZ45" s="1998">
        <v>1.0832223535615715</v>
      </c>
      <c r="BA45" s="1998">
        <v>1.0805976539670741</v>
      </c>
      <c r="BB45" s="1999">
        <v>1.419859262446779</v>
      </c>
      <c r="BC45" s="1979">
        <v>1.4172799315026425</v>
      </c>
      <c r="BD45" s="1979">
        <v>1.4779728946267492</v>
      </c>
      <c r="BE45" s="1979">
        <v>1.4692423132042007</v>
      </c>
      <c r="BF45" s="1979">
        <v>1.4911342558552603</v>
      </c>
      <c r="BG45" s="1979">
        <v>1.4850804004104476</v>
      </c>
      <c r="BH45" s="1979">
        <v>1.5042956170837716</v>
      </c>
      <c r="BI45" s="1979">
        <v>1.5009184876166946</v>
      </c>
      <c r="BJ45" s="1979">
        <v>1.5174569783122829</v>
      </c>
      <c r="BK45" s="1979">
        <v>1.5167565748229412</v>
      </c>
      <c r="BL45" s="2000">
        <v>1.0352144327708923</v>
      </c>
      <c r="BM45" s="1998">
        <v>1.0247656100112066</v>
      </c>
      <c r="BN45" s="2000">
        <v>1.0376743446815246</v>
      </c>
      <c r="BO45" s="1998">
        <v>1.0277167415467336</v>
      </c>
      <c r="BP45" s="2000">
        <v>1.0401342565921567</v>
      </c>
      <c r="BQ45" s="1998">
        <v>1.03066787308226</v>
      </c>
      <c r="BR45" s="2000">
        <v>1.0425941685027889</v>
      </c>
      <c r="BS45" s="1998">
        <v>1.0336190046177867</v>
      </c>
      <c r="BT45" s="2000">
        <v>1.045054080413421</v>
      </c>
      <c r="BU45" s="1998">
        <v>1.0365701361533131</v>
      </c>
      <c r="BV45" s="1999">
        <v>1.0199139202800018</v>
      </c>
      <c r="BW45" s="1979">
        <v>1.015037798137939</v>
      </c>
      <c r="BX45" s="1979">
        <v>1.0332006676439525</v>
      </c>
      <c r="BY45" s="1979">
        <v>1.03371154450248</v>
      </c>
      <c r="BZ45" s="1979">
        <v>1.0605023157033504</v>
      </c>
      <c r="CA45" s="1979">
        <v>1.0691448990069301</v>
      </c>
      <c r="CB45" s="1979">
        <v>1.0850398916588011</v>
      </c>
      <c r="CC45" s="1979">
        <v>1.1031460927092838</v>
      </c>
      <c r="CD45" s="1979">
        <v>1.1184814100406746</v>
      </c>
      <c r="CE45" s="1979">
        <v>1.1429695514929923</v>
      </c>
      <c r="CF45" s="2000">
        <v>1.0320604499221069</v>
      </c>
      <c r="CG45" s="1998">
        <v>1.1052237553647437</v>
      </c>
      <c r="CH45" s="2000">
        <v>1.0348169442761834</v>
      </c>
      <c r="CI45" s="1998">
        <v>1.1087583514725916</v>
      </c>
      <c r="CJ45" s="2000">
        <v>1.0375734386302602</v>
      </c>
      <c r="CK45" s="1998">
        <v>1.1122929475804393</v>
      </c>
      <c r="CL45" s="2000">
        <v>1.0403299329843365</v>
      </c>
      <c r="CM45" s="1998">
        <v>1.1158275436882874</v>
      </c>
      <c r="CN45" s="2000">
        <v>1.0430864273384131</v>
      </c>
      <c r="CO45" s="1998">
        <v>1.1193621397961349</v>
      </c>
      <c r="CP45" s="1999">
        <v>1.0318337800995145</v>
      </c>
      <c r="CQ45" s="1979">
        <v>1.112030959240077</v>
      </c>
      <c r="CR45" s="1999">
        <v>1.0347267556891599</v>
      </c>
      <c r="CS45" s="1979">
        <v>1.115732027819917</v>
      </c>
      <c r="CT45" s="1999">
        <v>1.0376197312788054</v>
      </c>
      <c r="CU45" s="1979">
        <v>1.119433096399757</v>
      </c>
      <c r="CV45" s="1999">
        <v>1.040512706868451</v>
      </c>
      <c r="CW45" s="1979">
        <v>1.1231341649795972</v>
      </c>
      <c r="CX45" s="1999">
        <v>1.0434056824580964</v>
      </c>
      <c r="CY45" s="1979">
        <v>1.1268352335594372</v>
      </c>
      <c r="CZ45" s="2000">
        <v>1.1293384261141206</v>
      </c>
      <c r="DA45" s="1998">
        <v>1.1901656730131713</v>
      </c>
      <c r="DB45" s="2000">
        <v>1.1340717157286695</v>
      </c>
      <c r="DC45" s="1998">
        <v>1.196164729620776</v>
      </c>
      <c r="DD45" s="2000">
        <v>1.138805005343219</v>
      </c>
      <c r="DE45" s="1998">
        <v>1.2021637862283807</v>
      </c>
      <c r="DF45" s="2000">
        <v>1.1435382949577679</v>
      </c>
      <c r="DG45" s="1998">
        <v>1.2081628428359856</v>
      </c>
      <c r="DH45" s="2000">
        <v>1.1530048741868664</v>
      </c>
      <c r="DI45" s="1998">
        <v>1.2201609560511952</v>
      </c>
      <c r="DJ45" s="1999">
        <v>1.1448472041794597</v>
      </c>
      <c r="DK45" s="1979">
        <v>1.1975076921912402</v>
      </c>
      <c r="DL45" s="1999">
        <v>1.1490215693198329</v>
      </c>
      <c r="DM45" s="1979">
        <v>1.2028701538185382</v>
      </c>
      <c r="DN45" s="1999">
        <v>1.1531959344602061</v>
      </c>
      <c r="DO45" s="1979">
        <v>1.2082326154458363</v>
      </c>
      <c r="DP45" s="1999">
        <v>1.1573702996005792</v>
      </c>
      <c r="DQ45" s="1979">
        <v>1.2135950770731345</v>
      </c>
      <c r="DR45" s="1999">
        <v>1.1657190298813254</v>
      </c>
      <c r="DS45" s="1979">
        <v>1.2243200003277306</v>
      </c>
      <c r="GT45" s="1980"/>
      <c r="GU45" s="1980"/>
      <c r="GV45" s="1980"/>
      <c r="GW45" s="1980"/>
      <c r="GX45" s="1980"/>
      <c r="GY45" s="1980"/>
      <c r="GZ45" s="1980"/>
      <c r="HA45" s="1980"/>
      <c r="HB45" s="1980"/>
      <c r="HC45" s="1980"/>
      <c r="HD45" s="1980"/>
      <c r="HE45" s="1980"/>
      <c r="HF45" s="1980"/>
      <c r="HG45" s="1980"/>
      <c r="HH45" s="1980"/>
      <c r="HI45" s="1980"/>
      <c r="HJ45" s="1980"/>
      <c r="HK45" s="1980"/>
      <c r="HL45" s="1980"/>
      <c r="HM45" s="1980"/>
      <c r="HN45" s="1980"/>
      <c r="HO45" s="1980"/>
      <c r="HP45" s="1980"/>
      <c r="HQ45" s="1980"/>
      <c r="HR45" s="1980"/>
      <c r="HS45" s="1980"/>
      <c r="HT45" s="1980"/>
      <c r="HU45" s="1980"/>
      <c r="HV45" s="1980"/>
      <c r="HW45" s="1980"/>
      <c r="HX45" s="1980"/>
      <c r="HY45" s="1980"/>
      <c r="HZ45" s="1980"/>
      <c r="IA45" s="1980"/>
      <c r="IB45" s="1980"/>
      <c r="IC45" s="1980"/>
      <c r="ID45" s="1980"/>
      <c r="IE45" s="1980"/>
      <c r="IF45" s="1980"/>
      <c r="IG45" s="1980"/>
      <c r="IH45" s="1980"/>
      <c r="II45" s="1980"/>
      <c r="IJ45" s="1980"/>
      <c r="IK45" s="1980"/>
      <c r="IL45" s="1980"/>
      <c r="IM45" s="1980"/>
      <c r="IN45" s="1980"/>
      <c r="IO45" s="1980"/>
      <c r="IP45" s="1980"/>
      <c r="IQ45" s="1980"/>
      <c r="IR45" s="1980"/>
      <c r="IS45" s="1980"/>
      <c r="IT45" s="1980"/>
      <c r="IU45" s="1980"/>
      <c r="IV45" s="1980"/>
      <c r="IW45" s="1980"/>
      <c r="IX45" s="1980"/>
      <c r="IY45" s="1980"/>
      <c r="IZ45" s="1980"/>
      <c r="JA45" s="1980"/>
      <c r="JB45" s="1980"/>
      <c r="JC45" s="1980"/>
      <c r="JD45" s="1980"/>
      <c r="JE45" s="1980"/>
      <c r="JF45" s="1980"/>
      <c r="JG45" s="1980"/>
      <c r="JH45" s="1980"/>
      <c r="JI45" s="1980"/>
      <c r="JJ45" s="1980"/>
      <c r="JK45" s="1980"/>
      <c r="JL45" s="1980"/>
      <c r="JM45" s="1980"/>
      <c r="JN45" s="1980"/>
      <c r="JO45" s="1980"/>
      <c r="JP45" s="1980"/>
      <c r="JQ45" s="1980"/>
      <c r="JR45" s="1980"/>
      <c r="JS45" s="1980"/>
      <c r="JT45" s="1980"/>
      <c r="JU45" s="1980"/>
      <c r="JV45" s="1980"/>
      <c r="JW45" s="1980"/>
      <c r="JX45" s="1980"/>
      <c r="JY45" s="1980"/>
      <c r="JZ45" s="1980"/>
      <c r="KA45" s="1980"/>
      <c r="KB45" s="1980"/>
      <c r="KC45" s="1980"/>
      <c r="KD45" s="1980"/>
      <c r="KE45" s="1980"/>
      <c r="KF45" s="1980"/>
      <c r="KG45" s="1980"/>
      <c r="KH45" s="1980"/>
      <c r="KI45" s="1980"/>
      <c r="KJ45" s="1980"/>
      <c r="KK45" s="1980"/>
    </row>
    <row r="46" spans="1:297">
      <c r="A46" s="1997"/>
      <c r="B46" s="2">
        <v>21</v>
      </c>
      <c r="C46" s="2" t="str">
        <f>CONCATENATE($U$8," ",$V$18)</f>
        <v>Proportion de fenêtres 80</v>
      </c>
      <c r="D46" s="1998">
        <v>1.0235321305326937</v>
      </c>
      <c r="E46" s="1998">
        <v>1.002490392623776</v>
      </c>
      <c r="F46" s="1998">
        <v>1.0379609438823991</v>
      </c>
      <c r="G46" s="1998">
        <v>1.0218865582584555</v>
      </c>
      <c r="H46" s="1998">
        <v>1.0696651239694772</v>
      </c>
      <c r="I46" s="1998">
        <v>1.0612266591555863</v>
      </c>
      <c r="J46" s="1998">
        <v>1.098790360336056</v>
      </c>
      <c r="K46" s="1998">
        <v>1.0998238146708037</v>
      </c>
      <c r="L46" s="1998">
        <v>1.1338982861060409</v>
      </c>
      <c r="M46" s="1998">
        <v>1.1421615742842661</v>
      </c>
      <c r="N46" s="1999">
        <v>1.0369797241123815</v>
      </c>
      <c r="O46" s="1979">
        <v>1.0253871684145532</v>
      </c>
      <c r="P46" s="1979">
        <v>1.0512795294081296</v>
      </c>
      <c r="Q46" s="1979">
        <v>1.0445804421030149</v>
      </c>
      <c r="R46" s="1979">
        <v>1.0753449212721369</v>
      </c>
      <c r="S46" s="1979">
        <v>1.074480715706567</v>
      </c>
      <c r="T46" s="1979">
        <v>1.0959911642082025</v>
      </c>
      <c r="U46" s="1979">
        <v>1.1018046727859709</v>
      </c>
      <c r="V46" s="1979">
        <v>1.1315026971750253</v>
      </c>
      <c r="W46" s="1979">
        <v>1.1384107891513575</v>
      </c>
      <c r="X46" s="2000">
        <v>1.0457401792103098</v>
      </c>
      <c r="Y46" s="1998">
        <v>1.0253265657225121</v>
      </c>
      <c r="Z46" s="1998">
        <v>1.0774006050444016</v>
      </c>
      <c r="AA46" s="1998">
        <v>1.0644251000961689</v>
      </c>
      <c r="AB46" s="1998">
        <v>1.0792709554224593</v>
      </c>
      <c r="AC46" s="1998">
        <v>1.0667471468389962</v>
      </c>
      <c r="AD46" s="1998">
        <v>1.0811413058005166</v>
      </c>
      <c r="AE46" s="1998">
        <v>1.0690691935818237</v>
      </c>
      <c r="AF46" s="1998">
        <v>1.0830116561785741</v>
      </c>
      <c r="AG46" s="1998">
        <v>1.0713912403246511</v>
      </c>
      <c r="AH46" s="1999">
        <v>1.0508733133537758</v>
      </c>
      <c r="AI46" s="1979">
        <v>1.0346048351345258</v>
      </c>
      <c r="AJ46" s="1979">
        <v>1.0778461351496329</v>
      </c>
      <c r="AK46" s="1979">
        <v>1.0649309210963853</v>
      </c>
      <c r="AL46" s="1979">
        <v>1.0812218104744196</v>
      </c>
      <c r="AM46" s="1979">
        <v>1.0691697764233072</v>
      </c>
      <c r="AN46" s="1979">
        <v>1.0845974857992062</v>
      </c>
      <c r="AO46" s="1979">
        <v>1.0734086317502292</v>
      </c>
      <c r="AP46" s="1979">
        <v>1.0879731611239929</v>
      </c>
      <c r="AQ46" s="1979">
        <v>1.0776474870771509</v>
      </c>
      <c r="AR46" s="2000">
        <v>1.0376371454079576</v>
      </c>
      <c r="AS46" s="1998">
        <v>1.0254078546516749</v>
      </c>
      <c r="AT46" s="1998">
        <v>1.0708116872571953</v>
      </c>
      <c r="AU46" s="1998">
        <v>1.0655485953303894</v>
      </c>
      <c r="AV46" s="1998">
        <v>1.0732961763050395</v>
      </c>
      <c r="AW46" s="1998">
        <v>1.0686447993531789</v>
      </c>
      <c r="AX46" s="1998">
        <v>1.0757806653528836</v>
      </c>
      <c r="AY46" s="1998">
        <v>1.071741003375968</v>
      </c>
      <c r="AZ46" s="1998">
        <v>1.0782651544007276</v>
      </c>
      <c r="BA46" s="1998">
        <v>1.0748372073987575</v>
      </c>
      <c r="BB46" s="1999">
        <v>1.4142484082101794</v>
      </c>
      <c r="BC46" s="1979">
        <v>1.4109840258904487</v>
      </c>
      <c r="BD46" s="1979">
        <v>1.4723620403901496</v>
      </c>
      <c r="BE46" s="1979">
        <v>1.4629464075920071</v>
      </c>
      <c r="BF46" s="1979">
        <v>1.4855234016186607</v>
      </c>
      <c r="BG46" s="1979">
        <v>1.4787844947982538</v>
      </c>
      <c r="BH46" s="1979">
        <v>1.498684762847172</v>
      </c>
      <c r="BI46" s="1979">
        <v>1.4946225820045007</v>
      </c>
      <c r="BJ46" s="1979">
        <v>1.5118461240756833</v>
      </c>
      <c r="BK46" s="1979">
        <v>1.5104606692107478</v>
      </c>
      <c r="BL46" s="2000">
        <v>1.0308246023938594</v>
      </c>
      <c r="BM46" s="1998">
        <v>1.0198120158798794</v>
      </c>
      <c r="BN46" s="2000">
        <v>1.0332845143044913</v>
      </c>
      <c r="BO46" s="1998">
        <v>1.0227631474154057</v>
      </c>
      <c r="BP46" s="2000">
        <v>1.0357444262151239</v>
      </c>
      <c r="BQ46" s="1998">
        <v>1.0257142789509328</v>
      </c>
      <c r="BR46" s="2000">
        <v>1.0382043381257557</v>
      </c>
      <c r="BS46" s="1998">
        <v>1.0286654104864592</v>
      </c>
      <c r="BT46" s="2000">
        <v>1.0406642500363879</v>
      </c>
      <c r="BU46" s="1998">
        <v>1.0316165420219858</v>
      </c>
      <c r="BV46" s="1999">
        <v>1.0181924869362471</v>
      </c>
      <c r="BW46" s="1979">
        <v>1.0130790641683294</v>
      </c>
      <c r="BX46" s="1979">
        <v>1.0312700450035734</v>
      </c>
      <c r="BY46" s="1979">
        <v>1.0314566909739129</v>
      </c>
      <c r="BZ46" s="1979">
        <v>1.0584670984146589</v>
      </c>
      <c r="CA46" s="1979">
        <v>1.066741985698884</v>
      </c>
      <c r="CB46" s="1979">
        <v>1.0829000797217974</v>
      </c>
      <c r="CC46" s="1979">
        <v>1.1005951196217589</v>
      </c>
      <c r="CD46" s="1979">
        <v>1.1162370034553586</v>
      </c>
      <c r="CE46" s="1979">
        <v>1.1402705186259892</v>
      </c>
      <c r="CF46" s="2000">
        <v>1.0298692162838399</v>
      </c>
      <c r="CG46" s="1998">
        <v>1.1025808899788654</v>
      </c>
      <c r="CH46" s="2000">
        <v>1.0326257106379164</v>
      </c>
      <c r="CI46" s="1998">
        <v>1.1061154860867131</v>
      </c>
      <c r="CJ46" s="2000">
        <v>1.0353822049919932</v>
      </c>
      <c r="CK46" s="1998">
        <v>1.109650082194561</v>
      </c>
      <c r="CL46" s="2000">
        <v>1.0381386993460697</v>
      </c>
      <c r="CM46" s="1998">
        <v>1.1131846783024086</v>
      </c>
      <c r="CN46" s="2000">
        <v>1.040895193700146</v>
      </c>
      <c r="CO46" s="1998">
        <v>1.1167192744102565</v>
      </c>
      <c r="CP46" s="1999">
        <v>1.0294401863381941</v>
      </c>
      <c r="CQ46" s="1979">
        <v>1.1091506675153679</v>
      </c>
      <c r="CR46" s="1999">
        <v>1.0323331619278397</v>
      </c>
      <c r="CS46" s="1979">
        <v>1.1128517360952082</v>
      </c>
      <c r="CT46" s="1999">
        <v>1.0352261375174852</v>
      </c>
      <c r="CU46" s="1979">
        <v>1.1165528046750479</v>
      </c>
      <c r="CV46" s="1999">
        <v>1.0381191131071308</v>
      </c>
      <c r="CW46" s="1979">
        <v>1.1202538732548881</v>
      </c>
      <c r="CX46" s="1999">
        <v>1.0410120886967762</v>
      </c>
      <c r="CY46" s="1979">
        <v>1.1239549418347281</v>
      </c>
      <c r="CZ46" s="2000">
        <v>1.1257721713177415</v>
      </c>
      <c r="DA46" s="1998">
        <v>1.1859142343332156</v>
      </c>
      <c r="DB46" s="2000">
        <v>1.1305054609322907</v>
      </c>
      <c r="DC46" s="1998">
        <v>1.1919132909408203</v>
      </c>
      <c r="DD46" s="2000">
        <v>1.13523875054684</v>
      </c>
      <c r="DE46" s="1998">
        <v>1.197912347548425</v>
      </c>
      <c r="DF46" s="2000">
        <v>1.1399720401613891</v>
      </c>
      <c r="DG46" s="1998">
        <v>1.2039114041560302</v>
      </c>
      <c r="DH46" s="2000">
        <v>1.1494386193904875</v>
      </c>
      <c r="DI46" s="1998">
        <v>1.2159095173712395</v>
      </c>
      <c r="DJ46" s="1999">
        <v>1.1388030691414195</v>
      </c>
      <c r="DK46" s="1979">
        <v>1.1902045191608108</v>
      </c>
      <c r="DL46" s="1999">
        <v>1.1429774342817927</v>
      </c>
      <c r="DM46" s="1979">
        <v>1.1955669807881086</v>
      </c>
      <c r="DN46" s="1999">
        <v>1.1471517994221656</v>
      </c>
      <c r="DO46" s="1979">
        <v>1.2009294424154067</v>
      </c>
      <c r="DP46" s="1999">
        <v>1.151326164562539</v>
      </c>
      <c r="DQ46" s="1979">
        <v>1.2062919040427049</v>
      </c>
      <c r="DR46" s="1999">
        <v>1.1596748948432853</v>
      </c>
      <c r="DS46" s="1979">
        <v>1.217016827297301</v>
      </c>
      <c r="GT46" s="1980"/>
      <c r="GU46" s="1980"/>
      <c r="GV46" s="1980"/>
      <c r="GW46" s="1980"/>
      <c r="GX46" s="1980"/>
      <c r="GY46" s="1980"/>
      <c r="GZ46" s="1980"/>
      <c r="HA46" s="1980"/>
      <c r="HB46" s="1980"/>
      <c r="HC46" s="1980"/>
      <c r="HD46" s="1980"/>
      <c r="HE46" s="1980"/>
      <c r="HF46" s="1980"/>
      <c r="HG46" s="1980"/>
      <c r="HH46" s="1980"/>
      <c r="HI46" s="1980"/>
      <c r="HJ46" s="1980"/>
      <c r="HK46" s="1980"/>
      <c r="HL46" s="1980"/>
      <c r="HM46" s="1980"/>
      <c r="HN46" s="1980"/>
      <c r="HO46" s="1980"/>
      <c r="HP46" s="1980"/>
      <c r="HQ46" s="1980"/>
      <c r="HR46" s="1980"/>
      <c r="HS46" s="1980"/>
      <c r="HT46" s="1980"/>
      <c r="HU46" s="1980"/>
      <c r="HV46" s="1980"/>
      <c r="HW46" s="1980"/>
      <c r="HX46" s="1980"/>
      <c r="HY46" s="1980"/>
      <c r="HZ46" s="1980"/>
      <c r="IA46" s="1980"/>
      <c r="IB46" s="1980"/>
      <c r="IC46" s="1980"/>
      <c r="ID46" s="1980"/>
      <c r="IE46" s="1980"/>
      <c r="IF46" s="1980"/>
      <c r="IG46" s="1980"/>
      <c r="IH46" s="1980"/>
      <c r="II46" s="1980"/>
      <c r="IJ46" s="1980"/>
      <c r="IK46" s="1980"/>
      <c r="IL46" s="1980"/>
      <c r="IM46" s="1980"/>
      <c r="IN46" s="1980"/>
      <c r="IO46" s="1980"/>
      <c r="IP46" s="1980"/>
      <c r="IQ46" s="1980"/>
      <c r="IR46" s="1980"/>
      <c r="IS46" s="1980"/>
      <c r="IT46" s="1980"/>
      <c r="IU46" s="1980"/>
      <c r="IV46" s="1980"/>
      <c r="IW46" s="1980"/>
      <c r="IX46" s="1980"/>
      <c r="IY46" s="1980"/>
      <c r="IZ46" s="1980"/>
      <c r="JA46" s="1980"/>
      <c r="JB46" s="1980"/>
      <c r="JC46" s="1980"/>
      <c r="JD46" s="1980"/>
      <c r="JE46" s="1980"/>
      <c r="JF46" s="1980"/>
      <c r="JG46" s="1980"/>
      <c r="JH46" s="1980"/>
      <c r="JI46" s="1980"/>
      <c r="JJ46" s="1980"/>
      <c r="JK46" s="1980"/>
      <c r="JL46" s="1980"/>
      <c r="JM46" s="1980"/>
      <c r="JN46" s="1980"/>
      <c r="JO46" s="1980"/>
      <c r="JP46" s="1980"/>
      <c r="JQ46" s="1980"/>
      <c r="JR46" s="1980"/>
      <c r="JS46" s="1980"/>
      <c r="JT46" s="1980"/>
      <c r="JU46" s="1980"/>
      <c r="JV46" s="1980"/>
      <c r="JW46" s="1980"/>
      <c r="JX46" s="1980"/>
      <c r="JY46" s="1980"/>
      <c r="JZ46" s="1980"/>
      <c r="KA46" s="1980"/>
      <c r="KB46" s="1980"/>
      <c r="KC46" s="1980"/>
      <c r="KD46" s="1980"/>
      <c r="KE46" s="1980"/>
      <c r="KF46" s="1980"/>
      <c r="KG46" s="1980"/>
      <c r="KH46" s="1980"/>
      <c r="KI46" s="1980"/>
      <c r="KJ46" s="1980"/>
      <c r="KK46" s="1980"/>
    </row>
    <row r="47" spans="1:297">
      <c r="A47" s="1997"/>
      <c r="B47" s="2">
        <v>22</v>
      </c>
      <c r="C47" s="2" t="str">
        <f>CONCATENATE($U$8," ",$V$19)</f>
        <v>Proportion de fenêtres 90</v>
      </c>
      <c r="D47" s="1998">
        <v>1.0182517431161671</v>
      </c>
      <c r="E47" s="1998">
        <v>0.99674543685835293</v>
      </c>
      <c r="F47" s="1998">
        <v>1.032038881588611</v>
      </c>
      <c r="G47" s="1998">
        <v>1.0152730854846572</v>
      </c>
      <c r="H47" s="1998">
        <v>1.0634222242370586</v>
      </c>
      <c r="I47" s="1998">
        <v>1.0541789278776008</v>
      </c>
      <c r="J47" s="1998">
        <v>1.0922266231650064</v>
      </c>
      <c r="K47" s="1998">
        <v>1.0923418248886307</v>
      </c>
      <c r="L47" s="1998">
        <v>1.1270137114963608</v>
      </c>
      <c r="M47" s="1998">
        <v>1.134245325997906</v>
      </c>
      <c r="N47" s="1999">
        <v>1.0334805801881346</v>
      </c>
      <c r="O47" s="1979">
        <v>1.0215851602184163</v>
      </c>
      <c r="P47" s="1979">
        <v>1.0473551680573954</v>
      </c>
      <c r="Q47" s="1979">
        <v>1.0402036498843099</v>
      </c>
      <c r="R47" s="1979">
        <v>1.0712079512081589</v>
      </c>
      <c r="S47" s="1979">
        <v>1.069816531476578</v>
      </c>
      <c r="T47" s="1979">
        <v>1.0916415854309811</v>
      </c>
      <c r="U47" s="1979">
        <v>1.0968530965446983</v>
      </c>
      <c r="V47" s="1979">
        <v>1.1269405096845602</v>
      </c>
      <c r="W47" s="1979">
        <v>1.1331718208988004</v>
      </c>
      <c r="X47" s="2000">
        <v>1.0397157271552859</v>
      </c>
      <c r="Y47" s="1998">
        <v>1.0183523907394791</v>
      </c>
      <c r="Z47" s="1998">
        <v>1.0713761529893779</v>
      </c>
      <c r="AA47" s="1998">
        <v>1.0574509251131361</v>
      </c>
      <c r="AB47" s="1998">
        <v>1.0732465033674354</v>
      </c>
      <c r="AC47" s="1998">
        <v>1.0597729718559636</v>
      </c>
      <c r="AD47" s="1998">
        <v>1.0751168537454929</v>
      </c>
      <c r="AE47" s="1998">
        <v>1.0620950185987905</v>
      </c>
      <c r="AF47" s="1998">
        <v>1.0769872041235504</v>
      </c>
      <c r="AG47" s="1998">
        <v>1.0644170653416181</v>
      </c>
      <c r="AH47" s="1999">
        <v>1.0441727747360579</v>
      </c>
      <c r="AI47" s="1979">
        <v>1.0267592572008257</v>
      </c>
      <c r="AJ47" s="1979">
        <v>1.0711455965319148</v>
      </c>
      <c r="AK47" s="1979">
        <v>1.0570853431626852</v>
      </c>
      <c r="AL47" s="1979">
        <v>1.0745212718567014</v>
      </c>
      <c r="AM47" s="1979">
        <v>1.0613241984896071</v>
      </c>
      <c r="AN47" s="1979">
        <v>1.0778969471814881</v>
      </c>
      <c r="AO47" s="1979">
        <v>1.0655630538165288</v>
      </c>
      <c r="AP47" s="1979">
        <v>1.081272622506275</v>
      </c>
      <c r="AQ47" s="1979">
        <v>1.0698019091434507</v>
      </c>
      <c r="AR47" s="2000">
        <v>1.0326799462471137</v>
      </c>
      <c r="AS47" s="1998">
        <v>1.0196474080833582</v>
      </c>
      <c r="AT47" s="1998">
        <v>1.0658544880963512</v>
      </c>
      <c r="AU47" s="1998">
        <v>1.0597881487620728</v>
      </c>
      <c r="AV47" s="1998">
        <v>1.0683389771441953</v>
      </c>
      <c r="AW47" s="1998">
        <v>1.0628843527848619</v>
      </c>
      <c r="AX47" s="1998">
        <v>1.0708234661920395</v>
      </c>
      <c r="AY47" s="1998">
        <v>1.0659805568076517</v>
      </c>
      <c r="AZ47" s="1998">
        <v>1.0733079552398836</v>
      </c>
      <c r="BA47" s="1998">
        <v>1.0690767608304412</v>
      </c>
      <c r="BB47" s="1999">
        <v>1.40863755397358</v>
      </c>
      <c r="BC47" s="1979">
        <v>1.4046881202782551</v>
      </c>
      <c r="BD47" s="1979">
        <v>1.46675118615355</v>
      </c>
      <c r="BE47" s="1979">
        <v>1.4566505019798135</v>
      </c>
      <c r="BF47" s="1979">
        <v>1.4799125473820611</v>
      </c>
      <c r="BG47" s="1979">
        <v>1.4724885891860604</v>
      </c>
      <c r="BH47" s="1979">
        <v>1.4930739086105724</v>
      </c>
      <c r="BI47" s="1979">
        <v>1.4883266763923071</v>
      </c>
      <c r="BJ47" s="1979">
        <v>1.5062352698390835</v>
      </c>
      <c r="BK47" s="1979">
        <v>1.5041647635985542</v>
      </c>
      <c r="BL47" s="2000">
        <v>1.0264347720168263</v>
      </c>
      <c r="BM47" s="1998">
        <v>1.0148584217485523</v>
      </c>
      <c r="BN47" s="2000">
        <v>1.0288946839274584</v>
      </c>
      <c r="BO47" s="1998">
        <v>1.0178095532840785</v>
      </c>
      <c r="BP47" s="2000">
        <v>1.0313545958380905</v>
      </c>
      <c r="BQ47" s="1998">
        <v>1.0207606848196054</v>
      </c>
      <c r="BR47" s="2000">
        <v>1.0338145077487229</v>
      </c>
      <c r="BS47" s="1998">
        <v>1.023711816355132</v>
      </c>
      <c r="BT47" s="2000">
        <v>1.036274419659355</v>
      </c>
      <c r="BU47" s="1998">
        <v>1.0266629478906584</v>
      </c>
      <c r="BV47" s="1999">
        <v>1.0164710535924921</v>
      </c>
      <c r="BW47" s="1979">
        <v>1.0111203301987195</v>
      </c>
      <c r="BX47" s="1979">
        <v>1.029339422363194</v>
      </c>
      <c r="BY47" s="1979">
        <v>1.0292018374453453</v>
      </c>
      <c r="BZ47" s="1979">
        <v>1.0564318811259672</v>
      </c>
      <c r="CA47" s="1979">
        <v>1.0643390723908381</v>
      </c>
      <c r="CB47" s="1979">
        <v>1.0807602677847934</v>
      </c>
      <c r="CC47" s="1979">
        <v>1.0980441465342341</v>
      </c>
      <c r="CD47" s="1979">
        <v>1.1139925968700426</v>
      </c>
      <c r="CE47" s="1979">
        <v>1.1375714857589854</v>
      </c>
      <c r="CF47" s="2000">
        <v>1.0276779826455729</v>
      </c>
      <c r="CG47" s="1998">
        <v>1.0999380245929866</v>
      </c>
      <c r="CH47" s="2000">
        <v>1.0304344769996496</v>
      </c>
      <c r="CI47" s="1998">
        <v>1.1034726207008347</v>
      </c>
      <c r="CJ47" s="2000">
        <v>1.033190971353726</v>
      </c>
      <c r="CK47" s="1998">
        <v>1.1070072168086826</v>
      </c>
      <c r="CL47" s="2000">
        <v>1.0359474657078023</v>
      </c>
      <c r="CM47" s="1998">
        <v>1.1105418129165303</v>
      </c>
      <c r="CN47" s="2000">
        <v>1.0387039600618788</v>
      </c>
      <c r="CO47" s="1998">
        <v>1.1140764090243782</v>
      </c>
      <c r="CP47" s="1999">
        <v>1.0270465925768741</v>
      </c>
      <c r="CQ47" s="1979">
        <v>1.1062703757906591</v>
      </c>
      <c r="CR47" s="1999">
        <v>1.0299395681665195</v>
      </c>
      <c r="CS47" s="1979">
        <v>1.1099714443704991</v>
      </c>
      <c r="CT47" s="1999">
        <v>1.032832543756165</v>
      </c>
      <c r="CU47" s="1979">
        <v>1.1136725129503393</v>
      </c>
      <c r="CV47" s="1999">
        <v>1.0357255193458104</v>
      </c>
      <c r="CW47" s="1979">
        <v>1.1173735815301791</v>
      </c>
      <c r="CX47" s="1999">
        <v>1.0386184949354562</v>
      </c>
      <c r="CY47" s="1979">
        <v>1.1210746501100193</v>
      </c>
      <c r="CZ47" s="2000">
        <v>1.1222059165213623</v>
      </c>
      <c r="DA47" s="1998">
        <v>1.1816627956532599</v>
      </c>
      <c r="DB47" s="2000">
        <v>1.1269392061359116</v>
      </c>
      <c r="DC47" s="1998">
        <v>1.1876618522608648</v>
      </c>
      <c r="DD47" s="2000">
        <v>1.1316724957504607</v>
      </c>
      <c r="DE47" s="1998">
        <v>1.1936609088684695</v>
      </c>
      <c r="DF47" s="2000">
        <v>1.1364057853650098</v>
      </c>
      <c r="DG47" s="1998">
        <v>1.1996599654760742</v>
      </c>
      <c r="DH47" s="2000">
        <v>1.1458723645941085</v>
      </c>
      <c r="DI47" s="1998">
        <v>1.2116580786912838</v>
      </c>
      <c r="DJ47" s="1999">
        <v>1.132758934103379</v>
      </c>
      <c r="DK47" s="1979">
        <v>1.1829013461303812</v>
      </c>
      <c r="DL47" s="1999">
        <v>1.1369332992437524</v>
      </c>
      <c r="DM47" s="1979">
        <v>1.1882638077576793</v>
      </c>
      <c r="DN47" s="1999">
        <v>1.1411076643841254</v>
      </c>
      <c r="DO47" s="1979">
        <v>1.1936262693849771</v>
      </c>
      <c r="DP47" s="1999">
        <v>1.1452820295244985</v>
      </c>
      <c r="DQ47" s="1979">
        <v>1.1989887310122755</v>
      </c>
      <c r="DR47" s="1999">
        <v>1.1536307598052451</v>
      </c>
      <c r="DS47" s="1979">
        <v>1.2097136542668716</v>
      </c>
      <c r="GT47" s="1980"/>
      <c r="GU47" s="1980"/>
      <c r="GV47" s="1980"/>
      <c r="GW47" s="1980"/>
      <c r="GX47" s="1980"/>
      <c r="GY47" s="1980"/>
      <c r="GZ47" s="1980"/>
      <c r="HA47" s="1980"/>
      <c r="HB47" s="1980"/>
      <c r="HC47" s="1980"/>
      <c r="HD47" s="1980"/>
      <c r="HE47" s="1980"/>
      <c r="HF47" s="1980"/>
      <c r="HG47" s="1980"/>
      <c r="HH47" s="1980"/>
      <c r="HI47" s="1980"/>
      <c r="HJ47" s="1980"/>
      <c r="HK47" s="1980"/>
      <c r="HL47" s="1980"/>
      <c r="HM47" s="1980"/>
      <c r="HN47" s="1980"/>
      <c r="HO47" s="1980"/>
      <c r="HP47" s="1980"/>
      <c r="HQ47" s="1980"/>
      <c r="HR47" s="1980"/>
      <c r="HS47" s="1980"/>
      <c r="HT47" s="1980"/>
      <c r="HU47" s="1980"/>
      <c r="HV47" s="1980"/>
      <c r="HW47" s="1980"/>
      <c r="HX47" s="1980"/>
      <c r="HY47" s="1980"/>
      <c r="HZ47" s="1980"/>
      <c r="IA47" s="1980"/>
      <c r="IB47" s="1980"/>
      <c r="IC47" s="1980"/>
      <c r="ID47" s="1980"/>
      <c r="IE47" s="1980"/>
      <c r="IF47" s="1980"/>
      <c r="IG47" s="1980"/>
      <c r="IH47" s="1980"/>
      <c r="II47" s="1980"/>
      <c r="IJ47" s="1980"/>
      <c r="IK47" s="1980"/>
      <c r="IL47" s="1980"/>
      <c r="IM47" s="1980"/>
      <c r="IN47" s="1980"/>
      <c r="IO47" s="1980"/>
      <c r="IP47" s="1980"/>
      <c r="IQ47" s="1980"/>
      <c r="IR47" s="1980"/>
      <c r="IS47" s="1980"/>
      <c r="IT47" s="1980"/>
      <c r="IU47" s="1980"/>
      <c r="IV47" s="1980"/>
      <c r="IW47" s="1980"/>
      <c r="IX47" s="1980"/>
      <c r="IY47" s="1980"/>
      <c r="IZ47" s="1980"/>
      <c r="JA47" s="1980"/>
      <c r="JB47" s="1980"/>
      <c r="JC47" s="1980"/>
      <c r="JD47" s="1980"/>
      <c r="JE47" s="1980"/>
      <c r="JF47" s="1980"/>
      <c r="JG47" s="1980"/>
      <c r="JH47" s="1980"/>
      <c r="JI47" s="1980"/>
      <c r="JJ47" s="1980"/>
      <c r="JK47" s="1980"/>
      <c r="JL47" s="1980"/>
      <c r="JM47" s="1980"/>
      <c r="JN47" s="1980"/>
      <c r="JO47" s="1980"/>
      <c r="JP47" s="1980"/>
      <c r="JQ47" s="1980"/>
      <c r="JR47" s="1980"/>
      <c r="JS47" s="1980"/>
      <c r="JT47" s="1980"/>
      <c r="JU47" s="1980"/>
      <c r="JV47" s="1980"/>
      <c r="JW47" s="1980"/>
      <c r="JX47" s="1980"/>
      <c r="JY47" s="1980"/>
      <c r="JZ47" s="1980"/>
      <c r="KA47" s="1980"/>
      <c r="KB47" s="1980"/>
      <c r="KC47" s="1980"/>
      <c r="KD47" s="1980"/>
      <c r="KE47" s="1980"/>
      <c r="KF47" s="1980"/>
      <c r="KG47" s="1980"/>
      <c r="KH47" s="1980"/>
      <c r="KI47" s="1980"/>
      <c r="KJ47" s="1980"/>
      <c r="KK47" s="1980"/>
    </row>
    <row r="48" spans="1:297">
      <c r="A48" s="1997"/>
      <c r="B48" s="2">
        <v>23</v>
      </c>
      <c r="C48" s="2" t="str">
        <f>CONCATENATE($U$8," ",$V$20)</f>
        <v>Proportion de fenêtres 100</v>
      </c>
      <c r="D48" s="1998">
        <v>1.0129713556996403</v>
      </c>
      <c r="E48" s="1998">
        <v>0.99100048109292971</v>
      </c>
      <c r="F48" s="1998">
        <v>1.0261168192948227</v>
      </c>
      <c r="G48" s="1998">
        <v>1.0086596127108594</v>
      </c>
      <c r="H48" s="1998">
        <v>1.0571793245046397</v>
      </c>
      <c r="I48" s="1998">
        <v>1.0471311965996155</v>
      </c>
      <c r="J48" s="1998">
        <v>1.0856628859939568</v>
      </c>
      <c r="K48" s="1998">
        <v>1.084859835106458</v>
      </c>
      <c r="L48" s="1998">
        <v>1.1201291368866804</v>
      </c>
      <c r="M48" s="1998">
        <v>1.1263290777115456</v>
      </c>
      <c r="N48" s="1999">
        <v>1.0299814362638877</v>
      </c>
      <c r="O48" s="1979">
        <v>1.0177831520222793</v>
      </c>
      <c r="P48" s="1979">
        <v>1.0434308067066611</v>
      </c>
      <c r="Q48" s="1979">
        <v>1.0358268576656049</v>
      </c>
      <c r="R48" s="1979">
        <v>1.067070981144181</v>
      </c>
      <c r="S48" s="1979">
        <v>1.0651523472465891</v>
      </c>
      <c r="T48" s="1979">
        <v>1.0872920066537595</v>
      </c>
      <c r="U48" s="1979">
        <v>1.091901520303425</v>
      </c>
      <c r="V48" s="1979">
        <v>1.1223783221940951</v>
      </c>
      <c r="W48" s="1979">
        <v>1.1279328526462438</v>
      </c>
      <c r="X48" s="2000">
        <v>1.0336912751002623</v>
      </c>
      <c r="Y48" s="1998">
        <v>1.0113782157564462</v>
      </c>
      <c r="Z48" s="1998">
        <v>1.0653517009343543</v>
      </c>
      <c r="AA48" s="1998">
        <v>1.0504767501301033</v>
      </c>
      <c r="AB48" s="1998">
        <v>1.0672220513124115</v>
      </c>
      <c r="AC48" s="1998">
        <v>1.0527987968729307</v>
      </c>
      <c r="AD48" s="1998">
        <v>1.069092401690469</v>
      </c>
      <c r="AE48" s="1998">
        <v>1.055120843615758</v>
      </c>
      <c r="AF48" s="1998">
        <v>1.0709627520685265</v>
      </c>
      <c r="AG48" s="1998">
        <v>1.0574428903585853</v>
      </c>
      <c r="AH48" s="1999">
        <v>1.0374722361183399</v>
      </c>
      <c r="AI48" s="1979">
        <v>1.0189136792671256</v>
      </c>
      <c r="AJ48" s="1979">
        <v>1.0644450579141969</v>
      </c>
      <c r="AK48" s="1979">
        <v>1.0492397652289853</v>
      </c>
      <c r="AL48" s="1979">
        <v>1.0678207332389833</v>
      </c>
      <c r="AM48" s="1979">
        <v>1.053478620555907</v>
      </c>
      <c r="AN48" s="1979">
        <v>1.07119640856377</v>
      </c>
      <c r="AO48" s="1979">
        <v>1.0577174758828287</v>
      </c>
      <c r="AP48" s="1979">
        <v>1.0745720838885569</v>
      </c>
      <c r="AQ48" s="1979">
        <v>1.0619563312097506</v>
      </c>
      <c r="AR48" s="2000">
        <v>1.0277227470862695</v>
      </c>
      <c r="AS48" s="1998">
        <v>1.0138869615150419</v>
      </c>
      <c r="AT48" s="1998">
        <v>1.0608972889355073</v>
      </c>
      <c r="AU48" s="1998">
        <v>1.0540277021937561</v>
      </c>
      <c r="AV48" s="1998">
        <v>1.0633817779833514</v>
      </c>
      <c r="AW48" s="1998">
        <v>1.0571239062165456</v>
      </c>
      <c r="AX48" s="1998">
        <v>1.0658662670311956</v>
      </c>
      <c r="AY48" s="1998">
        <v>1.0602201102393352</v>
      </c>
      <c r="AZ48" s="1998">
        <v>1.0683507560790397</v>
      </c>
      <c r="BA48" s="1998">
        <v>1.0633163142621245</v>
      </c>
      <c r="BB48" s="1999">
        <v>1.4030266997369802</v>
      </c>
      <c r="BC48" s="1979">
        <v>1.3983922146660617</v>
      </c>
      <c r="BD48" s="1979">
        <v>1.4611403319169505</v>
      </c>
      <c r="BE48" s="1979">
        <v>1.4503545963676197</v>
      </c>
      <c r="BF48" s="1979">
        <v>1.4743016931454618</v>
      </c>
      <c r="BG48" s="1979">
        <v>1.4661926835738668</v>
      </c>
      <c r="BH48" s="1979">
        <v>1.4874630543739729</v>
      </c>
      <c r="BI48" s="1979">
        <v>1.4820307707801132</v>
      </c>
      <c r="BJ48" s="1979">
        <v>1.5006244156024842</v>
      </c>
      <c r="BK48" s="1979">
        <v>1.4978688579863604</v>
      </c>
      <c r="BL48" s="2000">
        <v>1.0220449416397934</v>
      </c>
      <c r="BM48" s="1998">
        <v>1.0099048276172251</v>
      </c>
      <c r="BN48" s="2000">
        <v>1.0245048535504255</v>
      </c>
      <c r="BO48" s="1998">
        <v>1.0128559591527515</v>
      </c>
      <c r="BP48" s="2000">
        <v>1.0269647654610576</v>
      </c>
      <c r="BQ48" s="1998">
        <v>1.0158070906882781</v>
      </c>
      <c r="BR48" s="2000">
        <v>1.02942467737169</v>
      </c>
      <c r="BS48" s="1998">
        <v>1.0187582222238045</v>
      </c>
      <c r="BT48" s="2000">
        <v>1.0318845892823221</v>
      </c>
      <c r="BU48" s="1998">
        <v>1.0217093537593311</v>
      </c>
      <c r="BV48" s="1999">
        <v>1.0147496202487374</v>
      </c>
      <c r="BW48" s="1979">
        <v>1.0091615962291098</v>
      </c>
      <c r="BX48" s="1979">
        <v>1.0274087997228147</v>
      </c>
      <c r="BY48" s="1979">
        <v>1.0269469839167784</v>
      </c>
      <c r="BZ48" s="1979">
        <v>1.0543966638372757</v>
      </c>
      <c r="CA48" s="1979">
        <v>1.0619361590827918</v>
      </c>
      <c r="CB48" s="1979">
        <v>1.0786204558477896</v>
      </c>
      <c r="CC48" s="1979">
        <v>1.0954931734467093</v>
      </c>
      <c r="CD48" s="1979">
        <v>1.1117481902847266</v>
      </c>
      <c r="CE48" s="1979">
        <v>1.1348724528919818</v>
      </c>
      <c r="CF48" s="2000">
        <v>1.0254867490073056</v>
      </c>
      <c r="CG48" s="1998">
        <v>1.0972951592071083</v>
      </c>
      <c r="CH48" s="2000">
        <v>1.0282432433613824</v>
      </c>
      <c r="CI48" s="1998">
        <v>1.1008297553149562</v>
      </c>
      <c r="CJ48" s="2000">
        <v>1.0309997377154587</v>
      </c>
      <c r="CK48" s="1998">
        <v>1.1043643514228039</v>
      </c>
      <c r="CL48" s="2000">
        <v>1.0337562320695355</v>
      </c>
      <c r="CM48" s="1998">
        <v>1.107898947530652</v>
      </c>
      <c r="CN48" s="2000">
        <v>1.0365127264236118</v>
      </c>
      <c r="CO48" s="1998">
        <v>1.1114335436384999</v>
      </c>
      <c r="CP48" s="1999">
        <v>1.0246529988155537</v>
      </c>
      <c r="CQ48" s="1979">
        <v>1.1033900840659501</v>
      </c>
      <c r="CR48" s="1999">
        <v>1.0275459744051993</v>
      </c>
      <c r="CS48" s="1979">
        <v>1.1070911526457903</v>
      </c>
      <c r="CT48" s="1999">
        <v>1.0304389499948448</v>
      </c>
      <c r="CU48" s="1979">
        <v>1.1107922212256303</v>
      </c>
      <c r="CV48" s="1999">
        <v>1.0333319255844904</v>
      </c>
      <c r="CW48" s="1979">
        <v>1.11449328980547</v>
      </c>
      <c r="CX48" s="1999">
        <v>1.036224901174136</v>
      </c>
      <c r="CY48" s="1979">
        <v>1.1181943583853102</v>
      </c>
      <c r="CZ48" s="2000">
        <v>1.1186396617249832</v>
      </c>
      <c r="DA48" s="1998">
        <v>1.1774113569733045</v>
      </c>
      <c r="DB48" s="2000">
        <v>1.1233729513395325</v>
      </c>
      <c r="DC48" s="1998">
        <v>1.1834104135809091</v>
      </c>
      <c r="DD48" s="2000">
        <v>1.1281062409540819</v>
      </c>
      <c r="DE48" s="1998">
        <v>1.1894094701885138</v>
      </c>
      <c r="DF48" s="2000">
        <v>1.1328395305686307</v>
      </c>
      <c r="DG48" s="1998">
        <v>1.1954085267961185</v>
      </c>
      <c r="DH48" s="2000">
        <v>1.1423061097977294</v>
      </c>
      <c r="DI48" s="1998">
        <v>1.2074066400113284</v>
      </c>
      <c r="DJ48" s="1999">
        <v>1.1267147990653388</v>
      </c>
      <c r="DK48" s="1979">
        <v>1.1755981730999518</v>
      </c>
      <c r="DL48" s="1999">
        <v>1.1308891642057119</v>
      </c>
      <c r="DM48" s="1979">
        <v>1.1809606347272497</v>
      </c>
      <c r="DN48" s="1999">
        <v>1.1350635293460851</v>
      </c>
      <c r="DO48" s="1979">
        <v>1.1863230963545479</v>
      </c>
      <c r="DP48" s="1999">
        <v>1.1392378944864583</v>
      </c>
      <c r="DQ48" s="1979">
        <v>1.1916855579818459</v>
      </c>
      <c r="DR48" s="1999">
        <v>1.1475866247672049</v>
      </c>
      <c r="DS48" s="1979">
        <v>1.202410481236442</v>
      </c>
      <c r="GT48" s="1980"/>
      <c r="GU48" s="1980"/>
      <c r="GV48" s="1980"/>
      <c r="GW48" s="1980"/>
      <c r="GX48" s="1980"/>
      <c r="GY48" s="1980"/>
      <c r="GZ48" s="1980"/>
      <c r="HA48" s="1980"/>
      <c r="HB48" s="1980"/>
      <c r="HC48" s="1980"/>
      <c r="HD48" s="1980"/>
      <c r="HE48" s="1980"/>
      <c r="HF48" s="1980"/>
      <c r="HG48" s="1980"/>
      <c r="HH48" s="1980"/>
      <c r="HI48" s="1980"/>
      <c r="HJ48" s="1980"/>
      <c r="HK48" s="1980"/>
      <c r="HL48" s="1980"/>
      <c r="HM48" s="1980"/>
      <c r="HN48" s="1980"/>
      <c r="HO48" s="1980"/>
      <c r="HP48" s="1980"/>
      <c r="HQ48" s="1980"/>
      <c r="HR48" s="1980"/>
      <c r="HS48" s="1980"/>
      <c r="HT48" s="1980"/>
      <c r="HU48" s="1980"/>
      <c r="HV48" s="1980"/>
      <c r="HW48" s="1980"/>
      <c r="HX48" s="1980"/>
      <c r="HY48" s="1980"/>
      <c r="HZ48" s="1980"/>
      <c r="IA48" s="1980"/>
      <c r="IB48" s="1980"/>
      <c r="IC48" s="1980"/>
      <c r="ID48" s="1980"/>
      <c r="IE48" s="1980"/>
      <c r="IF48" s="1980"/>
      <c r="IG48" s="1980"/>
      <c r="IH48" s="1980"/>
      <c r="II48" s="1980"/>
      <c r="IJ48" s="1980"/>
      <c r="IK48" s="1980"/>
      <c r="IL48" s="1980"/>
      <c r="IM48" s="1980"/>
      <c r="IN48" s="1980"/>
      <c r="IO48" s="1980"/>
      <c r="IP48" s="1980"/>
      <c r="IQ48" s="1980"/>
      <c r="IR48" s="1980"/>
      <c r="IS48" s="1980"/>
      <c r="IT48" s="1980"/>
      <c r="IU48" s="1980"/>
      <c r="IV48" s="1980"/>
      <c r="IW48" s="1980"/>
      <c r="IX48" s="1980"/>
      <c r="IY48" s="1980"/>
      <c r="IZ48" s="1980"/>
      <c r="JA48" s="1980"/>
      <c r="JB48" s="1980"/>
      <c r="JC48" s="1980"/>
      <c r="JD48" s="1980"/>
      <c r="JE48" s="1980"/>
      <c r="JF48" s="1980"/>
      <c r="JG48" s="1980"/>
      <c r="JH48" s="1980"/>
      <c r="JI48" s="1980"/>
      <c r="JJ48" s="1980"/>
      <c r="JK48" s="1980"/>
      <c r="JL48" s="1980"/>
      <c r="JM48" s="1980"/>
      <c r="JN48" s="1980"/>
      <c r="JO48" s="1980"/>
      <c r="JP48" s="1980"/>
      <c r="JQ48" s="1980"/>
      <c r="JR48" s="1980"/>
      <c r="JS48" s="1980"/>
      <c r="JT48" s="1980"/>
      <c r="JU48" s="1980"/>
      <c r="JV48" s="1980"/>
      <c r="JW48" s="1980"/>
      <c r="JX48" s="1980"/>
      <c r="JY48" s="1980"/>
      <c r="JZ48" s="1980"/>
      <c r="KA48" s="1980"/>
      <c r="KB48" s="1980"/>
      <c r="KC48" s="1980"/>
      <c r="KD48" s="1980"/>
      <c r="KE48" s="1980"/>
      <c r="KF48" s="1980"/>
      <c r="KG48" s="1980"/>
      <c r="KH48" s="1980"/>
      <c r="KI48" s="1980"/>
      <c r="KJ48" s="1980"/>
      <c r="KK48" s="1980"/>
    </row>
    <row r="49" spans="1:297">
      <c r="A49" s="1997"/>
      <c r="B49" s="2">
        <v>24</v>
      </c>
      <c r="C49" s="2" t="s">
        <v>4211</v>
      </c>
      <c r="D49" s="1998">
        <v>0.8826013366689236</v>
      </c>
      <c r="E49" s="1998">
        <v>0.88191265901315286</v>
      </c>
      <c r="F49" s="1998">
        <v>0.8826013366689236</v>
      </c>
      <c r="G49" s="1998">
        <v>0.88191265901315286</v>
      </c>
      <c r="H49" s="1998">
        <v>0.8826013366689236</v>
      </c>
      <c r="I49" s="1998">
        <v>0.88191265901315286</v>
      </c>
      <c r="J49" s="1998">
        <v>0.8826013366689236</v>
      </c>
      <c r="K49" s="1998">
        <v>0.88191265901315286</v>
      </c>
      <c r="L49" s="1998">
        <v>0.8826013366689236</v>
      </c>
      <c r="M49" s="1998">
        <v>0.88191265901315286</v>
      </c>
      <c r="N49" s="1999">
        <v>0.76334582665060702</v>
      </c>
      <c r="O49" s="1979">
        <v>0.76788521867535808</v>
      </c>
      <c r="P49" s="1979">
        <v>0.76334582665060702</v>
      </c>
      <c r="Q49" s="1979">
        <v>0.76788521867535808</v>
      </c>
      <c r="R49" s="1979">
        <v>0.76334582665060702</v>
      </c>
      <c r="S49" s="1979">
        <v>0.76788521867535808</v>
      </c>
      <c r="T49" s="1979">
        <v>0.76334582665060702</v>
      </c>
      <c r="U49" s="1979">
        <v>0.76788521867535808</v>
      </c>
      <c r="V49" s="1979">
        <v>0.76334582665060702</v>
      </c>
      <c r="W49" s="1979">
        <v>0.76788521867535808</v>
      </c>
      <c r="X49" s="2000">
        <v>0.92312868655307501</v>
      </c>
      <c r="Y49" s="1998">
        <v>0.91669361180519193</v>
      </c>
      <c r="Z49" s="1998">
        <v>0.92312868655307501</v>
      </c>
      <c r="AA49" s="1998">
        <v>0.91669361180519193</v>
      </c>
      <c r="AB49" s="1998">
        <v>0.92312868655307501</v>
      </c>
      <c r="AC49" s="1998">
        <v>0.91669361180519193</v>
      </c>
      <c r="AD49" s="1998">
        <v>0.92312868655307501</v>
      </c>
      <c r="AE49" s="1998">
        <v>0.91669361180519193</v>
      </c>
      <c r="AF49" s="1998">
        <v>0.92312868655307501</v>
      </c>
      <c r="AG49" s="1998">
        <v>0.91669361180519193</v>
      </c>
      <c r="AH49" s="1999">
        <v>0.83515927062346285</v>
      </c>
      <c r="AI49" s="1979">
        <v>0.82782218967614762</v>
      </c>
      <c r="AJ49" s="1979">
        <v>0.83515927062346285</v>
      </c>
      <c r="AK49" s="1979">
        <v>0.82782218967614762</v>
      </c>
      <c r="AL49" s="1979">
        <v>0.83515927062346285</v>
      </c>
      <c r="AM49" s="1979">
        <v>0.82782218967614762</v>
      </c>
      <c r="AN49" s="1979">
        <v>0.83515927062346285</v>
      </c>
      <c r="AO49" s="1979">
        <v>0.82782218967614762</v>
      </c>
      <c r="AP49" s="1979">
        <v>0.83515927062346285</v>
      </c>
      <c r="AQ49" s="1979">
        <v>0.82782218967614762</v>
      </c>
      <c r="AR49" s="2000">
        <v>0.91408103122428785</v>
      </c>
      <c r="AS49" s="1998">
        <v>0.91475539883448376</v>
      </c>
      <c r="AT49" s="1998">
        <v>0.91408103122428785</v>
      </c>
      <c r="AU49" s="1998">
        <v>0.91475539883448376</v>
      </c>
      <c r="AV49" s="1998">
        <v>0.91408103122428785</v>
      </c>
      <c r="AW49" s="1998">
        <v>0.91475539883448376</v>
      </c>
      <c r="AX49" s="1998">
        <v>0.91408103122428785</v>
      </c>
      <c r="AY49" s="1998">
        <v>0.91475539883448376</v>
      </c>
      <c r="AZ49" s="1998">
        <v>0.91408103122428785</v>
      </c>
      <c r="BA49" s="1998">
        <v>0.91475539883448376</v>
      </c>
      <c r="BB49" s="1999">
        <v>1.3779240903170769</v>
      </c>
      <c r="BC49" s="1979">
        <v>1.3862499617484139</v>
      </c>
      <c r="BD49" s="1979">
        <v>1.3779240903170769</v>
      </c>
      <c r="BE49" s="1979">
        <v>1.3862499617484139</v>
      </c>
      <c r="BF49" s="1979">
        <v>1.3779240903170769</v>
      </c>
      <c r="BG49" s="1979">
        <v>1.3862499617484139</v>
      </c>
      <c r="BH49" s="1979">
        <v>1.3779240903170769</v>
      </c>
      <c r="BI49" s="1979">
        <v>1.3862499617484139</v>
      </c>
      <c r="BJ49" s="1979">
        <v>1.3779240903170769</v>
      </c>
      <c r="BK49" s="1979">
        <v>1.3862499617484139</v>
      </c>
      <c r="BL49" s="2000">
        <v>0.81504532796908635</v>
      </c>
      <c r="BM49" s="1998">
        <v>0.81939147790231492</v>
      </c>
      <c r="BN49" s="1998">
        <v>0.81504532796908635</v>
      </c>
      <c r="BO49" s="1998">
        <v>0.81939147790231492</v>
      </c>
      <c r="BP49" s="1998">
        <v>0.81504532796908635</v>
      </c>
      <c r="BQ49" s="1998">
        <v>0.81939147790231492</v>
      </c>
      <c r="BR49" s="1998">
        <v>0.81504532796908635</v>
      </c>
      <c r="BS49" s="1998">
        <v>0.81939147790231492</v>
      </c>
      <c r="BT49" s="1998">
        <v>0.81504532796908635</v>
      </c>
      <c r="BU49" s="1998">
        <v>0.81939147790231492</v>
      </c>
      <c r="BV49" s="1999">
        <v>0.75818607942942884</v>
      </c>
      <c r="BW49" s="1979">
        <v>0.75642464860108916</v>
      </c>
      <c r="BX49" s="1979">
        <v>0.75818607942942884</v>
      </c>
      <c r="BY49" s="1979">
        <v>0.75642464860108916</v>
      </c>
      <c r="BZ49" s="1979">
        <v>0.75818607942942884</v>
      </c>
      <c r="CA49" s="1979">
        <v>0.75642464860108916</v>
      </c>
      <c r="CB49" s="1979">
        <v>0.75818607942942884</v>
      </c>
      <c r="CC49" s="1979">
        <v>0.75642464860108916</v>
      </c>
      <c r="CD49" s="1979">
        <v>0.75818607942942884</v>
      </c>
      <c r="CE49" s="1979">
        <v>0.75642464860108916</v>
      </c>
      <c r="CF49" s="2000">
        <v>0.80719296136381258</v>
      </c>
      <c r="CG49" s="1998">
        <v>0.81872288984299058</v>
      </c>
      <c r="CH49" s="1998">
        <v>0.80719296136381258</v>
      </c>
      <c r="CI49" s="1998">
        <v>0.81872288984299058</v>
      </c>
      <c r="CJ49" s="1998">
        <v>0.80719296136381258</v>
      </c>
      <c r="CK49" s="1998">
        <v>0.81872288984299058</v>
      </c>
      <c r="CL49" s="1998">
        <v>0.80719296136381258</v>
      </c>
      <c r="CM49" s="1998">
        <v>0.81872288984299058</v>
      </c>
      <c r="CN49" s="1998">
        <v>0.80719296136381258</v>
      </c>
      <c r="CO49" s="1998">
        <v>0.81872288984299058</v>
      </c>
      <c r="CP49" s="1999">
        <v>0.79813582946748696</v>
      </c>
      <c r="CQ49" s="1979">
        <v>0.81077198351634028</v>
      </c>
      <c r="CR49" s="1979">
        <v>0.79813582946748696</v>
      </c>
      <c r="CS49" s="1979">
        <v>0.81077198351634028</v>
      </c>
      <c r="CT49" s="1979">
        <v>0.79813582946748696</v>
      </c>
      <c r="CU49" s="1979">
        <v>0.81077198351634028</v>
      </c>
      <c r="CV49" s="1979">
        <v>0.79813582946748696</v>
      </c>
      <c r="CW49" s="1979">
        <v>0.81077198351634028</v>
      </c>
      <c r="CX49" s="1979">
        <v>0.79813582946748696</v>
      </c>
      <c r="CY49" s="1979">
        <v>0.81077198351634028</v>
      </c>
      <c r="CZ49" s="2000">
        <v>1</v>
      </c>
      <c r="DA49" s="1998">
        <v>1</v>
      </c>
      <c r="DB49" s="1998">
        <v>1</v>
      </c>
      <c r="DC49" s="1998">
        <v>1</v>
      </c>
      <c r="DD49" s="1998">
        <v>1</v>
      </c>
      <c r="DE49" s="1998">
        <v>1</v>
      </c>
      <c r="DF49" s="1998">
        <v>1</v>
      </c>
      <c r="DG49" s="1998">
        <v>1</v>
      </c>
      <c r="DH49" s="1998">
        <v>1</v>
      </c>
      <c r="DI49" s="1998">
        <v>1</v>
      </c>
      <c r="DJ49" s="1999">
        <v>1.0002450682306379</v>
      </c>
      <c r="DK49" s="1979">
        <v>1.0001651239704095</v>
      </c>
      <c r="DL49" s="1979">
        <v>1.0002450682306379</v>
      </c>
      <c r="DM49" s="1979">
        <v>1.0001651239704095</v>
      </c>
      <c r="DN49" s="1979">
        <v>1.0002450682306379</v>
      </c>
      <c r="DO49" s="1979">
        <v>1.0001651239704095</v>
      </c>
      <c r="DP49" s="1979">
        <v>1.0002450682306379</v>
      </c>
      <c r="DQ49" s="1979">
        <v>1.0001651239704095</v>
      </c>
      <c r="DR49" s="1979">
        <v>1.0002450682306379</v>
      </c>
      <c r="DS49" s="1979">
        <v>1.0001651239704095</v>
      </c>
      <c r="GT49" s="1980"/>
      <c r="GU49" s="1980"/>
      <c r="GV49" s="1980"/>
      <c r="GW49" s="1980"/>
      <c r="GX49" s="1980"/>
      <c r="GY49" s="1980"/>
      <c r="GZ49" s="1980"/>
      <c r="HA49" s="1980"/>
      <c r="HB49" s="1980"/>
      <c r="HC49" s="1980"/>
      <c r="HD49" s="1980"/>
      <c r="HE49" s="1980"/>
      <c r="HF49" s="1980"/>
      <c r="HG49" s="1980"/>
      <c r="HH49" s="1980"/>
      <c r="HI49" s="1980"/>
      <c r="HJ49" s="1980"/>
      <c r="HK49" s="1980"/>
      <c r="HL49" s="1980"/>
      <c r="HM49" s="1980"/>
      <c r="HN49" s="1980"/>
      <c r="HO49" s="1980"/>
      <c r="HP49" s="1980"/>
      <c r="HQ49" s="1980"/>
      <c r="HR49" s="1980"/>
      <c r="HS49" s="1980"/>
      <c r="HT49" s="1980"/>
      <c r="HU49" s="1980"/>
      <c r="HV49" s="1980"/>
      <c r="HW49" s="1980"/>
      <c r="HX49" s="1980"/>
      <c r="HY49" s="1980"/>
      <c r="HZ49" s="1980"/>
      <c r="IA49" s="1980"/>
      <c r="IB49" s="1980"/>
      <c r="IC49" s="1980"/>
      <c r="ID49" s="1980"/>
      <c r="IE49" s="1980"/>
      <c r="IF49" s="1980"/>
      <c r="IG49" s="1980"/>
      <c r="IH49" s="1980"/>
      <c r="II49" s="1980"/>
      <c r="IJ49" s="1980"/>
      <c r="IK49" s="1980"/>
      <c r="IL49" s="1980"/>
      <c r="IM49" s="1980"/>
      <c r="IN49" s="1980"/>
      <c r="IO49" s="1980"/>
      <c r="IP49" s="1980"/>
      <c r="IQ49" s="1980"/>
      <c r="IR49" s="1980"/>
      <c r="IS49" s="1980"/>
      <c r="IT49" s="1980"/>
      <c r="IU49" s="1980"/>
      <c r="IV49" s="1980"/>
      <c r="IW49" s="1980"/>
      <c r="IX49" s="1980"/>
      <c r="IY49" s="1980"/>
      <c r="IZ49" s="1980"/>
      <c r="JA49" s="1980"/>
      <c r="JB49" s="1980"/>
      <c r="JC49" s="1980"/>
      <c r="JD49" s="1980"/>
      <c r="JE49" s="1980"/>
      <c r="JF49" s="1980"/>
      <c r="JG49" s="1980"/>
      <c r="JH49" s="1980"/>
      <c r="JI49" s="1980"/>
      <c r="JJ49" s="1980"/>
      <c r="JK49" s="1980"/>
      <c r="JL49" s="1980"/>
      <c r="JM49" s="1980"/>
      <c r="JN49" s="1980"/>
      <c r="JO49" s="1980"/>
      <c r="JP49" s="1980"/>
      <c r="JQ49" s="1980"/>
      <c r="JR49" s="1980"/>
      <c r="JS49" s="1980"/>
      <c r="JT49" s="1980"/>
      <c r="JU49" s="1980"/>
      <c r="JV49" s="1980"/>
      <c r="JW49" s="1980"/>
      <c r="JX49" s="1980"/>
      <c r="JY49" s="1980"/>
      <c r="JZ49" s="1980"/>
      <c r="KA49" s="1980"/>
      <c r="KB49" s="1980"/>
      <c r="KC49" s="1980"/>
      <c r="KD49" s="1980"/>
      <c r="KE49" s="1980"/>
      <c r="KF49" s="1980"/>
      <c r="KG49" s="1980"/>
      <c r="KH49" s="1980"/>
      <c r="KI49" s="1980"/>
      <c r="KJ49" s="1980"/>
      <c r="KK49" s="1980"/>
    </row>
    <row r="50" spans="1:297">
      <c r="A50" s="1997"/>
      <c r="B50" s="2">
        <v>25</v>
      </c>
      <c r="C50" s="2" t="s">
        <v>4229</v>
      </c>
      <c r="D50" s="1998">
        <v>0.91292982313176918</v>
      </c>
      <c r="E50" s="1998">
        <v>0.9125827720671047</v>
      </c>
      <c r="F50" s="1998">
        <v>0.91292982313176918</v>
      </c>
      <c r="G50" s="1998">
        <v>0.9125827720671047</v>
      </c>
      <c r="H50" s="1998">
        <v>0.91292982313176918</v>
      </c>
      <c r="I50" s="1998">
        <v>0.9125827720671047</v>
      </c>
      <c r="J50" s="1998">
        <v>0.91292982313176918</v>
      </c>
      <c r="K50" s="1998">
        <v>0.9125827720671047</v>
      </c>
      <c r="L50" s="1998">
        <v>0.91292982313176918</v>
      </c>
      <c r="M50" s="1998">
        <v>0.9125827720671047</v>
      </c>
      <c r="N50" s="1999">
        <v>0.85169000385791704</v>
      </c>
      <c r="O50" s="1979">
        <v>0.85830731292323603</v>
      </c>
      <c r="P50" s="1979">
        <v>0.85169000385791704</v>
      </c>
      <c r="Q50" s="1979">
        <v>0.85830731292323603</v>
      </c>
      <c r="R50" s="1979">
        <v>0.85169000385791704</v>
      </c>
      <c r="S50" s="1979">
        <v>0.85830731292323603</v>
      </c>
      <c r="T50" s="1979">
        <v>0.85169000385791704</v>
      </c>
      <c r="U50" s="1979">
        <v>0.85830731292323603</v>
      </c>
      <c r="V50" s="1979">
        <v>0.85169000385791704</v>
      </c>
      <c r="W50" s="1979">
        <v>0.85830731292323603</v>
      </c>
      <c r="X50" s="2000">
        <v>0.96981513216885551</v>
      </c>
      <c r="Y50" s="1998">
        <v>0.96505817916298342</v>
      </c>
      <c r="Z50" s="1998">
        <v>0.96981513216885551</v>
      </c>
      <c r="AA50" s="1998">
        <v>0.96505817916298342</v>
      </c>
      <c r="AB50" s="1998">
        <v>0.96981513216885551</v>
      </c>
      <c r="AC50" s="1998">
        <v>0.96505817916298342</v>
      </c>
      <c r="AD50" s="1998">
        <v>0.96981513216885551</v>
      </c>
      <c r="AE50" s="1998">
        <v>0.96505817916298342</v>
      </c>
      <c r="AF50" s="1998">
        <v>0.96981513216885551</v>
      </c>
      <c r="AG50" s="1998">
        <v>0.96505817916298342</v>
      </c>
      <c r="AH50" s="1999">
        <v>0.93871649296211201</v>
      </c>
      <c r="AI50" s="1979">
        <v>0.93819824274275199</v>
      </c>
      <c r="AJ50" s="1979">
        <v>0.93871649296211201</v>
      </c>
      <c r="AK50" s="1979">
        <v>0.93819824274275199</v>
      </c>
      <c r="AL50" s="1979">
        <v>0.93871649296211201</v>
      </c>
      <c r="AM50" s="1979">
        <v>0.93819824274275199</v>
      </c>
      <c r="AN50" s="1979">
        <v>0.93871649296211201</v>
      </c>
      <c r="AO50" s="1979">
        <v>0.93819824274275199</v>
      </c>
      <c r="AP50" s="1979">
        <v>0.93871649296211201</v>
      </c>
      <c r="AQ50" s="1979">
        <v>0.93819824274275199</v>
      </c>
      <c r="AR50" s="2000">
        <v>0.96312340480789194</v>
      </c>
      <c r="AS50" s="1998">
        <v>0.96438239521439473</v>
      </c>
      <c r="AT50" s="1998">
        <v>0.96312340480789194</v>
      </c>
      <c r="AU50" s="1998">
        <v>0.96438239521439473</v>
      </c>
      <c r="AV50" s="1998">
        <v>0.96312340480789194</v>
      </c>
      <c r="AW50" s="1998">
        <v>0.96438239521439473</v>
      </c>
      <c r="AX50" s="1998">
        <v>0.96312340480789194</v>
      </c>
      <c r="AY50" s="1998">
        <v>0.96438239521439473</v>
      </c>
      <c r="AZ50" s="1998">
        <v>0.96312340480789194</v>
      </c>
      <c r="BA50" s="1998">
        <v>0.96438239521439473</v>
      </c>
      <c r="BB50" s="1999">
        <v>1.6633162050082382</v>
      </c>
      <c r="BC50" s="1979">
        <v>1.6684354677572975</v>
      </c>
      <c r="BD50" s="1979">
        <v>1.6633162050082382</v>
      </c>
      <c r="BE50" s="1979">
        <v>1.6684354677572975</v>
      </c>
      <c r="BF50" s="1979">
        <v>1.6633162050082382</v>
      </c>
      <c r="BG50" s="1979">
        <v>1.6684354677572975</v>
      </c>
      <c r="BH50" s="1979">
        <v>1.6633162050082382</v>
      </c>
      <c r="BI50" s="1979">
        <v>1.6684354677572975</v>
      </c>
      <c r="BJ50" s="1979">
        <v>1.6633162050082382</v>
      </c>
      <c r="BK50" s="1979">
        <v>1.6684354677572975</v>
      </c>
      <c r="BL50" s="2000">
        <v>0.92257945362571736</v>
      </c>
      <c r="BM50" s="1998">
        <v>0.92638696675106547</v>
      </c>
      <c r="BN50" s="1998">
        <v>0.92257945362571736</v>
      </c>
      <c r="BO50" s="1998">
        <v>0.92638696675106547</v>
      </c>
      <c r="BP50" s="1998">
        <v>0.92257945362571736</v>
      </c>
      <c r="BQ50" s="1998">
        <v>0.92638696675106547</v>
      </c>
      <c r="BR50" s="1998">
        <v>0.92257945362571736</v>
      </c>
      <c r="BS50" s="1998">
        <v>0.92638696675106547</v>
      </c>
      <c r="BT50" s="1998">
        <v>0.92257945362571736</v>
      </c>
      <c r="BU50" s="1998">
        <v>0.92638696675106547</v>
      </c>
      <c r="BV50" s="1999">
        <v>0.82284332182257303</v>
      </c>
      <c r="BW50" s="1979">
        <v>0.82198011587613595</v>
      </c>
      <c r="BX50" s="1979">
        <v>0.82284332182257303</v>
      </c>
      <c r="BY50" s="1979">
        <v>0.82198011587613595</v>
      </c>
      <c r="BZ50" s="1979">
        <v>0.82284332182257303</v>
      </c>
      <c r="CA50" s="1979">
        <v>0.82198011587613595</v>
      </c>
      <c r="CB50" s="1979">
        <v>0.82284332182257303</v>
      </c>
      <c r="CC50" s="1979">
        <v>0.82198011587613595</v>
      </c>
      <c r="CD50" s="1979">
        <v>0.82284332182257303</v>
      </c>
      <c r="CE50" s="1979">
        <v>0.82198011587613595</v>
      </c>
      <c r="CF50" s="2000">
        <v>0.86128226688212361</v>
      </c>
      <c r="CG50" s="1998">
        <v>0.87102719352858338</v>
      </c>
      <c r="CH50" s="1998">
        <v>0.86128226688212361</v>
      </c>
      <c r="CI50" s="1998">
        <v>0.87102719352858338</v>
      </c>
      <c r="CJ50" s="1998">
        <v>0.86128226688212361</v>
      </c>
      <c r="CK50" s="1998">
        <v>0.87102719352858338</v>
      </c>
      <c r="CL50" s="1998">
        <v>0.86128226688212361</v>
      </c>
      <c r="CM50" s="1998">
        <v>0.87102719352858338</v>
      </c>
      <c r="CN50" s="1998">
        <v>0.86128226688212361</v>
      </c>
      <c r="CO50" s="1998">
        <v>0.87102719352858338</v>
      </c>
      <c r="CP50" s="1999">
        <v>0.85466392119864998</v>
      </c>
      <c r="CQ50" s="1979">
        <v>0.86524983451263915</v>
      </c>
      <c r="CR50" s="1979">
        <v>0.85466392119864998</v>
      </c>
      <c r="CS50" s="1979">
        <v>0.86524983451263915</v>
      </c>
      <c r="CT50" s="1979">
        <v>0.85466392119864998</v>
      </c>
      <c r="CU50" s="1979">
        <v>0.86524983451263915</v>
      </c>
      <c r="CV50" s="1979">
        <v>0.85466392119864998</v>
      </c>
      <c r="CW50" s="1979">
        <v>0.86524983451263915</v>
      </c>
      <c r="CX50" s="1979">
        <v>0.85466392119864998</v>
      </c>
      <c r="CY50" s="1979">
        <v>0.86524983451263915</v>
      </c>
      <c r="CZ50" s="2000">
        <v>1.0931272105979928</v>
      </c>
      <c r="DA50" s="1998">
        <v>1.0890508106235626</v>
      </c>
      <c r="DB50" s="1998">
        <v>1.0931272105979928</v>
      </c>
      <c r="DC50" s="1998">
        <v>1.0890508106235626</v>
      </c>
      <c r="DD50" s="1998">
        <v>1.0931272105979928</v>
      </c>
      <c r="DE50" s="1998">
        <v>1.0890508106235626</v>
      </c>
      <c r="DF50" s="1998">
        <v>1.0931272105979928</v>
      </c>
      <c r="DG50" s="1998">
        <v>1.0890508106235626</v>
      </c>
      <c r="DH50" s="1998">
        <v>1.0931272105979928</v>
      </c>
      <c r="DI50" s="1998">
        <v>1.0890508106235626</v>
      </c>
      <c r="DJ50" s="1999">
        <v>1.0889013725521897</v>
      </c>
      <c r="DK50" s="1979">
        <v>1.0876218473174644</v>
      </c>
      <c r="DL50" s="1979">
        <v>1.0889013725521897</v>
      </c>
      <c r="DM50" s="1979">
        <v>1.0876218473174644</v>
      </c>
      <c r="DN50" s="1979">
        <v>1.0889013725521897</v>
      </c>
      <c r="DO50" s="1979">
        <v>1.0876218473174644</v>
      </c>
      <c r="DP50" s="1979">
        <v>1.0889013725521897</v>
      </c>
      <c r="DQ50" s="1979">
        <v>1.0876218473174644</v>
      </c>
      <c r="DR50" s="1979">
        <v>1.0889013725521897</v>
      </c>
      <c r="DS50" s="1979">
        <v>1.0876218473174644</v>
      </c>
      <c r="GT50" s="1980"/>
      <c r="GU50" s="1980"/>
      <c r="GV50" s="1980"/>
      <c r="GW50" s="1980"/>
      <c r="GX50" s="1980"/>
      <c r="GY50" s="1980"/>
      <c r="GZ50" s="1980"/>
      <c r="HA50" s="1980"/>
      <c r="HB50" s="1980"/>
      <c r="HC50" s="1980"/>
      <c r="HD50" s="1980"/>
      <c r="HE50" s="1980"/>
      <c r="HF50" s="1980"/>
      <c r="HG50" s="1980"/>
      <c r="HH50" s="1980"/>
      <c r="HI50" s="1980"/>
      <c r="HJ50" s="1980"/>
      <c r="HK50" s="1980"/>
      <c r="HL50" s="1980"/>
      <c r="HM50" s="1980"/>
      <c r="HN50" s="1980"/>
      <c r="HO50" s="1980"/>
      <c r="HP50" s="1980"/>
      <c r="HQ50" s="1980"/>
      <c r="HR50" s="1980"/>
      <c r="HS50" s="1980"/>
      <c r="HT50" s="1980"/>
      <c r="HU50" s="1980"/>
      <c r="HV50" s="1980"/>
      <c r="HW50" s="1980"/>
      <c r="HX50" s="1980"/>
      <c r="HY50" s="1980"/>
      <c r="HZ50" s="1980"/>
      <c r="IA50" s="1980"/>
      <c r="IB50" s="1980"/>
      <c r="IC50" s="1980"/>
      <c r="ID50" s="1980"/>
      <c r="IE50" s="1980"/>
      <c r="IF50" s="1980"/>
      <c r="IG50" s="1980"/>
      <c r="IH50" s="1980"/>
      <c r="II50" s="1980"/>
      <c r="IJ50" s="1980"/>
      <c r="IK50" s="1980"/>
      <c r="IL50" s="1980"/>
      <c r="IM50" s="1980"/>
      <c r="IN50" s="1980"/>
      <c r="IO50" s="1980"/>
      <c r="IP50" s="1980"/>
      <c r="IQ50" s="1980"/>
      <c r="IR50" s="1980"/>
      <c r="IS50" s="1980"/>
      <c r="IT50" s="1980"/>
      <c r="IU50" s="1980"/>
      <c r="IV50" s="1980"/>
      <c r="IW50" s="1980"/>
      <c r="IX50" s="1980"/>
      <c r="IY50" s="1980"/>
      <c r="IZ50" s="1980"/>
      <c r="JA50" s="1980"/>
      <c r="JB50" s="1980"/>
      <c r="JC50" s="1980"/>
      <c r="JD50" s="1980"/>
      <c r="JE50" s="1980"/>
      <c r="JF50" s="1980"/>
      <c r="JG50" s="1980"/>
      <c r="JH50" s="1980"/>
      <c r="JI50" s="1980"/>
      <c r="JJ50" s="1980"/>
      <c r="JK50" s="1980"/>
      <c r="JL50" s="1980"/>
      <c r="JM50" s="1980"/>
      <c r="JN50" s="1980"/>
      <c r="JO50" s="1980"/>
      <c r="JP50" s="1980"/>
      <c r="JQ50" s="1980"/>
      <c r="JR50" s="1980"/>
      <c r="JS50" s="1980"/>
      <c r="JT50" s="1980"/>
      <c r="JU50" s="1980"/>
      <c r="JV50" s="1980"/>
      <c r="JW50" s="1980"/>
      <c r="JX50" s="1980"/>
      <c r="JY50" s="1980"/>
      <c r="JZ50" s="1980"/>
      <c r="KA50" s="1980"/>
      <c r="KB50" s="1980"/>
      <c r="KC50" s="1980"/>
      <c r="KD50" s="1980"/>
      <c r="KE50" s="1980"/>
      <c r="KF50" s="1980"/>
      <c r="KG50" s="1980"/>
      <c r="KH50" s="1980"/>
      <c r="KI50" s="1980"/>
      <c r="KJ50" s="1980"/>
      <c r="KK50" s="1980"/>
    </row>
    <row r="51" spans="1:297">
      <c r="A51" s="1997"/>
      <c r="B51" s="2">
        <v>26</v>
      </c>
      <c r="C51" s="2" t="s">
        <v>4244</v>
      </c>
      <c r="D51" s="1998">
        <v>0.96772783265384288</v>
      </c>
      <c r="E51" s="1998">
        <v>0.96412957065102256</v>
      </c>
      <c r="F51" s="1998">
        <v>0.96772783265384288</v>
      </c>
      <c r="G51" s="1998">
        <v>0.96412957065102256</v>
      </c>
      <c r="H51" s="1998">
        <v>0.96772783265384288</v>
      </c>
      <c r="I51" s="1998">
        <v>0.96412957065102256</v>
      </c>
      <c r="J51" s="1998">
        <v>0.96772783265384288</v>
      </c>
      <c r="K51" s="1998">
        <v>0.96412957065102256</v>
      </c>
      <c r="L51" s="1998">
        <v>0.96772783265384288</v>
      </c>
      <c r="M51" s="1998">
        <v>0.96412957065102256</v>
      </c>
      <c r="N51" s="1999">
        <v>1</v>
      </c>
      <c r="O51" s="1979">
        <v>1</v>
      </c>
      <c r="P51" s="1979">
        <v>1</v>
      </c>
      <c r="Q51" s="1979">
        <v>1</v>
      </c>
      <c r="R51" s="1979">
        <v>1</v>
      </c>
      <c r="S51" s="1979">
        <v>1</v>
      </c>
      <c r="T51" s="1979">
        <v>1</v>
      </c>
      <c r="U51" s="1979">
        <v>1</v>
      </c>
      <c r="V51" s="1979">
        <v>1</v>
      </c>
      <c r="W51" s="1979">
        <v>1</v>
      </c>
      <c r="X51" s="2000">
        <v>1</v>
      </c>
      <c r="Y51" s="1998">
        <v>0.99456526585057647</v>
      </c>
      <c r="Z51" s="1998">
        <v>1</v>
      </c>
      <c r="AA51" s="1998">
        <v>0.99456526585057647</v>
      </c>
      <c r="AB51" s="1998">
        <v>1</v>
      </c>
      <c r="AC51" s="1998">
        <v>0.99456526585057647</v>
      </c>
      <c r="AD51" s="1998">
        <v>1</v>
      </c>
      <c r="AE51" s="1998">
        <v>0.99456526585057647</v>
      </c>
      <c r="AF51" s="1998">
        <v>1</v>
      </c>
      <c r="AG51" s="1998">
        <v>0.99456526585057647</v>
      </c>
      <c r="AH51" s="1999">
        <v>1</v>
      </c>
      <c r="AI51" s="1979">
        <v>1</v>
      </c>
      <c r="AJ51" s="1979">
        <v>1</v>
      </c>
      <c r="AK51" s="1979">
        <v>1</v>
      </c>
      <c r="AL51" s="1979">
        <v>1</v>
      </c>
      <c r="AM51" s="1979">
        <v>1</v>
      </c>
      <c r="AN51" s="1979">
        <v>1</v>
      </c>
      <c r="AO51" s="1979">
        <v>1</v>
      </c>
      <c r="AP51" s="1979">
        <v>1</v>
      </c>
      <c r="AQ51" s="1979">
        <v>1</v>
      </c>
      <c r="AR51" s="2000">
        <v>1</v>
      </c>
      <c r="AS51" s="1998">
        <v>1</v>
      </c>
      <c r="AT51" s="1998">
        <v>1</v>
      </c>
      <c r="AU51" s="1998">
        <v>1</v>
      </c>
      <c r="AV51" s="1998">
        <v>1</v>
      </c>
      <c r="AW51" s="1998">
        <v>1</v>
      </c>
      <c r="AX51" s="1998">
        <v>1</v>
      </c>
      <c r="AY51" s="1998">
        <v>1</v>
      </c>
      <c r="AZ51" s="1998">
        <v>1</v>
      </c>
      <c r="BA51" s="1998">
        <v>1</v>
      </c>
      <c r="BB51" s="1999">
        <v>1.8677630614880787</v>
      </c>
      <c r="BC51" s="1979">
        <v>1.8607989021595341</v>
      </c>
      <c r="BD51" s="1979">
        <v>1.8677630614880787</v>
      </c>
      <c r="BE51" s="1979">
        <v>1.8607989021595341</v>
      </c>
      <c r="BF51" s="1979">
        <v>1.8677630614880787</v>
      </c>
      <c r="BG51" s="1979">
        <v>1.8607989021595341</v>
      </c>
      <c r="BH51" s="1979">
        <v>1.8677630614880787</v>
      </c>
      <c r="BI51" s="1979">
        <v>1.8607989021595341</v>
      </c>
      <c r="BJ51" s="1979">
        <v>1.8677630614880787</v>
      </c>
      <c r="BK51" s="1979">
        <v>1.8607989021595341</v>
      </c>
      <c r="BL51" s="2000">
        <v>1</v>
      </c>
      <c r="BM51" s="1998">
        <v>1</v>
      </c>
      <c r="BN51" s="1998">
        <v>1</v>
      </c>
      <c r="BO51" s="1998">
        <v>1</v>
      </c>
      <c r="BP51" s="1998">
        <v>1</v>
      </c>
      <c r="BQ51" s="1998">
        <v>1</v>
      </c>
      <c r="BR51" s="1998">
        <v>1</v>
      </c>
      <c r="BS51" s="1998">
        <v>1</v>
      </c>
      <c r="BT51" s="1998">
        <v>1</v>
      </c>
      <c r="BU51" s="1998">
        <v>1</v>
      </c>
      <c r="BV51" s="1999">
        <v>1</v>
      </c>
      <c r="BW51" s="1979">
        <v>1</v>
      </c>
      <c r="BX51" s="1979">
        <v>1</v>
      </c>
      <c r="BY51" s="1979">
        <v>1</v>
      </c>
      <c r="BZ51" s="1979">
        <v>1</v>
      </c>
      <c r="CA51" s="1979">
        <v>1</v>
      </c>
      <c r="CB51" s="1979">
        <v>1</v>
      </c>
      <c r="CC51" s="1979">
        <v>1</v>
      </c>
      <c r="CD51" s="1979">
        <v>1</v>
      </c>
      <c r="CE51" s="1979">
        <v>1</v>
      </c>
      <c r="CF51" s="2000">
        <v>1</v>
      </c>
      <c r="CG51" s="1998">
        <v>1</v>
      </c>
      <c r="CH51" s="1998">
        <v>1</v>
      </c>
      <c r="CI51" s="1998">
        <v>1</v>
      </c>
      <c r="CJ51" s="1998">
        <v>1</v>
      </c>
      <c r="CK51" s="1998">
        <v>1</v>
      </c>
      <c r="CL51" s="1998">
        <v>1</v>
      </c>
      <c r="CM51" s="1998">
        <v>1</v>
      </c>
      <c r="CN51" s="1998">
        <v>1</v>
      </c>
      <c r="CO51" s="1998">
        <v>1</v>
      </c>
      <c r="CP51" s="1999">
        <v>1</v>
      </c>
      <c r="CQ51" s="1979">
        <v>1</v>
      </c>
      <c r="CR51" s="1979">
        <v>1</v>
      </c>
      <c r="CS51" s="1979">
        <v>1</v>
      </c>
      <c r="CT51" s="1979">
        <v>1</v>
      </c>
      <c r="CU51" s="1979">
        <v>1</v>
      </c>
      <c r="CV51" s="1979">
        <v>1</v>
      </c>
      <c r="CW51" s="1979">
        <v>1</v>
      </c>
      <c r="CX51" s="1979">
        <v>1</v>
      </c>
      <c r="CY51" s="1979">
        <v>1</v>
      </c>
      <c r="CZ51" s="2000">
        <v>1.3315453130345394</v>
      </c>
      <c r="DA51" s="1998">
        <v>1.3082077926656719</v>
      </c>
      <c r="DB51" s="1998">
        <v>1.3315453130345394</v>
      </c>
      <c r="DC51" s="1998">
        <v>1.3082077926656719</v>
      </c>
      <c r="DD51" s="1998">
        <v>1.3315453130345394</v>
      </c>
      <c r="DE51" s="1998">
        <v>1.3082077926656719</v>
      </c>
      <c r="DF51" s="1998">
        <v>1.3315453130345394</v>
      </c>
      <c r="DG51" s="1998">
        <v>1.3082077926656719</v>
      </c>
      <c r="DH51" s="1998">
        <v>1.3315453130345394</v>
      </c>
      <c r="DI51" s="1998">
        <v>1.3082077926656719</v>
      </c>
      <c r="DJ51" s="1999">
        <v>1.3058240386588684</v>
      </c>
      <c r="DK51" s="1979">
        <v>1.291467328254273</v>
      </c>
      <c r="DL51" s="1979">
        <v>1.3058240386588684</v>
      </c>
      <c r="DM51" s="1979">
        <v>1.291467328254273</v>
      </c>
      <c r="DN51" s="1979">
        <v>1.3058240386588684</v>
      </c>
      <c r="DO51" s="1979">
        <v>1.291467328254273</v>
      </c>
      <c r="DP51" s="1979">
        <v>1.3058240386588684</v>
      </c>
      <c r="DQ51" s="1979">
        <v>1.291467328254273</v>
      </c>
      <c r="DR51" s="1979">
        <v>1.3058240386588684</v>
      </c>
      <c r="DS51" s="1979">
        <v>1.291467328254273</v>
      </c>
      <c r="GT51" s="1980"/>
      <c r="GU51" s="1980"/>
      <c r="GV51" s="1980"/>
      <c r="GW51" s="1980"/>
      <c r="GX51" s="1980"/>
      <c r="GY51" s="1980"/>
      <c r="GZ51" s="1980"/>
      <c r="HA51" s="1980"/>
      <c r="HB51" s="1980"/>
      <c r="HC51" s="1980"/>
      <c r="HD51" s="1980"/>
      <c r="HE51" s="1980"/>
      <c r="HF51" s="1980"/>
      <c r="HG51" s="1980"/>
      <c r="HH51" s="1980"/>
      <c r="HI51" s="1980"/>
      <c r="HJ51" s="1980"/>
      <c r="HK51" s="1980"/>
      <c r="HL51" s="1980"/>
      <c r="HM51" s="1980"/>
      <c r="HN51" s="1980"/>
      <c r="HO51" s="1980"/>
      <c r="HP51" s="1980"/>
      <c r="HQ51" s="1980"/>
      <c r="HR51" s="1980"/>
      <c r="HS51" s="1980"/>
      <c r="HT51" s="1980"/>
      <c r="HU51" s="1980"/>
      <c r="HV51" s="1980"/>
      <c r="HW51" s="1980"/>
      <c r="HX51" s="1980"/>
      <c r="HY51" s="1980"/>
      <c r="HZ51" s="1980"/>
      <c r="IA51" s="1980"/>
      <c r="IB51" s="1980"/>
      <c r="IC51" s="1980"/>
      <c r="ID51" s="1980"/>
      <c r="IE51" s="1980"/>
      <c r="IF51" s="1980"/>
      <c r="IG51" s="1980"/>
      <c r="IH51" s="1980"/>
      <c r="II51" s="1980"/>
      <c r="IJ51" s="1980"/>
      <c r="IK51" s="1980"/>
      <c r="IL51" s="1980"/>
      <c r="IM51" s="1980"/>
      <c r="IN51" s="1980"/>
      <c r="IO51" s="1980"/>
      <c r="IP51" s="1980"/>
      <c r="IQ51" s="1980"/>
      <c r="IR51" s="1980"/>
      <c r="IS51" s="1980"/>
      <c r="IT51" s="1980"/>
      <c r="IU51" s="1980"/>
      <c r="IV51" s="1980"/>
      <c r="IW51" s="1980"/>
      <c r="IX51" s="1980"/>
      <c r="IY51" s="1980"/>
      <c r="IZ51" s="1980"/>
      <c r="JA51" s="1980"/>
      <c r="JB51" s="1980"/>
      <c r="JC51" s="1980"/>
      <c r="JD51" s="1980"/>
      <c r="JE51" s="1980"/>
      <c r="JF51" s="1980"/>
      <c r="JG51" s="1980"/>
      <c r="JH51" s="1980"/>
      <c r="JI51" s="1980"/>
      <c r="JJ51" s="1980"/>
      <c r="JK51" s="1980"/>
      <c r="JL51" s="1980"/>
      <c r="JM51" s="1980"/>
      <c r="JN51" s="1980"/>
      <c r="JO51" s="1980"/>
      <c r="JP51" s="1980"/>
      <c r="JQ51" s="1980"/>
      <c r="JR51" s="1980"/>
      <c r="JS51" s="1980"/>
      <c r="JT51" s="1980"/>
      <c r="JU51" s="1980"/>
      <c r="JV51" s="1980"/>
      <c r="JW51" s="1980"/>
      <c r="JX51" s="1980"/>
      <c r="JY51" s="1980"/>
      <c r="JZ51" s="1980"/>
      <c r="KA51" s="1980"/>
      <c r="KB51" s="1980"/>
      <c r="KC51" s="1980"/>
      <c r="KD51" s="1980"/>
      <c r="KE51" s="1980"/>
      <c r="KF51" s="1980"/>
      <c r="KG51" s="1980"/>
      <c r="KH51" s="1980"/>
      <c r="KI51" s="1980"/>
      <c r="KJ51" s="1980"/>
      <c r="KK51" s="1980"/>
    </row>
    <row r="52" spans="1:297">
      <c r="A52" s="1997"/>
      <c r="B52" s="2">
        <v>27</v>
      </c>
      <c r="C52" s="2" t="s">
        <v>4259</v>
      </c>
      <c r="D52" s="1998">
        <v>1.0276667149414613</v>
      </c>
      <c r="E52" s="1998">
        <v>1.0319187461350141</v>
      </c>
      <c r="F52" s="1998">
        <v>1.0276667149414613</v>
      </c>
      <c r="G52" s="1998">
        <v>1.0319187461350141</v>
      </c>
      <c r="H52" s="1998">
        <v>1.0276667149414613</v>
      </c>
      <c r="I52" s="1998">
        <v>1.0319187461350141</v>
      </c>
      <c r="J52" s="1998">
        <v>1.0276667149414613</v>
      </c>
      <c r="K52" s="1998">
        <v>1.0319187461350141</v>
      </c>
      <c r="L52" s="1998">
        <v>1.0276667149414613</v>
      </c>
      <c r="M52" s="1998">
        <v>1.0319187461350141</v>
      </c>
      <c r="N52" s="1999">
        <v>1.1584921603271991</v>
      </c>
      <c r="O52" s="1979">
        <v>1.1790586861653303</v>
      </c>
      <c r="P52" s="1979">
        <v>1.1584921603271991</v>
      </c>
      <c r="Q52" s="1979">
        <v>1.1790586861653303</v>
      </c>
      <c r="R52" s="1979">
        <v>1.1584921603271991</v>
      </c>
      <c r="S52" s="1979">
        <v>1.1790586861653303</v>
      </c>
      <c r="T52" s="1979">
        <v>1.1584921603271991</v>
      </c>
      <c r="U52" s="1979">
        <v>1.1790586861653303</v>
      </c>
      <c r="V52" s="1979">
        <v>1.1584921603271991</v>
      </c>
      <c r="W52" s="1979">
        <v>1.1790586861653303</v>
      </c>
      <c r="X52" s="2000">
        <v>1.0499831390527208</v>
      </c>
      <c r="Y52" s="1998">
        <v>1.0519782901065435</v>
      </c>
      <c r="Z52" s="1998">
        <v>1.0499831390527208</v>
      </c>
      <c r="AA52" s="1998">
        <v>1.0519782901065435</v>
      </c>
      <c r="AB52" s="1998">
        <v>1.0499831390527208</v>
      </c>
      <c r="AC52" s="1998">
        <v>1.0519782901065435</v>
      </c>
      <c r="AD52" s="1998">
        <v>1.0499831390527208</v>
      </c>
      <c r="AE52" s="1998">
        <v>1.0519782901065435</v>
      </c>
      <c r="AF52" s="1998">
        <v>1.0499831390527208</v>
      </c>
      <c r="AG52" s="1998">
        <v>1.0519782901065435</v>
      </c>
      <c r="AH52" s="1999">
        <v>1.0970161357582471</v>
      </c>
      <c r="AI52" s="1979">
        <v>1.1127435535323817</v>
      </c>
      <c r="AJ52" s="1979">
        <v>1.0970161357582471</v>
      </c>
      <c r="AK52" s="1979">
        <v>1.1127435535323817</v>
      </c>
      <c r="AL52" s="1979">
        <v>1.0970161357582471</v>
      </c>
      <c r="AM52" s="1979">
        <v>1.1127435535323817</v>
      </c>
      <c r="AN52" s="1979">
        <v>1.0970161357582471</v>
      </c>
      <c r="AO52" s="1979">
        <v>1.1127435535323817</v>
      </c>
      <c r="AP52" s="1979">
        <v>1.0970161357582471</v>
      </c>
      <c r="AQ52" s="1979">
        <v>1.1127435535323817</v>
      </c>
      <c r="AR52" s="2000">
        <v>1.0631757253408356</v>
      </c>
      <c r="AS52" s="1998">
        <v>1.0728272244566142</v>
      </c>
      <c r="AT52" s="1998">
        <v>1.0631757253408356</v>
      </c>
      <c r="AU52" s="1998">
        <v>1.0728272244566142</v>
      </c>
      <c r="AV52" s="1998">
        <v>1.0631757253408356</v>
      </c>
      <c r="AW52" s="1998">
        <v>1.0728272244566142</v>
      </c>
      <c r="AX52" s="1998">
        <v>1.0631757253408356</v>
      </c>
      <c r="AY52" s="1998">
        <v>1.0728272244566142</v>
      </c>
      <c r="AZ52" s="1998">
        <v>1.0631757253408356</v>
      </c>
      <c r="BA52" s="1998">
        <v>1.0728272244566142</v>
      </c>
      <c r="BB52" s="1999">
        <v>2.2115272364255643</v>
      </c>
      <c r="BC52" s="1979">
        <v>2.2435016026188501</v>
      </c>
      <c r="BD52" s="1979">
        <v>2.2115272364255643</v>
      </c>
      <c r="BE52" s="1979">
        <v>2.2435016026188501</v>
      </c>
      <c r="BF52" s="1979">
        <v>2.2115272364255643</v>
      </c>
      <c r="BG52" s="1979">
        <v>2.2435016026188501</v>
      </c>
      <c r="BH52" s="1979">
        <v>2.2115272364255643</v>
      </c>
      <c r="BI52" s="1979">
        <v>2.2435016026188501</v>
      </c>
      <c r="BJ52" s="1979">
        <v>2.2115272364255643</v>
      </c>
      <c r="BK52" s="1979">
        <v>2.2435016026188501</v>
      </c>
      <c r="BL52" s="2000">
        <v>1.1251015530646817</v>
      </c>
      <c r="BM52" s="1998">
        <v>1.1388298168705033</v>
      </c>
      <c r="BN52" s="1998">
        <v>1.1251015530646817</v>
      </c>
      <c r="BO52" s="1998">
        <v>1.1388298168705033</v>
      </c>
      <c r="BP52" s="1998">
        <v>1.1251015530646817</v>
      </c>
      <c r="BQ52" s="1998">
        <v>1.1388298168705033</v>
      </c>
      <c r="BR52" s="1998">
        <v>1.1251015530646817</v>
      </c>
      <c r="BS52" s="1998">
        <v>1.1388298168705033</v>
      </c>
      <c r="BT52" s="1998">
        <v>1.1251015530646817</v>
      </c>
      <c r="BU52" s="1998">
        <v>1.1388298168705033</v>
      </c>
      <c r="BV52" s="1999">
        <v>1.143377194782732</v>
      </c>
      <c r="BW52" s="1979">
        <v>1.1592778053690169</v>
      </c>
      <c r="BX52" s="1979">
        <v>1.143377194782732</v>
      </c>
      <c r="BY52" s="1979">
        <v>1.1592778053690169</v>
      </c>
      <c r="BZ52" s="1979">
        <v>1.143377194782732</v>
      </c>
      <c r="CA52" s="1979">
        <v>1.1592778053690169</v>
      </c>
      <c r="CB52" s="1979">
        <v>1.143377194782732</v>
      </c>
      <c r="CC52" s="1979">
        <v>1.1592778053690169</v>
      </c>
      <c r="CD52" s="1979">
        <v>1.143377194782732</v>
      </c>
      <c r="CE52" s="1979">
        <v>1.1592778053690169</v>
      </c>
      <c r="CF52" s="2000">
        <v>1.1339929256890262</v>
      </c>
      <c r="CG52" s="1998">
        <v>1.1589029071489558</v>
      </c>
      <c r="CH52" s="1998">
        <v>1.1339929256890262</v>
      </c>
      <c r="CI52" s="1998">
        <v>1.1589029071489558</v>
      </c>
      <c r="CJ52" s="1998">
        <v>1.1339929256890262</v>
      </c>
      <c r="CK52" s="1998">
        <v>1.1589029071489558</v>
      </c>
      <c r="CL52" s="1998">
        <v>1.1339929256890262</v>
      </c>
      <c r="CM52" s="1998">
        <v>1.1589029071489558</v>
      </c>
      <c r="CN52" s="1998">
        <v>1.1339929256890262</v>
      </c>
      <c r="CO52" s="1998">
        <v>1.1589029071489558</v>
      </c>
      <c r="CP52" s="1999">
        <v>1.1421268551603387</v>
      </c>
      <c r="CQ52" s="1979">
        <v>1.1681689466314089</v>
      </c>
      <c r="CR52" s="1979">
        <v>1.1421268551603387</v>
      </c>
      <c r="CS52" s="1979">
        <v>1.1681689466314089</v>
      </c>
      <c r="CT52" s="1979">
        <v>1.1421268551603387</v>
      </c>
      <c r="CU52" s="1979">
        <v>1.1681689466314089</v>
      </c>
      <c r="CV52" s="1979">
        <v>1.1421268551603387</v>
      </c>
      <c r="CW52" s="1979">
        <v>1.1681689466314089</v>
      </c>
      <c r="CX52" s="1979">
        <v>1.1421268551603387</v>
      </c>
      <c r="CY52" s="1979">
        <v>1.1681689466314089</v>
      </c>
      <c r="CZ52" s="2000">
        <v>1.5647127023350567</v>
      </c>
      <c r="DA52" s="1998">
        <v>1.5815332278221961</v>
      </c>
      <c r="DB52" s="1998">
        <v>1.5647127023350567</v>
      </c>
      <c r="DC52" s="1998">
        <v>1.5815332278221961</v>
      </c>
      <c r="DD52" s="1998">
        <v>1.5647127023350567</v>
      </c>
      <c r="DE52" s="1998">
        <v>1.5815332278221961</v>
      </c>
      <c r="DF52" s="1998">
        <v>1.5647127023350567</v>
      </c>
      <c r="DG52" s="1998">
        <v>1.5815332278221961</v>
      </c>
      <c r="DH52" s="1998">
        <v>1.5647127023350567</v>
      </c>
      <c r="DI52" s="1998">
        <v>1.5815332278221961</v>
      </c>
      <c r="DJ52" s="1999">
        <v>1.5137884053841772</v>
      </c>
      <c r="DK52" s="1979">
        <v>1.5385691878013936</v>
      </c>
      <c r="DL52" s="1979">
        <v>1.5137884053841772</v>
      </c>
      <c r="DM52" s="1979">
        <v>1.5385691878013936</v>
      </c>
      <c r="DN52" s="1979">
        <v>1.5137884053841772</v>
      </c>
      <c r="DO52" s="1979">
        <v>1.5385691878013936</v>
      </c>
      <c r="DP52" s="1979">
        <v>1.5137884053841772</v>
      </c>
      <c r="DQ52" s="1979">
        <v>1.5385691878013936</v>
      </c>
      <c r="DR52" s="1979">
        <v>1.5137884053841772</v>
      </c>
      <c r="DS52" s="1979">
        <v>1.5385691878013936</v>
      </c>
      <c r="GT52" s="1980"/>
      <c r="GU52" s="1980"/>
      <c r="GV52" s="1980"/>
      <c r="GW52" s="1980"/>
      <c r="GX52" s="1980"/>
      <c r="GY52" s="1980"/>
      <c r="GZ52" s="1980"/>
      <c r="HA52" s="1980"/>
      <c r="HB52" s="1980"/>
      <c r="HC52" s="1980"/>
      <c r="HD52" s="1980"/>
      <c r="HE52" s="1980"/>
      <c r="HF52" s="1980"/>
      <c r="HG52" s="1980"/>
      <c r="HH52" s="1980"/>
      <c r="HI52" s="1980"/>
      <c r="HJ52" s="1980"/>
      <c r="HK52" s="1980"/>
      <c r="HL52" s="1980"/>
      <c r="HM52" s="1980"/>
      <c r="HN52" s="1980"/>
      <c r="HO52" s="1980"/>
      <c r="HP52" s="1980"/>
      <c r="HQ52" s="1980"/>
      <c r="HR52" s="1980"/>
      <c r="HS52" s="1980"/>
      <c r="HT52" s="1980"/>
      <c r="HU52" s="1980"/>
      <c r="HV52" s="1980"/>
      <c r="HW52" s="1980"/>
      <c r="HX52" s="1980"/>
      <c r="HY52" s="1980"/>
      <c r="HZ52" s="1980"/>
      <c r="IA52" s="1980"/>
      <c r="IB52" s="1980"/>
      <c r="IC52" s="1980"/>
      <c r="ID52" s="1980"/>
      <c r="IE52" s="1980"/>
      <c r="IF52" s="1980"/>
      <c r="IG52" s="1980"/>
      <c r="IH52" s="1980"/>
      <c r="II52" s="1980"/>
      <c r="IJ52" s="1980"/>
      <c r="IK52" s="1980"/>
      <c r="IL52" s="1980"/>
      <c r="IM52" s="1980"/>
      <c r="IN52" s="1980"/>
      <c r="IO52" s="1980"/>
      <c r="IP52" s="1980"/>
      <c r="IQ52" s="1980"/>
      <c r="IR52" s="1980"/>
      <c r="IS52" s="1980"/>
      <c r="IT52" s="1980"/>
      <c r="IU52" s="1980"/>
      <c r="IV52" s="1980"/>
      <c r="IW52" s="1980"/>
      <c r="IX52" s="1980"/>
      <c r="IY52" s="1980"/>
      <c r="IZ52" s="1980"/>
      <c r="JA52" s="1980"/>
      <c r="JB52" s="1980"/>
      <c r="JC52" s="1980"/>
      <c r="JD52" s="1980"/>
      <c r="JE52" s="1980"/>
      <c r="JF52" s="1980"/>
      <c r="JG52" s="1980"/>
      <c r="JH52" s="1980"/>
      <c r="JI52" s="1980"/>
      <c r="JJ52" s="1980"/>
      <c r="JK52" s="1980"/>
      <c r="JL52" s="1980"/>
      <c r="JM52" s="1980"/>
      <c r="JN52" s="1980"/>
      <c r="JO52" s="1980"/>
      <c r="JP52" s="1980"/>
      <c r="JQ52" s="1980"/>
      <c r="JR52" s="1980"/>
      <c r="JS52" s="1980"/>
      <c r="JT52" s="1980"/>
      <c r="JU52" s="1980"/>
      <c r="JV52" s="1980"/>
      <c r="JW52" s="1980"/>
      <c r="JX52" s="1980"/>
      <c r="JY52" s="1980"/>
      <c r="JZ52" s="1980"/>
      <c r="KA52" s="1980"/>
      <c r="KB52" s="1980"/>
      <c r="KC52" s="1980"/>
      <c r="KD52" s="1980"/>
      <c r="KE52" s="1980"/>
      <c r="KF52" s="1980"/>
      <c r="KG52" s="1980"/>
      <c r="KH52" s="1980"/>
      <c r="KI52" s="1980"/>
      <c r="KJ52" s="1980"/>
      <c r="KK52" s="1980"/>
    </row>
    <row r="53" spans="1:297">
      <c r="A53" s="1997"/>
      <c r="B53" s="2">
        <v>28</v>
      </c>
      <c r="C53" s="2" t="s">
        <v>4274</v>
      </c>
      <c r="D53" s="1998">
        <v>1.2677409788794161</v>
      </c>
      <c r="E53" s="1998">
        <v>1.2768871008274929</v>
      </c>
      <c r="F53" s="1998">
        <v>1.2677409788794161</v>
      </c>
      <c r="G53" s="1998">
        <v>1.2768871008274929</v>
      </c>
      <c r="H53" s="1998">
        <v>1.2677409788794161</v>
      </c>
      <c r="I53" s="1998">
        <v>1.2768871008274929</v>
      </c>
      <c r="J53" s="1998">
        <v>1.2677409788794161</v>
      </c>
      <c r="K53" s="1998">
        <v>1.2768871008274929</v>
      </c>
      <c r="L53" s="1998">
        <v>1.2677409788794161</v>
      </c>
      <c r="M53" s="1998">
        <v>1.2768871008274929</v>
      </c>
      <c r="N53" s="1999">
        <v>1.3169843206543983</v>
      </c>
      <c r="O53" s="1979">
        <v>1.3581173723306608</v>
      </c>
      <c r="P53" s="1979">
        <v>1.3169843206543983</v>
      </c>
      <c r="Q53" s="1979">
        <v>1.3581173723306608</v>
      </c>
      <c r="R53" s="1979">
        <v>1.3169843206543983</v>
      </c>
      <c r="S53" s="1979">
        <v>1.3581173723306608</v>
      </c>
      <c r="T53" s="1979">
        <v>1.3169843206543983</v>
      </c>
      <c r="U53" s="1979">
        <v>1.3581173723306608</v>
      </c>
      <c r="V53" s="1979">
        <v>1.3169843206543983</v>
      </c>
      <c r="W53" s="1979">
        <v>1.3581173723306608</v>
      </c>
      <c r="X53" s="2000">
        <v>1.099966278105442</v>
      </c>
      <c r="Y53" s="1998">
        <v>1.1093913143625103</v>
      </c>
      <c r="Z53" s="1998">
        <v>1.099966278105442</v>
      </c>
      <c r="AA53" s="1998">
        <v>1.1093913143625103</v>
      </c>
      <c r="AB53" s="1998">
        <v>1.099966278105442</v>
      </c>
      <c r="AC53" s="1998">
        <v>1.1093913143625103</v>
      </c>
      <c r="AD53" s="1998">
        <v>1.099966278105442</v>
      </c>
      <c r="AE53" s="1998">
        <v>1.1093913143625103</v>
      </c>
      <c r="AF53" s="1998">
        <v>1.099966278105442</v>
      </c>
      <c r="AG53" s="1998">
        <v>1.1093913143625103</v>
      </c>
      <c r="AH53" s="1999">
        <v>1.1940322715164942</v>
      </c>
      <c r="AI53" s="1979">
        <v>1.2254871070647639</v>
      </c>
      <c r="AJ53" s="1979">
        <v>1.1940322715164942</v>
      </c>
      <c r="AK53" s="1979">
        <v>1.2254871070647639</v>
      </c>
      <c r="AL53" s="1979">
        <v>1.1940322715164942</v>
      </c>
      <c r="AM53" s="1979">
        <v>1.2254871070647639</v>
      </c>
      <c r="AN53" s="1979">
        <v>1.1940322715164942</v>
      </c>
      <c r="AO53" s="1979">
        <v>1.2254871070647639</v>
      </c>
      <c r="AP53" s="1979">
        <v>1.1940322715164942</v>
      </c>
      <c r="AQ53" s="1979">
        <v>1.2254871070647639</v>
      </c>
      <c r="AR53" s="2000">
        <v>1.1263514506816714</v>
      </c>
      <c r="AS53" s="1998">
        <v>1.1456544489132279</v>
      </c>
      <c r="AT53" s="1998">
        <v>1.1263514506816714</v>
      </c>
      <c r="AU53" s="1998">
        <v>1.1456544489132279</v>
      </c>
      <c r="AV53" s="1998">
        <v>1.1263514506816714</v>
      </c>
      <c r="AW53" s="1998">
        <v>1.1456544489132279</v>
      </c>
      <c r="AX53" s="1998">
        <v>1.1263514506816714</v>
      </c>
      <c r="AY53" s="1998">
        <v>1.1456544489132279</v>
      </c>
      <c r="AZ53" s="1998">
        <v>1.1263514506816714</v>
      </c>
      <c r="BA53" s="1998">
        <v>1.1456544489132279</v>
      </c>
      <c r="BB53" s="1999">
        <v>2.5552914113630503</v>
      </c>
      <c r="BC53" s="1979">
        <v>2.6262043030781661</v>
      </c>
      <c r="BD53" s="1979">
        <v>2.5552914113630503</v>
      </c>
      <c r="BE53" s="1979">
        <v>2.6262043030781661</v>
      </c>
      <c r="BF53" s="1979">
        <v>2.5552914113630503</v>
      </c>
      <c r="BG53" s="1979">
        <v>2.6262043030781661</v>
      </c>
      <c r="BH53" s="1979">
        <v>2.5552914113630503</v>
      </c>
      <c r="BI53" s="1979">
        <v>2.6262043030781661</v>
      </c>
      <c r="BJ53" s="1979">
        <v>2.5552914113630503</v>
      </c>
      <c r="BK53" s="1979">
        <v>2.6262043030781661</v>
      </c>
      <c r="BL53" s="2000">
        <v>1.2502031061293635</v>
      </c>
      <c r="BM53" s="1998">
        <v>1.2776596337410064</v>
      </c>
      <c r="BN53" s="1998">
        <v>1.2502031061293635</v>
      </c>
      <c r="BO53" s="1998">
        <v>1.2776596337410064</v>
      </c>
      <c r="BP53" s="1998">
        <v>1.2502031061293635</v>
      </c>
      <c r="BQ53" s="1998">
        <v>1.2776596337410064</v>
      </c>
      <c r="BR53" s="1998">
        <v>1.2502031061293635</v>
      </c>
      <c r="BS53" s="1998">
        <v>1.2776596337410064</v>
      </c>
      <c r="BT53" s="1998">
        <v>1.2502031061293635</v>
      </c>
      <c r="BU53" s="1998">
        <v>1.2776596337410064</v>
      </c>
      <c r="BV53" s="1999">
        <v>1.2867543895654641</v>
      </c>
      <c r="BW53" s="1979">
        <v>1.3185556107380338</v>
      </c>
      <c r="BX53" s="1979">
        <v>1.2867543895654641</v>
      </c>
      <c r="BY53" s="1979">
        <v>1.3185556107380338</v>
      </c>
      <c r="BZ53" s="1979">
        <v>1.2867543895654641</v>
      </c>
      <c r="CA53" s="1979">
        <v>1.3185556107380338</v>
      </c>
      <c r="CB53" s="1979">
        <v>1.2867543895654641</v>
      </c>
      <c r="CC53" s="1979">
        <v>1.3185556107380338</v>
      </c>
      <c r="CD53" s="1979">
        <v>1.2867543895654641</v>
      </c>
      <c r="CE53" s="1979">
        <v>1.3185556107380338</v>
      </c>
      <c r="CF53" s="2000">
        <v>1.2679858513780522</v>
      </c>
      <c r="CG53" s="1998">
        <v>1.3178058142979114</v>
      </c>
      <c r="CH53" s="1998">
        <v>1.2679858513780522</v>
      </c>
      <c r="CI53" s="1998">
        <v>1.3178058142979114</v>
      </c>
      <c r="CJ53" s="1998">
        <v>1.2679858513780522</v>
      </c>
      <c r="CK53" s="1998">
        <v>1.3178058142979114</v>
      </c>
      <c r="CL53" s="1998">
        <v>1.2679858513780522</v>
      </c>
      <c r="CM53" s="1998">
        <v>1.3178058142979114</v>
      </c>
      <c r="CN53" s="1998">
        <v>1.2679858513780522</v>
      </c>
      <c r="CO53" s="1998">
        <v>1.3178058142979114</v>
      </c>
      <c r="CP53" s="1999">
        <v>1.284253710320677</v>
      </c>
      <c r="CQ53" s="1979">
        <v>1.3363378932628178</v>
      </c>
      <c r="CR53" s="1979">
        <v>1.284253710320677</v>
      </c>
      <c r="CS53" s="1979">
        <v>1.3363378932628178</v>
      </c>
      <c r="CT53" s="1979">
        <v>1.284253710320677</v>
      </c>
      <c r="CU53" s="1979">
        <v>1.3363378932628178</v>
      </c>
      <c r="CV53" s="1979">
        <v>1.284253710320677</v>
      </c>
      <c r="CW53" s="1979">
        <v>1.3363378932628178</v>
      </c>
      <c r="CX53" s="1979">
        <v>1.284253710320677</v>
      </c>
      <c r="CY53" s="1979">
        <v>1.3363378932628178</v>
      </c>
      <c r="CZ53" s="2000">
        <v>1.7978800916355735</v>
      </c>
      <c r="DA53" s="1998">
        <v>1.8548586629787203</v>
      </c>
      <c r="DB53" s="1998">
        <v>1.7978800916355735</v>
      </c>
      <c r="DC53" s="1998">
        <v>1.8548586629787203</v>
      </c>
      <c r="DD53" s="1998">
        <v>1.7978800916355735</v>
      </c>
      <c r="DE53" s="1998">
        <v>1.8548586629787203</v>
      </c>
      <c r="DF53" s="1998">
        <v>1.7978800916355735</v>
      </c>
      <c r="DG53" s="1998">
        <v>1.8548586629787203</v>
      </c>
      <c r="DH53" s="1998">
        <v>1.7978800916355735</v>
      </c>
      <c r="DI53" s="1998">
        <v>1.8548586629787203</v>
      </c>
      <c r="DJ53" s="1999">
        <v>1.7217527721094865</v>
      </c>
      <c r="DK53" s="1979">
        <v>1.7856710473485147</v>
      </c>
      <c r="DL53" s="1979">
        <v>1.7217527721094865</v>
      </c>
      <c r="DM53" s="1979">
        <v>1.7856710473485147</v>
      </c>
      <c r="DN53" s="1979">
        <v>1.7217527721094865</v>
      </c>
      <c r="DO53" s="1979">
        <v>1.7856710473485147</v>
      </c>
      <c r="DP53" s="1979">
        <v>1.7217527721094865</v>
      </c>
      <c r="DQ53" s="1979">
        <v>1.7856710473485147</v>
      </c>
      <c r="DR53" s="1979">
        <v>1.7217527721094865</v>
      </c>
      <c r="DS53" s="1979">
        <v>1.7856710473485147</v>
      </c>
      <c r="GT53" s="1980"/>
      <c r="GU53" s="1980"/>
      <c r="GV53" s="1980"/>
      <c r="GW53" s="1980"/>
      <c r="GX53" s="1980"/>
      <c r="GY53" s="1980"/>
      <c r="GZ53" s="1980"/>
      <c r="HA53" s="1980"/>
      <c r="HB53" s="1980"/>
      <c r="HC53" s="1980"/>
      <c r="HD53" s="1980"/>
      <c r="HE53" s="1980"/>
      <c r="HF53" s="1980"/>
      <c r="HG53" s="1980"/>
      <c r="HH53" s="1980"/>
      <c r="HI53" s="1980"/>
      <c r="HJ53" s="1980"/>
      <c r="HK53" s="1980"/>
      <c r="HL53" s="1980"/>
      <c r="HM53" s="1980"/>
      <c r="HN53" s="1980"/>
      <c r="HO53" s="1980"/>
      <c r="HP53" s="1980"/>
      <c r="HQ53" s="1980"/>
      <c r="HR53" s="1980"/>
      <c r="HS53" s="1980"/>
      <c r="HT53" s="1980"/>
      <c r="HU53" s="1980"/>
      <c r="HV53" s="1980"/>
      <c r="HW53" s="1980"/>
      <c r="HX53" s="1980"/>
      <c r="HY53" s="1980"/>
      <c r="HZ53" s="1980"/>
      <c r="IA53" s="1980"/>
      <c r="IB53" s="1980"/>
      <c r="IC53" s="1980"/>
      <c r="ID53" s="1980"/>
      <c r="IE53" s="1980"/>
      <c r="IF53" s="1980"/>
      <c r="IG53" s="1980"/>
      <c r="IH53" s="1980"/>
      <c r="II53" s="1980"/>
      <c r="IJ53" s="1980"/>
      <c r="IK53" s="1980"/>
      <c r="IL53" s="1980"/>
      <c r="IM53" s="1980"/>
      <c r="IN53" s="1980"/>
      <c r="IO53" s="1980"/>
      <c r="IP53" s="1980"/>
      <c r="IQ53" s="1980"/>
      <c r="IR53" s="1980"/>
      <c r="IS53" s="1980"/>
      <c r="IT53" s="1980"/>
      <c r="IU53" s="1980"/>
      <c r="IV53" s="1980"/>
      <c r="IW53" s="1980"/>
      <c r="IX53" s="1980"/>
      <c r="IY53" s="1980"/>
      <c r="IZ53" s="1980"/>
      <c r="JA53" s="1980"/>
      <c r="JB53" s="1980"/>
      <c r="JC53" s="1980"/>
      <c r="JD53" s="1980"/>
      <c r="JE53" s="1980"/>
      <c r="JF53" s="1980"/>
      <c r="JG53" s="1980"/>
      <c r="JH53" s="1980"/>
      <c r="JI53" s="1980"/>
      <c r="JJ53" s="1980"/>
      <c r="JK53" s="1980"/>
      <c r="JL53" s="1980"/>
      <c r="JM53" s="1980"/>
      <c r="JN53" s="1980"/>
      <c r="JO53" s="1980"/>
      <c r="JP53" s="1980"/>
      <c r="JQ53" s="1980"/>
      <c r="JR53" s="1980"/>
      <c r="JS53" s="1980"/>
      <c r="JT53" s="1980"/>
      <c r="JU53" s="1980"/>
      <c r="JV53" s="1980"/>
      <c r="JW53" s="1980"/>
      <c r="JX53" s="1980"/>
      <c r="JY53" s="1980"/>
      <c r="JZ53" s="1980"/>
      <c r="KA53" s="1980"/>
      <c r="KB53" s="1980"/>
      <c r="KC53" s="1980"/>
      <c r="KD53" s="1980"/>
      <c r="KE53" s="1980"/>
      <c r="KF53" s="1980"/>
      <c r="KG53" s="1980"/>
      <c r="KH53" s="1980"/>
      <c r="KI53" s="1980"/>
      <c r="KJ53" s="1980"/>
      <c r="KK53" s="1980"/>
    </row>
    <row r="54" spans="1:297">
      <c r="A54" s="1997"/>
      <c r="B54" s="2">
        <v>29</v>
      </c>
      <c r="C54" s="2" t="str">
        <f>$AD$13</f>
        <v>Fondation superficielle</v>
      </c>
      <c r="D54" s="1998">
        <v>0.96772783265384288</v>
      </c>
      <c r="E54" s="1998">
        <v>0.96412957065102256</v>
      </c>
      <c r="F54" s="1998">
        <v>0.96772783265384288</v>
      </c>
      <c r="G54" s="1998">
        <v>0.96412957065102256</v>
      </c>
      <c r="H54" s="1998">
        <v>0.96772783265384288</v>
      </c>
      <c r="I54" s="1998">
        <v>0.96412957065102256</v>
      </c>
      <c r="J54" s="1998">
        <v>0.96772783265384288</v>
      </c>
      <c r="K54" s="1998">
        <v>0.96412957065102256</v>
      </c>
      <c r="L54" s="1998">
        <v>0.96772783265384288</v>
      </c>
      <c r="M54" s="1998">
        <v>0.96412957065102256</v>
      </c>
      <c r="N54" s="1999">
        <v>1</v>
      </c>
      <c r="O54" s="1979">
        <v>1</v>
      </c>
      <c r="P54" s="1979">
        <v>1</v>
      </c>
      <c r="Q54" s="1979">
        <v>1</v>
      </c>
      <c r="R54" s="1979">
        <v>1</v>
      </c>
      <c r="S54" s="1979">
        <v>1</v>
      </c>
      <c r="T54" s="1979">
        <v>1</v>
      </c>
      <c r="U54" s="1979">
        <v>1</v>
      </c>
      <c r="V54" s="1979">
        <v>1</v>
      </c>
      <c r="W54" s="1979">
        <v>1</v>
      </c>
      <c r="X54" s="2000">
        <v>1</v>
      </c>
      <c r="Y54" s="1998">
        <v>0.99456526585057647</v>
      </c>
      <c r="Z54" s="1998">
        <v>1</v>
      </c>
      <c r="AA54" s="1998">
        <v>0.99456526585057647</v>
      </c>
      <c r="AB54" s="1998">
        <v>1</v>
      </c>
      <c r="AC54" s="1998">
        <v>0.99456526585057647</v>
      </c>
      <c r="AD54" s="1998">
        <v>1</v>
      </c>
      <c r="AE54" s="1998">
        <v>0.99456526585057647</v>
      </c>
      <c r="AF54" s="1998">
        <v>1</v>
      </c>
      <c r="AG54" s="1998">
        <v>0.99456526585057647</v>
      </c>
      <c r="AH54" s="1999">
        <v>1</v>
      </c>
      <c r="AI54" s="1979">
        <v>1</v>
      </c>
      <c r="AJ54" s="1979">
        <v>1</v>
      </c>
      <c r="AK54" s="1979">
        <v>1</v>
      </c>
      <c r="AL54" s="1979">
        <v>1</v>
      </c>
      <c r="AM54" s="1979">
        <v>1</v>
      </c>
      <c r="AN54" s="1979">
        <v>1</v>
      </c>
      <c r="AO54" s="1979">
        <v>1</v>
      </c>
      <c r="AP54" s="1979">
        <v>1</v>
      </c>
      <c r="AQ54" s="1979">
        <v>1</v>
      </c>
      <c r="AR54" s="2000">
        <v>1</v>
      </c>
      <c r="AS54" s="1998">
        <v>1</v>
      </c>
      <c r="AT54" s="1998">
        <v>1</v>
      </c>
      <c r="AU54" s="1998">
        <v>1</v>
      </c>
      <c r="AV54" s="1998">
        <v>1</v>
      </c>
      <c r="AW54" s="1998">
        <v>1</v>
      </c>
      <c r="AX54" s="1998">
        <v>1</v>
      </c>
      <c r="AY54" s="1998">
        <v>1</v>
      </c>
      <c r="AZ54" s="1998">
        <v>1</v>
      </c>
      <c r="BA54" s="1998">
        <v>1</v>
      </c>
      <c r="BB54" s="1999">
        <v>1.3180265000109936</v>
      </c>
      <c r="BC54" s="1979">
        <v>1.3308586370188196</v>
      </c>
      <c r="BD54" s="1979">
        <v>1.3180265000109936</v>
      </c>
      <c r="BE54" s="1979">
        <v>1.3308586370188196</v>
      </c>
      <c r="BF54" s="1979">
        <v>1.3180265000109936</v>
      </c>
      <c r="BG54" s="1979">
        <v>1.3308586370188196</v>
      </c>
      <c r="BH54" s="1979">
        <v>1.3180265000109936</v>
      </c>
      <c r="BI54" s="1979">
        <v>1.3308586370188196</v>
      </c>
      <c r="BJ54" s="1979">
        <v>1.3180265000109936</v>
      </c>
      <c r="BK54" s="1979">
        <v>1.3308586370188196</v>
      </c>
      <c r="BL54" s="2000">
        <v>1</v>
      </c>
      <c r="BM54" s="1998">
        <v>1</v>
      </c>
      <c r="BN54" s="1998">
        <v>1</v>
      </c>
      <c r="BO54" s="1998">
        <v>1</v>
      </c>
      <c r="BP54" s="1998">
        <v>1</v>
      </c>
      <c r="BQ54" s="1998">
        <v>1</v>
      </c>
      <c r="BR54" s="1998">
        <v>1</v>
      </c>
      <c r="BS54" s="1998">
        <v>1</v>
      </c>
      <c r="BT54" s="1998">
        <v>1</v>
      </c>
      <c r="BU54" s="1998">
        <v>1</v>
      </c>
      <c r="BV54" s="1999">
        <v>1</v>
      </c>
      <c r="BW54" s="1979">
        <v>1</v>
      </c>
      <c r="BX54" s="1979">
        <v>1</v>
      </c>
      <c r="BY54" s="1979">
        <v>1</v>
      </c>
      <c r="BZ54" s="1979">
        <v>1</v>
      </c>
      <c r="CA54" s="1979">
        <v>1</v>
      </c>
      <c r="CB54" s="1979">
        <v>1</v>
      </c>
      <c r="CC54" s="1979">
        <v>1</v>
      </c>
      <c r="CD54" s="1979">
        <v>1</v>
      </c>
      <c r="CE54" s="1979">
        <v>1</v>
      </c>
      <c r="CF54" s="2000">
        <v>1</v>
      </c>
      <c r="CG54" s="1998">
        <v>1</v>
      </c>
      <c r="CH54" s="1998">
        <v>1</v>
      </c>
      <c r="CI54" s="1998">
        <v>1</v>
      </c>
      <c r="CJ54" s="1998">
        <v>1</v>
      </c>
      <c r="CK54" s="1998">
        <v>1</v>
      </c>
      <c r="CL54" s="1998">
        <v>1</v>
      </c>
      <c r="CM54" s="1998">
        <v>1</v>
      </c>
      <c r="CN54" s="1998">
        <v>1</v>
      </c>
      <c r="CO54" s="1998">
        <v>1</v>
      </c>
      <c r="CP54" s="1999">
        <v>1</v>
      </c>
      <c r="CQ54" s="1979">
        <v>1</v>
      </c>
      <c r="CR54" s="1979">
        <v>1</v>
      </c>
      <c r="CS54" s="1979">
        <v>1</v>
      </c>
      <c r="CT54" s="1979">
        <v>1</v>
      </c>
      <c r="CU54" s="1979">
        <v>1</v>
      </c>
      <c r="CV54" s="1979">
        <v>1</v>
      </c>
      <c r="CW54" s="1979">
        <v>1</v>
      </c>
      <c r="CX54" s="1979">
        <v>1</v>
      </c>
      <c r="CY54" s="1979">
        <v>1</v>
      </c>
      <c r="CZ54" s="2000">
        <v>1</v>
      </c>
      <c r="DA54" s="1998">
        <v>1</v>
      </c>
      <c r="DB54" s="1998">
        <v>1</v>
      </c>
      <c r="DC54" s="1998">
        <v>1</v>
      </c>
      <c r="DD54" s="1998">
        <v>1</v>
      </c>
      <c r="DE54" s="1998">
        <v>1</v>
      </c>
      <c r="DF54" s="1998">
        <v>1</v>
      </c>
      <c r="DG54" s="1998">
        <v>1</v>
      </c>
      <c r="DH54" s="1998">
        <v>1</v>
      </c>
      <c r="DI54" s="1998">
        <v>1</v>
      </c>
      <c r="DJ54" s="1999">
        <v>1.0002450682306379</v>
      </c>
      <c r="DK54" s="1979">
        <v>1.0001651239704095</v>
      </c>
      <c r="DL54" s="1979">
        <v>1.0002450682306379</v>
      </c>
      <c r="DM54" s="1979">
        <v>1.0001651239704095</v>
      </c>
      <c r="DN54" s="1979">
        <v>1.0002450682306379</v>
      </c>
      <c r="DO54" s="1979">
        <v>1.0001651239704095</v>
      </c>
      <c r="DP54" s="1979">
        <v>1.0002450682306379</v>
      </c>
      <c r="DQ54" s="1979">
        <v>1.0001651239704095</v>
      </c>
      <c r="DR54" s="1979">
        <v>1.0002450682306379</v>
      </c>
      <c r="DS54" s="1979">
        <v>1.0001651239704095</v>
      </c>
      <c r="GT54" s="1980"/>
      <c r="GU54" s="1980"/>
      <c r="GV54" s="1980"/>
      <c r="GW54" s="1980"/>
      <c r="GX54" s="1980"/>
      <c r="GY54" s="1980"/>
      <c r="GZ54" s="1980"/>
      <c r="HA54" s="1980"/>
      <c r="HB54" s="1980"/>
      <c r="HC54" s="1980"/>
      <c r="HD54" s="1980"/>
      <c r="HE54" s="1980"/>
      <c r="HF54" s="1980"/>
      <c r="HG54" s="1980"/>
      <c r="HH54" s="1980"/>
      <c r="HI54" s="1980"/>
      <c r="HJ54" s="1980"/>
      <c r="HK54" s="1980"/>
      <c r="HL54" s="1980"/>
      <c r="HM54" s="1980"/>
      <c r="HN54" s="1980"/>
      <c r="HO54" s="1980"/>
      <c r="HP54" s="1980"/>
      <c r="HQ54" s="1980"/>
      <c r="HR54" s="1980"/>
      <c r="HS54" s="1980"/>
      <c r="HT54" s="1980"/>
      <c r="HU54" s="1980"/>
      <c r="HV54" s="1980"/>
      <c r="HW54" s="1980"/>
      <c r="HX54" s="1980"/>
      <c r="HY54" s="1980"/>
      <c r="HZ54" s="1980"/>
      <c r="IA54" s="1980"/>
      <c r="IB54" s="1980"/>
      <c r="IC54" s="1980"/>
      <c r="ID54" s="1980"/>
      <c r="IE54" s="1980"/>
      <c r="IF54" s="1980"/>
      <c r="IG54" s="1980"/>
      <c r="IH54" s="1980"/>
      <c r="II54" s="1980"/>
      <c r="IJ54" s="1980"/>
      <c r="IK54" s="1980"/>
      <c r="IL54" s="1980"/>
      <c r="IM54" s="1980"/>
      <c r="IN54" s="1980"/>
      <c r="IO54" s="1980"/>
      <c r="IP54" s="1980"/>
      <c r="IQ54" s="1980"/>
      <c r="IR54" s="1980"/>
      <c r="IS54" s="1980"/>
      <c r="IT54" s="1980"/>
      <c r="IU54" s="1980"/>
      <c r="IV54" s="1980"/>
      <c r="IW54" s="1980"/>
      <c r="IX54" s="1980"/>
      <c r="IY54" s="1980"/>
      <c r="IZ54" s="1980"/>
      <c r="JA54" s="1980"/>
      <c r="JB54" s="1980"/>
      <c r="JC54" s="1980"/>
      <c r="JD54" s="1980"/>
      <c r="JE54" s="1980"/>
      <c r="JF54" s="1980"/>
      <c r="JG54" s="1980"/>
      <c r="JH54" s="1980"/>
      <c r="JI54" s="1980"/>
      <c r="JJ54" s="1980"/>
      <c r="JK54" s="1980"/>
      <c r="JL54" s="1980"/>
      <c r="JM54" s="1980"/>
      <c r="JN54" s="1980"/>
      <c r="JO54" s="1980"/>
      <c r="JP54" s="1980"/>
      <c r="JQ54" s="1980"/>
      <c r="JR54" s="1980"/>
      <c r="JS54" s="1980"/>
      <c r="JT54" s="1980"/>
      <c r="JU54" s="1980"/>
      <c r="JV54" s="1980"/>
      <c r="JW54" s="1980"/>
      <c r="JX54" s="1980"/>
      <c r="JY54" s="1980"/>
      <c r="JZ54" s="1980"/>
      <c r="KA54" s="1980"/>
      <c r="KB54" s="1980"/>
      <c r="KC54" s="1980"/>
      <c r="KD54" s="1980"/>
      <c r="KE54" s="1980"/>
      <c r="KF54" s="1980"/>
      <c r="KG54" s="1980"/>
      <c r="KH54" s="1980"/>
      <c r="KI54" s="1980"/>
      <c r="KJ54" s="1980"/>
      <c r="KK54" s="1980"/>
    </row>
    <row r="55" spans="1:297">
      <c r="A55" s="1997"/>
      <c r="B55" s="2">
        <v>30</v>
      </c>
      <c r="C55" s="2" t="str">
        <f>$AD$14</f>
        <v>Micro-pieux</v>
      </c>
      <c r="D55" s="1998">
        <v>0.98215194558222918</v>
      </c>
      <c r="E55" s="1998">
        <v>0.97790342861972512</v>
      </c>
      <c r="F55" s="1998">
        <v>0.98215194558222918</v>
      </c>
      <c r="G55" s="1998">
        <v>0.97790342861972512</v>
      </c>
      <c r="H55" s="1998">
        <v>0.98215194558222918</v>
      </c>
      <c r="I55" s="1998">
        <v>0.97790342861972512</v>
      </c>
      <c r="J55" s="1998">
        <v>0.98215194558222918</v>
      </c>
      <c r="K55" s="1998">
        <v>0.97790342861972512</v>
      </c>
      <c r="L55" s="1998">
        <v>0.98215194558222918</v>
      </c>
      <c r="M55" s="1998">
        <v>0.97790342861972512</v>
      </c>
      <c r="N55" s="1999">
        <v>1.0358398385172327</v>
      </c>
      <c r="O55" s="1979">
        <v>1.034179277007147</v>
      </c>
      <c r="P55" s="1979">
        <v>1.0358398385172327</v>
      </c>
      <c r="Q55" s="1979">
        <v>1.034179277007147</v>
      </c>
      <c r="R55" s="1979">
        <v>1.0358398385172327</v>
      </c>
      <c r="S55" s="1979">
        <v>1.034179277007147</v>
      </c>
      <c r="T55" s="1979">
        <v>1.0358398385172327</v>
      </c>
      <c r="U55" s="1979">
        <v>1.034179277007147</v>
      </c>
      <c r="V55" s="1979">
        <v>1.0358398385172327</v>
      </c>
      <c r="W55" s="1979">
        <v>1.034179277007147</v>
      </c>
      <c r="X55" s="2000">
        <v>1.0118507754959125</v>
      </c>
      <c r="Y55" s="1998">
        <v>1.0060579802998373</v>
      </c>
      <c r="Z55" s="1998">
        <v>1.0118507754959125</v>
      </c>
      <c r="AA55" s="1998">
        <v>1.0060579802998373</v>
      </c>
      <c r="AB55" s="1998">
        <v>1.0118507754959125</v>
      </c>
      <c r="AC55" s="1998">
        <v>1.0060579802998373</v>
      </c>
      <c r="AD55" s="1998">
        <v>1.0118507754959125</v>
      </c>
      <c r="AE55" s="1998">
        <v>1.0060579802998373</v>
      </c>
      <c r="AF55" s="1998">
        <v>1.0118507754959125</v>
      </c>
      <c r="AG55" s="1998">
        <v>1.0060579802998373</v>
      </c>
      <c r="AH55" s="1999">
        <v>1.0213887038976559</v>
      </c>
      <c r="AI55" s="1979">
        <v>1.0209797472917035</v>
      </c>
      <c r="AJ55" s="1979">
        <v>1.0213887038976559</v>
      </c>
      <c r="AK55" s="1979">
        <v>1.0209797472917035</v>
      </c>
      <c r="AL55" s="1979">
        <v>1.0213887038976559</v>
      </c>
      <c r="AM55" s="1979">
        <v>1.0209797472917035</v>
      </c>
      <c r="AN55" s="1979">
        <v>1.0213887038976559</v>
      </c>
      <c r="AO55" s="1979">
        <v>1.0209797472917035</v>
      </c>
      <c r="AP55" s="1979">
        <v>1.0213887038976559</v>
      </c>
      <c r="AQ55" s="1979">
        <v>1.0209797472917035</v>
      </c>
      <c r="AR55" s="2000">
        <v>1.0157420354354325</v>
      </c>
      <c r="AS55" s="1998">
        <v>1.0153243205893627</v>
      </c>
      <c r="AT55" s="1998">
        <v>1.0157420354354325</v>
      </c>
      <c r="AU55" s="1998">
        <v>1.0153243205893627</v>
      </c>
      <c r="AV55" s="1998">
        <v>1.0157420354354325</v>
      </c>
      <c r="AW55" s="1998">
        <v>1.0153243205893627</v>
      </c>
      <c r="AX55" s="1998">
        <v>1.0157420354354325</v>
      </c>
      <c r="AY55" s="1998">
        <v>1.0153243205893627</v>
      </c>
      <c r="AZ55" s="1998">
        <v>1.0157420354354325</v>
      </c>
      <c r="BA55" s="1998">
        <v>1.0153243205893627</v>
      </c>
      <c r="BB55" s="1999">
        <v>1.40141854193508</v>
      </c>
      <c r="BC55" s="1979">
        <v>1.4092475041878993</v>
      </c>
      <c r="BD55" s="1979">
        <v>1.40141854193508</v>
      </c>
      <c r="BE55" s="1979">
        <v>1.4092475041878993</v>
      </c>
      <c r="BF55" s="1979">
        <v>1.40141854193508</v>
      </c>
      <c r="BG55" s="1979">
        <v>1.4092475041878993</v>
      </c>
      <c r="BH55" s="1979">
        <v>1.40141854193508</v>
      </c>
      <c r="BI55" s="1979">
        <v>1.4092475041878993</v>
      </c>
      <c r="BJ55" s="1979">
        <v>1.40141854193508</v>
      </c>
      <c r="BK55" s="1979">
        <v>1.4092475041878993</v>
      </c>
      <c r="BL55" s="2000">
        <v>1.0311726231989757</v>
      </c>
      <c r="BM55" s="1998">
        <v>1.0292126006031375</v>
      </c>
      <c r="BN55" s="1998">
        <v>1.0311726231989757</v>
      </c>
      <c r="BO55" s="1998">
        <v>1.0292126006031375</v>
      </c>
      <c r="BP55" s="1998">
        <v>1.0311726231989757</v>
      </c>
      <c r="BQ55" s="1998">
        <v>1.0292126006031375</v>
      </c>
      <c r="BR55" s="1998">
        <v>1.0311726231989757</v>
      </c>
      <c r="BS55" s="1998">
        <v>1.0292126006031375</v>
      </c>
      <c r="BT55" s="1998">
        <v>1.0311726231989757</v>
      </c>
      <c r="BU55" s="1998">
        <v>1.0292126006031375</v>
      </c>
      <c r="BV55" s="1999">
        <v>1.0214671801269579</v>
      </c>
      <c r="BW55" s="1979">
        <v>1.0214390644346296</v>
      </c>
      <c r="BX55" s="1979">
        <v>1.0214671801269579</v>
      </c>
      <c r="BY55" s="1979">
        <v>1.0214390644346296</v>
      </c>
      <c r="BZ55" s="1979">
        <v>1.0214671801269579</v>
      </c>
      <c r="CA55" s="1979">
        <v>1.0214390644346296</v>
      </c>
      <c r="CB55" s="1979">
        <v>1.0214671801269579</v>
      </c>
      <c r="CC55" s="1979">
        <v>1.0214390644346296</v>
      </c>
      <c r="CD55" s="1979">
        <v>1.0214671801269579</v>
      </c>
      <c r="CE55" s="1979">
        <v>1.0214390644346296</v>
      </c>
      <c r="CF55" s="2000">
        <v>1.0349309906091928</v>
      </c>
      <c r="CG55" s="1998">
        <v>1.0349881878015106</v>
      </c>
      <c r="CH55" s="1998">
        <v>1.0349309906091928</v>
      </c>
      <c r="CI55" s="1998">
        <v>1.0349881878015106</v>
      </c>
      <c r="CJ55" s="1998">
        <v>1.0349309906091928</v>
      </c>
      <c r="CK55" s="1998">
        <v>1.0349881878015106</v>
      </c>
      <c r="CL55" s="1998">
        <v>1.0349309906091928</v>
      </c>
      <c r="CM55" s="1998">
        <v>1.0349881878015106</v>
      </c>
      <c r="CN55" s="1998">
        <v>1.0349309906091928</v>
      </c>
      <c r="CO55" s="1998">
        <v>1.0349881878015106</v>
      </c>
      <c r="CP55" s="1999">
        <v>1.0366605151957169</v>
      </c>
      <c r="CQ55" s="1979">
        <v>1.0366360621091044</v>
      </c>
      <c r="CR55" s="1979">
        <v>1.0366605151957169</v>
      </c>
      <c r="CS55" s="1979">
        <v>1.0366360621091044</v>
      </c>
      <c r="CT55" s="1979">
        <v>1.0366605151957169</v>
      </c>
      <c r="CU55" s="1979">
        <v>1.0366360621091044</v>
      </c>
      <c r="CV55" s="1979">
        <v>1.0366605151957169</v>
      </c>
      <c r="CW55" s="1979">
        <v>1.0366360621091044</v>
      </c>
      <c r="CX55" s="1979">
        <v>1.0366605151957169</v>
      </c>
      <c r="CY55" s="1979">
        <v>1.0366360621091044</v>
      </c>
      <c r="CZ55" s="2000">
        <v>1.059981437956472</v>
      </c>
      <c r="DA55" s="1998">
        <v>1.0593833390900691</v>
      </c>
      <c r="DB55" s="1998">
        <v>1.059981437956472</v>
      </c>
      <c r="DC55" s="1998">
        <v>1.0593833390900691</v>
      </c>
      <c r="DD55" s="1998">
        <v>1.059981437956472</v>
      </c>
      <c r="DE55" s="1998">
        <v>1.0593833390900691</v>
      </c>
      <c r="DF55" s="1998">
        <v>1.059981437956472</v>
      </c>
      <c r="DG55" s="1998">
        <v>1.0593833390900691</v>
      </c>
      <c r="DH55" s="1998">
        <v>1.059981437956472</v>
      </c>
      <c r="DI55" s="1998">
        <v>1.0593833390900691</v>
      </c>
      <c r="DJ55" s="1999">
        <v>1.0531436744991662</v>
      </c>
      <c r="DK55" s="1979">
        <v>1.0532469496640777</v>
      </c>
      <c r="DL55" s="1979">
        <v>1.0531436744991662</v>
      </c>
      <c r="DM55" s="1979">
        <v>1.0532469496640777</v>
      </c>
      <c r="DN55" s="1979">
        <v>1.0531436744991662</v>
      </c>
      <c r="DO55" s="1979">
        <v>1.0532469496640777</v>
      </c>
      <c r="DP55" s="1979">
        <v>1.0531436744991662</v>
      </c>
      <c r="DQ55" s="1979">
        <v>1.0532469496640777</v>
      </c>
      <c r="DR55" s="1979">
        <v>1.0531436744991662</v>
      </c>
      <c r="DS55" s="1979">
        <v>1.0532469496640777</v>
      </c>
      <c r="GT55" s="1980"/>
      <c r="GU55" s="1980"/>
      <c r="GV55" s="1980"/>
      <c r="GW55" s="1980"/>
      <c r="GX55" s="1980"/>
      <c r="GY55" s="1980"/>
      <c r="GZ55" s="1980"/>
      <c r="HA55" s="1980"/>
      <c r="HB55" s="1980"/>
      <c r="HC55" s="1980"/>
      <c r="HD55" s="1980"/>
      <c r="HE55" s="1980"/>
      <c r="HF55" s="1980"/>
      <c r="HG55" s="1980"/>
      <c r="HH55" s="1980"/>
      <c r="HI55" s="1980"/>
      <c r="HJ55" s="1980"/>
      <c r="HK55" s="1980"/>
      <c r="HL55" s="1980"/>
      <c r="HM55" s="1980"/>
      <c r="HN55" s="1980"/>
      <c r="HO55" s="1980"/>
      <c r="HP55" s="1980"/>
      <c r="HQ55" s="1980"/>
      <c r="HR55" s="1980"/>
      <c r="HS55" s="1980"/>
      <c r="HT55" s="1980"/>
      <c r="HU55" s="1980"/>
      <c r="HV55" s="1980"/>
      <c r="HW55" s="1980"/>
      <c r="HX55" s="1980"/>
      <c r="HY55" s="1980"/>
      <c r="HZ55" s="1980"/>
      <c r="IA55" s="1980"/>
      <c r="IB55" s="1980"/>
      <c r="IC55" s="1980"/>
      <c r="ID55" s="1980"/>
      <c r="IE55" s="1980"/>
      <c r="IF55" s="1980"/>
      <c r="IG55" s="1980"/>
      <c r="IH55" s="1980"/>
      <c r="II55" s="1980"/>
      <c r="IJ55" s="1980"/>
      <c r="IK55" s="1980"/>
      <c r="IL55" s="1980"/>
      <c r="IM55" s="1980"/>
      <c r="IN55" s="1980"/>
      <c r="IO55" s="1980"/>
      <c r="IP55" s="1980"/>
      <c r="IQ55" s="1980"/>
      <c r="IR55" s="1980"/>
      <c r="IS55" s="1980"/>
      <c r="IT55" s="1980"/>
      <c r="IU55" s="1980"/>
      <c r="IV55" s="1980"/>
      <c r="IW55" s="1980"/>
      <c r="IX55" s="1980"/>
      <c r="IY55" s="1980"/>
      <c r="IZ55" s="1980"/>
      <c r="JA55" s="1980"/>
      <c r="JB55" s="1980"/>
      <c r="JC55" s="1980"/>
      <c r="JD55" s="1980"/>
      <c r="JE55" s="1980"/>
      <c r="JF55" s="1980"/>
      <c r="JG55" s="1980"/>
      <c r="JH55" s="1980"/>
      <c r="JI55" s="1980"/>
      <c r="JJ55" s="1980"/>
      <c r="JK55" s="1980"/>
      <c r="JL55" s="1980"/>
      <c r="JM55" s="1980"/>
      <c r="JN55" s="1980"/>
      <c r="JO55" s="1980"/>
      <c r="JP55" s="1980"/>
      <c r="JQ55" s="1980"/>
      <c r="JR55" s="1980"/>
      <c r="JS55" s="1980"/>
      <c r="JT55" s="1980"/>
      <c r="JU55" s="1980"/>
      <c r="JV55" s="1980"/>
      <c r="JW55" s="1980"/>
      <c r="JX55" s="1980"/>
      <c r="JY55" s="1980"/>
      <c r="JZ55" s="1980"/>
      <c r="KA55" s="1980"/>
      <c r="KB55" s="1980"/>
      <c r="KC55" s="1980"/>
      <c r="KD55" s="1980"/>
      <c r="KE55" s="1980"/>
      <c r="KF55" s="1980"/>
      <c r="KG55" s="1980"/>
      <c r="KH55" s="1980"/>
      <c r="KI55" s="1980"/>
      <c r="KJ55" s="1980"/>
      <c r="KK55" s="1980"/>
    </row>
    <row r="56" spans="1:297">
      <c r="A56" s="1997"/>
      <c r="B56" s="2">
        <v>31</v>
      </c>
      <c r="C56" s="2" t="str">
        <f>$AD$15</f>
        <v>Pieux en béton coulé sur place</v>
      </c>
      <c r="D56" s="1998">
        <v>1.0037284271901226</v>
      </c>
      <c r="E56" s="1998">
        <v>1.0087568640961355</v>
      </c>
      <c r="F56" s="1998">
        <v>1.0037284271901226</v>
      </c>
      <c r="G56" s="1998">
        <v>1.0087568640961355</v>
      </c>
      <c r="H56" s="1998">
        <v>1.0037284271901226</v>
      </c>
      <c r="I56" s="1998">
        <v>1.0087568640961355</v>
      </c>
      <c r="J56" s="1998">
        <v>1.0037284271901226</v>
      </c>
      <c r="K56" s="1998">
        <v>1.0087568640961355</v>
      </c>
      <c r="L56" s="1998">
        <v>1.0037284271901226</v>
      </c>
      <c r="M56" s="1998">
        <v>1.0087568640961355</v>
      </c>
      <c r="N56" s="1999">
        <v>1.0894512890401353</v>
      </c>
      <c r="O56" s="1979">
        <v>1.1107408416876123</v>
      </c>
      <c r="P56" s="1979">
        <v>1.0894512890401353</v>
      </c>
      <c r="Q56" s="1979">
        <v>1.1107408416876123</v>
      </c>
      <c r="R56" s="1979">
        <v>1.0894512890401353</v>
      </c>
      <c r="S56" s="1979">
        <v>1.1107408416876123</v>
      </c>
      <c r="T56" s="1979">
        <v>1.0894512890401353</v>
      </c>
      <c r="U56" s="1979">
        <v>1.1107408416876123</v>
      </c>
      <c r="V56" s="1979">
        <v>1.0894512890401353</v>
      </c>
      <c r="W56" s="1979">
        <v>1.1107408416876123</v>
      </c>
      <c r="X56" s="2000">
        <v>1.0295778995690765</v>
      </c>
      <c r="Y56" s="1998">
        <v>1.0318016553482365</v>
      </c>
      <c r="Z56" s="1998">
        <v>1.0295778995690765</v>
      </c>
      <c r="AA56" s="1998">
        <v>1.0318016553482365</v>
      </c>
      <c r="AB56" s="1998">
        <v>1.0295778995690765</v>
      </c>
      <c r="AC56" s="1998">
        <v>1.0318016553482365</v>
      </c>
      <c r="AD56" s="1998">
        <v>1.0295778995690765</v>
      </c>
      <c r="AE56" s="1998">
        <v>1.0318016553482365</v>
      </c>
      <c r="AF56" s="1998">
        <v>1.0295778995690765</v>
      </c>
      <c r="AG56" s="1998">
        <v>1.0318016553482365</v>
      </c>
      <c r="AH56" s="1999">
        <v>1.0533832520931459</v>
      </c>
      <c r="AI56" s="1979">
        <v>1.067974371517304</v>
      </c>
      <c r="AJ56" s="1979">
        <v>1.0533832520931459</v>
      </c>
      <c r="AK56" s="1979">
        <v>1.067974371517304</v>
      </c>
      <c r="AL56" s="1979">
        <v>1.0533832520931459</v>
      </c>
      <c r="AM56" s="1979">
        <v>1.067974371517304</v>
      </c>
      <c r="AN56" s="1979">
        <v>1.0533832520931459</v>
      </c>
      <c r="AO56" s="1979">
        <v>1.067974371517304</v>
      </c>
      <c r="AP56" s="1979">
        <v>1.0533832520931459</v>
      </c>
      <c r="AQ56" s="1979">
        <v>1.067974371517304</v>
      </c>
      <c r="AR56" s="2000">
        <v>1.039289947166973</v>
      </c>
      <c r="AS56" s="1998">
        <v>1.0496507916186171</v>
      </c>
      <c r="AT56" s="1998">
        <v>1.039289947166973</v>
      </c>
      <c r="AU56" s="1998">
        <v>1.0496507916186171</v>
      </c>
      <c r="AV56" s="1998">
        <v>1.039289947166973</v>
      </c>
      <c r="AW56" s="1998">
        <v>1.0496507916186171</v>
      </c>
      <c r="AX56" s="1998">
        <v>1.039289947166973</v>
      </c>
      <c r="AY56" s="1998">
        <v>1.0496507916186171</v>
      </c>
      <c r="AZ56" s="1998">
        <v>1.039289947166973</v>
      </c>
      <c r="BA56" s="1998">
        <v>1.0496507916186171</v>
      </c>
      <c r="BB56" s="1999">
        <v>1.5261615238954289</v>
      </c>
      <c r="BC56" s="1979">
        <v>1.5848385303742931</v>
      </c>
      <c r="BD56" s="1979">
        <v>1.5261615238954289</v>
      </c>
      <c r="BE56" s="1979">
        <v>1.5848385303742931</v>
      </c>
      <c r="BF56" s="1979">
        <v>1.5261615238954289</v>
      </c>
      <c r="BG56" s="1979">
        <v>1.5848385303742931</v>
      </c>
      <c r="BH56" s="1979">
        <v>1.5261615238954289</v>
      </c>
      <c r="BI56" s="1979">
        <v>1.5848385303742931</v>
      </c>
      <c r="BJ56" s="1979">
        <v>1.5261615238954289</v>
      </c>
      <c r="BK56" s="1979">
        <v>1.5848385303742931</v>
      </c>
      <c r="BL56" s="2000">
        <v>1.0778025639420794</v>
      </c>
      <c r="BM56" s="1998">
        <v>1.0946488124368183</v>
      </c>
      <c r="BN56" s="1998">
        <v>1.0778025639420794</v>
      </c>
      <c r="BO56" s="1998">
        <v>1.0946488124368183</v>
      </c>
      <c r="BP56" s="1998">
        <v>1.0778025639420794</v>
      </c>
      <c r="BQ56" s="1998">
        <v>1.0946488124368183</v>
      </c>
      <c r="BR56" s="1998">
        <v>1.0778025639420794</v>
      </c>
      <c r="BS56" s="1998">
        <v>1.0946488124368183</v>
      </c>
      <c r="BT56" s="1998">
        <v>1.0778025639420794</v>
      </c>
      <c r="BU56" s="1998">
        <v>1.0946488124368183</v>
      </c>
      <c r="BV56" s="1999">
        <v>1.0535791179273823</v>
      </c>
      <c r="BW56" s="1979">
        <v>1.0694625588478481</v>
      </c>
      <c r="BX56" s="1979">
        <v>1.0535791179273823</v>
      </c>
      <c r="BY56" s="1979">
        <v>1.0694625588478481</v>
      </c>
      <c r="BZ56" s="1979">
        <v>1.0535791179273823</v>
      </c>
      <c r="CA56" s="1979">
        <v>1.0694625588478481</v>
      </c>
      <c r="CB56" s="1979">
        <v>1.0535791179273823</v>
      </c>
      <c r="CC56" s="1979">
        <v>1.0694625588478481</v>
      </c>
      <c r="CD56" s="1979">
        <v>1.0535791179273823</v>
      </c>
      <c r="CE56" s="1979">
        <v>1.0694625588478481</v>
      </c>
      <c r="CF56" s="2000">
        <v>1.0871829301334257</v>
      </c>
      <c r="CG56" s="1998">
        <v>1.1133617122870485</v>
      </c>
      <c r="CH56" s="1998">
        <v>1.0871829301334257</v>
      </c>
      <c r="CI56" s="1998">
        <v>1.1133617122870485</v>
      </c>
      <c r="CJ56" s="1998">
        <v>1.0871829301334257</v>
      </c>
      <c r="CK56" s="1998">
        <v>1.1133617122870485</v>
      </c>
      <c r="CL56" s="1998">
        <v>1.0871829301334257</v>
      </c>
      <c r="CM56" s="1998">
        <v>1.1133617122870485</v>
      </c>
      <c r="CN56" s="1998">
        <v>1.0871829301334257</v>
      </c>
      <c r="CO56" s="1998">
        <v>1.1133617122870485</v>
      </c>
      <c r="CP56" s="1999">
        <v>1.0914995847304267</v>
      </c>
      <c r="CQ56" s="1979">
        <v>1.1187008242811434</v>
      </c>
      <c r="CR56" s="1979">
        <v>1.0914995847304267</v>
      </c>
      <c r="CS56" s="1979">
        <v>1.1187008242811434</v>
      </c>
      <c r="CT56" s="1979">
        <v>1.0914995847304267</v>
      </c>
      <c r="CU56" s="1979">
        <v>1.1187008242811434</v>
      </c>
      <c r="CV56" s="1979">
        <v>1.0914995847304267</v>
      </c>
      <c r="CW56" s="1979">
        <v>1.1187008242811434</v>
      </c>
      <c r="CX56" s="1979">
        <v>1.0914995847304267</v>
      </c>
      <c r="CY56" s="1979">
        <v>1.1187008242811434</v>
      </c>
      <c r="CZ56" s="2000">
        <v>1.1497053883517772</v>
      </c>
      <c r="DA56" s="1998">
        <v>1.1924019911737775</v>
      </c>
      <c r="DB56" s="1998">
        <v>1.1497053883517772</v>
      </c>
      <c r="DC56" s="1998">
        <v>1.1924019911737775</v>
      </c>
      <c r="DD56" s="1998">
        <v>1.1497053883517772</v>
      </c>
      <c r="DE56" s="1998">
        <v>1.1924019911737775</v>
      </c>
      <c r="DF56" s="1998">
        <v>1.1497053883517772</v>
      </c>
      <c r="DG56" s="1998">
        <v>1.1924019911737775</v>
      </c>
      <c r="DH56" s="1998">
        <v>1.1497053883517772</v>
      </c>
      <c r="DI56" s="1998">
        <v>1.1924019911737775</v>
      </c>
      <c r="DJ56" s="1999">
        <v>1.1322726865155595</v>
      </c>
      <c r="DK56" s="1979">
        <v>1.1721502146557041</v>
      </c>
      <c r="DL56" s="1979">
        <v>1.1322726865155595</v>
      </c>
      <c r="DM56" s="1979">
        <v>1.1721502146557041</v>
      </c>
      <c r="DN56" s="1979">
        <v>1.1322726865155595</v>
      </c>
      <c r="DO56" s="1979">
        <v>1.1721502146557041</v>
      </c>
      <c r="DP56" s="1979">
        <v>1.1322726865155595</v>
      </c>
      <c r="DQ56" s="1979">
        <v>1.1721502146557041</v>
      </c>
      <c r="DR56" s="1979">
        <v>1.1322726865155595</v>
      </c>
      <c r="DS56" s="1979">
        <v>1.1721502146557041</v>
      </c>
      <c r="GT56" s="1980"/>
      <c r="GU56" s="1980"/>
      <c r="GV56" s="1980"/>
      <c r="GW56" s="1980"/>
      <c r="GX56" s="1980"/>
      <c r="GY56" s="1980"/>
      <c r="GZ56" s="1980"/>
      <c r="HA56" s="1980"/>
      <c r="HB56" s="1980"/>
      <c r="HC56" s="1980"/>
      <c r="HD56" s="1980"/>
      <c r="HE56" s="1980"/>
      <c r="HF56" s="1980"/>
      <c r="HG56" s="1980"/>
      <c r="HH56" s="1980"/>
      <c r="HI56" s="1980"/>
      <c r="HJ56" s="1980"/>
      <c r="HK56" s="1980"/>
      <c r="HL56" s="1980"/>
      <c r="HM56" s="1980"/>
      <c r="HN56" s="1980"/>
      <c r="HO56" s="1980"/>
      <c r="HP56" s="1980"/>
      <c r="HQ56" s="1980"/>
      <c r="HR56" s="1980"/>
      <c r="HS56" s="1980"/>
      <c r="HT56" s="1980"/>
      <c r="HU56" s="1980"/>
      <c r="HV56" s="1980"/>
      <c r="HW56" s="1980"/>
      <c r="HX56" s="1980"/>
      <c r="HY56" s="1980"/>
      <c r="HZ56" s="1980"/>
      <c r="IA56" s="1980"/>
      <c r="IB56" s="1980"/>
      <c r="IC56" s="1980"/>
      <c r="ID56" s="1980"/>
      <c r="IE56" s="1980"/>
      <c r="IF56" s="1980"/>
      <c r="IG56" s="1980"/>
      <c r="IH56" s="1980"/>
      <c r="II56" s="1980"/>
      <c r="IJ56" s="1980"/>
      <c r="IK56" s="1980"/>
      <c r="IL56" s="1980"/>
      <c r="IM56" s="1980"/>
      <c r="IN56" s="1980"/>
      <c r="IO56" s="1980"/>
      <c r="IP56" s="1980"/>
      <c r="IQ56" s="1980"/>
      <c r="IR56" s="1980"/>
      <c r="IS56" s="1980"/>
      <c r="IT56" s="1980"/>
      <c r="IU56" s="1980"/>
      <c r="IV56" s="1980"/>
      <c r="IW56" s="1980"/>
      <c r="IX56" s="1980"/>
      <c r="IY56" s="1980"/>
      <c r="IZ56" s="1980"/>
      <c r="JA56" s="1980"/>
      <c r="JB56" s="1980"/>
      <c r="JC56" s="1980"/>
      <c r="JD56" s="1980"/>
      <c r="JE56" s="1980"/>
      <c r="JF56" s="1980"/>
      <c r="JG56" s="1980"/>
      <c r="JH56" s="1980"/>
      <c r="JI56" s="1980"/>
      <c r="JJ56" s="1980"/>
      <c r="JK56" s="1980"/>
      <c r="JL56" s="1980"/>
      <c r="JM56" s="1980"/>
      <c r="JN56" s="1980"/>
      <c r="JO56" s="1980"/>
      <c r="JP56" s="1980"/>
      <c r="JQ56" s="1980"/>
      <c r="JR56" s="1980"/>
      <c r="JS56" s="1980"/>
      <c r="JT56" s="1980"/>
      <c r="JU56" s="1980"/>
      <c r="JV56" s="1980"/>
      <c r="JW56" s="1980"/>
      <c r="JX56" s="1980"/>
      <c r="JY56" s="1980"/>
      <c r="JZ56" s="1980"/>
      <c r="KA56" s="1980"/>
      <c r="KB56" s="1980"/>
      <c r="KC56" s="1980"/>
      <c r="KD56" s="1980"/>
      <c r="KE56" s="1980"/>
      <c r="KF56" s="1980"/>
      <c r="KG56" s="1980"/>
      <c r="KH56" s="1980"/>
      <c r="KI56" s="1980"/>
      <c r="KJ56" s="1980"/>
      <c r="KK56" s="1980"/>
    </row>
    <row r="57" spans="1:297">
      <c r="A57" s="1997"/>
      <c r="B57" s="2">
        <v>32</v>
      </c>
      <c r="C57" s="2" t="str">
        <f>$AD$16</f>
        <v>Colonnes ballastées</v>
      </c>
      <c r="D57" s="1998">
        <v>0.97125110674546655</v>
      </c>
      <c r="E57" s="1998">
        <v>0.96679150843935979</v>
      </c>
      <c r="F57" s="1998">
        <v>0.97125110674546655</v>
      </c>
      <c r="G57" s="1998">
        <v>0.96679150843935979</v>
      </c>
      <c r="H57" s="1998">
        <v>0.97125110674546655</v>
      </c>
      <c r="I57" s="1998">
        <v>0.96679150843935979</v>
      </c>
      <c r="J57" s="1998">
        <v>0.97125110674546655</v>
      </c>
      <c r="K57" s="1998">
        <v>0.96679150843935979</v>
      </c>
      <c r="L57" s="1998">
        <v>0.97125110674546655</v>
      </c>
      <c r="M57" s="1998">
        <v>0.96679150843935979</v>
      </c>
      <c r="N57" s="1999">
        <v>1.0087543390101477</v>
      </c>
      <c r="O57" s="1979">
        <v>1.006605492030636</v>
      </c>
      <c r="P57" s="1979">
        <v>1.0087543390101477</v>
      </c>
      <c r="Q57" s="1979">
        <v>1.006605492030636</v>
      </c>
      <c r="R57" s="1979">
        <v>1.0087543390101477</v>
      </c>
      <c r="S57" s="1979">
        <v>1.006605492030636</v>
      </c>
      <c r="T57" s="1979">
        <v>1.0087543390101477</v>
      </c>
      <c r="U57" s="1979">
        <v>1.006605492030636</v>
      </c>
      <c r="V57" s="1979">
        <v>1.0087543390101477</v>
      </c>
      <c r="W57" s="1979">
        <v>1.006605492030636</v>
      </c>
      <c r="X57" s="2000">
        <v>1.0028947035063922</v>
      </c>
      <c r="Y57" s="1998">
        <v>0.99678634951156475</v>
      </c>
      <c r="Z57" s="1998">
        <v>1.0028947035063922</v>
      </c>
      <c r="AA57" s="1998">
        <v>0.99678634951156475</v>
      </c>
      <c r="AB57" s="1998">
        <v>1.0028947035063922</v>
      </c>
      <c r="AC57" s="1998">
        <v>0.99678634951156475</v>
      </c>
      <c r="AD57" s="1998">
        <v>1.0028947035063922</v>
      </c>
      <c r="AE57" s="1998">
        <v>0.99678634951156475</v>
      </c>
      <c r="AF57" s="1998">
        <v>1.0028947035063922</v>
      </c>
      <c r="AG57" s="1998">
        <v>0.99678634951156475</v>
      </c>
      <c r="AH57" s="1999">
        <v>1.0052244645247972</v>
      </c>
      <c r="AI57" s="1979">
        <v>1.0040545490038051</v>
      </c>
      <c r="AJ57" s="1979">
        <v>1.0052244645247972</v>
      </c>
      <c r="AK57" s="1979">
        <v>1.0040545490038051</v>
      </c>
      <c r="AL57" s="1979">
        <v>1.0052244645247972</v>
      </c>
      <c r="AM57" s="1979">
        <v>1.0040545490038051</v>
      </c>
      <c r="AN57" s="1979">
        <v>1.0052244645247972</v>
      </c>
      <c r="AO57" s="1979">
        <v>1.0040545490038051</v>
      </c>
      <c r="AP57" s="1979">
        <v>1.0052244645247972</v>
      </c>
      <c r="AQ57" s="1979">
        <v>1.0040545490038051</v>
      </c>
      <c r="AR57" s="2000">
        <v>1.0038451935224337</v>
      </c>
      <c r="AS57" s="1998">
        <v>1.002961580419234</v>
      </c>
      <c r="AT57" s="1998">
        <v>1.0038451935224337</v>
      </c>
      <c r="AU57" s="1998">
        <v>1.002961580419234</v>
      </c>
      <c r="AV57" s="1998">
        <v>1.0038451935224337</v>
      </c>
      <c r="AW57" s="1998">
        <v>1.002961580419234</v>
      </c>
      <c r="AX57" s="1998">
        <v>1.0038451935224337</v>
      </c>
      <c r="AY57" s="1998">
        <v>1.002961580419234</v>
      </c>
      <c r="AZ57" s="1998">
        <v>1.0038451935224337</v>
      </c>
      <c r="BA57" s="1998">
        <v>1.002961580419234</v>
      </c>
      <c r="BB57" s="1999">
        <v>1.338396072976588</v>
      </c>
      <c r="BC57" s="1979">
        <v>1.3460080808548507</v>
      </c>
      <c r="BD57" s="1979">
        <v>1.338396072976588</v>
      </c>
      <c r="BE57" s="1979">
        <v>1.3460080808548507</v>
      </c>
      <c r="BF57" s="1979">
        <v>1.338396072976588</v>
      </c>
      <c r="BG57" s="1979">
        <v>1.3460080808548507</v>
      </c>
      <c r="BH57" s="1979">
        <v>1.338396072976588</v>
      </c>
      <c r="BI57" s="1979">
        <v>1.3460080808548507</v>
      </c>
      <c r="BJ57" s="1979">
        <v>1.338396072976588</v>
      </c>
      <c r="BK57" s="1979">
        <v>1.3460080808548507</v>
      </c>
      <c r="BL57" s="2000">
        <v>1.0076143119670644</v>
      </c>
      <c r="BM57" s="1998">
        <v>1.0056456314285942</v>
      </c>
      <c r="BN57" s="1998">
        <v>1.0076143119670644</v>
      </c>
      <c r="BO57" s="1998">
        <v>1.0056456314285942</v>
      </c>
      <c r="BP57" s="1998">
        <v>1.0076143119670644</v>
      </c>
      <c r="BQ57" s="1998">
        <v>1.0056456314285942</v>
      </c>
      <c r="BR57" s="1998">
        <v>1.0076143119670644</v>
      </c>
      <c r="BS57" s="1998">
        <v>1.0056456314285942</v>
      </c>
      <c r="BT57" s="1998">
        <v>1.0076143119670644</v>
      </c>
      <c r="BU57" s="1998">
        <v>1.0056456314285942</v>
      </c>
      <c r="BV57" s="1999">
        <v>1.0052436333476482</v>
      </c>
      <c r="BW57" s="1979">
        <v>1.0041433167014511</v>
      </c>
      <c r="BX57" s="1979">
        <v>1.0052436333476482</v>
      </c>
      <c r="BY57" s="1979">
        <v>1.0041433167014511</v>
      </c>
      <c r="BZ57" s="1979">
        <v>1.0052436333476482</v>
      </c>
      <c r="CA57" s="1979">
        <v>1.0041433167014511</v>
      </c>
      <c r="CB57" s="1979">
        <v>1.0052436333476482</v>
      </c>
      <c r="CC57" s="1979">
        <v>1.0041433167014511</v>
      </c>
      <c r="CD57" s="1979">
        <v>1.0052436333476482</v>
      </c>
      <c r="CE57" s="1979">
        <v>1.0041433167014511</v>
      </c>
      <c r="CF57" s="2000">
        <v>1.0085323412829028</v>
      </c>
      <c r="CG57" s="1998">
        <v>1.0067618222480523</v>
      </c>
      <c r="CH57" s="1998">
        <v>1.0085323412829028</v>
      </c>
      <c r="CI57" s="1998">
        <v>1.0067618222480523</v>
      </c>
      <c r="CJ57" s="1998">
        <v>1.0085323412829028</v>
      </c>
      <c r="CK57" s="1998">
        <v>1.0067618222480523</v>
      </c>
      <c r="CL57" s="1998">
        <v>1.0085323412829028</v>
      </c>
      <c r="CM57" s="1998">
        <v>1.0067618222480523</v>
      </c>
      <c r="CN57" s="1998">
        <v>1.0085323412829028</v>
      </c>
      <c r="CO57" s="1998">
        <v>1.0067618222480523</v>
      </c>
      <c r="CP57" s="1999">
        <v>1.0089547997867139</v>
      </c>
      <c r="CQ57" s="1979">
        <v>1.0070802906756915</v>
      </c>
      <c r="CR57" s="1979">
        <v>1.0089547997867139</v>
      </c>
      <c r="CS57" s="1979">
        <v>1.0070802906756915</v>
      </c>
      <c r="CT57" s="1979">
        <v>1.0089547997867139</v>
      </c>
      <c r="CU57" s="1979">
        <v>1.0070802906756915</v>
      </c>
      <c r="CV57" s="1979">
        <v>1.0089547997867139</v>
      </c>
      <c r="CW57" s="1979">
        <v>1.0070802906756915</v>
      </c>
      <c r="CX57" s="1979">
        <v>1.0089547997867139</v>
      </c>
      <c r="CY57" s="1979">
        <v>1.0070802906756915</v>
      </c>
      <c r="CZ57" s="2000">
        <v>1.0146512334851789</v>
      </c>
      <c r="DA57" s="1998">
        <v>1.011476432723547</v>
      </c>
      <c r="DB57" s="1998">
        <v>1.0146512334851789</v>
      </c>
      <c r="DC57" s="1998">
        <v>1.011476432723547</v>
      </c>
      <c r="DD57" s="1998">
        <v>1.0146512334851789</v>
      </c>
      <c r="DE57" s="1998">
        <v>1.011476432723547</v>
      </c>
      <c r="DF57" s="1998">
        <v>1.0146512334851789</v>
      </c>
      <c r="DG57" s="1998">
        <v>1.011476432723547</v>
      </c>
      <c r="DH57" s="1998">
        <v>1.0146512334851789</v>
      </c>
      <c r="DI57" s="1998">
        <v>1.011476432723547</v>
      </c>
      <c r="DJ57" s="1999">
        <v>1.0131662294746078</v>
      </c>
      <c r="DK57" s="1979">
        <v>1.0104237253012045</v>
      </c>
      <c r="DL57" s="1979">
        <v>1.0131662294746078</v>
      </c>
      <c r="DM57" s="1979">
        <v>1.0104237253012045</v>
      </c>
      <c r="DN57" s="1979">
        <v>1.0131662294746078</v>
      </c>
      <c r="DO57" s="1979">
        <v>1.0104237253012045</v>
      </c>
      <c r="DP57" s="1979">
        <v>1.0131662294746078</v>
      </c>
      <c r="DQ57" s="1979">
        <v>1.0104237253012045</v>
      </c>
      <c r="DR57" s="1979">
        <v>1.0131662294746078</v>
      </c>
      <c r="DS57" s="1979">
        <v>1.0104237253012045</v>
      </c>
      <c r="GT57" s="1980"/>
      <c r="GU57" s="1980"/>
      <c r="GV57" s="1980"/>
      <c r="GW57" s="1980"/>
      <c r="GX57" s="1980"/>
      <c r="GY57" s="1980"/>
      <c r="GZ57" s="1980"/>
      <c r="HA57" s="1980"/>
      <c r="HB57" s="1980"/>
      <c r="HC57" s="1980"/>
      <c r="HD57" s="1980"/>
      <c r="HE57" s="1980"/>
      <c r="HF57" s="1980"/>
      <c r="HG57" s="1980"/>
      <c r="HH57" s="1980"/>
      <c r="HI57" s="1980"/>
      <c r="HJ57" s="1980"/>
      <c r="HK57" s="1980"/>
      <c r="HL57" s="1980"/>
      <c r="HM57" s="1980"/>
      <c r="HN57" s="1980"/>
      <c r="HO57" s="1980"/>
      <c r="HP57" s="1980"/>
      <c r="HQ57" s="1980"/>
      <c r="HR57" s="1980"/>
      <c r="HS57" s="1980"/>
      <c r="HT57" s="1980"/>
      <c r="HU57" s="1980"/>
      <c r="HV57" s="1980"/>
      <c r="HW57" s="1980"/>
      <c r="HX57" s="1980"/>
      <c r="HY57" s="1980"/>
      <c r="HZ57" s="1980"/>
      <c r="IA57" s="1980"/>
      <c r="IB57" s="1980"/>
      <c r="IC57" s="1980"/>
      <c r="ID57" s="1980"/>
      <c r="IE57" s="1980"/>
      <c r="IF57" s="1980"/>
      <c r="IG57" s="1980"/>
      <c r="IH57" s="1980"/>
      <c r="II57" s="1980"/>
      <c r="IJ57" s="1980"/>
      <c r="IK57" s="1980"/>
      <c r="IL57" s="1980"/>
      <c r="IM57" s="1980"/>
      <c r="IN57" s="1980"/>
      <c r="IO57" s="1980"/>
      <c r="IP57" s="1980"/>
      <c r="IQ57" s="1980"/>
      <c r="IR57" s="1980"/>
      <c r="IS57" s="1980"/>
      <c r="IT57" s="1980"/>
      <c r="IU57" s="1980"/>
      <c r="IV57" s="1980"/>
      <c r="IW57" s="1980"/>
      <c r="IX57" s="1980"/>
      <c r="IY57" s="1980"/>
      <c r="IZ57" s="1980"/>
      <c r="JA57" s="1980"/>
      <c r="JB57" s="1980"/>
      <c r="JC57" s="1980"/>
      <c r="JD57" s="1980"/>
      <c r="JE57" s="1980"/>
      <c r="JF57" s="1980"/>
      <c r="JG57" s="1980"/>
      <c r="JH57" s="1980"/>
      <c r="JI57" s="1980"/>
      <c r="JJ57" s="1980"/>
      <c r="JK57" s="1980"/>
      <c r="JL57" s="1980"/>
      <c r="JM57" s="1980"/>
      <c r="JN57" s="1980"/>
      <c r="JO57" s="1980"/>
      <c r="JP57" s="1980"/>
      <c r="JQ57" s="1980"/>
      <c r="JR57" s="1980"/>
      <c r="JS57" s="1980"/>
      <c r="JT57" s="1980"/>
      <c r="JU57" s="1980"/>
      <c r="JV57" s="1980"/>
      <c r="JW57" s="1980"/>
      <c r="JX57" s="1980"/>
      <c r="JY57" s="1980"/>
      <c r="JZ57" s="1980"/>
      <c r="KA57" s="1980"/>
      <c r="KB57" s="1980"/>
      <c r="KC57" s="1980"/>
      <c r="KD57" s="1980"/>
      <c r="KE57" s="1980"/>
      <c r="KF57" s="1980"/>
      <c r="KG57" s="1980"/>
      <c r="KH57" s="1980"/>
      <c r="KI57" s="1980"/>
      <c r="KJ57" s="1980"/>
      <c r="KK57" s="1980"/>
    </row>
    <row r="58" spans="1:297">
      <c r="A58" s="1997"/>
      <c r="B58" s="2">
        <v>33</v>
      </c>
      <c r="C58" s="2" t="str">
        <f>$AD$17</f>
        <v>Pieu en béton préfabriqué (battus)</v>
      </c>
      <c r="D58" s="1998">
        <v>0.97582476936753082</v>
      </c>
      <c r="E58" s="1998">
        <v>0.97696278685316518</v>
      </c>
      <c r="F58" s="1998">
        <v>0.97582476936753082</v>
      </c>
      <c r="G58" s="1998">
        <v>0.97696278685316518</v>
      </c>
      <c r="H58" s="1998">
        <v>0.97582476936753082</v>
      </c>
      <c r="I58" s="1998">
        <v>0.97696278685316518</v>
      </c>
      <c r="J58" s="1998">
        <v>0.97582476936753082</v>
      </c>
      <c r="K58" s="1998">
        <v>0.97696278685316518</v>
      </c>
      <c r="L58" s="1998">
        <v>0.97582476936753082</v>
      </c>
      <c r="M58" s="1998">
        <v>0.97696278685316518</v>
      </c>
      <c r="N58" s="1999">
        <v>1.0201185962522339</v>
      </c>
      <c r="O58" s="1979">
        <v>1.031845112129246</v>
      </c>
      <c r="P58" s="1979">
        <v>1.0201185962522339</v>
      </c>
      <c r="Q58" s="1979">
        <v>1.031845112129246</v>
      </c>
      <c r="R58" s="1979">
        <v>1.0201185962522339</v>
      </c>
      <c r="S58" s="1979">
        <v>1.031845112129246</v>
      </c>
      <c r="T58" s="1979">
        <v>1.0201185962522339</v>
      </c>
      <c r="U58" s="1979">
        <v>1.031845112129246</v>
      </c>
      <c r="V58" s="1979">
        <v>1.0201185962522339</v>
      </c>
      <c r="W58" s="1979">
        <v>1.031845112129246</v>
      </c>
      <c r="X58" s="2000">
        <v>1.0066524007178073</v>
      </c>
      <c r="Y58" s="1998">
        <v>1.0052731219655431</v>
      </c>
      <c r="Z58" s="1998">
        <v>1.0066524007178073</v>
      </c>
      <c r="AA58" s="1998">
        <v>1.0052731219655431</v>
      </c>
      <c r="AB58" s="1998">
        <v>1.0066524007178073</v>
      </c>
      <c r="AC58" s="1998">
        <v>1.0052731219655431</v>
      </c>
      <c r="AD58" s="1998">
        <v>1.0066524007178073</v>
      </c>
      <c r="AE58" s="1998">
        <v>1.0052731219655431</v>
      </c>
      <c r="AF58" s="1998">
        <v>1.0066524007178073</v>
      </c>
      <c r="AG58" s="1998">
        <v>1.0052731219655431</v>
      </c>
      <c r="AH58" s="1999">
        <v>1.0120064909854047</v>
      </c>
      <c r="AI58" s="1979">
        <v>1.0195470022612778</v>
      </c>
      <c r="AJ58" s="1979">
        <v>1.0120064909854047</v>
      </c>
      <c r="AK58" s="1979">
        <v>1.0195470022612778</v>
      </c>
      <c r="AL58" s="1979">
        <v>1.0120064909854047</v>
      </c>
      <c r="AM58" s="1979">
        <v>1.0195470022612778</v>
      </c>
      <c r="AN58" s="1979">
        <v>1.0120064909854047</v>
      </c>
      <c r="AO58" s="1979">
        <v>1.0195470022612778</v>
      </c>
      <c r="AP58" s="1979">
        <v>1.0120064909854047</v>
      </c>
      <c r="AQ58" s="1979">
        <v>1.0195470022612778</v>
      </c>
      <c r="AR58" s="2000">
        <v>1.0088367489424246</v>
      </c>
      <c r="AS58" s="1998">
        <v>1.0142777949156363</v>
      </c>
      <c r="AT58" s="1998">
        <v>1.0088367489424246</v>
      </c>
      <c r="AU58" s="1998">
        <v>1.0142777949156363</v>
      </c>
      <c r="AV58" s="1998">
        <v>1.0088367489424246</v>
      </c>
      <c r="AW58" s="1998">
        <v>1.0142777949156363</v>
      </c>
      <c r="AX58" s="1998">
        <v>1.0088367489424246</v>
      </c>
      <c r="AY58" s="1998">
        <v>1.0142777949156363</v>
      </c>
      <c r="AZ58" s="1998">
        <v>1.0088367489424246</v>
      </c>
      <c r="BA58" s="1998">
        <v>1.0142777949156363</v>
      </c>
      <c r="BB58" s="1999">
        <v>1.3648383968144167</v>
      </c>
      <c r="BC58" s="1979">
        <v>1.4038941861371332</v>
      </c>
      <c r="BD58" s="1979">
        <v>1.3648383968144167</v>
      </c>
      <c r="BE58" s="1979">
        <v>1.4038941861371332</v>
      </c>
      <c r="BF58" s="1979">
        <v>1.3648383968144167</v>
      </c>
      <c r="BG58" s="1979">
        <v>1.4038941861371332</v>
      </c>
      <c r="BH58" s="1979">
        <v>1.3648383968144167</v>
      </c>
      <c r="BI58" s="1979">
        <v>1.4038941861371332</v>
      </c>
      <c r="BJ58" s="1979">
        <v>1.3648383968144167</v>
      </c>
      <c r="BK58" s="1979">
        <v>1.4038941861371332</v>
      </c>
      <c r="BL58" s="2000">
        <v>1.0174986675780264</v>
      </c>
      <c r="BM58" s="1998">
        <v>1.027217619073665</v>
      </c>
      <c r="BN58" s="1998">
        <v>1.0174986675780264</v>
      </c>
      <c r="BO58" s="1998">
        <v>1.027217619073665</v>
      </c>
      <c r="BP58" s="1998">
        <v>1.0174986675780264</v>
      </c>
      <c r="BQ58" s="1998">
        <v>1.027217619073665</v>
      </c>
      <c r="BR58" s="1998">
        <v>1.0174986675780264</v>
      </c>
      <c r="BS58" s="1998">
        <v>1.027217619073665</v>
      </c>
      <c r="BT58" s="1998">
        <v>1.0174986675780264</v>
      </c>
      <c r="BU58" s="1998">
        <v>1.027217619073665</v>
      </c>
      <c r="BV58" s="1999">
        <v>1.0120505434041112</v>
      </c>
      <c r="BW58" s="1979">
        <v>1.019974951802642</v>
      </c>
      <c r="BX58" s="1979">
        <v>1.0120505434041112</v>
      </c>
      <c r="BY58" s="1979">
        <v>1.019974951802642</v>
      </c>
      <c r="BZ58" s="1979">
        <v>1.0120505434041112</v>
      </c>
      <c r="CA58" s="1979">
        <v>1.019974951802642</v>
      </c>
      <c r="CB58" s="1979">
        <v>1.0120505434041112</v>
      </c>
      <c r="CC58" s="1979">
        <v>1.019974951802642</v>
      </c>
      <c r="CD58" s="1979">
        <v>1.0120505434041112</v>
      </c>
      <c r="CE58" s="1979">
        <v>1.019974951802642</v>
      </c>
      <c r="CF58" s="2000">
        <v>1.0196084169413604</v>
      </c>
      <c r="CG58" s="1998">
        <v>1.0325987809369181</v>
      </c>
      <c r="CH58" s="1998">
        <v>1.0196084169413604</v>
      </c>
      <c r="CI58" s="1998">
        <v>1.0325987809369181</v>
      </c>
      <c r="CJ58" s="1998">
        <v>1.0196084169413604</v>
      </c>
      <c r="CK58" s="1998">
        <v>1.0325987809369181</v>
      </c>
      <c r="CL58" s="1998">
        <v>1.0196084169413604</v>
      </c>
      <c r="CM58" s="1998">
        <v>1.0325987809369181</v>
      </c>
      <c r="CN58" s="1998">
        <v>1.0196084169413604</v>
      </c>
      <c r="CO58" s="1998">
        <v>1.0325987809369181</v>
      </c>
      <c r="CP58" s="1999">
        <v>1.0205792808822751</v>
      </c>
      <c r="CQ58" s="1979">
        <v>1.0341341189163979</v>
      </c>
      <c r="CR58" s="1979">
        <v>1.0205792808822751</v>
      </c>
      <c r="CS58" s="1979">
        <v>1.0341341189163979</v>
      </c>
      <c r="CT58" s="1979">
        <v>1.0205792808822751</v>
      </c>
      <c r="CU58" s="1979">
        <v>1.0341341189163979</v>
      </c>
      <c r="CV58" s="1979">
        <v>1.0205792808822751</v>
      </c>
      <c r="CW58" s="1979">
        <v>1.0341341189163979</v>
      </c>
      <c r="CX58" s="1979">
        <v>1.0205792808822751</v>
      </c>
      <c r="CY58" s="1979">
        <v>1.0341341189163979</v>
      </c>
      <c r="CZ58" s="2000">
        <v>1.0336704176915985</v>
      </c>
      <c r="DA58" s="1998">
        <v>1.0553279430555793</v>
      </c>
      <c r="DB58" s="1998">
        <v>1.0336704176915985</v>
      </c>
      <c r="DC58" s="1998">
        <v>1.0553279430555793</v>
      </c>
      <c r="DD58" s="1998">
        <v>1.0336704176915985</v>
      </c>
      <c r="DE58" s="1998">
        <v>1.0553279430555793</v>
      </c>
      <c r="DF58" s="1998">
        <v>1.0336704176915985</v>
      </c>
      <c r="DG58" s="1998">
        <v>1.0553279430555793</v>
      </c>
      <c r="DH58" s="1998">
        <v>1.0336704176915985</v>
      </c>
      <c r="DI58" s="1998">
        <v>1.0553279430555793</v>
      </c>
      <c r="DJ58" s="1999">
        <v>1.0299395575434369</v>
      </c>
      <c r="DK58" s="1979">
        <v>1.0496218954195684</v>
      </c>
      <c r="DL58" s="1979">
        <v>1.0299395575434369</v>
      </c>
      <c r="DM58" s="1979">
        <v>1.0496218954195684</v>
      </c>
      <c r="DN58" s="1979">
        <v>1.0299395575434369</v>
      </c>
      <c r="DO58" s="1979">
        <v>1.0496218954195684</v>
      </c>
      <c r="DP58" s="1979">
        <v>1.0299395575434369</v>
      </c>
      <c r="DQ58" s="1979">
        <v>1.0496218954195684</v>
      </c>
      <c r="DR58" s="1979">
        <v>1.0299395575434369</v>
      </c>
      <c r="DS58" s="1979">
        <v>1.0496218954195684</v>
      </c>
      <c r="GT58" s="1980"/>
      <c r="GU58" s="1980"/>
      <c r="GV58" s="1980"/>
      <c r="GW58" s="1980"/>
      <c r="GX58" s="1980"/>
      <c r="GY58" s="1980"/>
      <c r="GZ58" s="1980"/>
      <c r="HA58" s="1980"/>
      <c r="HB58" s="1980"/>
      <c r="HC58" s="1980"/>
      <c r="HD58" s="1980"/>
      <c r="HE58" s="1980"/>
      <c r="HF58" s="1980"/>
      <c r="HG58" s="1980"/>
      <c r="HH58" s="1980"/>
      <c r="HI58" s="1980"/>
      <c r="HJ58" s="1980"/>
      <c r="HK58" s="1980"/>
      <c r="HL58" s="1980"/>
      <c r="HM58" s="1980"/>
      <c r="HN58" s="1980"/>
      <c r="HO58" s="1980"/>
      <c r="HP58" s="1980"/>
      <c r="HQ58" s="1980"/>
      <c r="HR58" s="1980"/>
      <c r="HS58" s="1980"/>
      <c r="HT58" s="1980"/>
      <c r="HU58" s="1980"/>
      <c r="HV58" s="1980"/>
      <c r="HW58" s="1980"/>
      <c r="HX58" s="1980"/>
      <c r="HY58" s="1980"/>
      <c r="HZ58" s="1980"/>
      <c r="IA58" s="1980"/>
      <c r="IB58" s="1980"/>
      <c r="IC58" s="1980"/>
      <c r="ID58" s="1980"/>
      <c r="IE58" s="1980"/>
      <c r="IF58" s="1980"/>
      <c r="IG58" s="1980"/>
      <c r="IH58" s="1980"/>
      <c r="II58" s="1980"/>
      <c r="IJ58" s="1980"/>
      <c r="IK58" s="1980"/>
      <c r="IL58" s="1980"/>
      <c r="IM58" s="1980"/>
      <c r="IN58" s="1980"/>
      <c r="IO58" s="1980"/>
      <c r="IP58" s="1980"/>
      <c r="IQ58" s="1980"/>
      <c r="IR58" s="1980"/>
      <c r="IS58" s="1980"/>
      <c r="IT58" s="1980"/>
      <c r="IU58" s="1980"/>
      <c r="IV58" s="1980"/>
      <c r="IW58" s="1980"/>
      <c r="IX58" s="1980"/>
      <c r="IY58" s="1980"/>
      <c r="IZ58" s="1980"/>
      <c r="JA58" s="1980"/>
      <c r="JB58" s="1980"/>
      <c r="JC58" s="1980"/>
      <c r="JD58" s="1980"/>
      <c r="JE58" s="1980"/>
      <c r="JF58" s="1980"/>
      <c r="JG58" s="1980"/>
      <c r="JH58" s="1980"/>
      <c r="JI58" s="1980"/>
      <c r="JJ58" s="1980"/>
      <c r="JK58" s="1980"/>
      <c r="JL58" s="1980"/>
      <c r="JM58" s="1980"/>
      <c r="JN58" s="1980"/>
      <c r="JO58" s="1980"/>
      <c r="JP58" s="1980"/>
      <c r="JQ58" s="1980"/>
      <c r="JR58" s="1980"/>
      <c r="JS58" s="1980"/>
      <c r="JT58" s="1980"/>
      <c r="JU58" s="1980"/>
      <c r="JV58" s="1980"/>
      <c r="JW58" s="1980"/>
      <c r="JX58" s="1980"/>
      <c r="JY58" s="1980"/>
      <c r="JZ58" s="1980"/>
      <c r="KA58" s="1980"/>
      <c r="KB58" s="1980"/>
      <c r="KC58" s="1980"/>
      <c r="KD58" s="1980"/>
      <c r="KE58" s="1980"/>
      <c r="KF58" s="1980"/>
      <c r="KG58" s="1980"/>
      <c r="KH58" s="1980"/>
      <c r="KI58" s="1980"/>
      <c r="KJ58" s="1980"/>
      <c r="KK58" s="1980"/>
    </row>
    <row r="59" spans="1:297">
      <c r="A59" s="1997"/>
      <c r="B59" s="2">
        <v>34</v>
      </c>
      <c r="C59" s="2" t="str">
        <f>$AF$13</f>
        <v/>
      </c>
      <c r="D59" s="1998">
        <v>0.96772783265384288</v>
      </c>
      <c r="E59" s="1998">
        <v>0.96412957065102256</v>
      </c>
      <c r="F59" s="1998">
        <v>0.96772783265384288</v>
      </c>
      <c r="G59" s="1998">
        <v>0.96412957065102256</v>
      </c>
      <c r="H59" s="1998">
        <v>0.96772783265384288</v>
      </c>
      <c r="I59" s="1998">
        <v>0.96412957065102256</v>
      </c>
      <c r="J59" s="1998">
        <v>0.96772783265384288</v>
      </c>
      <c r="K59" s="1998">
        <v>0.96412957065102256</v>
      </c>
      <c r="L59" s="1998">
        <v>0.96772783265384288</v>
      </c>
      <c r="M59" s="1998">
        <v>0.96412957065102256</v>
      </c>
      <c r="N59" s="1999">
        <v>1</v>
      </c>
      <c r="O59" s="1979">
        <v>1</v>
      </c>
      <c r="P59" s="1979">
        <v>1</v>
      </c>
      <c r="Q59" s="1979">
        <v>1</v>
      </c>
      <c r="R59" s="1979">
        <v>1</v>
      </c>
      <c r="S59" s="1979">
        <v>1</v>
      </c>
      <c r="T59" s="1979">
        <v>1</v>
      </c>
      <c r="U59" s="1979">
        <v>1</v>
      </c>
      <c r="V59" s="1979">
        <v>1</v>
      </c>
      <c r="W59" s="1979">
        <v>1</v>
      </c>
      <c r="X59" s="2000">
        <v>1</v>
      </c>
      <c r="Y59" s="1998">
        <v>0.99456526585057647</v>
      </c>
      <c r="Z59" s="1998">
        <v>1</v>
      </c>
      <c r="AA59" s="1998">
        <v>0.99456526585057647</v>
      </c>
      <c r="AB59" s="1998">
        <v>1</v>
      </c>
      <c r="AC59" s="1998">
        <v>0.99456526585057647</v>
      </c>
      <c r="AD59" s="1998">
        <v>1</v>
      </c>
      <c r="AE59" s="1998">
        <v>0.99456526585057647</v>
      </c>
      <c r="AF59" s="1998">
        <v>1</v>
      </c>
      <c r="AG59" s="1998">
        <v>0.99456526585057647</v>
      </c>
      <c r="AH59" s="1999">
        <v>1</v>
      </c>
      <c r="AI59" s="1979">
        <v>1</v>
      </c>
      <c r="AJ59" s="1979">
        <v>1</v>
      </c>
      <c r="AK59" s="1979">
        <v>1</v>
      </c>
      <c r="AL59" s="1979">
        <v>1</v>
      </c>
      <c r="AM59" s="1979">
        <v>1</v>
      </c>
      <c r="AN59" s="1979">
        <v>1</v>
      </c>
      <c r="AO59" s="1979">
        <v>1</v>
      </c>
      <c r="AP59" s="1979">
        <v>1</v>
      </c>
      <c r="AQ59" s="1979">
        <v>1</v>
      </c>
      <c r="AR59" s="2000">
        <v>1</v>
      </c>
      <c r="AS59" s="1998">
        <v>1</v>
      </c>
      <c r="AT59" s="1998">
        <v>1</v>
      </c>
      <c r="AU59" s="1998">
        <v>1</v>
      </c>
      <c r="AV59" s="1998">
        <v>1</v>
      </c>
      <c r="AW59" s="1998">
        <v>1</v>
      </c>
      <c r="AX59" s="1998">
        <v>1</v>
      </c>
      <c r="AY59" s="1998">
        <v>1</v>
      </c>
      <c r="AZ59" s="1998">
        <v>1</v>
      </c>
      <c r="BA59" s="1998">
        <v>1</v>
      </c>
      <c r="BB59" s="1999">
        <v>1.3180265000109936</v>
      </c>
      <c r="BC59" s="1979">
        <v>1.3308586370188196</v>
      </c>
      <c r="BD59" s="1979">
        <v>1.3180265000109936</v>
      </c>
      <c r="BE59" s="1979">
        <v>1.3308586370188196</v>
      </c>
      <c r="BF59" s="1979">
        <v>1.3180265000109936</v>
      </c>
      <c r="BG59" s="1979">
        <v>1.3308586370188196</v>
      </c>
      <c r="BH59" s="1979">
        <v>1.3180265000109936</v>
      </c>
      <c r="BI59" s="1979">
        <v>1.3308586370188196</v>
      </c>
      <c r="BJ59" s="1979">
        <v>1.3180265000109936</v>
      </c>
      <c r="BK59" s="1979">
        <v>1.3308586370188196</v>
      </c>
      <c r="BL59" s="2000">
        <v>1</v>
      </c>
      <c r="BM59" s="1998">
        <v>1</v>
      </c>
      <c r="BN59" s="1998">
        <v>1</v>
      </c>
      <c r="BO59" s="1998">
        <v>1</v>
      </c>
      <c r="BP59" s="1998">
        <v>1</v>
      </c>
      <c r="BQ59" s="1998">
        <v>1</v>
      </c>
      <c r="BR59" s="1998">
        <v>1</v>
      </c>
      <c r="BS59" s="1998">
        <v>1</v>
      </c>
      <c r="BT59" s="1998">
        <v>1</v>
      </c>
      <c r="BU59" s="1998">
        <v>1</v>
      </c>
      <c r="BV59" s="1999">
        <v>1</v>
      </c>
      <c r="BW59" s="1979">
        <v>1</v>
      </c>
      <c r="BX59" s="1979">
        <v>1</v>
      </c>
      <c r="BY59" s="1979">
        <v>1</v>
      </c>
      <c r="BZ59" s="1979">
        <v>1</v>
      </c>
      <c r="CA59" s="1979">
        <v>1</v>
      </c>
      <c r="CB59" s="1979">
        <v>1</v>
      </c>
      <c r="CC59" s="1979">
        <v>1</v>
      </c>
      <c r="CD59" s="1979">
        <v>1</v>
      </c>
      <c r="CE59" s="1979">
        <v>1</v>
      </c>
      <c r="CF59" s="2000">
        <v>1</v>
      </c>
      <c r="CG59" s="1998">
        <v>1</v>
      </c>
      <c r="CH59" s="1998">
        <v>1</v>
      </c>
      <c r="CI59" s="1998">
        <v>1</v>
      </c>
      <c r="CJ59" s="1998">
        <v>1</v>
      </c>
      <c r="CK59" s="1998">
        <v>1</v>
      </c>
      <c r="CL59" s="1998">
        <v>1</v>
      </c>
      <c r="CM59" s="1998">
        <v>1</v>
      </c>
      <c r="CN59" s="1998">
        <v>1</v>
      </c>
      <c r="CO59" s="1998">
        <v>1</v>
      </c>
      <c r="CP59" s="1999">
        <v>1</v>
      </c>
      <c r="CQ59" s="1979">
        <v>1</v>
      </c>
      <c r="CR59" s="1979">
        <v>1</v>
      </c>
      <c r="CS59" s="1979">
        <v>1</v>
      </c>
      <c r="CT59" s="1979">
        <v>1</v>
      </c>
      <c r="CU59" s="1979">
        <v>1</v>
      </c>
      <c r="CV59" s="1979">
        <v>1</v>
      </c>
      <c r="CW59" s="1979">
        <v>1</v>
      </c>
      <c r="CX59" s="1979">
        <v>1</v>
      </c>
      <c r="CY59" s="1979">
        <v>1</v>
      </c>
      <c r="CZ59" s="2000">
        <v>1</v>
      </c>
      <c r="DA59" s="1998">
        <v>1</v>
      </c>
      <c r="DB59" s="1998">
        <v>1</v>
      </c>
      <c r="DC59" s="1998">
        <v>1</v>
      </c>
      <c r="DD59" s="1998">
        <v>1</v>
      </c>
      <c r="DE59" s="1998">
        <v>1</v>
      </c>
      <c r="DF59" s="1998">
        <v>1</v>
      </c>
      <c r="DG59" s="1998">
        <v>1</v>
      </c>
      <c r="DH59" s="1998">
        <v>1</v>
      </c>
      <c r="DI59" s="1998">
        <v>1</v>
      </c>
      <c r="DJ59" s="1999">
        <v>1.0002450682306379</v>
      </c>
      <c r="DK59" s="1979">
        <v>1.0001651239704095</v>
      </c>
      <c r="DL59" s="1979">
        <v>1.0002450682306379</v>
      </c>
      <c r="DM59" s="1979">
        <v>1.0001651239704095</v>
      </c>
      <c r="DN59" s="1979">
        <v>1.0002450682306379</v>
      </c>
      <c r="DO59" s="1979">
        <v>1.0001651239704095</v>
      </c>
      <c r="DP59" s="1979">
        <v>1.0002450682306379</v>
      </c>
      <c r="DQ59" s="1979">
        <v>1.0001651239704095</v>
      </c>
      <c r="DR59" s="1979">
        <v>1.0002450682306379</v>
      </c>
      <c r="DS59" s="1979">
        <v>1.0001651239704095</v>
      </c>
      <c r="GT59" s="1980"/>
      <c r="GU59" s="1980"/>
      <c r="GV59" s="1980"/>
      <c r="GW59" s="1980"/>
      <c r="GX59" s="1980"/>
      <c r="GY59" s="1980"/>
      <c r="GZ59" s="1980"/>
      <c r="HA59" s="1980"/>
      <c r="HB59" s="1980"/>
      <c r="HC59" s="1980"/>
      <c r="HD59" s="1980"/>
      <c r="HE59" s="1980"/>
      <c r="HF59" s="1980"/>
      <c r="HG59" s="1980"/>
      <c r="HH59" s="1980"/>
      <c r="HI59" s="1980"/>
      <c r="HJ59" s="1980"/>
      <c r="HK59" s="1980"/>
      <c r="HL59" s="1980"/>
      <c r="HM59" s="1980"/>
      <c r="HN59" s="1980"/>
      <c r="HO59" s="1980"/>
      <c r="HP59" s="1980"/>
      <c r="HQ59" s="1980"/>
      <c r="HR59" s="1980"/>
      <c r="HS59" s="1980"/>
      <c r="HT59" s="1980"/>
      <c r="HU59" s="1980"/>
      <c r="HV59" s="1980"/>
      <c r="HW59" s="1980"/>
      <c r="HX59" s="1980"/>
      <c r="HY59" s="1980"/>
      <c r="HZ59" s="1980"/>
      <c r="IA59" s="1980"/>
      <c r="IB59" s="1980"/>
      <c r="IC59" s="1980"/>
      <c r="ID59" s="1980"/>
      <c r="IE59" s="1980"/>
      <c r="IF59" s="1980"/>
      <c r="IG59" s="1980"/>
      <c r="IH59" s="1980"/>
      <c r="II59" s="1980"/>
      <c r="IJ59" s="1980"/>
      <c r="IK59" s="1980"/>
      <c r="IL59" s="1980"/>
      <c r="IM59" s="1980"/>
      <c r="IN59" s="1980"/>
      <c r="IO59" s="1980"/>
      <c r="IP59" s="1980"/>
      <c r="IQ59" s="1980"/>
      <c r="IR59" s="1980"/>
      <c r="IS59" s="1980"/>
      <c r="IT59" s="1980"/>
      <c r="IU59" s="1980"/>
      <c r="IV59" s="1980"/>
      <c r="IW59" s="1980"/>
      <c r="IX59" s="1980"/>
      <c r="IY59" s="1980"/>
      <c r="IZ59" s="1980"/>
      <c r="JA59" s="1980"/>
      <c r="JB59" s="1980"/>
      <c r="JC59" s="1980"/>
      <c r="JD59" s="1980"/>
      <c r="JE59" s="1980"/>
      <c r="JF59" s="1980"/>
      <c r="JG59" s="1980"/>
      <c r="JH59" s="1980"/>
      <c r="JI59" s="1980"/>
      <c r="JJ59" s="1980"/>
      <c r="JK59" s="1980"/>
      <c r="JL59" s="1980"/>
      <c r="JM59" s="1980"/>
      <c r="JN59" s="1980"/>
      <c r="JO59" s="1980"/>
      <c r="JP59" s="1980"/>
      <c r="JQ59" s="1980"/>
      <c r="JR59" s="1980"/>
      <c r="JS59" s="1980"/>
      <c r="JT59" s="1980"/>
      <c r="JU59" s="1980"/>
      <c r="JV59" s="1980"/>
      <c r="JW59" s="1980"/>
      <c r="JX59" s="1980"/>
      <c r="JY59" s="1980"/>
      <c r="JZ59" s="1980"/>
      <c r="KA59" s="1980"/>
      <c r="KB59" s="1980"/>
      <c r="KC59" s="1980"/>
      <c r="KD59" s="1980"/>
      <c r="KE59" s="1980"/>
      <c r="KF59" s="1980"/>
      <c r="KG59" s="1980"/>
      <c r="KH59" s="1980"/>
      <c r="KI59" s="1980"/>
      <c r="KJ59" s="1980"/>
      <c r="KK59" s="1980"/>
    </row>
    <row r="60" spans="1:297">
      <c r="A60" s="1997"/>
      <c r="B60" s="2">
        <v>35</v>
      </c>
      <c r="C60" s="2" t="str">
        <f>$AF$14</f>
        <v/>
      </c>
      <c r="D60" s="1998">
        <v>1.1085004672486292</v>
      </c>
      <c r="E60" s="1998">
        <v>1.1563231854497538</v>
      </c>
      <c r="F60" s="1998">
        <v>1.1085004672486292</v>
      </c>
      <c r="G60" s="1998">
        <v>1.1563231854497538</v>
      </c>
      <c r="H60" s="1998">
        <v>1.1085004672486292</v>
      </c>
      <c r="I60" s="1998">
        <v>1.1563231854497538</v>
      </c>
      <c r="J60" s="1998">
        <v>1.1085004672486292</v>
      </c>
      <c r="K60" s="1998">
        <v>1.1563231854497538</v>
      </c>
      <c r="L60" s="1998">
        <v>1.1085004672486292</v>
      </c>
      <c r="M60" s="1998">
        <v>1.1563231854497538</v>
      </c>
      <c r="N60" s="1999">
        <v>1.4661405894816513</v>
      </c>
      <c r="O60" s="1979">
        <v>1.6355767160242427</v>
      </c>
      <c r="P60" s="1979">
        <v>1.4661405894816513</v>
      </c>
      <c r="Q60" s="1979">
        <v>1.6355767160242427</v>
      </c>
      <c r="R60" s="1979">
        <v>1.4661405894816513</v>
      </c>
      <c r="S60" s="1979">
        <v>1.6355767160242427</v>
      </c>
      <c r="T60" s="1979">
        <v>1.4661405894816513</v>
      </c>
      <c r="U60" s="1979">
        <v>1.6355767160242427</v>
      </c>
      <c r="V60" s="1979">
        <v>1.4661405894816513</v>
      </c>
      <c r="W60" s="1979">
        <v>1.6355767160242427</v>
      </c>
      <c r="X60" s="2000">
        <v>1.1110825743123112</v>
      </c>
      <c r="Y60" s="1998">
        <v>1.1485848729928583</v>
      </c>
      <c r="Z60" s="1998">
        <v>1.1110825743123112</v>
      </c>
      <c r="AA60" s="1998">
        <v>1.1485848729928583</v>
      </c>
      <c r="AB60" s="1998">
        <v>1.1110825743123112</v>
      </c>
      <c r="AC60" s="1998">
        <v>1.1485848729928583</v>
      </c>
      <c r="AD60" s="1998">
        <v>1.1110825743123112</v>
      </c>
      <c r="AE60" s="1998">
        <v>1.1485848729928583</v>
      </c>
      <c r="AF60" s="1998">
        <v>1.1110825743123112</v>
      </c>
      <c r="AG60" s="1998">
        <v>1.1485848729928583</v>
      </c>
      <c r="AH60" s="1999">
        <v>1.3200738324007066</v>
      </c>
      <c r="AI60" s="1979">
        <v>1.4488695905462043</v>
      </c>
      <c r="AJ60" s="1979">
        <v>1.3200738324007066</v>
      </c>
      <c r="AK60" s="1979">
        <v>1.4488695905462043</v>
      </c>
      <c r="AL60" s="1979">
        <v>1.3200738324007066</v>
      </c>
      <c r="AM60" s="1979">
        <v>1.4488695905462043</v>
      </c>
      <c r="AN60" s="1979">
        <v>1.3200738324007066</v>
      </c>
      <c r="AO60" s="1979">
        <v>1.4488695905462043</v>
      </c>
      <c r="AP60" s="1979">
        <v>1.3200738324007066</v>
      </c>
      <c r="AQ60" s="1979">
        <v>1.4488695905462043</v>
      </c>
      <c r="AR60" s="2000">
        <v>1.079525499647328</v>
      </c>
      <c r="AS60" s="1998">
        <v>1.1106830147253564</v>
      </c>
      <c r="AT60" s="1998">
        <v>1.079525499647328</v>
      </c>
      <c r="AU60" s="1998">
        <v>1.1106830147253564</v>
      </c>
      <c r="AV60" s="1998">
        <v>1.079525499647328</v>
      </c>
      <c r="AW60" s="1998">
        <v>1.1106830147253564</v>
      </c>
      <c r="AX60" s="1998">
        <v>1.079525499647328</v>
      </c>
      <c r="AY60" s="1998">
        <v>1.1106830147253564</v>
      </c>
      <c r="AZ60" s="1998">
        <v>1.079525499647328</v>
      </c>
      <c r="BA60" s="1998">
        <v>1.1106830147253564</v>
      </c>
      <c r="BB60" s="1999">
        <v>1.3180265000109936</v>
      </c>
      <c r="BC60" s="1979">
        <v>1.3308586370188196</v>
      </c>
      <c r="BD60" s="1979">
        <v>1.3180265000109936</v>
      </c>
      <c r="BE60" s="1979">
        <v>1.3308586370188196</v>
      </c>
      <c r="BF60" s="1979">
        <v>1.3180265000109936</v>
      </c>
      <c r="BG60" s="1979">
        <v>1.3308586370188196</v>
      </c>
      <c r="BH60" s="1979">
        <v>1.3180265000109936</v>
      </c>
      <c r="BI60" s="1979">
        <v>1.3308586370188196</v>
      </c>
      <c r="BJ60" s="1979">
        <v>1.3180265000109936</v>
      </c>
      <c r="BK60" s="1979">
        <v>1.3308586370188196</v>
      </c>
      <c r="BL60" s="2000">
        <v>1.1814683629492135</v>
      </c>
      <c r="BM60" s="1998">
        <v>1.2431375423131188</v>
      </c>
      <c r="BN60" s="1998">
        <v>1.1814683629492135</v>
      </c>
      <c r="BO60" s="1998">
        <v>1.2431375423131188</v>
      </c>
      <c r="BP60" s="1998">
        <v>1.1814683629492135</v>
      </c>
      <c r="BQ60" s="1998">
        <v>1.2431375423131188</v>
      </c>
      <c r="BR60" s="1998">
        <v>1.1814683629492135</v>
      </c>
      <c r="BS60" s="1998">
        <v>1.2431375423131188</v>
      </c>
      <c r="BT60" s="1998">
        <v>1.1814683629492135</v>
      </c>
      <c r="BU60" s="1998">
        <v>1.2431375423131188</v>
      </c>
      <c r="BV60" s="1999">
        <v>1.2668831194801757</v>
      </c>
      <c r="BW60" s="1979">
        <v>1.3810712323180965</v>
      </c>
      <c r="BX60" s="1979">
        <v>1.2668831194801757</v>
      </c>
      <c r="BY60" s="1979">
        <v>1.3810712323180965</v>
      </c>
      <c r="BZ60" s="1979">
        <v>1.2668831194801757</v>
      </c>
      <c r="CA60" s="1979">
        <v>1.3810712323180965</v>
      </c>
      <c r="CB60" s="1979">
        <v>1.2668831194801757</v>
      </c>
      <c r="CC60" s="1979">
        <v>1.3810712323180965</v>
      </c>
      <c r="CD60" s="1979">
        <v>1.2668831194801757</v>
      </c>
      <c r="CE60" s="1979">
        <v>1.3810712323180965</v>
      </c>
      <c r="CF60" s="2000">
        <v>1.0355857826682435</v>
      </c>
      <c r="CG60" s="1998">
        <v>1.0509613939831395</v>
      </c>
      <c r="CH60" s="1998">
        <v>1.0355857826682435</v>
      </c>
      <c r="CI60" s="1998">
        <v>1.0509613939831395</v>
      </c>
      <c r="CJ60" s="1998">
        <v>1.0355857826682435</v>
      </c>
      <c r="CK60" s="1998">
        <v>1.0509613939831395</v>
      </c>
      <c r="CL60" s="1998">
        <v>1.0355857826682435</v>
      </c>
      <c r="CM60" s="1998">
        <v>1.0509613939831395</v>
      </c>
      <c r="CN60" s="1998">
        <v>1.0355857826682435</v>
      </c>
      <c r="CO60" s="1998">
        <v>1.0509613939831395</v>
      </c>
      <c r="CP60" s="1999">
        <v>1.0426831173942406</v>
      </c>
      <c r="CQ60" s="1979">
        <v>1.0609846567394052</v>
      </c>
      <c r="CR60" s="1979">
        <v>1.0426831173942406</v>
      </c>
      <c r="CS60" s="1979">
        <v>1.0609846567394052</v>
      </c>
      <c r="CT60" s="1979">
        <v>1.0426831173942406</v>
      </c>
      <c r="CU60" s="1979">
        <v>1.0609846567394052</v>
      </c>
      <c r="CV60" s="1979">
        <v>1.0426831173942406</v>
      </c>
      <c r="CW60" s="1979">
        <v>1.0609846567394052</v>
      </c>
      <c r="CX60" s="1979">
        <v>1.0426831173942406</v>
      </c>
      <c r="CY60" s="1979">
        <v>1.0609846567394052</v>
      </c>
      <c r="CZ60" s="2000">
        <v>1</v>
      </c>
      <c r="DA60" s="1998">
        <v>1</v>
      </c>
      <c r="DB60" s="1998">
        <v>1</v>
      </c>
      <c r="DC60" s="1998">
        <v>1</v>
      </c>
      <c r="DD60" s="1998">
        <v>1</v>
      </c>
      <c r="DE60" s="1998">
        <v>1</v>
      </c>
      <c r="DF60" s="1998">
        <v>1</v>
      </c>
      <c r="DG60" s="1998">
        <v>1</v>
      </c>
      <c r="DH60" s="1998">
        <v>1</v>
      </c>
      <c r="DI60" s="1998">
        <v>1</v>
      </c>
      <c r="DJ60" s="1999">
        <v>1.0085960930064017</v>
      </c>
      <c r="DK60" s="1979">
        <v>1.0121461944782337</v>
      </c>
      <c r="DL60" s="1979">
        <v>1.0085960930064017</v>
      </c>
      <c r="DM60" s="1979">
        <v>1.0121461944782337</v>
      </c>
      <c r="DN60" s="1979">
        <v>1.0085960930064017</v>
      </c>
      <c r="DO60" s="1979">
        <v>1.0121461944782337</v>
      </c>
      <c r="DP60" s="1979">
        <v>1.0085960930064017</v>
      </c>
      <c r="DQ60" s="1979">
        <v>1.0121461944782337</v>
      </c>
      <c r="DR60" s="1979">
        <v>1.0085960930064017</v>
      </c>
      <c r="DS60" s="1979">
        <v>1.0121461944782337</v>
      </c>
      <c r="GT60" s="1980"/>
      <c r="GU60" s="1980"/>
      <c r="GV60" s="1980"/>
      <c r="GW60" s="1980"/>
      <c r="GX60" s="1980"/>
      <c r="GY60" s="1980"/>
      <c r="GZ60" s="1980"/>
      <c r="HA60" s="1980"/>
      <c r="HB60" s="1980"/>
      <c r="HC60" s="1980"/>
      <c r="HD60" s="1980"/>
      <c r="HE60" s="1980"/>
      <c r="HF60" s="1980"/>
      <c r="HG60" s="1980"/>
      <c r="HH60" s="1980"/>
      <c r="HI60" s="1980"/>
      <c r="HJ60" s="1980"/>
      <c r="HK60" s="1980"/>
      <c r="HL60" s="1980"/>
      <c r="HM60" s="1980"/>
      <c r="HN60" s="1980"/>
      <c r="HO60" s="1980"/>
      <c r="HP60" s="1980"/>
      <c r="HQ60" s="1980"/>
      <c r="HR60" s="1980"/>
      <c r="HS60" s="1980"/>
      <c r="HT60" s="1980"/>
      <c r="HU60" s="1980"/>
      <c r="HV60" s="1980"/>
      <c r="HW60" s="1980"/>
      <c r="HX60" s="1980"/>
      <c r="HY60" s="1980"/>
      <c r="HZ60" s="1980"/>
      <c r="IA60" s="1980"/>
      <c r="IB60" s="1980"/>
      <c r="IC60" s="1980"/>
      <c r="ID60" s="1980"/>
      <c r="IE60" s="1980"/>
      <c r="IF60" s="1980"/>
      <c r="IG60" s="1980"/>
      <c r="IH60" s="1980"/>
      <c r="II60" s="1980"/>
      <c r="IJ60" s="1980"/>
      <c r="IK60" s="1980"/>
      <c r="IL60" s="1980"/>
      <c r="IM60" s="1980"/>
      <c r="IN60" s="1980"/>
      <c r="IO60" s="1980"/>
      <c r="IP60" s="1980"/>
      <c r="IQ60" s="1980"/>
      <c r="IR60" s="1980"/>
      <c r="IS60" s="1980"/>
      <c r="IT60" s="1980"/>
      <c r="IU60" s="1980"/>
      <c r="IV60" s="1980"/>
      <c r="IW60" s="1980"/>
      <c r="IX60" s="1980"/>
      <c r="IY60" s="1980"/>
      <c r="IZ60" s="1980"/>
      <c r="JA60" s="1980"/>
      <c r="JB60" s="1980"/>
      <c r="JC60" s="1980"/>
      <c r="JD60" s="1980"/>
      <c r="JE60" s="1980"/>
      <c r="JF60" s="1980"/>
      <c r="JG60" s="1980"/>
      <c r="JH60" s="1980"/>
      <c r="JI60" s="1980"/>
      <c r="JJ60" s="1980"/>
      <c r="JK60" s="1980"/>
      <c r="JL60" s="1980"/>
      <c r="JM60" s="1980"/>
      <c r="JN60" s="1980"/>
      <c r="JO60" s="1980"/>
      <c r="JP60" s="1980"/>
      <c r="JQ60" s="1980"/>
      <c r="JR60" s="1980"/>
      <c r="JS60" s="1980"/>
      <c r="JT60" s="1980"/>
      <c r="JU60" s="1980"/>
      <c r="JV60" s="1980"/>
      <c r="JW60" s="1980"/>
      <c r="JX60" s="1980"/>
      <c r="JY60" s="1980"/>
      <c r="JZ60" s="1980"/>
      <c r="KA60" s="1980"/>
      <c r="KB60" s="1980"/>
      <c r="KC60" s="1980"/>
      <c r="KD60" s="1980"/>
      <c r="KE60" s="1980"/>
      <c r="KF60" s="1980"/>
      <c r="KG60" s="1980"/>
      <c r="KH60" s="1980"/>
      <c r="KI60" s="1980"/>
      <c r="KJ60" s="1980"/>
      <c r="KK60" s="1980"/>
    </row>
    <row r="61" spans="1:297">
      <c r="A61" s="1997"/>
      <c r="B61" s="2">
        <v>36</v>
      </c>
      <c r="C61" s="2" t="str">
        <f>$AF$15</f>
        <v/>
      </c>
      <c r="D61" s="1998">
        <v>0.99089193585001911</v>
      </c>
      <c r="E61" s="1998">
        <v>0.99491643010161035</v>
      </c>
      <c r="F61" s="1998">
        <v>0.99089193585001911</v>
      </c>
      <c r="G61" s="1998">
        <v>0.99491643010161035</v>
      </c>
      <c r="H61" s="1998">
        <v>0.99089193585001911</v>
      </c>
      <c r="I61" s="1998">
        <v>0.99491643010161035</v>
      </c>
      <c r="J61" s="1998">
        <v>0.99089193585001911</v>
      </c>
      <c r="K61" s="1998">
        <v>0.99491643010161035</v>
      </c>
      <c r="L61" s="1998">
        <v>0.99089193585001911</v>
      </c>
      <c r="M61" s="1998">
        <v>0.99491643010161035</v>
      </c>
      <c r="N61" s="1999">
        <v>1.0767033219898217</v>
      </c>
      <c r="O61" s="1979">
        <v>1.1018109318917584</v>
      </c>
      <c r="P61" s="1979">
        <v>1.0767033219898217</v>
      </c>
      <c r="Q61" s="1979">
        <v>1.1018109318917584</v>
      </c>
      <c r="R61" s="1979">
        <v>1.0767033219898217</v>
      </c>
      <c r="S61" s="1979">
        <v>1.1018109318917584</v>
      </c>
      <c r="T61" s="1979">
        <v>1.0767033219898217</v>
      </c>
      <c r="U61" s="1979">
        <v>1.1018109318917584</v>
      </c>
      <c r="V61" s="1979">
        <v>1.0767033219898217</v>
      </c>
      <c r="W61" s="1979">
        <v>1.1018109318917584</v>
      </c>
      <c r="X61" s="2000">
        <v>1.018278610910949</v>
      </c>
      <c r="Y61" s="1998">
        <v>1.0192371572799035</v>
      </c>
      <c r="Z61" s="1998">
        <v>1.018278610910949</v>
      </c>
      <c r="AA61" s="1998">
        <v>1.0192371572799035</v>
      </c>
      <c r="AB61" s="1998">
        <v>1.018278610910949</v>
      </c>
      <c r="AC61" s="1998">
        <v>1.0192371572799035</v>
      </c>
      <c r="AD61" s="1998">
        <v>1.018278610910949</v>
      </c>
      <c r="AE61" s="1998">
        <v>1.0192371572799035</v>
      </c>
      <c r="AF61" s="1998">
        <v>1.018278610910949</v>
      </c>
      <c r="AG61" s="1998">
        <v>1.0192371572799035</v>
      </c>
      <c r="AH61" s="1999">
        <v>1.052668072210678</v>
      </c>
      <c r="AI61" s="1979">
        <v>1.0719029350182141</v>
      </c>
      <c r="AJ61" s="1979">
        <v>1.052668072210678</v>
      </c>
      <c r="AK61" s="1979">
        <v>1.0719029350182141</v>
      </c>
      <c r="AL61" s="1979">
        <v>1.052668072210678</v>
      </c>
      <c r="AM61" s="1979">
        <v>1.0719029350182141</v>
      </c>
      <c r="AN61" s="1979">
        <v>1.052668072210678</v>
      </c>
      <c r="AO61" s="1979">
        <v>1.0719029350182141</v>
      </c>
      <c r="AP61" s="1979">
        <v>1.052668072210678</v>
      </c>
      <c r="AQ61" s="1979">
        <v>1.0719029350182141</v>
      </c>
      <c r="AR61" s="2000">
        <v>1.0130859018577067</v>
      </c>
      <c r="AS61" s="1998">
        <v>1.0177299460311695</v>
      </c>
      <c r="AT61" s="1998">
        <v>1.0130859018577067</v>
      </c>
      <c r="AU61" s="1998">
        <v>1.0177299460311695</v>
      </c>
      <c r="AV61" s="1998">
        <v>1.0130859018577067</v>
      </c>
      <c r="AW61" s="1998">
        <v>1.0177299460311695</v>
      </c>
      <c r="AX61" s="1998">
        <v>1.0130859018577067</v>
      </c>
      <c r="AY61" s="1998">
        <v>1.0177299460311695</v>
      </c>
      <c r="AZ61" s="1998">
        <v>1.0130859018577067</v>
      </c>
      <c r="BA61" s="1998">
        <v>1.0177299460311695</v>
      </c>
      <c r="BB61" s="1999">
        <v>1.3180265000109936</v>
      </c>
      <c r="BC61" s="1979">
        <v>1.3308586370188196</v>
      </c>
      <c r="BD61" s="1979">
        <v>1.3180265000109936</v>
      </c>
      <c r="BE61" s="1979">
        <v>1.3308586370188196</v>
      </c>
      <c r="BF61" s="1979">
        <v>1.3180265000109936</v>
      </c>
      <c r="BG61" s="1979">
        <v>1.3308586370188196</v>
      </c>
      <c r="BH61" s="1979">
        <v>1.3180265000109936</v>
      </c>
      <c r="BI61" s="1979">
        <v>1.3308586370188196</v>
      </c>
      <c r="BJ61" s="1979">
        <v>1.3180265000109936</v>
      </c>
      <c r="BK61" s="1979">
        <v>1.3308586370188196</v>
      </c>
      <c r="BL61" s="2000">
        <v>1.0298605755180803</v>
      </c>
      <c r="BM61" s="1998">
        <v>1.0389473986958111</v>
      </c>
      <c r="BN61" s="1998">
        <v>1.0298605755180803</v>
      </c>
      <c r="BO61" s="1998">
        <v>1.0389473986958111</v>
      </c>
      <c r="BP61" s="1998">
        <v>1.0298605755180803</v>
      </c>
      <c r="BQ61" s="1998">
        <v>1.0389473986958111</v>
      </c>
      <c r="BR61" s="1998">
        <v>1.0298605755180803</v>
      </c>
      <c r="BS61" s="1998">
        <v>1.0389473986958111</v>
      </c>
      <c r="BT61" s="1998">
        <v>1.0298605755180803</v>
      </c>
      <c r="BU61" s="1998">
        <v>1.0389473986958111</v>
      </c>
      <c r="BV61" s="1999">
        <v>1.0439155531808537</v>
      </c>
      <c r="BW61" s="1979">
        <v>1.0610425402650627</v>
      </c>
      <c r="BX61" s="1979">
        <v>1.0439155531808537</v>
      </c>
      <c r="BY61" s="1979">
        <v>1.0610425402650627</v>
      </c>
      <c r="BZ61" s="1979">
        <v>1.0439155531808537</v>
      </c>
      <c r="CA61" s="1979">
        <v>1.0610425402650627</v>
      </c>
      <c r="CB61" s="1979">
        <v>1.0439155531808537</v>
      </c>
      <c r="CC61" s="1979">
        <v>1.0610425402650627</v>
      </c>
      <c r="CD61" s="1979">
        <v>1.0439155531808537</v>
      </c>
      <c r="CE61" s="1979">
        <v>1.0610425402650627</v>
      </c>
      <c r="CF61" s="2000">
        <v>1.0058556319871166</v>
      </c>
      <c r="CG61" s="1998">
        <v>1.0081633371410803</v>
      </c>
      <c r="CH61" s="1998">
        <v>1.0058556319871166</v>
      </c>
      <c r="CI61" s="1998">
        <v>1.0081633371410803</v>
      </c>
      <c r="CJ61" s="1998">
        <v>1.0058556319871166</v>
      </c>
      <c r="CK61" s="1998">
        <v>1.0081633371410803</v>
      </c>
      <c r="CL61" s="1998">
        <v>1.0058556319871166</v>
      </c>
      <c r="CM61" s="1998">
        <v>1.0081633371410803</v>
      </c>
      <c r="CN61" s="1998">
        <v>1.0058556319871166</v>
      </c>
      <c r="CO61" s="1998">
        <v>1.0081633371410803</v>
      </c>
      <c r="CP61" s="1999">
        <v>1.0070234967108538</v>
      </c>
      <c r="CQ61" s="1979">
        <v>1.009768930448832</v>
      </c>
      <c r="CR61" s="1979">
        <v>1.0070234967108538</v>
      </c>
      <c r="CS61" s="1979">
        <v>1.009768930448832</v>
      </c>
      <c r="CT61" s="1979">
        <v>1.0070234967108538</v>
      </c>
      <c r="CU61" s="1979">
        <v>1.009768930448832</v>
      </c>
      <c r="CV61" s="1979">
        <v>1.0070234967108538</v>
      </c>
      <c r="CW61" s="1979">
        <v>1.009768930448832</v>
      </c>
      <c r="CX61" s="1979">
        <v>1.0070234967108538</v>
      </c>
      <c r="CY61" s="1979">
        <v>1.009768930448832</v>
      </c>
      <c r="CZ61" s="2000">
        <v>1</v>
      </c>
      <c r="DA61" s="1998">
        <v>1</v>
      </c>
      <c r="DB61" s="1998">
        <v>1</v>
      </c>
      <c r="DC61" s="1998">
        <v>1</v>
      </c>
      <c r="DD61" s="1998">
        <v>1</v>
      </c>
      <c r="DE61" s="1998">
        <v>1</v>
      </c>
      <c r="DF61" s="1998">
        <v>1</v>
      </c>
      <c r="DG61" s="1998">
        <v>1</v>
      </c>
      <c r="DH61" s="1998">
        <v>1</v>
      </c>
      <c r="DI61" s="1998">
        <v>1</v>
      </c>
      <c r="DJ61" s="1999">
        <v>1.0016192273508138</v>
      </c>
      <c r="DK61" s="1979">
        <v>1.0020843320261934</v>
      </c>
      <c r="DL61" s="1979">
        <v>1.0016192273508138</v>
      </c>
      <c r="DM61" s="1979">
        <v>1.0020843320261934</v>
      </c>
      <c r="DN61" s="1979">
        <v>1.0016192273508138</v>
      </c>
      <c r="DO61" s="1979">
        <v>1.0020843320261934</v>
      </c>
      <c r="DP61" s="1979">
        <v>1.0016192273508138</v>
      </c>
      <c r="DQ61" s="1979">
        <v>1.0020843320261934</v>
      </c>
      <c r="DR61" s="1979">
        <v>1.0016192273508138</v>
      </c>
      <c r="DS61" s="1979">
        <v>1.0020843320261934</v>
      </c>
      <c r="GT61" s="1980"/>
      <c r="GU61" s="1980"/>
      <c r="GV61" s="1980"/>
      <c r="GW61" s="1980"/>
      <c r="GX61" s="1980"/>
      <c r="GY61" s="1980"/>
      <c r="GZ61" s="1980"/>
      <c r="HA61" s="1980"/>
      <c r="HB61" s="1980"/>
      <c r="HC61" s="1980"/>
      <c r="HD61" s="1980"/>
      <c r="HE61" s="1980"/>
      <c r="HF61" s="1980"/>
      <c r="HG61" s="1980"/>
      <c r="HH61" s="1980"/>
      <c r="HI61" s="1980"/>
      <c r="HJ61" s="1980"/>
      <c r="HK61" s="1980"/>
      <c r="HL61" s="1980"/>
      <c r="HM61" s="1980"/>
      <c r="HN61" s="1980"/>
      <c r="HO61" s="1980"/>
      <c r="HP61" s="1980"/>
      <c r="HQ61" s="1980"/>
      <c r="HR61" s="1980"/>
      <c r="HS61" s="1980"/>
      <c r="HT61" s="1980"/>
      <c r="HU61" s="1980"/>
      <c r="HV61" s="1980"/>
      <c r="HW61" s="1980"/>
      <c r="HX61" s="1980"/>
      <c r="HY61" s="1980"/>
      <c r="HZ61" s="1980"/>
      <c r="IA61" s="1980"/>
      <c r="IB61" s="1980"/>
      <c r="IC61" s="1980"/>
      <c r="ID61" s="1980"/>
      <c r="IE61" s="1980"/>
      <c r="IF61" s="1980"/>
      <c r="IG61" s="1980"/>
      <c r="IH61" s="1980"/>
      <c r="II61" s="1980"/>
      <c r="IJ61" s="1980"/>
      <c r="IK61" s="1980"/>
      <c r="IL61" s="1980"/>
      <c r="IM61" s="1980"/>
      <c r="IN61" s="1980"/>
      <c r="IO61" s="1980"/>
      <c r="IP61" s="1980"/>
      <c r="IQ61" s="1980"/>
      <c r="IR61" s="1980"/>
      <c r="IS61" s="1980"/>
      <c r="IT61" s="1980"/>
      <c r="IU61" s="1980"/>
      <c r="IV61" s="1980"/>
      <c r="IW61" s="1980"/>
      <c r="IX61" s="1980"/>
      <c r="IY61" s="1980"/>
      <c r="IZ61" s="1980"/>
      <c r="JA61" s="1980"/>
      <c r="JB61" s="1980"/>
      <c r="JC61" s="1980"/>
      <c r="JD61" s="1980"/>
      <c r="JE61" s="1980"/>
      <c r="JF61" s="1980"/>
      <c r="JG61" s="1980"/>
      <c r="JH61" s="1980"/>
      <c r="JI61" s="1980"/>
      <c r="JJ61" s="1980"/>
      <c r="JK61" s="1980"/>
      <c r="JL61" s="1980"/>
      <c r="JM61" s="1980"/>
      <c r="JN61" s="1980"/>
      <c r="JO61" s="1980"/>
      <c r="JP61" s="1980"/>
      <c r="JQ61" s="1980"/>
      <c r="JR61" s="1980"/>
      <c r="JS61" s="1980"/>
      <c r="JT61" s="1980"/>
      <c r="JU61" s="1980"/>
      <c r="JV61" s="1980"/>
      <c r="JW61" s="1980"/>
      <c r="JX61" s="1980"/>
      <c r="JY61" s="1980"/>
      <c r="JZ61" s="1980"/>
      <c r="KA61" s="1980"/>
      <c r="KB61" s="1980"/>
      <c r="KC61" s="1980"/>
      <c r="KD61" s="1980"/>
      <c r="KE61" s="1980"/>
      <c r="KF61" s="1980"/>
      <c r="KG61" s="1980"/>
      <c r="KH61" s="1980"/>
      <c r="KI61" s="1980"/>
      <c r="KJ61" s="1980"/>
      <c r="KK61" s="1980"/>
    </row>
    <row r="62" spans="1:297">
      <c r="A62" s="1997"/>
      <c r="B62" s="2">
        <v>37</v>
      </c>
      <c r="C62" s="2" t="str">
        <f>$AF$16</f>
        <v/>
      </c>
      <c r="D62" s="1998">
        <v>1.0125322659304401</v>
      </c>
      <c r="E62" s="1998">
        <v>1.0066655697798217</v>
      </c>
      <c r="F62" s="1998">
        <v>1.0125322659304401</v>
      </c>
      <c r="G62" s="1998">
        <v>1.0066655697798217</v>
      </c>
      <c r="H62" s="1998">
        <v>1.0125322659304401</v>
      </c>
      <c r="I62" s="1998">
        <v>1.0066655697798217</v>
      </c>
      <c r="J62" s="1998">
        <v>1.0125322659304401</v>
      </c>
      <c r="K62" s="1998">
        <v>1.0066655697798217</v>
      </c>
      <c r="L62" s="1998">
        <v>1.0125322659304401</v>
      </c>
      <c r="M62" s="1998">
        <v>1.0066655697798217</v>
      </c>
      <c r="N62" s="1999">
        <v>1.1483609722803176</v>
      </c>
      <c r="O62" s="1979">
        <v>1.1406648741551781</v>
      </c>
      <c r="P62" s="1979">
        <v>1.1483609722803176</v>
      </c>
      <c r="Q62" s="1979">
        <v>1.1406648741551781</v>
      </c>
      <c r="R62" s="1979">
        <v>1.1483609722803176</v>
      </c>
      <c r="S62" s="1979">
        <v>1.1406648741551781</v>
      </c>
      <c r="T62" s="1979">
        <v>1.1483609722803176</v>
      </c>
      <c r="U62" s="1979">
        <v>1.1406648741551781</v>
      </c>
      <c r="V62" s="1979">
        <v>1.1483609722803176</v>
      </c>
      <c r="W62" s="1979">
        <v>1.1406648741551781</v>
      </c>
      <c r="X62" s="2000">
        <v>1.0353548244891122</v>
      </c>
      <c r="Y62" s="1998">
        <v>1.0286526515427747</v>
      </c>
      <c r="Z62" s="1998">
        <v>1.0353548244891122</v>
      </c>
      <c r="AA62" s="1998">
        <v>1.0286526515427747</v>
      </c>
      <c r="AB62" s="1998">
        <v>1.0353548244891122</v>
      </c>
      <c r="AC62" s="1998">
        <v>1.0286526515427747</v>
      </c>
      <c r="AD62" s="1998">
        <v>1.0353548244891122</v>
      </c>
      <c r="AE62" s="1998">
        <v>1.0286526515427747</v>
      </c>
      <c r="AF62" s="1998">
        <v>1.0353548244891122</v>
      </c>
      <c r="AG62" s="1998">
        <v>1.0286526515427747</v>
      </c>
      <c r="AH62" s="1999">
        <v>1.1018715513044277</v>
      </c>
      <c r="AI62" s="1979">
        <v>1.0993431365158126</v>
      </c>
      <c r="AJ62" s="1979">
        <v>1.1018715513044277</v>
      </c>
      <c r="AK62" s="1979">
        <v>1.0993431365158126</v>
      </c>
      <c r="AL62" s="1979">
        <v>1.1018715513044277</v>
      </c>
      <c r="AM62" s="1979">
        <v>1.0993431365158126</v>
      </c>
      <c r="AN62" s="1979">
        <v>1.1018715513044277</v>
      </c>
      <c r="AO62" s="1979">
        <v>1.0993431365158126</v>
      </c>
      <c r="AP62" s="1979">
        <v>1.1018715513044277</v>
      </c>
      <c r="AQ62" s="1979">
        <v>1.0993431365158126</v>
      </c>
      <c r="AR62" s="2000">
        <v>1.0253109913939817</v>
      </c>
      <c r="AS62" s="1998">
        <v>1.0244961968318298</v>
      </c>
      <c r="AT62" s="1998">
        <v>1.0253109913939817</v>
      </c>
      <c r="AU62" s="1998">
        <v>1.0244961968318298</v>
      </c>
      <c r="AV62" s="1998">
        <v>1.0253109913939817</v>
      </c>
      <c r="AW62" s="1998">
        <v>1.0244961968318298</v>
      </c>
      <c r="AX62" s="1998">
        <v>1.0253109913939817</v>
      </c>
      <c r="AY62" s="1998">
        <v>1.0244961968318298</v>
      </c>
      <c r="AZ62" s="1998">
        <v>1.0253109913939817</v>
      </c>
      <c r="BA62" s="1998">
        <v>1.0244961968318298</v>
      </c>
      <c r="BB62" s="1999">
        <v>1.3180265000109936</v>
      </c>
      <c r="BC62" s="1979">
        <v>1.3308586370188196</v>
      </c>
      <c r="BD62" s="1979">
        <v>1.3180265000109936</v>
      </c>
      <c r="BE62" s="1979">
        <v>1.3308586370188196</v>
      </c>
      <c r="BF62" s="1979">
        <v>1.3180265000109936</v>
      </c>
      <c r="BG62" s="1979">
        <v>1.3308586370188196</v>
      </c>
      <c r="BH62" s="1979">
        <v>1.3180265000109936</v>
      </c>
      <c r="BI62" s="1979">
        <v>1.3308586370188196</v>
      </c>
      <c r="BJ62" s="1979">
        <v>1.3180265000109936</v>
      </c>
      <c r="BK62" s="1979">
        <v>1.3308586370188196</v>
      </c>
      <c r="BL62" s="2000">
        <v>1.057756872867907</v>
      </c>
      <c r="BM62" s="1998">
        <v>1.0538108318470396</v>
      </c>
      <c r="BN62" s="1998">
        <v>1.057756872867907</v>
      </c>
      <c r="BO62" s="1998">
        <v>1.0538108318470396</v>
      </c>
      <c r="BP62" s="1998">
        <v>1.057756872867907</v>
      </c>
      <c r="BQ62" s="1998">
        <v>1.0538108318470396</v>
      </c>
      <c r="BR62" s="1998">
        <v>1.057756872867907</v>
      </c>
      <c r="BS62" s="1998">
        <v>1.0538108318470396</v>
      </c>
      <c r="BT62" s="1998">
        <v>1.057756872867907</v>
      </c>
      <c r="BU62" s="1998">
        <v>1.0538108318470396</v>
      </c>
      <c r="BV62" s="1999">
        <v>1.0849422684587771</v>
      </c>
      <c r="BW62" s="1979">
        <v>1.0843381067725255</v>
      </c>
      <c r="BX62" s="1979">
        <v>1.0849422684587771</v>
      </c>
      <c r="BY62" s="1979">
        <v>1.0843381067725255</v>
      </c>
      <c r="BZ62" s="1979">
        <v>1.0849422684587771</v>
      </c>
      <c r="CA62" s="1979">
        <v>1.0843381067725255</v>
      </c>
      <c r="CB62" s="1979">
        <v>1.0849422684587771</v>
      </c>
      <c r="CC62" s="1979">
        <v>1.0843381067725255</v>
      </c>
      <c r="CD62" s="1979">
        <v>1.0849422684587771</v>
      </c>
      <c r="CE62" s="1979">
        <v>1.0843381067725255</v>
      </c>
      <c r="CF62" s="2000">
        <v>1.0113260707931218</v>
      </c>
      <c r="CG62" s="1998">
        <v>1.011278698370595</v>
      </c>
      <c r="CH62" s="1998">
        <v>1.0113260707931218</v>
      </c>
      <c r="CI62" s="1998">
        <v>1.011278698370595</v>
      </c>
      <c r="CJ62" s="1998">
        <v>1.0113260707931218</v>
      </c>
      <c r="CK62" s="1998">
        <v>1.011278698370595</v>
      </c>
      <c r="CL62" s="1998">
        <v>1.0113260707931218</v>
      </c>
      <c r="CM62" s="1998">
        <v>1.011278698370595</v>
      </c>
      <c r="CN62" s="1998">
        <v>1.0113260707931218</v>
      </c>
      <c r="CO62" s="1998">
        <v>1.011278698370595</v>
      </c>
      <c r="CP62" s="1999">
        <v>1.013584976162677</v>
      </c>
      <c r="CQ62" s="1979">
        <v>1.0134970316711822</v>
      </c>
      <c r="CR62" s="1979">
        <v>1.013584976162677</v>
      </c>
      <c r="CS62" s="1979">
        <v>1.0134970316711822</v>
      </c>
      <c r="CT62" s="1979">
        <v>1.013584976162677</v>
      </c>
      <c r="CU62" s="1979">
        <v>1.0134970316711822</v>
      </c>
      <c r="CV62" s="1979">
        <v>1.013584976162677</v>
      </c>
      <c r="CW62" s="1979">
        <v>1.0134970316711822</v>
      </c>
      <c r="CX62" s="1979">
        <v>1.013584976162677</v>
      </c>
      <c r="CY62" s="1979">
        <v>1.0134970316711822</v>
      </c>
      <c r="CZ62" s="2000">
        <v>1</v>
      </c>
      <c r="DA62" s="1998">
        <v>1</v>
      </c>
      <c r="DB62" s="1998">
        <v>1</v>
      </c>
      <c r="DC62" s="1998">
        <v>1</v>
      </c>
      <c r="DD62" s="1998">
        <v>1</v>
      </c>
      <c r="DE62" s="1998">
        <v>1</v>
      </c>
      <c r="DF62" s="1998">
        <v>1</v>
      </c>
      <c r="DG62" s="1998">
        <v>1</v>
      </c>
      <c r="DH62" s="1998">
        <v>1</v>
      </c>
      <c r="DI62" s="1998">
        <v>1</v>
      </c>
      <c r="DJ62" s="1999">
        <v>1.002902992005624</v>
      </c>
      <c r="DK62" s="1979">
        <v>1.0028167563111434</v>
      </c>
      <c r="DL62" s="1979">
        <v>1.002902992005624</v>
      </c>
      <c r="DM62" s="1979">
        <v>1.0028167563111434</v>
      </c>
      <c r="DN62" s="1979">
        <v>1.002902992005624</v>
      </c>
      <c r="DO62" s="1979">
        <v>1.0028167563111434</v>
      </c>
      <c r="DP62" s="1979">
        <v>1.002902992005624</v>
      </c>
      <c r="DQ62" s="1979">
        <v>1.0028167563111434</v>
      </c>
      <c r="DR62" s="1979">
        <v>1.002902992005624</v>
      </c>
      <c r="DS62" s="1979">
        <v>1.0028167563111434</v>
      </c>
      <c r="GT62" s="1980"/>
      <c r="GU62" s="1980"/>
      <c r="GV62" s="1980"/>
      <c r="GW62" s="1980"/>
      <c r="GX62" s="1980"/>
      <c r="GY62" s="1980"/>
      <c r="GZ62" s="1980"/>
      <c r="HA62" s="1980"/>
      <c r="HB62" s="1980"/>
      <c r="HC62" s="1980"/>
      <c r="HD62" s="1980"/>
      <c r="HE62" s="1980"/>
      <c r="HF62" s="1980"/>
      <c r="HG62" s="1980"/>
      <c r="HH62" s="1980"/>
      <c r="HI62" s="1980"/>
      <c r="HJ62" s="1980"/>
      <c r="HK62" s="1980"/>
      <c r="HL62" s="1980"/>
      <c r="HM62" s="1980"/>
      <c r="HN62" s="1980"/>
      <c r="HO62" s="1980"/>
      <c r="HP62" s="1980"/>
      <c r="HQ62" s="1980"/>
      <c r="HR62" s="1980"/>
      <c r="HS62" s="1980"/>
      <c r="HT62" s="1980"/>
      <c r="HU62" s="1980"/>
      <c r="HV62" s="1980"/>
      <c r="HW62" s="1980"/>
      <c r="HX62" s="1980"/>
      <c r="HY62" s="1980"/>
      <c r="HZ62" s="1980"/>
      <c r="IA62" s="1980"/>
      <c r="IB62" s="1980"/>
      <c r="IC62" s="1980"/>
      <c r="ID62" s="1980"/>
      <c r="IE62" s="1980"/>
      <c r="IF62" s="1980"/>
      <c r="IG62" s="1980"/>
      <c r="IH62" s="1980"/>
      <c r="II62" s="1980"/>
      <c r="IJ62" s="1980"/>
      <c r="IK62" s="1980"/>
      <c r="IL62" s="1980"/>
      <c r="IM62" s="1980"/>
      <c r="IN62" s="1980"/>
      <c r="IO62" s="1980"/>
      <c r="IP62" s="1980"/>
      <c r="IQ62" s="1980"/>
      <c r="IR62" s="1980"/>
      <c r="IS62" s="1980"/>
      <c r="IT62" s="1980"/>
      <c r="IU62" s="1980"/>
      <c r="IV62" s="1980"/>
      <c r="IW62" s="1980"/>
      <c r="IX62" s="1980"/>
      <c r="IY62" s="1980"/>
      <c r="IZ62" s="1980"/>
      <c r="JA62" s="1980"/>
      <c r="JB62" s="1980"/>
      <c r="JC62" s="1980"/>
      <c r="JD62" s="1980"/>
      <c r="JE62" s="1980"/>
      <c r="JF62" s="1980"/>
      <c r="JG62" s="1980"/>
      <c r="JH62" s="1980"/>
      <c r="JI62" s="1980"/>
      <c r="JJ62" s="1980"/>
      <c r="JK62" s="1980"/>
      <c r="JL62" s="1980"/>
      <c r="JM62" s="1980"/>
      <c r="JN62" s="1980"/>
      <c r="JO62" s="1980"/>
      <c r="JP62" s="1980"/>
      <c r="JQ62" s="1980"/>
      <c r="JR62" s="1980"/>
      <c r="JS62" s="1980"/>
      <c r="JT62" s="1980"/>
      <c r="JU62" s="1980"/>
      <c r="JV62" s="1980"/>
      <c r="JW62" s="1980"/>
      <c r="JX62" s="1980"/>
      <c r="JY62" s="1980"/>
      <c r="JZ62" s="1980"/>
      <c r="KA62" s="1980"/>
      <c r="KB62" s="1980"/>
      <c r="KC62" s="1980"/>
      <c r="KD62" s="1980"/>
      <c r="KE62" s="1980"/>
      <c r="KF62" s="1980"/>
      <c r="KG62" s="1980"/>
      <c r="KH62" s="1980"/>
      <c r="KI62" s="1980"/>
      <c r="KJ62" s="1980"/>
      <c r="KK62" s="1980"/>
    </row>
    <row r="63" spans="1:297">
      <c r="A63" s="1997"/>
      <c r="B63" s="2">
        <v>38</v>
      </c>
      <c r="C63" s="2" t="str">
        <f>$AF$17</f>
        <v/>
      </c>
      <c r="D63" s="1998">
        <v>1.0585003115621834</v>
      </c>
      <c r="E63" s="1998">
        <v>1.0736221665254722</v>
      </c>
      <c r="F63" s="1998">
        <v>1.0585003115621834</v>
      </c>
      <c r="G63" s="1998">
        <v>1.0736221665254722</v>
      </c>
      <c r="H63" s="1998">
        <v>1.0585003115621834</v>
      </c>
      <c r="I63" s="1998">
        <v>1.0736221665254722</v>
      </c>
      <c r="J63" s="1998">
        <v>1.0585003115621834</v>
      </c>
      <c r="K63" s="1998">
        <v>1.0736221665254722</v>
      </c>
      <c r="L63" s="1998">
        <v>1.0585003115621834</v>
      </c>
      <c r="M63" s="1998">
        <v>1.0736221665254722</v>
      </c>
      <c r="N63" s="1999">
        <v>1.3005750155123672</v>
      </c>
      <c r="O63" s="1979">
        <v>1.3620877030057905</v>
      </c>
      <c r="P63" s="1979">
        <v>1.3005750155123672</v>
      </c>
      <c r="Q63" s="1979">
        <v>1.3620877030057905</v>
      </c>
      <c r="R63" s="1979">
        <v>1.3005750155123672</v>
      </c>
      <c r="S63" s="1979">
        <v>1.3620877030057905</v>
      </c>
      <c r="T63" s="1979">
        <v>1.3005750155123672</v>
      </c>
      <c r="U63" s="1979">
        <v>1.3620877030057905</v>
      </c>
      <c r="V63" s="1979">
        <v>1.3005750155123672</v>
      </c>
      <c r="W63" s="1979">
        <v>1.3620877030057905</v>
      </c>
      <c r="X63" s="2000">
        <v>1.0716278462989133</v>
      </c>
      <c r="Y63" s="1998">
        <v>1.0823101507117705</v>
      </c>
      <c r="Z63" s="1998">
        <v>1.0716278462989133</v>
      </c>
      <c r="AA63" s="1998">
        <v>1.0823101507117705</v>
      </c>
      <c r="AB63" s="1998">
        <v>1.0716278462989133</v>
      </c>
      <c r="AC63" s="1998">
        <v>1.0823101507117705</v>
      </c>
      <c r="AD63" s="1998">
        <v>1.0716278462989133</v>
      </c>
      <c r="AE63" s="1998">
        <v>1.0823101507117705</v>
      </c>
      <c r="AF63" s="1998">
        <v>1.0716278462989133</v>
      </c>
      <c r="AG63" s="1998">
        <v>1.0823101507117705</v>
      </c>
      <c r="AH63" s="1999">
        <v>1.206388800524594</v>
      </c>
      <c r="AI63" s="1979">
        <v>1.2557207570577924</v>
      </c>
      <c r="AJ63" s="1979">
        <v>1.206388800524594</v>
      </c>
      <c r="AK63" s="1979">
        <v>1.2557207570577924</v>
      </c>
      <c r="AL63" s="1979">
        <v>1.206388800524594</v>
      </c>
      <c r="AM63" s="1979">
        <v>1.2557207570577924</v>
      </c>
      <c r="AN63" s="1979">
        <v>1.206388800524594</v>
      </c>
      <c r="AO63" s="1979">
        <v>1.2557207570577924</v>
      </c>
      <c r="AP63" s="1979">
        <v>1.206388800524594</v>
      </c>
      <c r="AQ63" s="1979">
        <v>1.2557207570577924</v>
      </c>
      <c r="AR63" s="2000">
        <v>1.0512793325222012</v>
      </c>
      <c r="AS63" s="1998">
        <v>1.0630560521699974</v>
      </c>
      <c r="AT63" s="1998">
        <v>1.0512793325222012</v>
      </c>
      <c r="AU63" s="1998">
        <v>1.0630560521699974</v>
      </c>
      <c r="AV63" s="1998">
        <v>1.0512793325222012</v>
      </c>
      <c r="AW63" s="1998">
        <v>1.0630560521699974</v>
      </c>
      <c r="AX63" s="1998">
        <v>1.0512793325222012</v>
      </c>
      <c r="AY63" s="1998">
        <v>1.0630560521699974</v>
      </c>
      <c r="AZ63" s="1998">
        <v>1.0512793325222012</v>
      </c>
      <c r="BA63" s="1998">
        <v>1.0630560521699974</v>
      </c>
      <c r="BB63" s="1999">
        <v>1.3180265000109936</v>
      </c>
      <c r="BC63" s="1979">
        <v>1.3308586370188196</v>
      </c>
      <c r="BD63" s="1979">
        <v>1.3180265000109936</v>
      </c>
      <c r="BE63" s="1979">
        <v>1.3308586370188196</v>
      </c>
      <c r="BF63" s="1979">
        <v>1.3180265000109936</v>
      </c>
      <c r="BG63" s="1979">
        <v>1.3308586370188196</v>
      </c>
      <c r="BH63" s="1979">
        <v>1.3180265000109936</v>
      </c>
      <c r="BI63" s="1979">
        <v>1.3308586370188196</v>
      </c>
      <c r="BJ63" s="1979">
        <v>1.3180265000109936</v>
      </c>
      <c r="BK63" s="1979">
        <v>1.3308586370188196</v>
      </c>
      <c r="BL63" s="2000">
        <v>1.1170137448642214</v>
      </c>
      <c r="BM63" s="1998">
        <v>1.1385153231561622</v>
      </c>
      <c r="BN63" s="1998">
        <v>1.1170137448642214</v>
      </c>
      <c r="BO63" s="1998">
        <v>1.1385153231561622</v>
      </c>
      <c r="BP63" s="1998">
        <v>1.1170137448642214</v>
      </c>
      <c r="BQ63" s="1998">
        <v>1.1385153231561622</v>
      </c>
      <c r="BR63" s="1998">
        <v>1.1170137448642214</v>
      </c>
      <c r="BS63" s="1998">
        <v>1.1385153231561622</v>
      </c>
      <c r="BT63" s="1998">
        <v>1.1170137448642214</v>
      </c>
      <c r="BU63" s="1998">
        <v>1.1385153231561622</v>
      </c>
      <c r="BV63" s="1999">
        <v>1.1720905657817644</v>
      </c>
      <c r="BW63" s="1979">
        <v>1.2170960699359263</v>
      </c>
      <c r="BX63" s="1979">
        <v>1.1720905657817644</v>
      </c>
      <c r="BY63" s="1979">
        <v>1.2170960699359263</v>
      </c>
      <c r="BZ63" s="1979">
        <v>1.1720905657817644</v>
      </c>
      <c r="CA63" s="1979">
        <v>1.2170960699359263</v>
      </c>
      <c r="CB63" s="1979">
        <v>1.1720905657817644</v>
      </c>
      <c r="CC63" s="1979">
        <v>1.2170960699359263</v>
      </c>
      <c r="CD63" s="1979">
        <v>1.1720905657817644</v>
      </c>
      <c r="CE63" s="1979">
        <v>1.2170960699359263</v>
      </c>
      <c r="CF63" s="2000">
        <v>1.0229462900654527</v>
      </c>
      <c r="CG63" s="1998">
        <v>1.029032677919284</v>
      </c>
      <c r="CH63" s="1998">
        <v>1.0229462900654527</v>
      </c>
      <c r="CI63" s="1998">
        <v>1.029032677919284</v>
      </c>
      <c r="CJ63" s="1998">
        <v>1.0229462900654527</v>
      </c>
      <c r="CK63" s="1998">
        <v>1.029032677919284</v>
      </c>
      <c r="CL63" s="1998">
        <v>1.0229462900654527</v>
      </c>
      <c r="CM63" s="1998">
        <v>1.029032677919284</v>
      </c>
      <c r="CN63" s="1998">
        <v>1.0229462900654527</v>
      </c>
      <c r="CO63" s="1998">
        <v>1.029032677919284</v>
      </c>
      <c r="CP63" s="1999">
        <v>1.0275227666553484</v>
      </c>
      <c r="CQ63" s="1979">
        <v>1.0347429251585825</v>
      </c>
      <c r="CR63" s="1979">
        <v>1.0275227666553484</v>
      </c>
      <c r="CS63" s="1979">
        <v>1.0347429251585825</v>
      </c>
      <c r="CT63" s="1979">
        <v>1.0275227666553484</v>
      </c>
      <c r="CU63" s="1979">
        <v>1.0347429251585825</v>
      </c>
      <c r="CV63" s="1979">
        <v>1.0275227666553484</v>
      </c>
      <c r="CW63" s="1979">
        <v>1.0347429251585825</v>
      </c>
      <c r="CX63" s="1979">
        <v>1.0275227666553484</v>
      </c>
      <c r="CY63" s="1979">
        <v>1.0347429251585825</v>
      </c>
      <c r="CZ63" s="2000">
        <v>1</v>
      </c>
      <c r="DA63" s="1998">
        <v>1</v>
      </c>
      <c r="DB63" s="1998">
        <v>1</v>
      </c>
      <c r="DC63" s="1998">
        <v>1</v>
      </c>
      <c r="DD63" s="1998">
        <v>1</v>
      </c>
      <c r="DE63" s="1998">
        <v>1</v>
      </c>
      <c r="DF63" s="1998">
        <v>1</v>
      </c>
      <c r="DG63" s="1998">
        <v>1</v>
      </c>
      <c r="DH63" s="1998">
        <v>1</v>
      </c>
      <c r="DI63" s="1998">
        <v>1</v>
      </c>
      <c r="DJ63" s="1999">
        <v>1.0056299445065071</v>
      </c>
      <c r="DK63" s="1979">
        <v>1.0069907332011339</v>
      </c>
      <c r="DL63" s="1979">
        <v>1.0056299445065071</v>
      </c>
      <c r="DM63" s="1979">
        <v>1.0069907332011339</v>
      </c>
      <c r="DN63" s="1979">
        <v>1.0056299445065071</v>
      </c>
      <c r="DO63" s="1979">
        <v>1.0069907332011339</v>
      </c>
      <c r="DP63" s="1979">
        <v>1.0056299445065071</v>
      </c>
      <c r="DQ63" s="1979">
        <v>1.0069907332011339</v>
      </c>
      <c r="DR63" s="1979">
        <v>1.0056299445065071</v>
      </c>
      <c r="DS63" s="1979">
        <v>1.0069907332011339</v>
      </c>
      <c r="GT63" s="1980"/>
      <c r="GU63" s="1980"/>
      <c r="GV63" s="1980"/>
      <c r="GW63" s="1980"/>
      <c r="GX63" s="1980"/>
      <c r="GY63" s="1980"/>
      <c r="GZ63" s="1980"/>
      <c r="HA63" s="1980"/>
      <c r="HB63" s="1980"/>
      <c r="HC63" s="1980"/>
      <c r="HD63" s="1980"/>
      <c r="HE63" s="1980"/>
      <c r="HF63" s="1980"/>
      <c r="HG63" s="1980"/>
      <c r="HH63" s="1980"/>
      <c r="HI63" s="1980"/>
      <c r="HJ63" s="1980"/>
      <c r="HK63" s="1980"/>
      <c r="HL63" s="1980"/>
      <c r="HM63" s="1980"/>
      <c r="HN63" s="1980"/>
      <c r="HO63" s="1980"/>
      <c r="HP63" s="1980"/>
      <c r="HQ63" s="1980"/>
      <c r="HR63" s="1980"/>
      <c r="HS63" s="1980"/>
      <c r="HT63" s="1980"/>
      <c r="HU63" s="1980"/>
      <c r="HV63" s="1980"/>
      <c r="HW63" s="1980"/>
      <c r="HX63" s="1980"/>
      <c r="HY63" s="1980"/>
      <c r="HZ63" s="1980"/>
      <c r="IA63" s="1980"/>
      <c r="IB63" s="1980"/>
      <c r="IC63" s="1980"/>
      <c r="ID63" s="1980"/>
      <c r="IE63" s="1980"/>
      <c r="IF63" s="1980"/>
      <c r="IG63" s="1980"/>
      <c r="IH63" s="1980"/>
      <c r="II63" s="1980"/>
      <c r="IJ63" s="1980"/>
      <c r="IK63" s="1980"/>
      <c r="IL63" s="1980"/>
      <c r="IM63" s="1980"/>
      <c r="IN63" s="1980"/>
      <c r="IO63" s="1980"/>
      <c r="IP63" s="1980"/>
      <c r="IQ63" s="1980"/>
      <c r="IR63" s="1980"/>
      <c r="IS63" s="1980"/>
      <c r="IT63" s="1980"/>
      <c r="IU63" s="1980"/>
      <c r="IV63" s="1980"/>
      <c r="IW63" s="1980"/>
      <c r="IX63" s="1980"/>
      <c r="IY63" s="1980"/>
      <c r="IZ63" s="1980"/>
      <c r="JA63" s="1980"/>
      <c r="JB63" s="1980"/>
      <c r="JC63" s="1980"/>
      <c r="JD63" s="1980"/>
      <c r="JE63" s="1980"/>
      <c r="JF63" s="1980"/>
      <c r="JG63" s="1980"/>
      <c r="JH63" s="1980"/>
      <c r="JI63" s="1980"/>
      <c r="JJ63" s="1980"/>
      <c r="JK63" s="1980"/>
      <c r="JL63" s="1980"/>
      <c r="JM63" s="1980"/>
      <c r="JN63" s="1980"/>
      <c r="JO63" s="1980"/>
      <c r="JP63" s="1980"/>
      <c r="JQ63" s="1980"/>
      <c r="JR63" s="1980"/>
      <c r="JS63" s="1980"/>
      <c r="JT63" s="1980"/>
      <c r="JU63" s="1980"/>
      <c r="JV63" s="1980"/>
      <c r="JW63" s="1980"/>
      <c r="JX63" s="1980"/>
      <c r="JY63" s="1980"/>
      <c r="JZ63" s="1980"/>
      <c r="KA63" s="1980"/>
      <c r="KB63" s="1980"/>
      <c r="KC63" s="1980"/>
      <c r="KD63" s="1980"/>
      <c r="KE63" s="1980"/>
      <c r="KF63" s="1980"/>
      <c r="KG63" s="1980"/>
      <c r="KH63" s="1980"/>
      <c r="KI63" s="1980"/>
      <c r="KJ63" s="1980"/>
      <c r="KK63" s="1980"/>
    </row>
    <row r="64" spans="1:297">
      <c r="A64" s="1997"/>
      <c r="B64" s="2">
        <v>39</v>
      </c>
      <c r="C64" s="2" t="str">
        <f>$AF$18</f>
        <v/>
      </c>
      <c r="D64" s="1998">
        <v>1.0227769495140195</v>
      </c>
      <c r="E64" s="1998">
        <v>1.0059727025741969</v>
      </c>
      <c r="F64" s="1998">
        <v>1.0227769495140195</v>
      </c>
      <c r="G64" s="1998">
        <v>1.0059727025741969</v>
      </c>
      <c r="H64" s="1998">
        <v>1.0227769495140195</v>
      </c>
      <c r="I64" s="1998">
        <v>1.0059727025741969</v>
      </c>
      <c r="J64" s="1998">
        <v>1.0227769495140195</v>
      </c>
      <c r="K64" s="1998">
        <v>1.0059727025741969</v>
      </c>
      <c r="L64" s="1998">
        <v>1.0227769495140195</v>
      </c>
      <c r="M64" s="1998">
        <v>1.0059727025741969</v>
      </c>
      <c r="N64" s="1999">
        <v>1.1822842050055484</v>
      </c>
      <c r="O64" s="1979">
        <v>1.1383735895895952</v>
      </c>
      <c r="P64" s="1979">
        <v>1.1822842050055484</v>
      </c>
      <c r="Q64" s="1979">
        <v>1.1383735895895952</v>
      </c>
      <c r="R64" s="1979">
        <v>1.1822842050055484</v>
      </c>
      <c r="S64" s="1979">
        <v>1.1383735895895952</v>
      </c>
      <c r="T64" s="1979">
        <v>1.1822842050055484</v>
      </c>
      <c r="U64" s="1979">
        <v>1.1383735895895952</v>
      </c>
      <c r="V64" s="1979">
        <v>1.1822842050055484</v>
      </c>
      <c r="W64" s="1979">
        <v>1.1383735895895952</v>
      </c>
      <c r="X64" s="2000">
        <v>1.0434388234052001</v>
      </c>
      <c r="Y64" s="1998">
        <v>1.0280974034669013</v>
      </c>
      <c r="Z64" s="1998">
        <v>1.0434388234052001</v>
      </c>
      <c r="AA64" s="1998">
        <v>1.0280974034669013</v>
      </c>
      <c r="AB64" s="1998">
        <v>1.0434388234052001</v>
      </c>
      <c r="AC64" s="1998">
        <v>1.0280974034669013</v>
      </c>
      <c r="AD64" s="1998">
        <v>1.0434388234052001</v>
      </c>
      <c r="AE64" s="1998">
        <v>1.0280974034669013</v>
      </c>
      <c r="AF64" s="1998">
        <v>1.0434388234052001</v>
      </c>
      <c r="AG64" s="1998">
        <v>1.0280974034669013</v>
      </c>
      <c r="AH64" s="1999">
        <v>1.1251648223706952</v>
      </c>
      <c r="AI64" s="1979">
        <v>1.0977249400985309</v>
      </c>
      <c r="AJ64" s="1979">
        <v>1.1251648223706952</v>
      </c>
      <c r="AK64" s="1979">
        <v>1.0977249400985309</v>
      </c>
      <c r="AL64" s="1979">
        <v>1.1251648223706952</v>
      </c>
      <c r="AM64" s="1979">
        <v>1.0977249400985309</v>
      </c>
      <c r="AN64" s="1979">
        <v>1.1251648223706952</v>
      </c>
      <c r="AO64" s="1979">
        <v>1.0977249400985309</v>
      </c>
      <c r="AP64" s="1979">
        <v>1.1251648223706952</v>
      </c>
      <c r="AQ64" s="1979">
        <v>1.0977249400985309</v>
      </c>
      <c r="AR64" s="2000">
        <v>1.0310984342663703</v>
      </c>
      <c r="AS64" s="1998">
        <v>1.0240971792515468</v>
      </c>
      <c r="AT64" s="1998">
        <v>1.0310984342663703</v>
      </c>
      <c r="AU64" s="1998">
        <v>1.0240971792515468</v>
      </c>
      <c r="AV64" s="1998">
        <v>1.0310984342663703</v>
      </c>
      <c r="AW64" s="1998">
        <v>1.0240971792515468</v>
      </c>
      <c r="AX64" s="1998">
        <v>1.0310984342663703</v>
      </c>
      <c r="AY64" s="1998">
        <v>1.0240971792515468</v>
      </c>
      <c r="AZ64" s="1998">
        <v>1.0310984342663703</v>
      </c>
      <c r="BA64" s="1998">
        <v>1.0240971792515468</v>
      </c>
      <c r="BB64" s="1999">
        <v>1.3180265000109936</v>
      </c>
      <c r="BC64" s="1979">
        <v>1.3308586370188196</v>
      </c>
      <c r="BD64" s="1979">
        <v>1.3180265000109936</v>
      </c>
      <c r="BE64" s="1979">
        <v>1.3308586370188196</v>
      </c>
      <c r="BF64" s="1979">
        <v>1.3180265000109936</v>
      </c>
      <c r="BG64" s="1979">
        <v>1.3308586370188196</v>
      </c>
      <c r="BH64" s="1979">
        <v>1.3180265000109936</v>
      </c>
      <c r="BI64" s="1979">
        <v>1.3308586370188196</v>
      </c>
      <c r="BJ64" s="1979">
        <v>1.3180265000109936</v>
      </c>
      <c r="BK64" s="1979">
        <v>1.3308586370188196</v>
      </c>
      <c r="BL64" s="2000">
        <v>1.0991807094920885</v>
      </c>
      <c r="BM64" s="1998">
        <v>1.0810384024859852</v>
      </c>
      <c r="BN64" s="1998">
        <v>1.0991807094920885</v>
      </c>
      <c r="BO64" s="1998">
        <v>1.0810384024859852</v>
      </c>
      <c r="BP64" s="1998">
        <v>1.0991807094920885</v>
      </c>
      <c r="BQ64" s="1998">
        <v>1.0810384024859852</v>
      </c>
      <c r="BR64" s="1998">
        <v>1.0991807094920885</v>
      </c>
      <c r="BS64" s="1998">
        <v>1.0810384024859852</v>
      </c>
      <c r="BT64" s="1998">
        <v>1.0991807094920885</v>
      </c>
      <c r="BU64" s="1998">
        <v>1.0810384024859852</v>
      </c>
      <c r="BV64" s="1999">
        <v>1.1043646023572886</v>
      </c>
      <c r="BW64" s="1979">
        <v>1.0829643266906182</v>
      </c>
      <c r="BX64" s="1979">
        <v>1.1043646023572886</v>
      </c>
      <c r="BY64" s="1979">
        <v>1.0829643266906182</v>
      </c>
      <c r="BZ64" s="1979">
        <v>1.1043646023572886</v>
      </c>
      <c r="CA64" s="1979">
        <v>1.0829643266906182</v>
      </c>
      <c r="CB64" s="1979">
        <v>1.1043646023572886</v>
      </c>
      <c r="CC64" s="1979">
        <v>1.0829643266906182</v>
      </c>
      <c r="CD64" s="1979">
        <v>1.1043646023572886</v>
      </c>
      <c r="CE64" s="1979">
        <v>1.0829643266906182</v>
      </c>
      <c r="CF64" s="2000">
        <v>1.013915814776813</v>
      </c>
      <c r="CG64" s="1998">
        <v>1.0110949800994089</v>
      </c>
      <c r="CH64" s="1998">
        <v>1.013915814776813</v>
      </c>
      <c r="CI64" s="1998">
        <v>1.0110949800994089</v>
      </c>
      <c r="CJ64" s="1998">
        <v>1.013915814776813</v>
      </c>
      <c r="CK64" s="1998">
        <v>1.0110949800994089</v>
      </c>
      <c r="CL64" s="1998">
        <v>1.013915814776813</v>
      </c>
      <c r="CM64" s="1998">
        <v>1.0110949800994089</v>
      </c>
      <c r="CN64" s="1998">
        <v>1.013915814776813</v>
      </c>
      <c r="CO64" s="1998">
        <v>1.0110949800994089</v>
      </c>
      <c r="CP64" s="1999">
        <v>1.0166912264173766</v>
      </c>
      <c r="CQ64" s="1979">
        <v>1.0132771790566961</v>
      </c>
      <c r="CR64" s="1979">
        <v>1.0166912264173766</v>
      </c>
      <c r="CS64" s="1979">
        <v>1.0132771790566961</v>
      </c>
      <c r="CT64" s="1979">
        <v>1.0166912264173766</v>
      </c>
      <c r="CU64" s="1979">
        <v>1.0132771790566961</v>
      </c>
      <c r="CV64" s="1979">
        <v>1.0166912264173766</v>
      </c>
      <c r="CW64" s="1979">
        <v>1.0132771790566961</v>
      </c>
      <c r="CX64" s="1979">
        <v>1.0166912264173766</v>
      </c>
      <c r="CY64" s="1979">
        <v>1.0132771790566961</v>
      </c>
      <c r="CZ64" s="2000">
        <v>1</v>
      </c>
      <c r="DA64" s="1998">
        <v>1</v>
      </c>
      <c r="DB64" s="1998">
        <v>1</v>
      </c>
      <c r="DC64" s="1998">
        <v>1</v>
      </c>
      <c r="DD64" s="1998">
        <v>1</v>
      </c>
      <c r="DE64" s="1998">
        <v>1</v>
      </c>
      <c r="DF64" s="1998">
        <v>1</v>
      </c>
      <c r="DG64" s="1998">
        <v>1</v>
      </c>
      <c r="DH64" s="1998">
        <v>1</v>
      </c>
      <c r="DI64" s="1998">
        <v>1</v>
      </c>
      <c r="DJ64" s="1999">
        <v>1.0035107351701431</v>
      </c>
      <c r="DK64" s="1979">
        <v>1.0027735639769348</v>
      </c>
      <c r="DL64" s="1979">
        <v>1.0035107351701431</v>
      </c>
      <c r="DM64" s="1979">
        <v>1.0027735639769348</v>
      </c>
      <c r="DN64" s="1979">
        <v>1.0035107351701431</v>
      </c>
      <c r="DO64" s="1979">
        <v>1.0027735639769348</v>
      </c>
      <c r="DP64" s="1979">
        <v>1.0035107351701431</v>
      </c>
      <c r="DQ64" s="1979">
        <v>1.0027735639769348</v>
      </c>
      <c r="DR64" s="1979">
        <v>1.0035107351701431</v>
      </c>
      <c r="DS64" s="1979">
        <v>1.0027735639769348</v>
      </c>
      <c r="GT64" s="1980"/>
      <c r="GU64" s="1980"/>
      <c r="GV64" s="1980"/>
      <c r="GW64" s="1980"/>
      <c r="GX64" s="1980"/>
      <c r="GY64" s="1980"/>
      <c r="GZ64" s="1980"/>
      <c r="HA64" s="1980"/>
      <c r="HB64" s="1980"/>
      <c r="HC64" s="1980"/>
      <c r="HD64" s="1980"/>
      <c r="HE64" s="1980"/>
      <c r="HF64" s="1980"/>
      <c r="HG64" s="1980"/>
      <c r="HH64" s="1980"/>
      <c r="HI64" s="1980"/>
      <c r="HJ64" s="1980"/>
      <c r="HK64" s="1980"/>
      <c r="HL64" s="1980"/>
      <c r="HM64" s="1980"/>
      <c r="HN64" s="1980"/>
      <c r="HO64" s="1980"/>
      <c r="HP64" s="1980"/>
      <c r="HQ64" s="1980"/>
      <c r="HR64" s="1980"/>
      <c r="HS64" s="1980"/>
      <c r="HT64" s="1980"/>
      <c r="HU64" s="1980"/>
      <c r="HV64" s="1980"/>
      <c r="HW64" s="1980"/>
      <c r="HX64" s="1980"/>
      <c r="HY64" s="1980"/>
      <c r="HZ64" s="1980"/>
      <c r="IA64" s="1980"/>
      <c r="IB64" s="1980"/>
      <c r="IC64" s="1980"/>
      <c r="ID64" s="1980"/>
      <c r="IE64" s="1980"/>
      <c r="IF64" s="1980"/>
      <c r="IG64" s="1980"/>
      <c r="IH64" s="1980"/>
      <c r="II64" s="1980"/>
      <c r="IJ64" s="1980"/>
      <c r="IK64" s="1980"/>
      <c r="IL64" s="1980"/>
      <c r="IM64" s="1980"/>
      <c r="IN64" s="1980"/>
      <c r="IO64" s="1980"/>
      <c r="IP64" s="1980"/>
      <c r="IQ64" s="1980"/>
      <c r="IR64" s="1980"/>
      <c r="IS64" s="1980"/>
      <c r="IT64" s="1980"/>
      <c r="IU64" s="1980"/>
      <c r="IV64" s="1980"/>
      <c r="IW64" s="1980"/>
      <c r="IX64" s="1980"/>
      <c r="IY64" s="1980"/>
      <c r="IZ64" s="1980"/>
      <c r="JA64" s="1980"/>
      <c r="JB64" s="1980"/>
      <c r="JC64" s="1980"/>
      <c r="JD64" s="1980"/>
      <c r="JE64" s="1980"/>
      <c r="JF64" s="1980"/>
      <c r="JG64" s="1980"/>
      <c r="JH64" s="1980"/>
      <c r="JI64" s="1980"/>
      <c r="JJ64" s="1980"/>
      <c r="JK64" s="1980"/>
      <c r="JL64" s="1980"/>
      <c r="JM64" s="1980"/>
      <c r="JN64" s="1980"/>
      <c r="JO64" s="1980"/>
      <c r="JP64" s="1980"/>
      <c r="JQ64" s="1980"/>
      <c r="JR64" s="1980"/>
      <c r="JS64" s="1980"/>
      <c r="JT64" s="1980"/>
      <c r="JU64" s="1980"/>
      <c r="JV64" s="1980"/>
      <c r="JW64" s="1980"/>
      <c r="JX64" s="1980"/>
      <c r="JY64" s="1980"/>
      <c r="JZ64" s="1980"/>
      <c r="KA64" s="1980"/>
      <c r="KB64" s="1980"/>
      <c r="KC64" s="1980"/>
      <c r="KD64" s="1980"/>
      <c r="KE64" s="1980"/>
      <c r="KF64" s="1980"/>
      <c r="KG64" s="1980"/>
      <c r="KH64" s="1980"/>
      <c r="KI64" s="1980"/>
      <c r="KJ64" s="1980"/>
      <c r="KK64" s="1980"/>
    </row>
    <row r="65" spans="1:297" s="1962" customFormat="1">
      <c r="A65" s="2001" t="str">
        <f>Uebersetzung!$D631</f>
        <v>Contruction massive légère</v>
      </c>
      <c r="B65" s="2">
        <v>1</v>
      </c>
      <c r="C65" s="2" t="s">
        <v>4327</v>
      </c>
      <c r="D65" s="2002">
        <v>0.85067584725154088</v>
      </c>
      <c r="E65" s="2002">
        <v>0.8698119371653239</v>
      </c>
      <c r="F65" s="2002">
        <v>0.86509333738657346</v>
      </c>
      <c r="G65" s="2002">
        <v>0.88838482828626752</v>
      </c>
      <c r="H65" s="2002">
        <v>0.89694090196821585</v>
      </c>
      <c r="I65" s="2002">
        <v>0.92753931582717419</v>
      </c>
      <c r="J65" s="2002">
        <v>0.9267129170161893</v>
      </c>
      <c r="K65" s="2002">
        <v>0.96660129833861952</v>
      </c>
      <c r="L65" s="2002">
        <v>0.9591023586781533</v>
      </c>
      <c r="M65" s="2002">
        <v>1.0072997951430469</v>
      </c>
      <c r="N65" s="2003">
        <v>0.7234505241791146</v>
      </c>
      <c r="O65" s="2004">
        <v>0.72095250604870553</v>
      </c>
      <c r="P65" s="2004">
        <v>0.73706181049702568</v>
      </c>
      <c r="Q65" s="2004">
        <v>0.73809795029446901</v>
      </c>
      <c r="R65" s="2004">
        <v>0.76117796941322213</v>
      </c>
      <c r="S65" s="2004">
        <v>0.76757256971943888</v>
      </c>
      <c r="T65" s="2004">
        <v>0.78320915763158305</v>
      </c>
      <c r="U65" s="2004">
        <v>0.79619251708877881</v>
      </c>
      <c r="V65" s="2004">
        <v>0.81118646186224674</v>
      </c>
      <c r="W65" s="2004">
        <v>0.82852532817251145</v>
      </c>
      <c r="X65" s="2005">
        <v>0.86506959635756386</v>
      </c>
      <c r="Y65" s="2002">
        <v>0.86715925972855967</v>
      </c>
      <c r="Z65" s="2002">
        <v>0.89538947322214602</v>
      </c>
      <c r="AA65" s="2002">
        <v>0.90540658289934728</v>
      </c>
      <c r="AB65" s="2002">
        <v>0.89674972804255138</v>
      </c>
      <c r="AC65" s="2002">
        <v>0.90709534416685778</v>
      </c>
      <c r="AD65" s="2002">
        <v>0.89810998286295673</v>
      </c>
      <c r="AE65" s="2002">
        <v>0.90878410543436883</v>
      </c>
      <c r="AF65" s="2002">
        <v>0.89947023768336209</v>
      </c>
      <c r="AG65" s="2002">
        <v>0.91047286670187966</v>
      </c>
      <c r="AH65" s="2003">
        <v>0.65418761265679748</v>
      </c>
      <c r="AI65" s="2004">
        <v>0.66033698639685379</v>
      </c>
      <c r="AJ65" s="2004">
        <v>0.67495045946441812</v>
      </c>
      <c r="AK65" s="2004">
        <v>0.6866748034064365</v>
      </c>
      <c r="AL65" s="2004">
        <v>0.67596316206185425</v>
      </c>
      <c r="AM65" s="2004">
        <v>0.68794646000451309</v>
      </c>
      <c r="AN65" s="2004">
        <v>0.67697586465929016</v>
      </c>
      <c r="AO65" s="2004">
        <v>0.68921811660258958</v>
      </c>
      <c r="AP65" s="2004">
        <v>0.67798856725672618</v>
      </c>
      <c r="AQ65" s="2004">
        <v>0.69048977320066618</v>
      </c>
      <c r="AR65" s="2005">
        <v>0.89288344400163389</v>
      </c>
      <c r="AS65" s="2002">
        <v>0.89930167021148777</v>
      </c>
      <c r="AT65" s="2002">
        <v>0.92512522526096608</v>
      </c>
      <c r="AU65" s="2002">
        <v>0.93884788696846144</v>
      </c>
      <c r="AV65" s="2002">
        <v>0.92725478730197541</v>
      </c>
      <c r="AW65" s="2002">
        <v>0.94150177613085217</v>
      </c>
      <c r="AX65" s="2002">
        <v>0.92938434934298464</v>
      </c>
      <c r="AY65" s="2002">
        <v>0.94415566529324302</v>
      </c>
      <c r="AZ65" s="2002">
        <v>0.93151391138399386</v>
      </c>
      <c r="BA65" s="2002">
        <v>0.94680955445563408</v>
      </c>
      <c r="BB65" s="2003">
        <v>0.884175194958019</v>
      </c>
      <c r="BC65" s="2004">
        <v>0.86255227971844495</v>
      </c>
      <c r="BD65" s="2004">
        <v>0.91346506237542957</v>
      </c>
      <c r="BE65" s="2004">
        <v>0.89677442974007371</v>
      </c>
      <c r="BF65" s="2004">
        <v>0.9156586225801816</v>
      </c>
      <c r="BG65" s="2004">
        <v>0.89941411094111479</v>
      </c>
      <c r="BH65" s="2004">
        <v>0.91785218278493352</v>
      </c>
      <c r="BI65" s="2004">
        <v>0.90205379214215609</v>
      </c>
      <c r="BJ65" s="2004">
        <v>0.92004574298968533</v>
      </c>
      <c r="BK65" s="2004">
        <v>0.90469347334319727</v>
      </c>
      <c r="BL65" s="2005">
        <v>0.81476438100281479</v>
      </c>
      <c r="BM65" s="2002">
        <v>0.82149252802117778</v>
      </c>
      <c r="BN65" s="2005">
        <v>0.81599433695813073</v>
      </c>
      <c r="BO65" s="2002">
        <v>0.82296809378894098</v>
      </c>
      <c r="BP65" s="2005">
        <v>0.81722429291344678</v>
      </c>
      <c r="BQ65" s="2002">
        <v>0.8244436595567044</v>
      </c>
      <c r="BR65" s="2005">
        <v>0.81845424886876295</v>
      </c>
      <c r="BS65" s="2002">
        <v>0.82591922532446771</v>
      </c>
      <c r="BT65" s="2005">
        <v>0.81968420482407878</v>
      </c>
      <c r="BU65" s="2002">
        <v>0.82739479109223091</v>
      </c>
      <c r="BV65" s="2003">
        <v>0.85059992886592117</v>
      </c>
      <c r="BW65" s="2004">
        <v>0.84903031963587405</v>
      </c>
      <c r="BX65" s="2004">
        <v>0.86281269934543159</v>
      </c>
      <c r="BY65" s="2004">
        <v>0.86558990272443592</v>
      </c>
      <c r="BZ65" s="2004">
        <v>0.88984026025605867</v>
      </c>
      <c r="CA65" s="2004">
        <v>0.90038313214885846</v>
      </c>
      <c r="CB65" s="2004">
        <v>0.9149916822669325</v>
      </c>
      <c r="CC65" s="2004">
        <v>0.93494409763937447</v>
      </c>
      <c r="CD65" s="2004">
        <v>0.94311108508661401</v>
      </c>
      <c r="CE65" s="2004">
        <v>0.97144581815700848</v>
      </c>
      <c r="CF65" s="2005">
        <v>0.70056311534820415</v>
      </c>
      <c r="CG65" s="2002">
        <v>0.75490591708226173</v>
      </c>
      <c r="CH65" s="2005">
        <v>0.7013506851636544</v>
      </c>
      <c r="CI65" s="2002">
        <v>0.75591580168450401</v>
      </c>
      <c r="CJ65" s="2005">
        <v>0.70213825497910498</v>
      </c>
      <c r="CK65" s="2002">
        <v>0.75692568628674628</v>
      </c>
      <c r="CL65" s="2005">
        <v>0.70292582479455545</v>
      </c>
      <c r="CM65" s="2002">
        <v>0.75793557088898866</v>
      </c>
      <c r="CN65" s="2005">
        <v>0.70371339461000582</v>
      </c>
      <c r="CO65" s="2002">
        <v>0.75894545549123071</v>
      </c>
      <c r="CP65" s="2003">
        <v>0.64881775667254882</v>
      </c>
      <c r="CQ65" s="2004">
        <v>0.70545712103487324</v>
      </c>
      <c r="CR65" s="2003">
        <v>0.6496443211267332</v>
      </c>
      <c r="CS65" s="2004">
        <v>0.70651456920054201</v>
      </c>
      <c r="CT65" s="2003">
        <v>0.6504708855809177</v>
      </c>
      <c r="CU65" s="2004">
        <v>0.70757201736621045</v>
      </c>
      <c r="CV65" s="2003">
        <v>0.6512974500351022</v>
      </c>
      <c r="CW65" s="2004">
        <v>0.708629465531879</v>
      </c>
      <c r="CX65" s="2003">
        <v>0.65212401448928659</v>
      </c>
      <c r="CY65" s="2004">
        <v>0.70968691369754766</v>
      </c>
      <c r="CZ65" s="2005">
        <v>0.60814436753546852</v>
      </c>
      <c r="DA65" s="2002">
        <v>0.63749812684075069</v>
      </c>
      <c r="DB65" s="2005">
        <v>0.60893324913789348</v>
      </c>
      <c r="DC65" s="2002">
        <v>0.63849796960868488</v>
      </c>
      <c r="DD65" s="2005">
        <v>0.60972213074031834</v>
      </c>
      <c r="DE65" s="2002">
        <v>0.63949781237661907</v>
      </c>
      <c r="DF65" s="2005">
        <v>0.61051101234274319</v>
      </c>
      <c r="DG65" s="2002">
        <v>0.64049765514455315</v>
      </c>
      <c r="DH65" s="2005">
        <v>0.61208877554759289</v>
      </c>
      <c r="DI65" s="2002">
        <v>0.64249734068042141</v>
      </c>
      <c r="DJ65" s="2003">
        <v>0.55207142466484826</v>
      </c>
      <c r="DK65" s="2004">
        <v>0.59038957032050143</v>
      </c>
      <c r="DL65" s="2003">
        <v>0.55311501594994161</v>
      </c>
      <c r="DM65" s="2004">
        <v>0.59173018572732583</v>
      </c>
      <c r="DN65" s="2003">
        <v>0.55415860723503496</v>
      </c>
      <c r="DO65" s="2004">
        <v>0.59307080113415034</v>
      </c>
      <c r="DP65" s="2003">
        <v>0.5552021985201282</v>
      </c>
      <c r="DQ65" s="2004">
        <v>0.59441141654097496</v>
      </c>
      <c r="DR65" s="2003">
        <v>0.55728938109031489</v>
      </c>
      <c r="DS65" s="2004">
        <v>0.59709264735462397</v>
      </c>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1980"/>
      <c r="GU65" s="1980"/>
      <c r="GV65" s="1980"/>
      <c r="GW65" s="1980"/>
      <c r="GX65" s="1980"/>
      <c r="GY65" s="1980"/>
      <c r="GZ65" s="1980"/>
      <c r="HA65" s="1980"/>
      <c r="HB65" s="1980"/>
      <c r="HC65" s="1980"/>
      <c r="HD65" s="1980"/>
      <c r="HE65" s="1980"/>
      <c r="HF65" s="1980"/>
      <c r="HG65" s="1980"/>
      <c r="HH65" s="1980"/>
      <c r="HI65" s="1980"/>
      <c r="HJ65" s="1980"/>
      <c r="HK65" s="1980"/>
      <c r="HL65" s="1980"/>
      <c r="HM65" s="1980"/>
      <c r="HN65" s="1980"/>
      <c r="HO65" s="1980"/>
      <c r="HP65" s="1980"/>
      <c r="HQ65" s="1980"/>
      <c r="HR65" s="1980"/>
      <c r="HS65" s="1980"/>
      <c r="HT65" s="1980"/>
      <c r="HU65" s="1980"/>
      <c r="HV65" s="1980"/>
      <c r="HW65" s="1980"/>
      <c r="HX65" s="1980"/>
      <c r="HY65" s="1980"/>
      <c r="HZ65" s="1980"/>
      <c r="IA65" s="1980"/>
      <c r="IB65" s="1980"/>
      <c r="IC65" s="1980"/>
      <c r="ID65" s="1980"/>
      <c r="IE65" s="1980"/>
      <c r="IF65" s="1980"/>
      <c r="IG65" s="1980"/>
      <c r="IH65" s="1980"/>
      <c r="II65" s="1980"/>
      <c r="IJ65" s="1980"/>
      <c r="IK65" s="1980"/>
      <c r="IL65" s="1980"/>
      <c r="IM65" s="1980"/>
      <c r="IN65" s="1980"/>
      <c r="IO65" s="1980"/>
      <c r="IP65" s="1980"/>
      <c r="IQ65" s="1980"/>
      <c r="IR65" s="1980"/>
      <c r="IS65" s="1980"/>
      <c r="IT65" s="1980"/>
      <c r="IU65" s="1980"/>
      <c r="IV65" s="1980"/>
      <c r="IW65" s="1980"/>
      <c r="IX65" s="1980"/>
      <c r="IY65" s="1980"/>
      <c r="IZ65" s="1980"/>
      <c r="JA65" s="1980"/>
      <c r="JB65" s="1980"/>
      <c r="JC65" s="1980"/>
      <c r="JD65" s="1980"/>
      <c r="JE65" s="1980"/>
      <c r="JF65" s="1980"/>
      <c r="JG65" s="1980"/>
      <c r="JH65" s="1980"/>
      <c r="JI65" s="1980"/>
      <c r="JJ65" s="1980"/>
      <c r="JK65" s="1980"/>
      <c r="JL65" s="1980"/>
      <c r="JM65" s="1980"/>
      <c r="JN65" s="1980"/>
      <c r="JO65" s="1980"/>
      <c r="JP65" s="1980"/>
      <c r="JQ65" s="1980"/>
      <c r="JR65" s="1980"/>
      <c r="JS65" s="1980"/>
      <c r="JT65" s="1980"/>
      <c r="JU65" s="1980"/>
      <c r="JV65" s="1980"/>
      <c r="JW65" s="1980"/>
      <c r="JX65" s="1980"/>
      <c r="JY65" s="1980"/>
      <c r="JZ65" s="1980"/>
      <c r="KA65" s="1980"/>
      <c r="KB65" s="1980"/>
      <c r="KC65" s="1980"/>
      <c r="KD65" s="1980"/>
      <c r="KE65" s="1980"/>
      <c r="KF65" s="1980"/>
      <c r="KG65" s="1980"/>
      <c r="KH65" s="1980"/>
      <c r="KI65" s="1980"/>
      <c r="KJ65" s="1980"/>
      <c r="KK65" s="1980"/>
    </row>
    <row r="66" spans="1:297">
      <c r="A66" s="1997"/>
      <c r="B66" s="2">
        <v>2</v>
      </c>
      <c r="C66" s="2" t="s">
        <v>4328</v>
      </c>
      <c r="D66" s="1979">
        <v>0.87477888605052023</v>
      </c>
      <c r="E66" s="1979">
        <v>0.89237243918090936</v>
      </c>
      <c r="F66" s="1979">
        <v>0.88965738842021669</v>
      </c>
      <c r="G66" s="1979">
        <v>0.91152677839119833</v>
      </c>
      <c r="H66" s="1979">
        <v>0.92169681753721711</v>
      </c>
      <c r="I66" s="1979">
        <v>0.95091339118772167</v>
      </c>
      <c r="J66" s="1979">
        <v>0.95153018751655505</v>
      </c>
      <c r="K66" s="1979">
        <v>0.99003886627081505</v>
      </c>
      <c r="L66" s="1979">
        <v>0.98485345964788018</v>
      </c>
      <c r="M66" s="1979">
        <v>1.0313463604112176</v>
      </c>
      <c r="N66" s="2000">
        <v>0.74779940976390158</v>
      </c>
      <c r="O66" s="1998">
        <v>0.74354119827174936</v>
      </c>
      <c r="P66" s="1998">
        <v>0.76187892483581776</v>
      </c>
      <c r="Q66" s="1998">
        <v>0.76117054947301388</v>
      </c>
      <c r="R66" s="1998">
        <v>0.78622919812901659</v>
      </c>
      <c r="S66" s="1998">
        <v>0.79088712237573422</v>
      </c>
      <c r="T66" s="1998">
        <v>0.80849450072438001</v>
      </c>
      <c r="U66" s="1998">
        <v>0.81974902322282461</v>
      </c>
      <c r="V66" s="1998">
        <v>0.8367059193320463</v>
      </c>
      <c r="W66" s="1998">
        <v>0.85232378778430773</v>
      </c>
      <c r="X66" s="1999">
        <v>0.88233977525346352</v>
      </c>
      <c r="Y66" s="1979">
        <v>0.8830318940183145</v>
      </c>
      <c r="Z66" s="1979">
        <v>0.91265965211804567</v>
      </c>
      <c r="AA66" s="1979">
        <v>0.92127921718910188</v>
      </c>
      <c r="AB66" s="1979">
        <v>0.91401990693845103</v>
      </c>
      <c r="AC66" s="1979">
        <v>0.92296797845661271</v>
      </c>
      <c r="AD66" s="1979">
        <v>0.91538016175885639</v>
      </c>
      <c r="AE66" s="1979">
        <v>0.92465673972412366</v>
      </c>
      <c r="AF66" s="1979">
        <v>0.91674041657926175</v>
      </c>
      <c r="AG66" s="1979">
        <v>0.92634550099163437</v>
      </c>
      <c r="AH66" s="2000">
        <v>0.65888840684783612</v>
      </c>
      <c r="AI66" s="1998">
        <v>0.66523009287706947</v>
      </c>
      <c r="AJ66" s="1998">
        <v>0.67994696675013488</v>
      </c>
      <c r="AK66" s="1998">
        <v>0.69175782745580827</v>
      </c>
      <c r="AL66" s="1998">
        <v>0.68107219185839696</v>
      </c>
      <c r="AM66" s="1998">
        <v>0.69317077923144887</v>
      </c>
      <c r="AN66" s="1998">
        <v>0.68219741696665925</v>
      </c>
      <c r="AO66" s="1998">
        <v>0.69458373100708937</v>
      </c>
      <c r="AP66" s="1998">
        <v>0.68332264207492144</v>
      </c>
      <c r="AQ66" s="1998">
        <v>0.69599668278272997</v>
      </c>
      <c r="AR66" s="1999">
        <v>0.92524782487976531</v>
      </c>
      <c r="AS66" s="1979">
        <v>0.92920298076621033</v>
      </c>
      <c r="AT66" s="1979">
        <v>0.9574896061390975</v>
      </c>
      <c r="AU66" s="1979">
        <v>0.96874919752318367</v>
      </c>
      <c r="AV66" s="1979">
        <v>0.95961916818010673</v>
      </c>
      <c r="AW66" s="1979">
        <v>0.97140308668557473</v>
      </c>
      <c r="AX66" s="1979">
        <v>0.96174873022111584</v>
      </c>
      <c r="AY66" s="1979">
        <v>0.97405697584796558</v>
      </c>
      <c r="AZ66" s="1979">
        <v>0.96387829226212529</v>
      </c>
      <c r="BA66" s="1979">
        <v>0.97671086501035642</v>
      </c>
      <c r="BB66" s="2000">
        <v>0.92193459257211319</v>
      </c>
      <c r="BC66" s="1998">
        <v>0.89469948412092615</v>
      </c>
      <c r="BD66" s="1998">
        <v>0.95122445998952398</v>
      </c>
      <c r="BE66" s="1998">
        <v>0.92892163414255491</v>
      </c>
      <c r="BF66" s="1998">
        <v>0.95341802019427579</v>
      </c>
      <c r="BG66" s="1998">
        <v>0.93156131534359599</v>
      </c>
      <c r="BH66" s="1998">
        <v>0.9556115803990276</v>
      </c>
      <c r="BI66" s="1998">
        <v>0.93420099654463706</v>
      </c>
      <c r="BJ66" s="1998">
        <v>0.95780514060377941</v>
      </c>
      <c r="BK66" s="1998">
        <v>0.93684067774567847</v>
      </c>
      <c r="BL66" s="1999">
        <v>0.83393678768060009</v>
      </c>
      <c r="BM66" s="1979">
        <v>0.8384358347360189</v>
      </c>
      <c r="BN66" s="1999">
        <v>0.83516674363591648</v>
      </c>
      <c r="BO66" s="1979">
        <v>0.83991140050378221</v>
      </c>
      <c r="BP66" s="1999">
        <v>0.83639669959123231</v>
      </c>
      <c r="BQ66" s="1979">
        <v>0.84138696627154552</v>
      </c>
      <c r="BR66" s="1999">
        <v>0.83762665554654858</v>
      </c>
      <c r="BS66" s="1979">
        <v>0.84286253203930861</v>
      </c>
      <c r="BT66" s="1999">
        <v>0.83885661150186464</v>
      </c>
      <c r="BU66" s="1979">
        <v>0.84433809780707192</v>
      </c>
      <c r="BV66" s="2000">
        <v>0.86788445071029763</v>
      </c>
      <c r="BW66" s="1998">
        <v>0.86619135168465522</v>
      </c>
      <c r="BX66" s="1998">
        <v>0.88034223016934232</v>
      </c>
      <c r="BY66" s="1998">
        <v>0.88309036867647317</v>
      </c>
      <c r="BZ66" s="1998">
        <v>0.9074660054403918</v>
      </c>
      <c r="CA66" s="1998">
        <v>0.9180116193967276</v>
      </c>
      <c r="CB66" s="1998">
        <v>0.93262484849126859</v>
      </c>
      <c r="CC66" s="1998">
        <v>0.95258061649625625</v>
      </c>
      <c r="CD66" s="1998">
        <v>0.9613452685127144</v>
      </c>
      <c r="CE66" s="1998">
        <v>0.98947851962832689</v>
      </c>
      <c r="CF66" s="1999">
        <v>0.71275975684730286</v>
      </c>
      <c r="CG66" s="1979">
        <v>0.7675415639044918</v>
      </c>
      <c r="CH66" s="1999">
        <v>0.71367858829866182</v>
      </c>
      <c r="CI66" s="1979">
        <v>0.76871976260710773</v>
      </c>
      <c r="CJ66" s="1999">
        <v>0.71459741975002045</v>
      </c>
      <c r="CK66" s="1979">
        <v>0.76989796130972388</v>
      </c>
      <c r="CL66" s="1999">
        <v>0.71551625120137941</v>
      </c>
      <c r="CM66" s="1979">
        <v>0.77107616001233981</v>
      </c>
      <c r="CN66" s="1999">
        <v>0.71643508265273825</v>
      </c>
      <c r="CO66" s="1979">
        <v>0.77225435871495574</v>
      </c>
      <c r="CP66" s="2000">
        <v>0.67956629187556805</v>
      </c>
      <c r="CQ66" s="1998">
        <v>0.73714456602864831</v>
      </c>
      <c r="CR66" s="2000">
        <v>0.6807234821114263</v>
      </c>
      <c r="CS66" s="1998">
        <v>0.7386249934605843</v>
      </c>
      <c r="CT66" s="2000">
        <v>0.68188067234728444</v>
      </c>
      <c r="CU66" s="1998">
        <v>0.7401054208925204</v>
      </c>
      <c r="CV66" s="2000">
        <v>0.6830378625831427</v>
      </c>
      <c r="CW66" s="1998">
        <v>0.7415858483244564</v>
      </c>
      <c r="CX66" s="2000">
        <v>0.68419505281900084</v>
      </c>
      <c r="CY66" s="1998">
        <v>0.7430662757563925</v>
      </c>
      <c r="CZ66" s="1999">
        <v>0.62162283679856412</v>
      </c>
      <c r="DA66" s="1979">
        <v>0.65300501908973763</v>
      </c>
      <c r="DB66" s="1999">
        <v>0.62256949472147405</v>
      </c>
      <c r="DC66" s="1979">
        <v>0.65420483041125854</v>
      </c>
      <c r="DD66" s="1999">
        <v>0.62351615264438387</v>
      </c>
      <c r="DE66" s="1979">
        <v>0.65540464173277957</v>
      </c>
      <c r="DF66" s="1999">
        <v>0.62446281056729369</v>
      </c>
      <c r="DG66" s="1979">
        <v>0.6566044530543006</v>
      </c>
      <c r="DH66" s="1999">
        <v>0.62635612641311333</v>
      </c>
      <c r="DI66" s="1979">
        <v>0.65900407569734232</v>
      </c>
      <c r="DJ66" s="2000">
        <v>0.55540888222380058</v>
      </c>
      <c r="DK66" s="1998">
        <v>0.59347770545285761</v>
      </c>
      <c r="DL66" s="2000">
        <v>0.55645247350889393</v>
      </c>
      <c r="DM66" s="1998">
        <v>0.59481832085968211</v>
      </c>
      <c r="DN66" s="2000">
        <v>0.55749606479398706</v>
      </c>
      <c r="DO66" s="1998">
        <v>0.59615893626650651</v>
      </c>
      <c r="DP66" s="2000">
        <v>0.5585396560790804</v>
      </c>
      <c r="DQ66" s="1998">
        <v>0.59749955167333113</v>
      </c>
      <c r="DR66" s="2000">
        <v>0.56062683864926699</v>
      </c>
      <c r="DS66" s="1998">
        <v>0.60018078248698015</v>
      </c>
      <c r="GT66" s="1980"/>
      <c r="GU66" s="1980"/>
      <c r="GV66" s="1980"/>
      <c r="GW66" s="1980"/>
      <c r="GX66" s="1980"/>
      <c r="GY66" s="1980"/>
      <c r="GZ66" s="1980"/>
      <c r="HA66" s="1980"/>
      <c r="HB66" s="1980"/>
      <c r="HC66" s="1980"/>
      <c r="HD66" s="1980"/>
      <c r="HE66" s="1980"/>
      <c r="HF66" s="1980"/>
      <c r="HG66" s="1980"/>
      <c r="HH66" s="1980"/>
      <c r="HI66" s="1980"/>
      <c r="HJ66" s="1980"/>
      <c r="HK66" s="1980"/>
      <c r="HL66" s="1980"/>
      <c r="HM66" s="1980"/>
      <c r="HN66" s="1980"/>
      <c r="HO66" s="1980"/>
      <c r="HP66" s="1980"/>
      <c r="HQ66" s="1980"/>
      <c r="HR66" s="1980"/>
      <c r="HS66" s="1980"/>
      <c r="HT66" s="1980"/>
      <c r="HU66" s="1980"/>
      <c r="HV66" s="1980"/>
      <c r="HW66" s="1980"/>
      <c r="HX66" s="1980"/>
      <c r="HY66" s="1980"/>
      <c r="HZ66" s="1980"/>
      <c r="IA66" s="1980"/>
      <c r="IB66" s="1980"/>
      <c r="IC66" s="1980"/>
      <c r="ID66" s="1980"/>
      <c r="IE66" s="1980"/>
      <c r="IF66" s="1980"/>
      <c r="IG66" s="1980"/>
      <c r="IH66" s="1980"/>
      <c r="II66" s="1980"/>
      <c r="IJ66" s="1980"/>
      <c r="IK66" s="1980"/>
      <c r="IL66" s="1980"/>
      <c r="IM66" s="1980"/>
      <c r="IN66" s="1980"/>
      <c r="IO66" s="1980"/>
      <c r="IP66" s="1980"/>
      <c r="IQ66" s="1980"/>
      <c r="IR66" s="1980"/>
      <c r="IS66" s="1980"/>
      <c r="IT66" s="1980"/>
      <c r="IU66" s="1980"/>
      <c r="IV66" s="1980"/>
      <c r="IW66" s="1980"/>
      <c r="IX66" s="1980"/>
      <c r="IY66" s="1980"/>
      <c r="IZ66" s="1980"/>
      <c r="JA66" s="1980"/>
      <c r="JB66" s="1980"/>
      <c r="JC66" s="1980"/>
      <c r="JD66" s="1980"/>
      <c r="JE66" s="1980"/>
      <c r="JF66" s="1980"/>
      <c r="JG66" s="1980"/>
      <c r="JH66" s="1980"/>
      <c r="JI66" s="1980"/>
      <c r="JJ66" s="1980"/>
      <c r="JK66" s="1980"/>
      <c r="JL66" s="1980"/>
      <c r="JM66" s="1980"/>
      <c r="JN66" s="1980"/>
      <c r="JO66" s="1980"/>
      <c r="JP66" s="1980"/>
      <c r="JQ66" s="1980"/>
      <c r="JR66" s="1980"/>
      <c r="JS66" s="1980"/>
      <c r="JT66" s="1980"/>
      <c r="JU66" s="1980"/>
      <c r="JV66" s="1980"/>
      <c r="JW66" s="1980"/>
      <c r="JX66" s="1980"/>
      <c r="JY66" s="1980"/>
      <c r="JZ66" s="1980"/>
      <c r="KA66" s="1980"/>
      <c r="KB66" s="1980"/>
      <c r="KC66" s="1980"/>
      <c r="KD66" s="1980"/>
      <c r="KE66" s="1980"/>
      <c r="KF66" s="1980"/>
      <c r="KG66" s="1980"/>
      <c r="KH66" s="1980"/>
      <c r="KI66" s="1980"/>
      <c r="KJ66" s="1980"/>
      <c r="KK66" s="1980"/>
    </row>
    <row r="67" spans="1:297">
      <c r="A67" s="1997"/>
      <c r="B67" s="2">
        <v>3</v>
      </c>
      <c r="C67" s="2" t="s">
        <v>4329</v>
      </c>
      <c r="D67" s="1979">
        <v>0.89668556254937448</v>
      </c>
      <c r="E67" s="1979">
        <v>0.91205170434678273</v>
      </c>
      <c r="F67" s="1979">
        <v>0.9119622515343796</v>
      </c>
      <c r="G67" s="1979">
        <v>0.9316560573739342</v>
      </c>
      <c r="H67" s="1979">
        <v>0.94418672247467972</v>
      </c>
      <c r="I67" s="1979">
        <v>0.97124636842832313</v>
      </c>
      <c r="J67" s="1979">
        <v>0.97415767623950211</v>
      </c>
      <c r="K67" s="1979">
        <v>1.0105142207932931</v>
      </c>
      <c r="L67" s="1979">
        <v>1.0079357959883104</v>
      </c>
      <c r="M67" s="1979">
        <v>1.0521624575844188</v>
      </c>
      <c r="N67" s="2000">
        <v>0.78077718424339482</v>
      </c>
      <c r="O67" s="1998">
        <v>0.77782810846459416</v>
      </c>
      <c r="P67" s="1998">
        <v>0.79517756626999225</v>
      </c>
      <c r="Q67" s="1998">
        <v>0.79596667036250524</v>
      </c>
      <c r="R67" s="1998">
        <v>0.81962243528368062</v>
      </c>
      <c r="S67" s="1998">
        <v>0.82583813852308774</v>
      </c>
      <c r="T67" s="1998">
        <v>0.84175997056118257</v>
      </c>
      <c r="U67" s="1998">
        <v>0.85456799388328708</v>
      </c>
      <c r="V67" s="1998">
        <v>0.87133015085406285</v>
      </c>
      <c r="W67" s="1998">
        <v>0.88793892888647752</v>
      </c>
      <c r="X67" s="1999">
        <v>0.90405652757806432</v>
      </c>
      <c r="Y67" s="1979">
        <v>0.90371435939095146</v>
      </c>
      <c r="Z67" s="1979">
        <v>0.93473388416784919</v>
      </c>
      <c r="AA67" s="1979">
        <v>0.94218867221583735</v>
      </c>
      <c r="AB67" s="1979">
        <v>0.93623016447029506</v>
      </c>
      <c r="AC67" s="1979">
        <v>0.94404630961009917</v>
      </c>
      <c r="AD67" s="1979">
        <v>0.93772644477274092</v>
      </c>
      <c r="AE67" s="1979">
        <v>0.94590394700436142</v>
      </c>
      <c r="AF67" s="1979">
        <v>0.93922272507518678</v>
      </c>
      <c r="AG67" s="1979">
        <v>0.94776158439862324</v>
      </c>
      <c r="AH67" s="2000">
        <v>0.73467628759398895</v>
      </c>
      <c r="AI67" s="1998">
        <v>0.73531255537392526</v>
      </c>
      <c r="AJ67" s="1998">
        <v>0.75610448886463499</v>
      </c>
      <c r="AK67" s="1998">
        <v>0.76207768691410893</v>
      </c>
      <c r="AL67" s="1998">
        <v>0.7573703671114298</v>
      </c>
      <c r="AM67" s="1998">
        <v>0.76366725766170462</v>
      </c>
      <c r="AN67" s="1998">
        <v>0.75863624535822483</v>
      </c>
      <c r="AO67" s="1998">
        <v>0.7652568284093002</v>
      </c>
      <c r="AP67" s="1998">
        <v>0.75990212360501996</v>
      </c>
      <c r="AQ67" s="1998">
        <v>0.76684639915689601</v>
      </c>
      <c r="AR67" s="1999">
        <v>0.93910007487334257</v>
      </c>
      <c r="AS67" s="1979">
        <v>0.94346011133898677</v>
      </c>
      <c r="AT67" s="1979">
        <v>0.97227461672258031</v>
      </c>
      <c r="AU67" s="1979">
        <v>0.9836008520177012</v>
      </c>
      <c r="AV67" s="1979">
        <v>0.97475910577042435</v>
      </c>
      <c r="AW67" s="1979">
        <v>0.98669705604049052</v>
      </c>
      <c r="AX67" s="1979">
        <v>0.97724359481826839</v>
      </c>
      <c r="AY67" s="1979">
        <v>0.98979326006327994</v>
      </c>
      <c r="AZ67" s="1979">
        <v>0.97972808386611243</v>
      </c>
      <c r="BA67" s="1979">
        <v>0.99288946408606926</v>
      </c>
      <c r="BB67" s="2000">
        <v>0.96734706679251459</v>
      </c>
      <c r="BC67" s="1998">
        <v>0.93403550410554814</v>
      </c>
      <c r="BD67" s="1998">
        <v>0.9966369342099255</v>
      </c>
      <c r="BE67" s="1998">
        <v>0.96825765412717679</v>
      </c>
      <c r="BF67" s="1998">
        <v>0.99883049441467731</v>
      </c>
      <c r="BG67" s="1998">
        <v>0.97089733532821798</v>
      </c>
      <c r="BH67" s="1998">
        <v>1.0010240546194291</v>
      </c>
      <c r="BI67" s="1998">
        <v>0.97353701652925928</v>
      </c>
      <c r="BJ67" s="1998">
        <v>1.0032176148241811</v>
      </c>
      <c r="BK67" s="1998">
        <v>0.97617669773030014</v>
      </c>
      <c r="BL67" s="1999">
        <v>0.85607294140805457</v>
      </c>
      <c r="BM67" s="1979">
        <v>0.85818712833329902</v>
      </c>
      <c r="BN67" s="1999">
        <v>0.85730289736337051</v>
      </c>
      <c r="BO67" s="1979">
        <v>0.85966269410106233</v>
      </c>
      <c r="BP67" s="1999">
        <v>0.85853285331868667</v>
      </c>
      <c r="BQ67" s="1979">
        <v>0.86113825986882575</v>
      </c>
      <c r="BR67" s="1999">
        <v>0.85976280927400284</v>
      </c>
      <c r="BS67" s="1979">
        <v>0.86261382563658884</v>
      </c>
      <c r="BT67" s="1999">
        <v>0.86099276522931867</v>
      </c>
      <c r="BU67" s="1979">
        <v>0.86408939140435226</v>
      </c>
      <c r="BV67" s="2000">
        <v>0.8997175594249659</v>
      </c>
      <c r="BW67" s="1998">
        <v>0.89818451212270745</v>
      </c>
      <c r="BX67" s="1998">
        <v>0.91256682854557802</v>
      </c>
      <c r="BY67" s="1998">
        <v>0.91569820029034377</v>
      </c>
      <c r="BZ67" s="1998">
        <v>0.93981874545766697</v>
      </c>
      <c r="CA67" s="1998">
        <v>0.95081956919788868</v>
      </c>
      <c r="CB67" s="1998">
        <v>0.96487740446850478</v>
      </c>
      <c r="CC67" s="1998">
        <v>0.98528013957574467</v>
      </c>
      <c r="CD67" s="1998">
        <v>0.99502403058015587</v>
      </c>
      <c r="CE67" s="1998">
        <v>1.0230677185715176</v>
      </c>
      <c r="CF67" s="1999">
        <v>0.74160166485007539</v>
      </c>
      <c r="CG67" s="1979">
        <v>0.79702078428963463</v>
      </c>
      <c r="CH67" s="1999">
        <v>0.74270426259170619</v>
      </c>
      <c r="CI67" s="1979">
        <v>0.79843462273277388</v>
      </c>
      <c r="CJ67" s="1999">
        <v>0.74380686033333665</v>
      </c>
      <c r="CK67" s="1979">
        <v>0.79984846117591291</v>
      </c>
      <c r="CL67" s="1999">
        <v>0.74490945807496722</v>
      </c>
      <c r="CM67" s="1979">
        <v>0.80126229961905215</v>
      </c>
      <c r="CN67" s="1999">
        <v>0.74601205581659802</v>
      </c>
      <c r="CO67" s="1979">
        <v>0.80267613806219118</v>
      </c>
      <c r="CP67" s="2000">
        <v>0.71462451883334455</v>
      </c>
      <c r="CQ67" s="1998">
        <v>0.77698929079528323</v>
      </c>
      <c r="CR67" s="2000">
        <v>0.71578170906920269</v>
      </c>
      <c r="CS67" s="1998">
        <v>0.77846971822721922</v>
      </c>
      <c r="CT67" s="2000">
        <v>0.71693889930506083</v>
      </c>
      <c r="CU67" s="1998">
        <v>0.77995014565915533</v>
      </c>
      <c r="CV67" s="2000">
        <v>0.71809608954091908</v>
      </c>
      <c r="CW67" s="1998">
        <v>0.78143057309109132</v>
      </c>
      <c r="CX67" s="2000">
        <v>0.71925327977677733</v>
      </c>
      <c r="CY67" s="1998">
        <v>0.78291100052302742</v>
      </c>
      <c r="CZ67" s="1999">
        <v>0.64184054069320773</v>
      </c>
      <c r="DA67" s="1979">
        <v>0.67626535746321803</v>
      </c>
      <c r="DB67" s="1999">
        <v>0.64302386309684501</v>
      </c>
      <c r="DC67" s="1979">
        <v>0.67776512161511937</v>
      </c>
      <c r="DD67" s="1999">
        <v>0.64420718550048228</v>
      </c>
      <c r="DE67" s="1979">
        <v>0.67926488576702038</v>
      </c>
      <c r="DF67" s="1999">
        <v>0.64539050790411967</v>
      </c>
      <c r="DG67" s="1979">
        <v>0.68076464991892149</v>
      </c>
      <c r="DH67" s="1999">
        <v>0.64775715271139434</v>
      </c>
      <c r="DI67" s="1979">
        <v>0.68376417822272406</v>
      </c>
      <c r="DJ67" s="2000">
        <v>0.58513502048057375</v>
      </c>
      <c r="DK67" s="1998">
        <v>0.62813713866026988</v>
      </c>
      <c r="DL67" s="2000">
        <v>0.58652647552736481</v>
      </c>
      <c r="DM67" s="1998">
        <v>0.62992462586936915</v>
      </c>
      <c r="DN67" s="2000">
        <v>0.58791793057415598</v>
      </c>
      <c r="DO67" s="1998">
        <v>0.63171211307846853</v>
      </c>
      <c r="DP67" s="2000">
        <v>0.58930938562094692</v>
      </c>
      <c r="DQ67" s="1998">
        <v>0.63349960028756791</v>
      </c>
      <c r="DR67" s="2000">
        <v>0.59209229571452904</v>
      </c>
      <c r="DS67" s="1998">
        <v>0.63707457470576656</v>
      </c>
      <c r="GT67" s="1980"/>
      <c r="GU67" s="1980"/>
      <c r="GV67" s="1980"/>
      <c r="GW67" s="1980"/>
      <c r="GX67" s="1980"/>
      <c r="GY67" s="1980"/>
      <c r="GZ67" s="1980"/>
      <c r="HA67" s="1980"/>
      <c r="HB67" s="1980"/>
      <c r="HC67" s="1980"/>
      <c r="HD67" s="1980"/>
      <c r="HE67" s="1980"/>
      <c r="HF67" s="1980"/>
      <c r="HG67" s="1980"/>
      <c r="HH67" s="1980"/>
      <c r="HI67" s="1980"/>
      <c r="HJ67" s="1980"/>
      <c r="HK67" s="1980"/>
      <c r="HL67" s="1980"/>
      <c r="HM67" s="1980"/>
      <c r="HN67" s="1980"/>
      <c r="HO67" s="1980"/>
      <c r="HP67" s="1980"/>
      <c r="HQ67" s="1980"/>
      <c r="HR67" s="1980"/>
      <c r="HS67" s="1980"/>
      <c r="HT67" s="1980"/>
      <c r="HU67" s="1980"/>
      <c r="HV67" s="1980"/>
      <c r="HW67" s="1980"/>
      <c r="HX67" s="1980"/>
      <c r="HY67" s="1980"/>
      <c r="HZ67" s="1980"/>
      <c r="IA67" s="1980"/>
      <c r="IB67" s="1980"/>
      <c r="IC67" s="1980"/>
      <c r="ID67" s="1980"/>
      <c r="IE67" s="1980"/>
      <c r="IF67" s="1980"/>
      <c r="IG67" s="1980"/>
      <c r="IH67" s="1980"/>
      <c r="II67" s="1980"/>
      <c r="IJ67" s="1980"/>
      <c r="IK67" s="1980"/>
      <c r="IL67" s="1980"/>
      <c r="IM67" s="1980"/>
      <c r="IN67" s="1980"/>
      <c r="IO67" s="1980"/>
      <c r="IP67" s="1980"/>
      <c r="IQ67" s="1980"/>
      <c r="IR67" s="1980"/>
      <c r="IS67" s="1980"/>
      <c r="IT67" s="1980"/>
      <c r="IU67" s="1980"/>
      <c r="IV67" s="1980"/>
      <c r="IW67" s="1980"/>
      <c r="IX67" s="1980"/>
      <c r="IY67" s="1980"/>
      <c r="IZ67" s="1980"/>
      <c r="JA67" s="1980"/>
      <c r="JB67" s="1980"/>
      <c r="JC67" s="1980"/>
      <c r="JD67" s="1980"/>
      <c r="JE67" s="1980"/>
      <c r="JF67" s="1980"/>
      <c r="JG67" s="1980"/>
      <c r="JH67" s="1980"/>
      <c r="JI67" s="1980"/>
      <c r="JJ67" s="1980"/>
      <c r="JK67" s="1980"/>
      <c r="JL67" s="1980"/>
      <c r="JM67" s="1980"/>
      <c r="JN67" s="1980"/>
      <c r="JO67" s="1980"/>
      <c r="JP67" s="1980"/>
      <c r="JQ67" s="1980"/>
      <c r="JR67" s="1980"/>
      <c r="JS67" s="1980"/>
      <c r="JT67" s="1980"/>
      <c r="JU67" s="1980"/>
      <c r="JV67" s="1980"/>
      <c r="JW67" s="1980"/>
      <c r="JX67" s="1980"/>
      <c r="JY67" s="1980"/>
      <c r="JZ67" s="1980"/>
      <c r="KA67" s="1980"/>
      <c r="KB67" s="1980"/>
      <c r="KC67" s="1980"/>
      <c r="KD67" s="1980"/>
      <c r="KE67" s="1980"/>
      <c r="KF67" s="1980"/>
      <c r="KG67" s="1980"/>
      <c r="KH67" s="1980"/>
      <c r="KI67" s="1980"/>
      <c r="KJ67" s="1980"/>
      <c r="KK67" s="1980"/>
    </row>
    <row r="68" spans="1:297">
      <c r="A68" s="1997"/>
      <c r="B68" s="2">
        <v>4</v>
      </c>
      <c r="C68" s="2" t="s">
        <v>4330</v>
      </c>
      <c r="D68" s="1979">
        <v>0.92604285589453961</v>
      </c>
      <c r="E68" s="1979">
        <v>0.93586887117223472</v>
      </c>
      <c r="F68" s="1979">
        <v>0.94200374532627684</v>
      </c>
      <c r="G68" s="1979">
        <v>0.95618126257412472</v>
      </c>
      <c r="H68" s="1979">
        <v>0.9745703164899433</v>
      </c>
      <c r="I68" s="1979">
        <v>0.99612559281588275</v>
      </c>
      <c r="J68" s="1979">
        <v>1.0048833704781319</v>
      </c>
      <c r="K68" s="1979">
        <v>1.0357474643682218</v>
      </c>
      <c r="L68" s="1979">
        <v>1.0390035904503063</v>
      </c>
      <c r="M68" s="1979">
        <v>1.077749720346717</v>
      </c>
      <c r="N68" s="2000">
        <v>0.80537216429449754</v>
      </c>
      <c r="O68" s="1998">
        <v>0.8008622534161568</v>
      </c>
      <c r="P68" s="1998">
        <v>0.82012100264253573</v>
      </c>
      <c r="Q68" s="1998">
        <v>0.81936093936922438</v>
      </c>
      <c r="R68" s="1998">
        <v>0.84474009981694442</v>
      </c>
      <c r="S68" s="1998">
        <v>0.84941246955738559</v>
      </c>
      <c r="T68" s="1998">
        <v>0.86705186325516659</v>
      </c>
      <c r="U68" s="1998">
        <v>0.87832238694516318</v>
      </c>
      <c r="V68" s="1998">
        <v>0.89679627170876741</v>
      </c>
      <c r="W68" s="1998">
        <v>0.91187338397593232</v>
      </c>
      <c r="X68" s="1999">
        <v>0.94013282462817915</v>
      </c>
      <c r="Y68" s="1979">
        <v>0.93790262874439012</v>
      </c>
      <c r="Z68" s="1979">
        <v>0.97124710088210042</v>
      </c>
      <c r="AA68" s="1979">
        <v>0.97665437336873007</v>
      </c>
      <c r="AB68" s="1979">
        <v>0.97290963455148494</v>
      </c>
      <c r="AC68" s="1979">
        <v>0.9787184149179099</v>
      </c>
      <c r="AD68" s="1979">
        <v>0.97457216822086923</v>
      </c>
      <c r="AE68" s="1979">
        <v>0.98078245646708984</v>
      </c>
      <c r="AF68" s="1979">
        <v>0.97623470189025363</v>
      </c>
      <c r="AG68" s="1979">
        <v>0.98284649801626978</v>
      </c>
      <c r="AH68" s="2000">
        <v>0.75110508234723927</v>
      </c>
      <c r="AI68" s="1998">
        <v>0.75257871719445613</v>
      </c>
      <c r="AJ68" s="1998">
        <v>0.77364220772292724</v>
      </c>
      <c r="AK68" s="1998">
        <v>0.78005603961897507</v>
      </c>
      <c r="AL68" s="1998">
        <v>0.77533004538532069</v>
      </c>
      <c r="AM68" s="1998">
        <v>0.78217546728243592</v>
      </c>
      <c r="AN68" s="1998">
        <v>0.77701788304771413</v>
      </c>
      <c r="AO68" s="1998">
        <v>0.78429489494589677</v>
      </c>
      <c r="AP68" s="1998">
        <v>0.77870572071010757</v>
      </c>
      <c r="AQ68" s="1998">
        <v>0.78641432260935784</v>
      </c>
      <c r="AR68" s="1999">
        <v>0.97126157996357088</v>
      </c>
      <c r="AS68" s="1979">
        <v>0.97332237114415598</v>
      </c>
      <c r="AT68" s="1979">
        <v>1.0044361218128086</v>
      </c>
      <c r="AU68" s="1979">
        <v>1.0134631118228701</v>
      </c>
      <c r="AV68" s="1979">
        <v>1.0069206108606525</v>
      </c>
      <c r="AW68" s="1979">
        <v>1.0165593158456596</v>
      </c>
      <c r="AX68" s="1979">
        <v>1.0094050999084969</v>
      </c>
      <c r="AY68" s="1979">
        <v>1.0196555198684489</v>
      </c>
      <c r="AZ68" s="1979">
        <v>1.0118895889563408</v>
      </c>
      <c r="BA68" s="1979">
        <v>1.0227517238912383</v>
      </c>
      <c r="BB68" s="2000">
        <v>1.0032378411065346</v>
      </c>
      <c r="BC68" s="1998">
        <v>0.96902143024647103</v>
      </c>
      <c r="BD68" s="1998">
        <v>1.0336806591144478</v>
      </c>
      <c r="BE68" s="1998">
        <v>1.0039531895352969</v>
      </c>
      <c r="BF68" s="1998">
        <v>1.0363129313601498</v>
      </c>
      <c r="BG68" s="1998">
        <v>1.007120806976546</v>
      </c>
      <c r="BH68" s="1998">
        <v>1.0389452036058522</v>
      </c>
      <c r="BI68" s="1998">
        <v>1.0102884244177956</v>
      </c>
      <c r="BJ68" s="1998">
        <v>1.0415774758515541</v>
      </c>
      <c r="BK68" s="1998">
        <v>1.0134560418590453</v>
      </c>
      <c r="BL68" s="1999">
        <v>0.88576331216871373</v>
      </c>
      <c r="BM68" s="1979">
        <v>0.88841467829538956</v>
      </c>
      <c r="BN68" s="1999">
        <v>0.88740325344246851</v>
      </c>
      <c r="BO68" s="1979">
        <v>0.89038209931907375</v>
      </c>
      <c r="BP68" s="1999">
        <v>0.88904319471622317</v>
      </c>
      <c r="BQ68" s="1979">
        <v>0.89234952034275816</v>
      </c>
      <c r="BR68" s="1999">
        <v>0.89068313598997806</v>
      </c>
      <c r="BS68" s="1979">
        <v>0.89431694136644257</v>
      </c>
      <c r="BT68" s="1999">
        <v>0.89232307726373272</v>
      </c>
      <c r="BU68" s="1979">
        <v>0.89628436239012688</v>
      </c>
      <c r="BV68" s="2000">
        <v>0.91972310287739512</v>
      </c>
      <c r="BW68" s="1998">
        <v>0.91811707223229444</v>
      </c>
      <c r="BX68" s="1998">
        <v>0.93289041656955907</v>
      </c>
      <c r="BY68" s="1998">
        <v>0.93597497221476422</v>
      </c>
      <c r="BZ68" s="1998">
        <v>0.96030135576742393</v>
      </c>
      <c r="CA68" s="1998">
        <v>0.97126844702972592</v>
      </c>
      <c r="CB68" s="1998">
        <v>0.98551903706403787</v>
      </c>
      <c r="CC68" s="1998">
        <v>1.0059011233149988</v>
      </c>
      <c r="CD68" s="1998">
        <v>1.0158246854614648</v>
      </c>
      <c r="CE68" s="1998">
        <v>1.0438608082181888</v>
      </c>
      <c r="CF68" s="1999">
        <v>0.7671767257789327</v>
      </c>
      <c r="CG68" s="1979">
        <v>0.82364809368558589</v>
      </c>
      <c r="CH68" s="1999">
        <v>0.76855497295597086</v>
      </c>
      <c r="CI68" s="1979">
        <v>0.82541539173950962</v>
      </c>
      <c r="CJ68" s="1999">
        <v>0.76993322013300924</v>
      </c>
      <c r="CK68" s="1979">
        <v>0.82718268979343357</v>
      </c>
      <c r="CL68" s="1999">
        <v>0.77131146731004741</v>
      </c>
      <c r="CM68" s="1979">
        <v>0.82894998784735752</v>
      </c>
      <c r="CN68" s="1999">
        <v>0.77268971448708579</v>
      </c>
      <c r="CO68" s="1979">
        <v>0.83071728590128147</v>
      </c>
      <c r="CP68" s="2000">
        <v>0.7486016060593399</v>
      </c>
      <c r="CQ68" s="1998">
        <v>0.81182129870379693</v>
      </c>
      <c r="CR68" s="2000">
        <v>0.75004809385416271</v>
      </c>
      <c r="CS68" s="1998">
        <v>0.81367183299371693</v>
      </c>
      <c r="CT68" s="2000">
        <v>0.7514945816489853</v>
      </c>
      <c r="CU68" s="1998">
        <v>0.81552236728363692</v>
      </c>
      <c r="CV68" s="2000">
        <v>0.75294106944380812</v>
      </c>
      <c r="CW68" s="1998">
        <v>0.81737290157355691</v>
      </c>
      <c r="CX68" s="2000">
        <v>0.75438755723863082</v>
      </c>
      <c r="CY68" s="1998">
        <v>0.81922343586347701</v>
      </c>
      <c r="CZ68" s="1999">
        <v>0.65065644817743773</v>
      </c>
      <c r="DA68" s="1979">
        <v>0.68431698297308163</v>
      </c>
      <c r="DB68" s="1999">
        <v>0.65183977058107512</v>
      </c>
      <c r="DC68" s="1979">
        <v>0.68581674712498264</v>
      </c>
      <c r="DD68" s="1999">
        <v>0.65302309298471251</v>
      </c>
      <c r="DE68" s="1979">
        <v>0.68731651127688387</v>
      </c>
      <c r="DF68" s="1999">
        <v>0.65420641538834978</v>
      </c>
      <c r="DG68" s="1979">
        <v>0.68881627542878521</v>
      </c>
      <c r="DH68" s="1999">
        <v>0.65657306019562445</v>
      </c>
      <c r="DI68" s="1979">
        <v>0.69181580373258755</v>
      </c>
      <c r="DJ68" s="2000">
        <v>0.65075136101951547</v>
      </c>
      <c r="DK68" s="1998">
        <v>0.68281378161756179</v>
      </c>
      <c r="DL68" s="2000">
        <v>0.65179495230460882</v>
      </c>
      <c r="DM68" s="1998">
        <v>0.6841543970243863</v>
      </c>
      <c r="DN68" s="2000">
        <v>0.65283854358970206</v>
      </c>
      <c r="DO68" s="1998">
        <v>0.68549501243121069</v>
      </c>
      <c r="DP68" s="2000">
        <v>0.65388213487479541</v>
      </c>
      <c r="DQ68" s="1998">
        <v>0.68683562783803531</v>
      </c>
      <c r="DR68" s="2000">
        <v>0.65596931744498188</v>
      </c>
      <c r="DS68" s="1998">
        <v>0.68951685865168444</v>
      </c>
      <c r="GT68" s="1980"/>
      <c r="GU68" s="1980"/>
      <c r="GV68" s="1980"/>
      <c r="GW68" s="1980"/>
      <c r="GX68" s="1980"/>
      <c r="GY68" s="1980"/>
      <c r="GZ68" s="1980"/>
      <c r="HA68" s="1980"/>
      <c r="HB68" s="1980"/>
      <c r="HC68" s="1980"/>
      <c r="HD68" s="1980"/>
      <c r="HE68" s="1980"/>
      <c r="HF68" s="1980"/>
      <c r="HG68" s="1980"/>
      <c r="HH68" s="1980"/>
      <c r="HI68" s="1980"/>
      <c r="HJ68" s="1980"/>
      <c r="HK68" s="1980"/>
      <c r="HL68" s="1980"/>
      <c r="HM68" s="1980"/>
      <c r="HN68" s="1980"/>
      <c r="HO68" s="1980"/>
      <c r="HP68" s="1980"/>
      <c r="HQ68" s="1980"/>
      <c r="HR68" s="1980"/>
      <c r="HS68" s="1980"/>
      <c r="HT68" s="1980"/>
      <c r="HU68" s="1980"/>
      <c r="HV68" s="1980"/>
      <c r="HW68" s="1980"/>
      <c r="HX68" s="1980"/>
      <c r="HY68" s="1980"/>
      <c r="HZ68" s="1980"/>
      <c r="IA68" s="1980"/>
      <c r="IB68" s="1980"/>
      <c r="IC68" s="1980"/>
      <c r="ID68" s="1980"/>
      <c r="IE68" s="1980"/>
      <c r="IF68" s="1980"/>
      <c r="IG68" s="1980"/>
      <c r="IH68" s="1980"/>
      <c r="II68" s="1980"/>
      <c r="IJ68" s="1980"/>
      <c r="IK68" s="1980"/>
      <c r="IL68" s="1980"/>
      <c r="IM68" s="1980"/>
      <c r="IN68" s="1980"/>
      <c r="IO68" s="1980"/>
      <c r="IP68" s="1980"/>
      <c r="IQ68" s="1980"/>
      <c r="IR68" s="1980"/>
      <c r="IS68" s="1980"/>
      <c r="IT68" s="1980"/>
      <c r="IU68" s="1980"/>
      <c r="IV68" s="1980"/>
      <c r="IW68" s="1980"/>
      <c r="IX68" s="1980"/>
      <c r="IY68" s="1980"/>
      <c r="IZ68" s="1980"/>
      <c r="JA68" s="1980"/>
      <c r="JB68" s="1980"/>
      <c r="JC68" s="1980"/>
      <c r="JD68" s="1980"/>
      <c r="JE68" s="1980"/>
      <c r="JF68" s="1980"/>
      <c r="JG68" s="1980"/>
      <c r="JH68" s="1980"/>
      <c r="JI68" s="1980"/>
      <c r="JJ68" s="1980"/>
      <c r="JK68" s="1980"/>
      <c r="JL68" s="1980"/>
      <c r="JM68" s="1980"/>
      <c r="JN68" s="1980"/>
      <c r="JO68" s="1980"/>
      <c r="JP68" s="1980"/>
      <c r="JQ68" s="1980"/>
      <c r="JR68" s="1980"/>
      <c r="JS68" s="1980"/>
      <c r="JT68" s="1980"/>
      <c r="JU68" s="1980"/>
      <c r="JV68" s="1980"/>
      <c r="JW68" s="1980"/>
      <c r="JX68" s="1980"/>
      <c r="JY68" s="1980"/>
      <c r="JZ68" s="1980"/>
      <c r="KA68" s="1980"/>
      <c r="KB68" s="1980"/>
      <c r="KC68" s="1980"/>
      <c r="KD68" s="1980"/>
      <c r="KE68" s="1980"/>
      <c r="KF68" s="1980"/>
      <c r="KG68" s="1980"/>
      <c r="KH68" s="1980"/>
      <c r="KI68" s="1980"/>
      <c r="KJ68" s="1980"/>
      <c r="KK68" s="1980"/>
    </row>
    <row r="69" spans="1:297">
      <c r="A69" s="1997"/>
      <c r="B69" s="2">
        <v>5</v>
      </c>
      <c r="C69" s="2" t="s">
        <v>4331</v>
      </c>
      <c r="D69" s="1979">
        <v>0.9241985105586602</v>
      </c>
      <c r="E69" s="1979">
        <v>0.93098138943648046</v>
      </c>
      <c r="F69" s="1979">
        <v>0.94090309612815026</v>
      </c>
      <c r="G69" s="1979">
        <v>0.95206338776743427</v>
      </c>
      <c r="H69" s="1979">
        <v>0.97384151536069297</v>
      </c>
      <c r="I69" s="1979">
        <v>0.99239252147372425</v>
      </c>
      <c r="J69" s="1979">
        <v>1.0045264174177577</v>
      </c>
      <c r="K69" s="1979">
        <v>1.0323991964905954</v>
      </c>
      <c r="L69" s="1979">
        <v>1.0390184854588087</v>
      </c>
      <c r="M69" s="1979">
        <v>1.0747862559336225</v>
      </c>
      <c r="N69" s="2000">
        <v>0.82176881766189958</v>
      </c>
      <c r="O69" s="1998">
        <v>0.81621835005053178</v>
      </c>
      <c r="P69" s="1998">
        <v>0.8367499602242312</v>
      </c>
      <c r="Q69" s="1998">
        <v>0.83495711870703748</v>
      </c>
      <c r="R69" s="1998">
        <v>0.86148520950578678</v>
      </c>
      <c r="S69" s="1998">
        <v>0.86512869024691741</v>
      </c>
      <c r="T69" s="1998">
        <v>0.88391312505115605</v>
      </c>
      <c r="U69" s="1998">
        <v>0.89415864898641417</v>
      </c>
      <c r="V69" s="1998">
        <v>0.91377368561190364</v>
      </c>
      <c r="W69" s="1998">
        <v>0.92782968736890215</v>
      </c>
      <c r="X69" s="1999">
        <v>0.98030068432530737</v>
      </c>
      <c r="Y69" s="1979">
        <v>0.97504080797731985</v>
      </c>
      <c r="Z69" s="1979">
        <v>1.0114149605792286</v>
      </c>
      <c r="AA69" s="1979">
        <v>1.0137925526016598</v>
      </c>
      <c r="AB69" s="1979">
        <v>1.0130774942486129</v>
      </c>
      <c r="AC69" s="1979">
        <v>1.0158565941508395</v>
      </c>
      <c r="AD69" s="1979">
        <v>1.0147400279179974</v>
      </c>
      <c r="AE69" s="1979">
        <v>1.0179206357000194</v>
      </c>
      <c r="AF69" s="1979">
        <v>1.0164025615873817</v>
      </c>
      <c r="AG69" s="1979">
        <v>1.0199846772491992</v>
      </c>
      <c r="AH69" s="2000">
        <v>0.76651412773522232</v>
      </c>
      <c r="AI69" s="1998">
        <v>0.76702159127856084</v>
      </c>
      <c r="AJ69" s="1998">
        <v>0.7890512531109104</v>
      </c>
      <c r="AK69" s="1998">
        <v>0.79449891370308001</v>
      </c>
      <c r="AL69" s="1998">
        <v>0.79073909077330384</v>
      </c>
      <c r="AM69" s="1998">
        <v>0.79661834136654075</v>
      </c>
      <c r="AN69" s="1998">
        <v>0.79242692843569695</v>
      </c>
      <c r="AO69" s="1998">
        <v>0.79873776903000171</v>
      </c>
      <c r="AP69" s="1998">
        <v>0.7941147660980904</v>
      </c>
      <c r="AQ69" s="1998">
        <v>0.80085719669346256</v>
      </c>
      <c r="AR69" s="1999">
        <v>1</v>
      </c>
      <c r="AS69" s="1979">
        <v>1</v>
      </c>
      <c r="AT69" s="1979">
        <v>1.0331745418492377</v>
      </c>
      <c r="AU69" s="1979">
        <v>1.0401407406787144</v>
      </c>
      <c r="AV69" s="1979">
        <v>1.0356590308970819</v>
      </c>
      <c r="AW69" s="1979">
        <v>1.0432369447015037</v>
      </c>
      <c r="AX69" s="1979">
        <v>1.038143519944926</v>
      </c>
      <c r="AY69" s="1979">
        <v>1.0463331487242933</v>
      </c>
      <c r="AZ69" s="1979">
        <v>1.04062800899277</v>
      </c>
      <c r="BA69" s="1979">
        <v>1.0494293527470828</v>
      </c>
      <c r="BB69" s="2000">
        <v>1.0332225834411666</v>
      </c>
      <c r="BC69" s="1998">
        <v>1.0006890316222958</v>
      </c>
      <c r="BD69" s="1998">
        <v>1.065394827334833</v>
      </c>
      <c r="BE69" s="1998">
        <v>1.0366852048119175</v>
      </c>
      <c r="BF69" s="1998">
        <v>1.0686851676419609</v>
      </c>
      <c r="BG69" s="1998">
        <v>1.0406447266134791</v>
      </c>
      <c r="BH69" s="1998">
        <v>1.0719755079490887</v>
      </c>
      <c r="BI69" s="1998">
        <v>1.0446042484150411</v>
      </c>
      <c r="BJ69" s="1998">
        <v>1.0752658482562165</v>
      </c>
      <c r="BK69" s="1998">
        <v>1.0485637702166026</v>
      </c>
      <c r="BL69" s="1999">
        <v>0.89824727691303519</v>
      </c>
      <c r="BM69" s="1979">
        <v>0.89969608723915828</v>
      </c>
      <c r="BN69" s="1999">
        <v>0.89988721818679007</v>
      </c>
      <c r="BO69" s="1979">
        <v>0.90166350826284269</v>
      </c>
      <c r="BP69" s="1999">
        <v>0.90152715946054474</v>
      </c>
      <c r="BQ69" s="1979">
        <v>0.90363092928652711</v>
      </c>
      <c r="BR69" s="1999">
        <v>0.90316710073429962</v>
      </c>
      <c r="BS69" s="1979">
        <v>0.90559835031021152</v>
      </c>
      <c r="BT69" s="1999">
        <v>0.90480704200805417</v>
      </c>
      <c r="BU69" s="1979">
        <v>0.90756577133389593</v>
      </c>
      <c r="BV69" s="2000">
        <v>0.96253744800945096</v>
      </c>
      <c r="BW69" s="1998">
        <v>0.9617879670417373</v>
      </c>
      <c r="BX69" s="1998">
        <v>0.97617586078558993</v>
      </c>
      <c r="BY69" s="1998">
        <v>0.98041035470159188</v>
      </c>
      <c r="BZ69" s="1998">
        <v>1.0037322119391168</v>
      </c>
      <c r="CA69" s="1998">
        <v>1.0159431168210873</v>
      </c>
      <c r="CB69" s="1998">
        <v>1.0287908709499549</v>
      </c>
      <c r="CC69" s="1998">
        <v>1.0504036871989433</v>
      </c>
      <c r="CD69" s="1998">
        <v>1.0609726839019309</v>
      </c>
      <c r="CE69" s="1998">
        <v>1.0895220696418833</v>
      </c>
      <c r="CF69" s="1999">
        <v>0.78128423408558068</v>
      </c>
      <c r="CG69" s="1979">
        <v>0.83792843412560014</v>
      </c>
      <c r="CH69" s="1999">
        <v>0.78266248126261884</v>
      </c>
      <c r="CI69" s="1979">
        <v>0.83969573217952398</v>
      </c>
      <c r="CJ69" s="1999">
        <v>0.78404072843965722</v>
      </c>
      <c r="CK69" s="1979">
        <v>0.84146303023344793</v>
      </c>
      <c r="CL69" s="1999">
        <v>0.78541897561669538</v>
      </c>
      <c r="CM69" s="1979">
        <v>0.84323032828737188</v>
      </c>
      <c r="CN69" s="1999">
        <v>0.78679722279373376</v>
      </c>
      <c r="CO69" s="1979">
        <v>0.8449976263412956</v>
      </c>
      <c r="CP69" s="2000">
        <v>0.79218596280680276</v>
      </c>
      <c r="CQ69" s="1998">
        <v>0.85694522461373368</v>
      </c>
      <c r="CR69" s="2000">
        <v>0.79411461319989973</v>
      </c>
      <c r="CS69" s="1998">
        <v>0.85941260366696026</v>
      </c>
      <c r="CT69" s="2000">
        <v>0.79604326359299671</v>
      </c>
      <c r="CU69" s="1998">
        <v>0.86187998272018695</v>
      </c>
      <c r="CV69" s="2000">
        <v>0.79797191398609379</v>
      </c>
      <c r="CW69" s="1998">
        <v>0.86434736177341376</v>
      </c>
      <c r="CX69" s="2000">
        <v>0.79990056437919077</v>
      </c>
      <c r="CY69" s="1998">
        <v>0.86681474082664034</v>
      </c>
      <c r="CZ69" s="1999">
        <v>0.68435262133517683</v>
      </c>
      <c r="DA69" s="1979">
        <v>0.72308421359554875</v>
      </c>
      <c r="DB69" s="1999">
        <v>0.68593038454002675</v>
      </c>
      <c r="DC69" s="1979">
        <v>0.72508389913141702</v>
      </c>
      <c r="DD69" s="1999">
        <v>0.68750814774487634</v>
      </c>
      <c r="DE69" s="1979">
        <v>0.72708358466728529</v>
      </c>
      <c r="DF69" s="1999">
        <v>0.68908591094972604</v>
      </c>
      <c r="DG69" s="1979">
        <v>0.72908327020315344</v>
      </c>
      <c r="DH69" s="1999">
        <v>0.69224143735942567</v>
      </c>
      <c r="DI69" s="1979">
        <v>0.73308264127488998</v>
      </c>
      <c r="DJ69" s="2000">
        <v>0.77246000895693212</v>
      </c>
      <c r="DK69" s="1998">
        <v>0.7969161998882246</v>
      </c>
      <c r="DL69" s="2000">
        <v>0.77350360024202547</v>
      </c>
      <c r="DM69" s="1998">
        <v>0.7982568152950491</v>
      </c>
      <c r="DN69" s="2000">
        <v>0.77454719152711882</v>
      </c>
      <c r="DO69" s="1998">
        <v>0.79959743070187372</v>
      </c>
      <c r="DP69" s="2000">
        <v>0.77559078281221194</v>
      </c>
      <c r="DQ69" s="1998">
        <v>0.80093804610869823</v>
      </c>
      <c r="DR69" s="2000">
        <v>0.77767796538239864</v>
      </c>
      <c r="DS69" s="1998">
        <v>0.80361927692234725</v>
      </c>
      <c r="GT69" s="1980"/>
      <c r="GU69" s="1980"/>
      <c r="GV69" s="1980"/>
      <c r="GW69" s="1980"/>
      <c r="GX69" s="1980"/>
      <c r="GY69" s="1980"/>
      <c r="GZ69" s="1980"/>
      <c r="HA69" s="1980"/>
      <c r="HB69" s="1980"/>
      <c r="HC69" s="1980"/>
      <c r="HD69" s="1980"/>
      <c r="HE69" s="1980"/>
      <c r="HF69" s="1980"/>
      <c r="HG69" s="1980"/>
      <c r="HH69" s="1980"/>
      <c r="HI69" s="1980"/>
      <c r="HJ69" s="1980"/>
      <c r="HK69" s="1980"/>
      <c r="HL69" s="1980"/>
      <c r="HM69" s="1980"/>
      <c r="HN69" s="1980"/>
      <c r="HO69" s="1980"/>
      <c r="HP69" s="1980"/>
      <c r="HQ69" s="1980"/>
      <c r="HR69" s="1980"/>
      <c r="HS69" s="1980"/>
      <c r="HT69" s="1980"/>
      <c r="HU69" s="1980"/>
      <c r="HV69" s="1980"/>
      <c r="HW69" s="1980"/>
      <c r="HX69" s="1980"/>
      <c r="HY69" s="1980"/>
      <c r="HZ69" s="1980"/>
      <c r="IA69" s="1980"/>
      <c r="IB69" s="1980"/>
      <c r="IC69" s="1980"/>
      <c r="ID69" s="1980"/>
      <c r="IE69" s="1980"/>
      <c r="IF69" s="1980"/>
      <c r="IG69" s="1980"/>
      <c r="IH69" s="1980"/>
      <c r="II69" s="1980"/>
      <c r="IJ69" s="1980"/>
      <c r="IK69" s="1980"/>
      <c r="IL69" s="1980"/>
      <c r="IM69" s="1980"/>
      <c r="IN69" s="1980"/>
      <c r="IO69" s="1980"/>
      <c r="IP69" s="1980"/>
      <c r="IQ69" s="1980"/>
      <c r="IR69" s="1980"/>
      <c r="IS69" s="1980"/>
      <c r="IT69" s="1980"/>
      <c r="IU69" s="1980"/>
      <c r="IV69" s="1980"/>
      <c r="IW69" s="1980"/>
      <c r="IX69" s="1980"/>
      <c r="IY69" s="1980"/>
      <c r="IZ69" s="1980"/>
      <c r="JA69" s="1980"/>
      <c r="JB69" s="1980"/>
      <c r="JC69" s="1980"/>
      <c r="JD69" s="1980"/>
      <c r="JE69" s="1980"/>
      <c r="JF69" s="1980"/>
      <c r="JG69" s="1980"/>
      <c r="JH69" s="1980"/>
      <c r="JI69" s="1980"/>
      <c r="JJ69" s="1980"/>
      <c r="JK69" s="1980"/>
      <c r="JL69" s="1980"/>
      <c r="JM69" s="1980"/>
      <c r="JN69" s="1980"/>
      <c r="JO69" s="1980"/>
      <c r="JP69" s="1980"/>
      <c r="JQ69" s="1980"/>
      <c r="JR69" s="1980"/>
      <c r="JS69" s="1980"/>
      <c r="JT69" s="1980"/>
      <c r="JU69" s="1980"/>
      <c r="JV69" s="1980"/>
      <c r="JW69" s="1980"/>
      <c r="JX69" s="1980"/>
      <c r="JY69" s="1980"/>
      <c r="JZ69" s="1980"/>
      <c r="KA69" s="1980"/>
      <c r="KB69" s="1980"/>
      <c r="KC69" s="1980"/>
      <c r="KD69" s="1980"/>
      <c r="KE69" s="1980"/>
      <c r="KF69" s="1980"/>
      <c r="KG69" s="1980"/>
      <c r="KH69" s="1980"/>
      <c r="KI69" s="1980"/>
      <c r="KJ69" s="1980"/>
      <c r="KK69" s="1980"/>
    </row>
    <row r="70" spans="1:297">
      <c r="A70" s="1997"/>
      <c r="B70" s="2">
        <v>6</v>
      </c>
      <c r="C70" s="2" t="s">
        <v>4332</v>
      </c>
      <c r="D70" s="1979">
        <v>1.0016933789985702</v>
      </c>
      <c r="E70" s="1979">
        <v>1.00408331649812</v>
      </c>
      <c r="F70" s="1979">
        <v>1.0189899419500772</v>
      </c>
      <c r="G70" s="1979">
        <v>1.0260381741063893</v>
      </c>
      <c r="H70" s="1979">
        <v>1.0521279968380566</v>
      </c>
      <c r="I70" s="1979">
        <v>1.0666576209903149</v>
      </c>
      <c r="J70" s="1979">
        <v>1.082687108005536</v>
      </c>
      <c r="K70" s="1979">
        <v>1.1065341224923271</v>
      </c>
      <c r="L70" s="1979">
        <v>1.1192289085764218</v>
      </c>
      <c r="M70" s="1979">
        <v>1.1501512280925845</v>
      </c>
      <c r="N70" s="2000">
        <v>0.85648110529153865</v>
      </c>
      <c r="O70" s="1998">
        <v>0.85505985755104941</v>
      </c>
      <c r="P70" s="1998">
        <v>0.8717635486437717</v>
      </c>
      <c r="Q70" s="1998">
        <v>0.87440601545962171</v>
      </c>
      <c r="R70" s="1998">
        <v>0.89653971872552563</v>
      </c>
      <c r="S70" s="1998">
        <v>0.90471509814143281</v>
      </c>
      <c r="T70" s="1998">
        <v>0.91863795000717485</v>
      </c>
      <c r="U70" s="1998">
        <v>0.93340433344827278</v>
      </c>
      <c r="V70" s="1998">
        <v>0.95064637464266211</v>
      </c>
      <c r="W70" s="1998">
        <v>0.96828167494576745</v>
      </c>
      <c r="X70" s="1999">
        <v>1</v>
      </c>
      <c r="Y70" s="1979">
        <v>0.99456526585057647</v>
      </c>
      <c r="Z70" s="1979">
        <v>1.0316604258340918</v>
      </c>
      <c r="AA70" s="1979">
        <v>1.0336638002242333</v>
      </c>
      <c r="AB70" s="1979">
        <v>1.0335307762121493</v>
      </c>
      <c r="AC70" s="1979">
        <v>1.0359858469670606</v>
      </c>
      <c r="AD70" s="1979">
        <v>1.0354011265902068</v>
      </c>
      <c r="AE70" s="1979">
        <v>1.038307893709888</v>
      </c>
      <c r="AF70" s="1979">
        <v>1.0372714769682641</v>
      </c>
      <c r="AG70" s="1979">
        <v>1.0406299404527153</v>
      </c>
      <c r="AH70" s="2000">
        <v>0.79566934428807556</v>
      </c>
      <c r="AI70" s="1998">
        <v>0.79607150944135541</v>
      </c>
      <c r="AJ70" s="1998">
        <v>0.81909360894779748</v>
      </c>
      <c r="AK70" s="1998">
        <v>0.82411858457334242</v>
      </c>
      <c r="AL70" s="1998">
        <v>0.82111901414266963</v>
      </c>
      <c r="AM70" s="1998">
        <v>0.82666189776949561</v>
      </c>
      <c r="AN70" s="1998">
        <v>0.82314441933754134</v>
      </c>
      <c r="AO70" s="1998">
        <v>0.82920521096564859</v>
      </c>
      <c r="AP70" s="1998">
        <v>0.82516982453241339</v>
      </c>
      <c r="AQ70" s="1998">
        <v>0.83174852416180178</v>
      </c>
      <c r="AR70" s="1999">
        <v>1.0188021082407965</v>
      </c>
      <c r="AS70" s="1979">
        <v>1.0198215800125752</v>
      </c>
      <c r="AT70" s="1979">
        <v>1.0532825149159017</v>
      </c>
      <c r="AU70" s="1979">
        <v>1.060794654181727</v>
      </c>
      <c r="AV70" s="1979">
        <v>1.0562639017733149</v>
      </c>
      <c r="AW70" s="1979">
        <v>1.0645100990090741</v>
      </c>
      <c r="AX70" s="1979">
        <v>1.0592452886307275</v>
      </c>
      <c r="AY70" s="1979">
        <v>1.0682255438364217</v>
      </c>
      <c r="AZ70" s="1979">
        <v>1.0622266754881409</v>
      </c>
      <c r="BA70" s="1979">
        <v>1.0719409886637687</v>
      </c>
      <c r="BB70" s="2000">
        <v>1.1012238058862627</v>
      </c>
      <c r="BC70" s="1998">
        <v>1.068815711208934</v>
      </c>
      <c r="BD70" s="1998">
        <v>1.1362784262561854</v>
      </c>
      <c r="BE70" s="1998">
        <v>1.1065859075665485</v>
      </c>
      <c r="BF70" s="1998">
        <v>1.140665546665689</v>
      </c>
      <c r="BG70" s="1998">
        <v>1.1118652699686309</v>
      </c>
      <c r="BH70" s="1998">
        <v>1.1450526670751926</v>
      </c>
      <c r="BI70" s="1998">
        <v>1.1171446323707133</v>
      </c>
      <c r="BJ70" s="1998">
        <v>1.1494397874846964</v>
      </c>
      <c r="BK70" s="1998">
        <v>1.1224239947727954</v>
      </c>
      <c r="BL70" s="1999">
        <v>0.91488320292474845</v>
      </c>
      <c r="BM70" s="1979">
        <v>0.91473207591924932</v>
      </c>
      <c r="BN70" s="1999">
        <v>0.91652314419850334</v>
      </c>
      <c r="BO70" s="1979">
        <v>0.91669949694293373</v>
      </c>
      <c r="BP70" s="1999">
        <v>0.91816308547225822</v>
      </c>
      <c r="BQ70" s="1979">
        <v>0.91866691796661815</v>
      </c>
      <c r="BR70" s="1999">
        <v>0.91980302674601278</v>
      </c>
      <c r="BS70" s="1979">
        <v>0.92063433899030245</v>
      </c>
      <c r="BT70" s="1999">
        <v>0.92144296801976755</v>
      </c>
      <c r="BU70" s="1979">
        <v>0.92260176001398686</v>
      </c>
      <c r="BV70" s="2000">
        <v>1</v>
      </c>
      <c r="BW70" s="1998">
        <v>1</v>
      </c>
      <c r="BX70" s="1998">
        <v>1.0140506244746172</v>
      </c>
      <c r="BY70" s="1998">
        <v>1.0192913143775659</v>
      </c>
      <c r="BZ70" s="1998">
        <v>1.0417342110893479</v>
      </c>
      <c r="CA70" s="1998">
        <v>1.0550334528885286</v>
      </c>
      <c r="CB70" s="1998">
        <v>1.0666537256001318</v>
      </c>
      <c r="CC70" s="1998">
        <v>1.0893434305973946</v>
      </c>
      <c r="CD70" s="1998">
        <v>1.1004771825373387</v>
      </c>
      <c r="CE70" s="1998">
        <v>1.1294756733876159</v>
      </c>
      <c r="CF70" s="1999">
        <v>0.82384457649014431</v>
      </c>
      <c r="CG70" s="1979">
        <v>0.88249959237607689</v>
      </c>
      <c r="CH70" s="1999">
        <v>0.82568223939286201</v>
      </c>
      <c r="CI70" s="1979">
        <v>0.88485598978130886</v>
      </c>
      <c r="CJ70" s="1999">
        <v>0.82751990229557981</v>
      </c>
      <c r="CK70" s="1979">
        <v>0.88721238718654083</v>
      </c>
      <c r="CL70" s="1999">
        <v>0.82935756519829729</v>
      </c>
      <c r="CM70" s="1979">
        <v>0.88956878459177258</v>
      </c>
      <c r="CN70" s="1999">
        <v>0.83119522810101532</v>
      </c>
      <c r="CO70" s="1979">
        <v>0.89192518199700455</v>
      </c>
      <c r="CP70" s="2000">
        <v>0.82675407043376892</v>
      </c>
      <c r="CQ70" s="1998">
        <v>0.8963214166049146</v>
      </c>
      <c r="CR70" s="2000">
        <v>0.82868272082686589</v>
      </c>
      <c r="CS70" s="1998">
        <v>0.89878879565814151</v>
      </c>
      <c r="CT70" s="2000">
        <v>0.83061137121996287</v>
      </c>
      <c r="CU70" s="1998">
        <v>0.9012561747113681</v>
      </c>
      <c r="CV70" s="2000">
        <v>0.83254002161305996</v>
      </c>
      <c r="CW70" s="1998">
        <v>0.90372355376459468</v>
      </c>
      <c r="CX70" s="2000">
        <v>0.83446867200615693</v>
      </c>
      <c r="CY70" s="1998">
        <v>0.90619093281782148</v>
      </c>
      <c r="CZ70" s="1999">
        <v>0.72196299418636201</v>
      </c>
      <c r="DA70" s="1979">
        <v>0.75783581974934655</v>
      </c>
      <c r="DB70" s="1999">
        <v>0.72354075739121182</v>
      </c>
      <c r="DC70" s="1979">
        <v>0.75983550528521482</v>
      </c>
      <c r="DD70" s="1999">
        <v>0.72511852059606163</v>
      </c>
      <c r="DE70" s="1979">
        <v>0.7618351908210832</v>
      </c>
      <c r="DF70" s="1999">
        <v>0.72669628380091134</v>
      </c>
      <c r="DG70" s="1979">
        <v>0.76383487635695135</v>
      </c>
      <c r="DH70" s="1999">
        <v>0.72985181021061085</v>
      </c>
      <c r="DI70" s="1979">
        <v>0.76783424742868789</v>
      </c>
      <c r="DJ70" s="2000">
        <v>0.80454930917020917</v>
      </c>
      <c r="DK70" s="1998">
        <v>0.82661677449070337</v>
      </c>
      <c r="DL70" s="2000">
        <v>0.80559290045530263</v>
      </c>
      <c r="DM70" s="1998">
        <v>0.82795738989752787</v>
      </c>
      <c r="DN70" s="2000">
        <v>0.80663649174039576</v>
      </c>
      <c r="DO70" s="1998">
        <v>0.82929800530435238</v>
      </c>
      <c r="DP70" s="2000">
        <v>0.80768008302548899</v>
      </c>
      <c r="DQ70" s="1998">
        <v>0.83063862071117689</v>
      </c>
      <c r="DR70" s="2000">
        <v>0.8097672655956758</v>
      </c>
      <c r="DS70" s="1998">
        <v>0.83331985152482602</v>
      </c>
      <c r="GT70" s="1980"/>
      <c r="GU70" s="1980"/>
      <c r="GV70" s="1980"/>
      <c r="GW70" s="1980"/>
      <c r="GX70" s="1980"/>
      <c r="GY70" s="1980"/>
      <c r="GZ70" s="1980"/>
      <c r="HA70" s="1980"/>
      <c r="HB70" s="1980"/>
      <c r="HC70" s="1980"/>
      <c r="HD70" s="1980"/>
      <c r="HE70" s="1980"/>
      <c r="HF70" s="1980"/>
      <c r="HG70" s="1980"/>
      <c r="HH70" s="1980"/>
      <c r="HI70" s="1980"/>
      <c r="HJ70" s="1980"/>
      <c r="HK70" s="1980"/>
      <c r="HL70" s="1980"/>
      <c r="HM70" s="1980"/>
      <c r="HN70" s="1980"/>
      <c r="HO70" s="1980"/>
      <c r="HP70" s="1980"/>
      <c r="HQ70" s="1980"/>
      <c r="HR70" s="1980"/>
      <c r="HS70" s="1980"/>
      <c r="HT70" s="1980"/>
      <c r="HU70" s="1980"/>
      <c r="HV70" s="1980"/>
      <c r="HW70" s="1980"/>
      <c r="HX70" s="1980"/>
      <c r="HY70" s="1980"/>
      <c r="HZ70" s="1980"/>
      <c r="IA70" s="1980"/>
      <c r="IB70" s="1980"/>
      <c r="IC70" s="1980"/>
      <c r="ID70" s="1980"/>
      <c r="IE70" s="1980"/>
      <c r="IF70" s="1980"/>
      <c r="IG70" s="1980"/>
      <c r="IH70" s="1980"/>
      <c r="II70" s="1980"/>
      <c r="IJ70" s="1980"/>
      <c r="IK70" s="1980"/>
      <c r="IL70" s="1980"/>
      <c r="IM70" s="1980"/>
      <c r="IN70" s="1980"/>
      <c r="IO70" s="1980"/>
      <c r="IP70" s="1980"/>
      <c r="IQ70" s="1980"/>
      <c r="IR70" s="1980"/>
      <c r="IS70" s="1980"/>
      <c r="IT70" s="1980"/>
      <c r="IU70" s="1980"/>
      <c r="IV70" s="1980"/>
      <c r="IW70" s="1980"/>
      <c r="IX70" s="1980"/>
      <c r="IY70" s="1980"/>
      <c r="IZ70" s="1980"/>
      <c r="JA70" s="1980"/>
      <c r="JB70" s="1980"/>
      <c r="JC70" s="1980"/>
      <c r="JD70" s="1980"/>
      <c r="JE70" s="1980"/>
      <c r="JF70" s="1980"/>
      <c r="JG70" s="1980"/>
      <c r="JH70" s="1980"/>
      <c r="JI70" s="1980"/>
      <c r="JJ70" s="1980"/>
      <c r="JK70" s="1980"/>
      <c r="JL70" s="1980"/>
      <c r="JM70" s="1980"/>
      <c r="JN70" s="1980"/>
      <c r="JO70" s="1980"/>
      <c r="JP70" s="1980"/>
      <c r="JQ70" s="1980"/>
      <c r="JR70" s="1980"/>
      <c r="JS70" s="1980"/>
      <c r="JT70" s="1980"/>
      <c r="JU70" s="1980"/>
      <c r="JV70" s="1980"/>
      <c r="JW70" s="1980"/>
      <c r="JX70" s="1980"/>
      <c r="JY70" s="1980"/>
      <c r="JZ70" s="1980"/>
      <c r="KA70" s="1980"/>
      <c r="KB70" s="1980"/>
      <c r="KC70" s="1980"/>
      <c r="KD70" s="1980"/>
      <c r="KE70" s="1980"/>
      <c r="KF70" s="1980"/>
      <c r="KG70" s="1980"/>
      <c r="KH70" s="1980"/>
      <c r="KI70" s="1980"/>
      <c r="KJ70" s="1980"/>
      <c r="KK70" s="1980"/>
    </row>
    <row r="71" spans="1:297">
      <c r="A71" s="1997"/>
      <c r="B71" s="2">
        <v>7</v>
      </c>
      <c r="C71" s="2" t="s">
        <v>4333</v>
      </c>
      <c r="D71" s="1979">
        <v>1</v>
      </c>
      <c r="E71" s="1979">
        <v>1</v>
      </c>
      <c r="F71" s="1979">
        <v>1.0174136327335892</v>
      </c>
      <c r="G71" s="1979">
        <v>1.0220760061673386</v>
      </c>
      <c r="H71" s="1979">
        <v>1.0506102225126093</v>
      </c>
      <c r="I71" s="1979">
        <v>1.062756027330799</v>
      </c>
      <c r="J71" s="1979">
        <v>1.0812278685711296</v>
      </c>
      <c r="K71" s="1979">
        <v>1.1026931031123461</v>
      </c>
      <c r="L71" s="1979">
        <v>1.1178282040330565</v>
      </c>
      <c r="M71" s="1979">
        <v>1.1463707829921383</v>
      </c>
      <c r="N71" s="2000">
        <v>0.88046660510463071</v>
      </c>
      <c r="O71" s="1998">
        <v>0.8783551155603162</v>
      </c>
      <c r="P71" s="1998">
        <v>0.89617611277000975</v>
      </c>
      <c r="Q71" s="1998">
        <v>0.89814263763076418</v>
      </c>
      <c r="R71" s="1998">
        <v>0.92116581500833672</v>
      </c>
      <c r="S71" s="1998">
        <v>0.92867240239351356</v>
      </c>
      <c r="T71" s="1998">
        <v>0.943477578446559</v>
      </c>
      <c r="U71" s="1998">
        <v>0.95758231978129116</v>
      </c>
      <c r="V71" s="1998">
        <v>0.97569953523861896</v>
      </c>
      <c r="W71" s="1998">
        <v>0.99268034335972388</v>
      </c>
      <c r="X71" s="1999">
        <v>1.0678109030712331</v>
      </c>
      <c r="Y71" s="1979">
        <v>1.0616353443868789</v>
      </c>
      <c r="Z71" s="1979">
        <v>1.101109777645837</v>
      </c>
      <c r="AA71" s="1979">
        <v>1.1017742480084873</v>
      </c>
      <c r="AB71" s="1979">
        <v>1.1036035781499138</v>
      </c>
      <c r="AC71" s="1979">
        <v>1.1048703103322572</v>
      </c>
      <c r="AD71" s="1979">
        <v>1.10609737865399</v>
      </c>
      <c r="AE71" s="1979">
        <v>1.1079663726560269</v>
      </c>
      <c r="AF71" s="1979">
        <v>1.1085911791580667</v>
      </c>
      <c r="AG71" s="1979">
        <v>1.1110624349797971</v>
      </c>
      <c r="AH71" s="2000">
        <v>0.82549931177965519</v>
      </c>
      <c r="AI71" s="1998">
        <v>0.82680635808804026</v>
      </c>
      <c r="AJ71" s="1998">
        <v>0.85025428536542802</v>
      </c>
      <c r="AK71" s="1998">
        <v>0.85570806228122953</v>
      </c>
      <c r="AL71" s="1998">
        <v>0.85278604185901785</v>
      </c>
      <c r="AM71" s="1998">
        <v>0.85888720377642092</v>
      </c>
      <c r="AN71" s="1998">
        <v>0.85531779835260779</v>
      </c>
      <c r="AO71" s="1998">
        <v>0.86206634527161219</v>
      </c>
      <c r="AP71" s="1998">
        <v>0.85784955484619785</v>
      </c>
      <c r="AQ71" s="1998">
        <v>0.86524548676680346</v>
      </c>
      <c r="AR71" s="1999">
        <v>1.0817713545698482</v>
      </c>
      <c r="AS71" s="1979">
        <v>1.0824283655519527</v>
      </c>
      <c r="AT71" s="1979">
        <v>1.1182105584837547</v>
      </c>
      <c r="AU71" s="1979">
        <v>1.1246499399567604</v>
      </c>
      <c r="AV71" s="1979">
        <v>1.1219372920555211</v>
      </c>
      <c r="AW71" s="1979">
        <v>1.1292942459909445</v>
      </c>
      <c r="AX71" s="1979">
        <v>1.1256640256272872</v>
      </c>
      <c r="AY71" s="1979">
        <v>1.1339385520251286</v>
      </c>
      <c r="AZ71" s="1979">
        <v>1.1293907591990535</v>
      </c>
      <c r="BA71" s="1979">
        <v>1.1385828580593129</v>
      </c>
      <c r="BB71" s="2000">
        <v>1.1474975774721625</v>
      </c>
      <c r="BC71" s="1998">
        <v>1.1082117950355039</v>
      </c>
      <c r="BD71" s="1998">
        <v>1.1825521978420852</v>
      </c>
      <c r="BE71" s="1998">
        <v>1.1459819913931184</v>
      </c>
      <c r="BF71" s="1998">
        <v>1.186939318251589</v>
      </c>
      <c r="BG71" s="1998">
        <v>1.151261353795201</v>
      </c>
      <c r="BH71" s="1998">
        <v>1.1913264386610924</v>
      </c>
      <c r="BI71" s="1998">
        <v>1.1565407161972832</v>
      </c>
      <c r="BJ71" s="1998">
        <v>1.1957135590705963</v>
      </c>
      <c r="BK71" s="1998">
        <v>1.1618200785993655</v>
      </c>
      <c r="BL71" s="1999">
        <v>0.93248603872323288</v>
      </c>
      <c r="BM71" s="1979">
        <v>0.93063893007067289</v>
      </c>
      <c r="BN71" s="1999">
        <v>0.93412597999698777</v>
      </c>
      <c r="BO71" s="1979">
        <v>0.93260635109435719</v>
      </c>
      <c r="BP71" s="1999">
        <v>0.93576592127074243</v>
      </c>
      <c r="BQ71" s="1979">
        <v>0.9345737721180416</v>
      </c>
      <c r="BR71" s="1999">
        <v>0.93740586254449731</v>
      </c>
      <c r="BS71" s="1979">
        <v>0.93654119314172612</v>
      </c>
      <c r="BT71" s="1999">
        <v>0.93904580381825198</v>
      </c>
      <c r="BU71" s="1979">
        <v>0.93850861416541054</v>
      </c>
      <c r="BV71" s="2000">
        <v>1.045280525474545</v>
      </c>
      <c r="BW71" s="1998">
        <v>1.0477587835859792</v>
      </c>
      <c r="BX71" s="1998">
        <v>1.0598181556993509</v>
      </c>
      <c r="BY71" s="1998">
        <v>1.0675771723050094</v>
      </c>
      <c r="BZ71" s="1998">
        <v>1.087745245189176</v>
      </c>
      <c r="CA71" s="1998">
        <v>1.1035828479867036</v>
      </c>
      <c r="CB71" s="1998">
        <v>1.1129082625750544</v>
      </c>
      <c r="CC71" s="1998">
        <v>1.1381563628663018</v>
      </c>
      <c r="CD71" s="1998">
        <v>1.1469752223873557</v>
      </c>
      <c r="CE71" s="1998">
        <v>1.1785521428272554</v>
      </c>
      <c r="CF71" s="1999">
        <v>0.86597282397949338</v>
      </c>
      <c r="CG71" s="1979">
        <v>0.92591754146779437</v>
      </c>
      <c r="CH71" s="1999">
        <v>0.86781048688221119</v>
      </c>
      <c r="CI71" s="1979">
        <v>0.92827393887302634</v>
      </c>
      <c r="CJ71" s="1999">
        <v>0.86964814978492888</v>
      </c>
      <c r="CK71" s="1979">
        <v>0.93063033627825809</v>
      </c>
      <c r="CL71" s="1999">
        <v>0.87148581268764669</v>
      </c>
      <c r="CM71" s="1979">
        <v>0.93298673368349005</v>
      </c>
      <c r="CN71" s="1999">
        <v>0.87332347559036427</v>
      </c>
      <c r="CO71" s="1979">
        <v>0.93534313108872191</v>
      </c>
      <c r="CP71" s="2000">
        <v>0.84723716532881288</v>
      </c>
      <c r="CQ71" s="1998">
        <v>0.91015954831969514</v>
      </c>
      <c r="CR71" s="2000">
        <v>0.85013014091845829</v>
      </c>
      <c r="CS71" s="1998">
        <v>0.91386061689953513</v>
      </c>
      <c r="CT71" s="2000">
        <v>0.8530231165081037</v>
      </c>
      <c r="CU71" s="1998">
        <v>0.91756168547937511</v>
      </c>
      <c r="CV71" s="2000">
        <v>0.85591609209774933</v>
      </c>
      <c r="CW71" s="1998">
        <v>0.92126275405921532</v>
      </c>
      <c r="CX71" s="2000">
        <v>0.85880906768739496</v>
      </c>
      <c r="CY71" s="1998">
        <v>0.92496382263905519</v>
      </c>
      <c r="CZ71" s="1999">
        <v>0.83479411273991766</v>
      </c>
      <c r="DA71" s="1979">
        <v>0.86209063821074006</v>
      </c>
      <c r="DB71" s="1999">
        <v>0.83637187594476736</v>
      </c>
      <c r="DC71" s="1979">
        <v>0.86409032374660821</v>
      </c>
      <c r="DD71" s="1999">
        <v>0.83794963914961718</v>
      </c>
      <c r="DE71" s="1979">
        <v>0.86609000928247648</v>
      </c>
      <c r="DF71" s="1999">
        <v>0.83952740235446666</v>
      </c>
      <c r="DG71" s="1979">
        <v>0.86808969481834486</v>
      </c>
      <c r="DH71" s="1999">
        <v>0.84268292876416617</v>
      </c>
      <c r="DI71" s="1979">
        <v>0.87208906589008128</v>
      </c>
      <c r="DJ71" s="2000">
        <v>0.8459556554053913</v>
      </c>
      <c r="DK71" s="1998">
        <v>0.87208407864688642</v>
      </c>
      <c r="DL71" s="2000">
        <v>0.84734711045218236</v>
      </c>
      <c r="DM71" s="1998">
        <v>0.8738715658559858</v>
      </c>
      <c r="DN71" s="2000">
        <v>0.84873856549897353</v>
      </c>
      <c r="DO71" s="1998">
        <v>0.87565905306508518</v>
      </c>
      <c r="DP71" s="2000">
        <v>0.85013002054576436</v>
      </c>
      <c r="DQ71" s="1998">
        <v>0.87744654027418445</v>
      </c>
      <c r="DR71" s="2000">
        <v>0.8529129306393467</v>
      </c>
      <c r="DS71" s="1998">
        <v>0.88102151469238321</v>
      </c>
      <c r="GT71" s="1980"/>
      <c r="GU71" s="1980"/>
      <c r="GV71" s="1980"/>
      <c r="GW71" s="1980"/>
      <c r="GX71" s="1980"/>
      <c r="GY71" s="1980"/>
      <c r="GZ71" s="1980"/>
      <c r="HA71" s="1980"/>
      <c r="HB71" s="1980"/>
      <c r="HC71" s="1980"/>
      <c r="HD71" s="1980"/>
      <c r="HE71" s="1980"/>
      <c r="HF71" s="1980"/>
      <c r="HG71" s="1980"/>
      <c r="HH71" s="1980"/>
      <c r="HI71" s="1980"/>
      <c r="HJ71" s="1980"/>
      <c r="HK71" s="1980"/>
      <c r="HL71" s="1980"/>
      <c r="HM71" s="1980"/>
      <c r="HN71" s="1980"/>
      <c r="HO71" s="1980"/>
      <c r="HP71" s="1980"/>
      <c r="HQ71" s="1980"/>
      <c r="HR71" s="1980"/>
      <c r="HS71" s="1980"/>
      <c r="HT71" s="1980"/>
      <c r="HU71" s="1980"/>
      <c r="HV71" s="1980"/>
      <c r="HW71" s="1980"/>
      <c r="HX71" s="1980"/>
      <c r="HY71" s="1980"/>
      <c r="HZ71" s="1980"/>
      <c r="IA71" s="1980"/>
      <c r="IB71" s="1980"/>
      <c r="IC71" s="1980"/>
      <c r="ID71" s="1980"/>
      <c r="IE71" s="1980"/>
      <c r="IF71" s="1980"/>
      <c r="IG71" s="1980"/>
      <c r="IH71" s="1980"/>
      <c r="II71" s="1980"/>
      <c r="IJ71" s="1980"/>
      <c r="IK71" s="1980"/>
      <c r="IL71" s="1980"/>
      <c r="IM71" s="1980"/>
      <c r="IN71" s="1980"/>
      <c r="IO71" s="1980"/>
      <c r="IP71" s="1980"/>
      <c r="IQ71" s="1980"/>
      <c r="IR71" s="1980"/>
      <c r="IS71" s="1980"/>
      <c r="IT71" s="1980"/>
      <c r="IU71" s="1980"/>
      <c r="IV71" s="1980"/>
      <c r="IW71" s="1980"/>
      <c r="IX71" s="1980"/>
      <c r="IY71" s="1980"/>
      <c r="IZ71" s="1980"/>
      <c r="JA71" s="1980"/>
      <c r="JB71" s="1980"/>
      <c r="JC71" s="1980"/>
      <c r="JD71" s="1980"/>
      <c r="JE71" s="1980"/>
      <c r="JF71" s="1980"/>
      <c r="JG71" s="1980"/>
      <c r="JH71" s="1980"/>
      <c r="JI71" s="1980"/>
      <c r="JJ71" s="1980"/>
      <c r="JK71" s="1980"/>
      <c r="JL71" s="1980"/>
      <c r="JM71" s="1980"/>
      <c r="JN71" s="1980"/>
      <c r="JO71" s="1980"/>
      <c r="JP71" s="1980"/>
      <c r="JQ71" s="1980"/>
      <c r="JR71" s="1980"/>
      <c r="JS71" s="1980"/>
      <c r="JT71" s="1980"/>
      <c r="JU71" s="1980"/>
      <c r="JV71" s="1980"/>
      <c r="JW71" s="1980"/>
      <c r="JX71" s="1980"/>
      <c r="JY71" s="1980"/>
      <c r="JZ71" s="1980"/>
      <c r="KA71" s="1980"/>
      <c r="KB71" s="1980"/>
      <c r="KC71" s="1980"/>
      <c r="KD71" s="1980"/>
      <c r="KE71" s="1980"/>
      <c r="KF71" s="1980"/>
      <c r="KG71" s="1980"/>
      <c r="KH71" s="1980"/>
      <c r="KI71" s="1980"/>
      <c r="KJ71" s="1980"/>
      <c r="KK71" s="1980"/>
    </row>
    <row r="72" spans="1:297">
      <c r="A72" s="1997"/>
      <c r="B72" s="2">
        <v>8</v>
      </c>
      <c r="C72" s="2" t="s">
        <v>4334</v>
      </c>
      <c r="D72" s="1979">
        <v>1.0796154008092869</v>
      </c>
      <c r="E72" s="1979">
        <v>1.0704267730447168</v>
      </c>
      <c r="F72" s="1979">
        <v>1.097669258913637</v>
      </c>
      <c r="G72" s="1979">
        <v>1.0931653103944665</v>
      </c>
      <c r="H72" s="1979">
        <v>1.1311859613780377</v>
      </c>
      <c r="I72" s="1979">
        <v>1.1341765971491327</v>
      </c>
      <c r="J72" s="1979">
        <v>1.1621237201219383</v>
      </c>
      <c r="K72" s="1979">
        <v>1.1744449385218854</v>
      </c>
      <c r="L72" s="1979">
        <v>1.1990441682692456</v>
      </c>
      <c r="M72" s="1979">
        <v>1.2184538839928831</v>
      </c>
      <c r="N72" s="2000">
        <v>0.90042302257470552</v>
      </c>
      <c r="O72" s="1998">
        <v>0.89615129104815328</v>
      </c>
      <c r="P72" s="1998">
        <v>0.91596358172059822</v>
      </c>
      <c r="Q72" s="1998">
        <v>0.9157642075161011</v>
      </c>
      <c r="R72" s="1998">
        <v>0.94086880969918207</v>
      </c>
      <c r="S72" s="1998">
        <v>0.94620666947760002</v>
      </c>
      <c r="T72" s="1998">
        <v>0.9630960988776609</v>
      </c>
      <c r="U72" s="1998">
        <v>0.9750292840641277</v>
      </c>
      <c r="V72" s="1998">
        <v>0.99523358140997786</v>
      </c>
      <c r="W72" s="1998">
        <v>1.0100400048413103</v>
      </c>
      <c r="X72" s="1999">
        <v>1.121338625234634</v>
      </c>
      <c r="Y72" s="1979">
        <v>1.115036190288667</v>
      </c>
      <c r="Z72" s="1979">
        <v>1.1559482588016474</v>
      </c>
      <c r="AA72" s="1979">
        <v>1.1560073893086367</v>
      </c>
      <c r="AB72" s="1979">
        <v>1.1589408194065394</v>
      </c>
      <c r="AC72" s="1979">
        <v>1.1597226640971605</v>
      </c>
      <c r="AD72" s="1979">
        <v>1.1619333800114313</v>
      </c>
      <c r="AE72" s="1979">
        <v>1.1634379388856841</v>
      </c>
      <c r="AF72" s="1979">
        <v>1.164925940616323</v>
      </c>
      <c r="AG72" s="1979">
        <v>1.167153213674208</v>
      </c>
      <c r="AH72" s="2000">
        <v>0.87967306075548812</v>
      </c>
      <c r="AI72" s="1998">
        <v>0.8785636541808548</v>
      </c>
      <c r="AJ72" s="1998">
        <v>0.90442803434126084</v>
      </c>
      <c r="AK72" s="1998">
        <v>0.90746535837404396</v>
      </c>
      <c r="AL72" s="1998">
        <v>0.90695979083485068</v>
      </c>
      <c r="AM72" s="1998">
        <v>0.91064449986923535</v>
      </c>
      <c r="AN72" s="1998">
        <v>0.90949154732844084</v>
      </c>
      <c r="AO72" s="1998">
        <v>0.91382364136442673</v>
      </c>
      <c r="AP72" s="1998">
        <v>0.91202330382203067</v>
      </c>
      <c r="AQ72" s="1998">
        <v>0.917002782859618</v>
      </c>
      <c r="AR72" s="1999">
        <v>1.1602616918356687</v>
      </c>
      <c r="AS72" s="1979">
        <v>1.1566519465588261</v>
      </c>
      <c r="AT72" s="1979">
        <v>1.1967008957495755</v>
      </c>
      <c r="AU72" s="1979">
        <v>1.1988735209636341</v>
      </c>
      <c r="AV72" s="1979">
        <v>1.2004276293213416</v>
      </c>
      <c r="AW72" s="1979">
        <v>1.2035178269978182</v>
      </c>
      <c r="AX72" s="1979">
        <v>1.204154362893108</v>
      </c>
      <c r="AY72" s="1979">
        <v>1.2081621330320023</v>
      </c>
      <c r="AZ72" s="1979">
        <v>1.2078810964648743</v>
      </c>
      <c r="BA72" s="1979">
        <v>1.2128064390661866</v>
      </c>
      <c r="BB72" s="2000">
        <v>1.2104299068289865</v>
      </c>
      <c r="BC72" s="1998">
        <v>1.1617904690396395</v>
      </c>
      <c r="BD72" s="1998">
        <v>1.245484527198909</v>
      </c>
      <c r="BE72" s="1998">
        <v>1.1995606653972539</v>
      </c>
      <c r="BF72" s="1998">
        <v>1.2498716476084129</v>
      </c>
      <c r="BG72" s="1998">
        <v>1.2048400277993363</v>
      </c>
      <c r="BH72" s="1998">
        <v>1.2542587680179165</v>
      </c>
      <c r="BI72" s="1998">
        <v>1.2101193902014187</v>
      </c>
      <c r="BJ72" s="1998">
        <v>1.2586458884274201</v>
      </c>
      <c r="BK72" s="1998">
        <v>1.2153987526035008</v>
      </c>
      <c r="BL72" s="1999">
        <v>0.94876423852474334</v>
      </c>
      <c r="BM72" s="1979">
        <v>0.94535051880450771</v>
      </c>
      <c r="BN72" s="1999">
        <v>0.95040417979849812</v>
      </c>
      <c r="BO72" s="1979">
        <v>0.94731793982819201</v>
      </c>
      <c r="BP72" s="1999">
        <v>0.95204412107225278</v>
      </c>
      <c r="BQ72" s="1979">
        <v>0.94928536085187654</v>
      </c>
      <c r="BR72" s="1999">
        <v>0.95368406234600755</v>
      </c>
      <c r="BS72" s="1979">
        <v>0.95125278187556084</v>
      </c>
      <c r="BT72" s="1999">
        <v>0.95532400361976222</v>
      </c>
      <c r="BU72" s="1979">
        <v>0.95322020289924525</v>
      </c>
      <c r="BV72" s="2000">
        <v>1.1034983439418169</v>
      </c>
      <c r="BW72" s="1998">
        <v>1.1091629339108093</v>
      </c>
      <c r="BX72" s="1998">
        <v>1.1186621244168657</v>
      </c>
      <c r="BY72" s="1998">
        <v>1.1296589896402933</v>
      </c>
      <c r="BZ72" s="1998">
        <v>1.1469022890318123</v>
      </c>
      <c r="CA72" s="1998">
        <v>1.166003498827215</v>
      </c>
      <c r="CB72" s="1998">
        <v>1.1723783815428122</v>
      </c>
      <c r="CC72" s="1998">
        <v>1.2009158472120403</v>
      </c>
      <c r="CD72" s="1998">
        <v>1.2067584164802347</v>
      </c>
      <c r="CE72" s="1998">
        <v>1.2416504606782208</v>
      </c>
      <c r="CF72" s="1999">
        <v>1.0100811731794852</v>
      </c>
      <c r="CG72" s="1979">
        <v>1.0898968993747269</v>
      </c>
      <c r="CH72" s="1999">
        <v>1.0128376675335617</v>
      </c>
      <c r="CI72" s="1979">
        <v>1.0934314954825748</v>
      </c>
      <c r="CJ72" s="1999">
        <v>1.0155941618876383</v>
      </c>
      <c r="CK72" s="1979">
        <v>1.0969660915904225</v>
      </c>
      <c r="CL72" s="1999">
        <v>1.0183506562417151</v>
      </c>
      <c r="CM72" s="1979">
        <v>1.1005006876982706</v>
      </c>
      <c r="CN72" s="1999">
        <v>1.0211071505957914</v>
      </c>
      <c r="CO72" s="1979">
        <v>1.104035283806118</v>
      </c>
      <c r="CP72" s="2000">
        <v>1.0078247201933905</v>
      </c>
      <c r="CQ72" s="1998">
        <v>1.0953271888892546</v>
      </c>
      <c r="CR72" s="2000">
        <v>1.0107176957830362</v>
      </c>
      <c r="CS72" s="1998">
        <v>1.0990282574690948</v>
      </c>
      <c r="CT72" s="2000">
        <v>1.0136106713726816</v>
      </c>
      <c r="CU72" s="1998">
        <v>1.102729326048935</v>
      </c>
      <c r="CV72" s="2000">
        <v>1.016503646962327</v>
      </c>
      <c r="CW72" s="1998">
        <v>1.1064303946287748</v>
      </c>
      <c r="CX72" s="2000">
        <v>1.0193966225519726</v>
      </c>
      <c r="CY72" s="1998">
        <v>1.1101314632086148</v>
      </c>
      <c r="CZ72" s="1999">
        <v>0.87257657338661831</v>
      </c>
      <c r="DA72" s="1979">
        <v>0.89659760468158367</v>
      </c>
      <c r="DB72" s="1999">
        <v>0.87415433659146802</v>
      </c>
      <c r="DC72" s="1979">
        <v>0.89859729021745205</v>
      </c>
      <c r="DD72" s="1999">
        <v>0.87573209979631783</v>
      </c>
      <c r="DE72" s="1979">
        <v>0.90059697575332021</v>
      </c>
      <c r="DF72" s="1999">
        <v>0.87730986300116731</v>
      </c>
      <c r="DG72" s="1979">
        <v>0.90259666128918858</v>
      </c>
      <c r="DH72" s="1999">
        <v>0.88046538941086683</v>
      </c>
      <c r="DI72" s="1979">
        <v>0.90659603236092512</v>
      </c>
      <c r="DJ72" s="2000">
        <v>0.87513532753318179</v>
      </c>
      <c r="DK72" s="1998">
        <v>0.89908970901438601</v>
      </c>
      <c r="DL72" s="2000">
        <v>0.87652678257997285</v>
      </c>
      <c r="DM72" s="1998">
        <v>0.90087719622348539</v>
      </c>
      <c r="DN72" s="2000">
        <v>0.87791823762676391</v>
      </c>
      <c r="DO72" s="1998">
        <v>0.90266468343258455</v>
      </c>
      <c r="DP72" s="2000">
        <v>0.87930969267355508</v>
      </c>
      <c r="DQ72" s="1998">
        <v>0.90445217064168415</v>
      </c>
      <c r="DR72" s="2000">
        <v>0.88209260276713708</v>
      </c>
      <c r="DS72" s="1998">
        <v>0.90802714505988291</v>
      </c>
      <c r="GT72" s="1980"/>
      <c r="GU72" s="1980"/>
      <c r="GV72" s="1980"/>
      <c r="GW72" s="1980"/>
      <c r="GX72" s="1980"/>
      <c r="GY72" s="1980"/>
      <c r="GZ72" s="1980"/>
      <c r="HA72" s="1980"/>
      <c r="HB72" s="1980"/>
      <c r="HC72" s="1980"/>
      <c r="HD72" s="1980"/>
      <c r="HE72" s="1980"/>
      <c r="HF72" s="1980"/>
      <c r="HG72" s="1980"/>
      <c r="HH72" s="1980"/>
      <c r="HI72" s="1980"/>
      <c r="HJ72" s="1980"/>
      <c r="HK72" s="1980"/>
      <c r="HL72" s="1980"/>
      <c r="HM72" s="1980"/>
      <c r="HN72" s="1980"/>
      <c r="HO72" s="1980"/>
      <c r="HP72" s="1980"/>
      <c r="HQ72" s="1980"/>
      <c r="HR72" s="1980"/>
      <c r="HS72" s="1980"/>
      <c r="HT72" s="1980"/>
      <c r="HU72" s="1980"/>
      <c r="HV72" s="1980"/>
      <c r="HW72" s="1980"/>
      <c r="HX72" s="1980"/>
      <c r="HY72" s="1980"/>
      <c r="HZ72" s="1980"/>
      <c r="IA72" s="1980"/>
      <c r="IB72" s="1980"/>
      <c r="IC72" s="1980"/>
      <c r="ID72" s="1980"/>
      <c r="IE72" s="1980"/>
      <c r="IF72" s="1980"/>
      <c r="IG72" s="1980"/>
      <c r="IH72" s="1980"/>
      <c r="II72" s="1980"/>
      <c r="IJ72" s="1980"/>
      <c r="IK72" s="1980"/>
      <c r="IL72" s="1980"/>
      <c r="IM72" s="1980"/>
      <c r="IN72" s="1980"/>
      <c r="IO72" s="1980"/>
      <c r="IP72" s="1980"/>
      <c r="IQ72" s="1980"/>
      <c r="IR72" s="1980"/>
      <c r="IS72" s="1980"/>
      <c r="IT72" s="1980"/>
      <c r="IU72" s="1980"/>
      <c r="IV72" s="1980"/>
      <c r="IW72" s="1980"/>
      <c r="IX72" s="1980"/>
      <c r="IY72" s="1980"/>
      <c r="IZ72" s="1980"/>
      <c r="JA72" s="1980"/>
      <c r="JB72" s="1980"/>
      <c r="JC72" s="1980"/>
      <c r="JD72" s="1980"/>
      <c r="JE72" s="1980"/>
      <c r="JF72" s="1980"/>
      <c r="JG72" s="1980"/>
      <c r="JH72" s="1980"/>
      <c r="JI72" s="1980"/>
      <c r="JJ72" s="1980"/>
      <c r="JK72" s="1980"/>
      <c r="JL72" s="1980"/>
      <c r="JM72" s="1980"/>
      <c r="JN72" s="1980"/>
      <c r="JO72" s="1980"/>
      <c r="JP72" s="1980"/>
      <c r="JQ72" s="1980"/>
      <c r="JR72" s="1980"/>
      <c r="JS72" s="1980"/>
      <c r="JT72" s="1980"/>
      <c r="JU72" s="1980"/>
      <c r="JV72" s="1980"/>
      <c r="JW72" s="1980"/>
      <c r="JX72" s="1980"/>
      <c r="JY72" s="1980"/>
      <c r="JZ72" s="1980"/>
      <c r="KA72" s="1980"/>
      <c r="KB72" s="1980"/>
      <c r="KC72" s="1980"/>
      <c r="KD72" s="1980"/>
      <c r="KE72" s="1980"/>
      <c r="KF72" s="1980"/>
      <c r="KG72" s="1980"/>
      <c r="KH72" s="1980"/>
      <c r="KI72" s="1980"/>
      <c r="KJ72" s="1980"/>
      <c r="KK72" s="1980"/>
    </row>
    <row r="73" spans="1:297">
      <c r="A73" s="1997"/>
      <c r="B73" s="2">
        <v>9</v>
      </c>
      <c r="C73" s="2" t="s">
        <v>4335</v>
      </c>
      <c r="D73" s="1979">
        <v>1.1355971641005533</v>
      </c>
      <c r="E73" s="1979">
        <v>1.1192497122712404</v>
      </c>
      <c r="F73" s="1979">
        <v>1.1539515361544443</v>
      </c>
      <c r="G73" s="1979">
        <v>1.1422992336453874</v>
      </c>
      <c r="H73" s="1979">
        <v>1.1876184955936153</v>
      </c>
      <c r="I73" s="1979">
        <v>1.1834660124122522</v>
      </c>
      <c r="J73" s="1979">
        <v>1.2187065113122866</v>
      </c>
      <c r="K73" s="1979">
        <v>1.2238898457972036</v>
      </c>
      <c r="L73" s="1979">
        <v>1.2557772164343641</v>
      </c>
      <c r="M73" s="1979">
        <v>1.2680542832804</v>
      </c>
      <c r="N73" s="2000">
        <v>0.91118458363612909</v>
      </c>
      <c r="O73" s="1998">
        <v>0.90714046594354392</v>
      </c>
      <c r="P73" s="1998">
        <v>0.9271005839364358</v>
      </c>
      <c r="Q73" s="1998">
        <v>0.92714139486149272</v>
      </c>
      <c r="R73" s="1998">
        <v>0.95219353249222682</v>
      </c>
      <c r="S73" s="1998">
        <v>0.95777786304799206</v>
      </c>
      <c r="T73" s="1998">
        <v>0.97460854224791293</v>
      </c>
      <c r="U73" s="1998">
        <v>0.98679448385951996</v>
      </c>
      <c r="V73" s="1998">
        <v>1.006933745357437</v>
      </c>
      <c r="W73" s="1998">
        <v>1.0219992108617029</v>
      </c>
      <c r="X73" s="1999">
        <v>1.2055845932324754</v>
      </c>
      <c r="Y73" s="1979">
        <v>1.1994243219946334</v>
      </c>
      <c r="Z73" s="1979">
        <v>1.2421603652881028</v>
      </c>
      <c r="AA73" s="1979">
        <v>1.2416439641121446</v>
      </c>
      <c r="AB73" s="1979">
        <v>1.2459010660442178</v>
      </c>
      <c r="AC73" s="1979">
        <v>1.2462880575977997</v>
      </c>
      <c r="AD73" s="1979">
        <v>1.2496417668003328</v>
      </c>
      <c r="AE73" s="1979">
        <v>1.2509321510834541</v>
      </c>
      <c r="AF73" s="1979">
        <v>1.2533824675564478</v>
      </c>
      <c r="AG73" s="1979">
        <v>1.2555762445691088</v>
      </c>
      <c r="AH73" s="2000">
        <v>0.92010602949949272</v>
      </c>
      <c r="AI73" s="1998">
        <v>0.91715817948345713</v>
      </c>
      <c r="AJ73" s="1998">
        <v>0.94486100308526544</v>
      </c>
      <c r="AK73" s="1998">
        <v>0.94605988367664651</v>
      </c>
      <c r="AL73" s="1998">
        <v>0.94739275957885538</v>
      </c>
      <c r="AM73" s="1998">
        <v>0.94923902517183778</v>
      </c>
      <c r="AN73" s="1998">
        <v>0.94992451607244521</v>
      </c>
      <c r="AO73" s="1998">
        <v>0.95241816666702928</v>
      </c>
      <c r="AP73" s="1998">
        <v>0.95245627256603538</v>
      </c>
      <c r="AQ73" s="1998">
        <v>0.95559730816222055</v>
      </c>
      <c r="AR73" s="1999">
        <v>1.1996663939096546</v>
      </c>
      <c r="AS73" s="1979">
        <v>1.1938680152708669</v>
      </c>
      <c r="AT73" s="1979">
        <v>1.2361055978235616</v>
      </c>
      <c r="AU73" s="1979">
        <v>1.2360895896756747</v>
      </c>
      <c r="AV73" s="1979">
        <v>1.2398323313953279</v>
      </c>
      <c r="AW73" s="1979">
        <v>1.2407338957098588</v>
      </c>
      <c r="AX73" s="1979">
        <v>1.243559064967094</v>
      </c>
      <c r="AY73" s="1979">
        <v>1.2453782017440429</v>
      </c>
      <c r="AZ73" s="1979">
        <v>1.2472857985388603</v>
      </c>
      <c r="BA73" s="1979">
        <v>1.250022507778227</v>
      </c>
      <c r="BB73" s="2000">
        <v>1.2418960715073983</v>
      </c>
      <c r="BC73" s="1998">
        <v>1.1885798060417068</v>
      </c>
      <c r="BD73" s="1998">
        <v>1.2769506918773208</v>
      </c>
      <c r="BE73" s="1998">
        <v>1.2263500023993215</v>
      </c>
      <c r="BF73" s="1998">
        <v>1.2813378122868246</v>
      </c>
      <c r="BG73" s="1998">
        <v>1.2316293648014036</v>
      </c>
      <c r="BH73" s="1998">
        <v>1.2857249326963283</v>
      </c>
      <c r="BI73" s="1998">
        <v>1.2369087272034862</v>
      </c>
      <c r="BJ73" s="1998">
        <v>1.2901120531058319</v>
      </c>
      <c r="BK73" s="1998">
        <v>1.2421880896055684</v>
      </c>
      <c r="BL73" s="1999">
        <v>0.97733110758850317</v>
      </c>
      <c r="BM73" s="1979">
        <v>0.97115679037289737</v>
      </c>
      <c r="BN73" s="1999">
        <v>0.97897104886225805</v>
      </c>
      <c r="BO73" s="1979">
        <v>0.97312421139658178</v>
      </c>
      <c r="BP73" s="1999">
        <v>0.98061099013601272</v>
      </c>
      <c r="BQ73" s="1979">
        <v>0.9750916324202662</v>
      </c>
      <c r="BR73" s="1999">
        <v>0.9822509314097676</v>
      </c>
      <c r="BS73" s="1979">
        <v>0.97705905344395061</v>
      </c>
      <c r="BT73" s="1999">
        <v>0.98389087268352216</v>
      </c>
      <c r="BU73" s="1979">
        <v>0.9790264744676348</v>
      </c>
      <c r="BV73" s="2000">
        <v>1.155827658276126</v>
      </c>
      <c r="BW73" s="1998">
        <v>1.1641334342714855</v>
      </c>
      <c r="BX73" s="1998">
        <v>1.1715480167513905</v>
      </c>
      <c r="BY73" s="1998">
        <v>1.1852318606769288</v>
      </c>
      <c r="BZ73" s="1998">
        <v>1.2000664703664452</v>
      </c>
      <c r="CA73" s="1998">
        <v>1.2218775552018299</v>
      </c>
      <c r="CB73" s="1998">
        <v>1.2258208518775531</v>
      </c>
      <c r="CC73" s="1998">
        <v>1.2570910889246347</v>
      </c>
      <c r="CD73" s="1998">
        <v>1.2604791758150837</v>
      </c>
      <c r="CE73" s="1998">
        <v>1.2981268877287948</v>
      </c>
      <c r="CF73" s="1999">
        <v>1.044686960693918</v>
      </c>
      <c r="CG73" s="1979">
        <v>1.1253597711718555</v>
      </c>
      <c r="CH73" s="1999">
        <v>1.0474434550479945</v>
      </c>
      <c r="CI73" s="1979">
        <v>1.1288943672797034</v>
      </c>
      <c r="CJ73" s="1999">
        <v>1.0501999494020711</v>
      </c>
      <c r="CK73" s="1979">
        <v>1.1324289633875511</v>
      </c>
      <c r="CL73" s="1999">
        <v>1.0529564437561478</v>
      </c>
      <c r="CM73" s="1979">
        <v>1.135963559495399</v>
      </c>
      <c r="CN73" s="1999">
        <v>1.0557129381102242</v>
      </c>
      <c r="CO73" s="1979">
        <v>1.1394981556032466</v>
      </c>
      <c r="CP73" s="2000">
        <v>1.0559844195877848</v>
      </c>
      <c r="CQ73" s="1998">
        <v>1.1444311481941769</v>
      </c>
      <c r="CR73" s="2000">
        <v>1.0588773951774304</v>
      </c>
      <c r="CS73" s="1998">
        <v>1.1481322167740171</v>
      </c>
      <c r="CT73" s="2000">
        <v>1.0617703707670758</v>
      </c>
      <c r="CU73" s="1998">
        <v>1.1518332853538569</v>
      </c>
      <c r="CV73" s="2000">
        <v>1.0646633463567214</v>
      </c>
      <c r="CW73" s="1998">
        <v>1.1555343539336969</v>
      </c>
      <c r="CX73" s="2000">
        <v>1.0675563219463671</v>
      </c>
      <c r="CY73" s="1998">
        <v>1.1592354225135371</v>
      </c>
      <c r="CZ73" s="1999">
        <v>0.90218645905539585</v>
      </c>
      <c r="DA73" s="1979">
        <v>0.93962509945567463</v>
      </c>
      <c r="DB73" s="1999">
        <v>0.9045531038626704</v>
      </c>
      <c r="DC73" s="1979">
        <v>0.94262462775947686</v>
      </c>
      <c r="DD73" s="1999">
        <v>0.90691974866994507</v>
      </c>
      <c r="DE73" s="1979">
        <v>0.94562415606327943</v>
      </c>
      <c r="DF73" s="1999">
        <v>0.90928639347721962</v>
      </c>
      <c r="DG73" s="1979">
        <v>0.94862368436708167</v>
      </c>
      <c r="DH73" s="1999">
        <v>0.91401968309176884</v>
      </c>
      <c r="DI73" s="1979">
        <v>0.95462274097468647</v>
      </c>
      <c r="DJ73" s="2000">
        <v>0.9179364808346131</v>
      </c>
      <c r="DK73" s="1998">
        <v>0.95299226702000828</v>
      </c>
      <c r="DL73" s="2000">
        <v>0.92002366340479969</v>
      </c>
      <c r="DM73" s="1998">
        <v>0.95567349783365718</v>
      </c>
      <c r="DN73" s="2000">
        <v>0.92211084597498616</v>
      </c>
      <c r="DO73" s="1998">
        <v>0.95835472864730642</v>
      </c>
      <c r="DP73" s="2000">
        <v>0.92419802854517286</v>
      </c>
      <c r="DQ73" s="1998">
        <v>0.96103595946095532</v>
      </c>
      <c r="DR73" s="2000">
        <v>0.92837239368554603</v>
      </c>
      <c r="DS73" s="1998">
        <v>0.96639842108825347</v>
      </c>
      <c r="GT73" s="1980"/>
      <c r="GU73" s="1980"/>
      <c r="GV73" s="1980"/>
      <c r="GW73" s="1980"/>
      <c r="GX73" s="1980"/>
      <c r="GY73" s="1980"/>
      <c r="GZ73" s="1980"/>
      <c r="HA73" s="1980"/>
      <c r="HB73" s="1980"/>
      <c r="HC73" s="1980"/>
      <c r="HD73" s="1980"/>
      <c r="HE73" s="1980"/>
      <c r="HF73" s="1980"/>
      <c r="HG73" s="1980"/>
      <c r="HH73" s="1980"/>
      <c r="HI73" s="1980"/>
      <c r="HJ73" s="1980"/>
      <c r="HK73" s="1980"/>
      <c r="HL73" s="1980"/>
      <c r="HM73" s="1980"/>
      <c r="HN73" s="1980"/>
      <c r="HO73" s="1980"/>
      <c r="HP73" s="1980"/>
      <c r="HQ73" s="1980"/>
      <c r="HR73" s="1980"/>
      <c r="HS73" s="1980"/>
      <c r="HT73" s="1980"/>
      <c r="HU73" s="1980"/>
      <c r="HV73" s="1980"/>
      <c r="HW73" s="1980"/>
      <c r="HX73" s="1980"/>
      <c r="HY73" s="1980"/>
      <c r="HZ73" s="1980"/>
      <c r="IA73" s="1980"/>
      <c r="IB73" s="1980"/>
      <c r="IC73" s="1980"/>
      <c r="ID73" s="1980"/>
      <c r="IE73" s="1980"/>
      <c r="IF73" s="1980"/>
      <c r="IG73" s="1980"/>
      <c r="IH73" s="1980"/>
      <c r="II73" s="1980"/>
      <c r="IJ73" s="1980"/>
      <c r="IK73" s="1980"/>
      <c r="IL73" s="1980"/>
      <c r="IM73" s="1980"/>
      <c r="IN73" s="1980"/>
      <c r="IO73" s="1980"/>
      <c r="IP73" s="1980"/>
      <c r="IQ73" s="1980"/>
      <c r="IR73" s="1980"/>
      <c r="IS73" s="1980"/>
      <c r="IT73" s="1980"/>
      <c r="IU73" s="1980"/>
      <c r="IV73" s="1980"/>
      <c r="IW73" s="1980"/>
      <c r="IX73" s="1980"/>
      <c r="IY73" s="1980"/>
      <c r="IZ73" s="1980"/>
      <c r="JA73" s="1980"/>
      <c r="JB73" s="1980"/>
      <c r="JC73" s="1980"/>
      <c r="JD73" s="1980"/>
      <c r="JE73" s="1980"/>
      <c r="JF73" s="1980"/>
      <c r="JG73" s="1980"/>
      <c r="JH73" s="1980"/>
      <c r="JI73" s="1980"/>
      <c r="JJ73" s="1980"/>
      <c r="JK73" s="1980"/>
      <c r="JL73" s="1980"/>
      <c r="JM73" s="1980"/>
      <c r="JN73" s="1980"/>
      <c r="JO73" s="1980"/>
      <c r="JP73" s="1980"/>
      <c r="JQ73" s="1980"/>
      <c r="JR73" s="1980"/>
      <c r="JS73" s="1980"/>
      <c r="JT73" s="1980"/>
      <c r="JU73" s="1980"/>
      <c r="JV73" s="1980"/>
      <c r="JW73" s="1980"/>
      <c r="JX73" s="1980"/>
      <c r="JY73" s="1980"/>
      <c r="JZ73" s="1980"/>
      <c r="KA73" s="1980"/>
      <c r="KB73" s="1980"/>
      <c r="KC73" s="1980"/>
      <c r="KD73" s="1980"/>
      <c r="KE73" s="1980"/>
      <c r="KF73" s="1980"/>
      <c r="KG73" s="1980"/>
      <c r="KH73" s="1980"/>
      <c r="KI73" s="1980"/>
      <c r="KJ73" s="1980"/>
      <c r="KK73" s="1980"/>
    </row>
    <row r="74" spans="1:297">
      <c r="A74" s="1997"/>
      <c r="B74" s="2">
        <v>10</v>
      </c>
      <c r="C74" s="2" t="s">
        <v>4336</v>
      </c>
      <c r="D74" s="1979">
        <v>1.2049451600419461</v>
      </c>
      <c r="E74" s="1979">
        <v>1.1802442895140521</v>
      </c>
      <c r="F74" s="1979">
        <v>1.2239551988948352</v>
      </c>
      <c r="G74" s="1979">
        <v>1.2039723214868836</v>
      </c>
      <c r="H74" s="1979">
        <v>1.2579499917335055</v>
      </c>
      <c r="I74" s="1979">
        <v>1.2454783555530911</v>
      </c>
      <c r="J74" s="1979">
        <v>1.2893658408516757</v>
      </c>
      <c r="K74" s="1979">
        <v>1.2862414442373844</v>
      </c>
      <c r="L74" s="1979">
        <v>1.3267643793732526</v>
      </c>
      <c r="M74" s="1979">
        <v>1.3307451370199237</v>
      </c>
      <c r="N74" s="2000">
        <v>0.95110390864765604</v>
      </c>
      <c r="O74" s="1998">
        <v>0.95236888287907351</v>
      </c>
      <c r="P74" s="1998">
        <v>0.96687632123336731</v>
      </c>
      <c r="Q74" s="1998">
        <v>0.97281341555677869</v>
      </c>
      <c r="R74" s="1998">
        <v>0.99167801674235567</v>
      </c>
      <c r="S74" s="1998">
        <v>1.0033393186549524</v>
      </c>
      <c r="T74" s="1998">
        <v>1.0130605633234029</v>
      </c>
      <c r="U74" s="1998">
        <v>1.0312889052289782</v>
      </c>
      <c r="V74" s="1998">
        <v>1.0493083999352071</v>
      </c>
      <c r="W74" s="1998">
        <v>1.0685206510889869</v>
      </c>
      <c r="X74" s="1999">
        <v>1.2813424815629244</v>
      </c>
      <c r="Y74" s="1979">
        <v>1.2791195170767811</v>
      </c>
      <c r="Z74" s="1979">
        <v>1.3211951510995759</v>
      </c>
      <c r="AA74" s="1979">
        <v>1.3234198976901954</v>
      </c>
      <c r="AB74" s="1979">
        <v>1.326182752107729</v>
      </c>
      <c r="AC74" s="1979">
        <v>1.3296120223377352</v>
      </c>
      <c r="AD74" s="1979">
        <v>1.3311703531158823</v>
      </c>
      <c r="AE74" s="1979">
        <v>1.3358041469852751</v>
      </c>
      <c r="AF74" s="1979">
        <v>1.3361579541240352</v>
      </c>
      <c r="AG74" s="1979">
        <v>1.3419962716328142</v>
      </c>
      <c r="AH74" s="2000">
        <v>0.94537663496449575</v>
      </c>
      <c r="AI74" s="1998">
        <v>0.94127975779758377</v>
      </c>
      <c r="AJ74" s="1998">
        <v>0.97013160855026825</v>
      </c>
      <c r="AK74" s="1998">
        <v>0.97018146199077293</v>
      </c>
      <c r="AL74" s="1998">
        <v>0.97266336504385831</v>
      </c>
      <c r="AM74" s="1998">
        <v>0.97336060348596432</v>
      </c>
      <c r="AN74" s="1998">
        <v>0.97519512153744825</v>
      </c>
      <c r="AO74" s="1998">
        <v>0.9765397449811557</v>
      </c>
      <c r="AP74" s="1998">
        <v>0.9777268780310383</v>
      </c>
      <c r="AQ74" s="1998">
        <v>0.97971888647634708</v>
      </c>
      <c r="AR74" s="1999">
        <v>1.2718030588098257</v>
      </c>
      <c r="AS74" s="1979">
        <v>1.2703409853326539</v>
      </c>
      <c r="AT74" s="1979">
        <v>1.3115069247884017</v>
      </c>
      <c r="AU74" s="1979">
        <v>1.3146433934635553</v>
      </c>
      <c r="AV74" s="1979">
        <v>1.31647590288409</v>
      </c>
      <c r="AW74" s="1979">
        <v>1.3208358015091342</v>
      </c>
      <c r="AX74" s="1979">
        <v>1.3214448809797783</v>
      </c>
      <c r="AY74" s="1979">
        <v>1.327028209554713</v>
      </c>
      <c r="AZ74" s="1979">
        <v>1.3264138590754664</v>
      </c>
      <c r="BA74" s="1979">
        <v>1.3332206176002919</v>
      </c>
      <c r="BB74" s="2000">
        <v>1.3205614832034283</v>
      </c>
      <c r="BC74" s="1998">
        <v>1.2555531485468761</v>
      </c>
      <c r="BD74" s="1998">
        <v>1.3556161035733509</v>
      </c>
      <c r="BE74" s="1998">
        <v>1.2933233449044907</v>
      </c>
      <c r="BF74" s="1998">
        <v>1.3600032239828546</v>
      </c>
      <c r="BG74" s="1998">
        <v>1.2986027073065729</v>
      </c>
      <c r="BH74" s="1998">
        <v>1.3643903443923584</v>
      </c>
      <c r="BI74" s="1998">
        <v>1.3038820697086553</v>
      </c>
      <c r="BJ74" s="1998">
        <v>1.368777464801862</v>
      </c>
      <c r="BK74" s="1998">
        <v>1.3091614321107377</v>
      </c>
      <c r="BL74" s="1999">
        <v>1</v>
      </c>
      <c r="BM74" s="1979">
        <v>1</v>
      </c>
      <c r="BN74" s="1999">
        <v>1.0024599119106321</v>
      </c>
      <c r="BO74" s="1979">
        <v>1.0029511315355266</v>
      </c>
      <c r="BP74" s="1999">
        <v>1.0049198238212642</v>
      </c>
      <c r="BQ74" s="1979">
        <v>1.005902263071053</v>
      </c>
      <c r="BR74" s="1999">
        <v>1.0073797357318965</v>
      </c>
      <c r="BS74" s="1979">
        <v>1.0088533946065796</v>
      </c>
      <c r="BT74" s="1999">
        <v>1.0098396476425284</v>
      </c>
      <c r="BU74" s="1979">
        <v>1.0118045261421065</v>
      </c>
      <c r="BV74" s="2000">
        <v>1.249443881812115</v>
      </c>
      <c r="BW74" s="1998">
        <v>1.2684306598288113</v>
      </c>
      <c r="BX74" s="1998">
        <v>1.2654802077846992</v>
      </c>
      <c r="BY74" s="1998">
        <v>1.2902423836464676</v>
      </c>
      <c r="BZ74" s="1998">
        <v>1.2940251945016887</v>
      </c>
      <c r="CA74" s="1998">
        <v>1.3270362485984941</v>
      </c>
      <c r="CB74" s="1998">
        <v>1.3193621425126345</v>
      </c>
      <c r="CC74" s="1998">
        <v>1.3617980043143296</v>
      </c>
      <c r="CD74" s="1998">
        <v>1.3565710137588105</v>
      </c>
      <c r="CE74" s="1998">
        <v>1.4043227801386384</v>
      </c>
      <c r="CF74" s="1999">
        <v>1.0986038446772399</v>
      </c>
      <c r="CG74" s="1979">
        <v>1.1805818493349718</v>
      </c>
      <c r="CH74" s="1999">
        <v>1.1013603390313165</v>
      </c>
      <c r="CI74" s="1979">
        <v>1.1841164454428197</v>
      </c>
      <c r="CJ74" s="1999">
        <v>1.104116833385393</v>
      </c>
      <c r="CK74" s="1979">
        <v>1.1876510415506676</v>
      </c>
      <c r="CL74" s="1999">
        <v>1.1068733277394696</v>
      </c>
      <c r="CM74" s="1979">
        <v>1.1911856376585153</v>
      </c>
      <c r="CN74" s="1999">
        <v>1.1096298220935459</v>
      </c>
      <c r="CO74" s="1979">
        <v>1.1947202337663634</v>
      </c>
      <c r="CP74" s="2000">
        <v>1.0981241565578799</v>
      </c>
      <c r="CQ74" s="1998">
        <v>1.187397112585983</v>
      </c>
      <c r="CR74" s="2000">
        <v>1.1010171321475255</v>
      </c>
      <c r="CS74" s="1998">
        <v>1.1910981811658232</v>
      </c>
      <c r="CT74" s="2000">
        <v>1.1039101077371711</v>
      </c>
      <c r="CU74" s="1998">
        <v>1.194799249745663</v>
      </c>
      <c r="CV74" s="2000">
        <v>1.1068030833268165</v>
      </c>
      <c r="CW74" s="1998">
        <v>1.1985003183255032</v>
      </c>
      <c r="CX74" s="2000">
        <v>1.1096960589164622</v>
      </c>
      <c r="CY74" s="1998">
        <v>1.2022013869053432</v>
      </c>
      <c r="CZ74" s="1999">
        <v>0.93996891970209639</v>
      </c>
      <c r="DA74" s="1979">
        <v>0.97413206592651824</v>
      </c>
      <c r="DB74" s="1999">
        <v>0.94233556450937106</v>
      </c>
      <c r="DC74" s="1979">
        <v>0.97713159423032059</v>
      </c>
      <c r="DD74" s="1999">
        <v>0.94470220931664572</v>
      </c>
      <c r="DE74" s="1979">
        <v>0.98013112253412293</v>
      </c>
      <c r="DF74" s="1999">
        <v>0.94706885412392017</v>
      </c>
      <c r="DG74" s="1979">
        <v>0.98313065083792528</v>
      </c>
      <c r="DH74" s="1999">
        <v>0.9518021437384695</v>
      </c>
      <c r="DI74" s="1979">
        <v>0.98912970744553008</v>
      </c>
      <c r="DJ74" s="2000">
        <v>0.9479778656781277</v>
      </c>
      <c r="DK74" s="1998">
        <v>0.98078835813748322</v>
      </c>
      <c r="DL74" s="2000">
        <v>0.95006504824831417</v>
      </c>
      <c r="DM74" s="1998">
        <v>0.98346958895113223</v>
      </c>
      <c r="DN74" s="2000">
        <v>0.95215223081850076</v>
      </c>
      <c r="DO74" s="1998">
        <v>0.98615081976478136</v>
      </c>
      <c r="DP74" s="2000">
        <v>0.95423941338868745</v>
      </c>
      <c r="DQ74" s="1998">
        <v>0.98883205057843038</v>
      </c>
      <c r="DR74" s="2000">
        <v>0.95841377852906073</v>
      </c>
      <c r="DS74" s="1998">
        <v>0.9941945122057283</v>
      </c>
      <c r="GT74" s="1980"/>
      <c r="GU74" s="1980"/>
      <c r="GV74" s="1980"/>
      <c r="GW74" s="1980"/>
      <c r="GX74" s="1980"/>
      <c r="GY74" s="1980"/>
      <c r="GZ74" s="1980"/>
      <c r="HA74" s="1980"/>
      <c r="HB74" s="1980"/>
      <c r="HC74" s="1980"/>
      <c r="HD74" s="1980"/>
      <c r="HE74" s="1980"/>
      <c r="HF74" s="1980"/>
      <c r="HG74" s="1980"/>
      <c r="HH74" s="1980"/>
      <c r="HI74" s="1980"/>
      <c r="HJ74" s="1980"/>
      <c r="HK74" s="1980"/>
      <c r="HL74" s="1980"/>
      <c r="HM74" s="1980"/>
      <c r="HN74" s="1980"/>
      <c r="HO74" s="1980"/>
      <c r="HP74" s="1980"/>
      <c r="HQ74" s="1980"/>
      <c r="HR74" s="1980"/>
      <c r="HS74" s="1980"/>
      <c r="HT74" s="1980"/>
      <c r="HU74" s="1980"/>
      <c r="HV74" s="1980"/>
      <c r="HW74" s="1980"/>
      <c r="HX74" s="1980"/>
      <c r="HY74" s="1980"/>
      <c r="HZ74" s="1980"/>
      <c r="IA74" s="1980"/>
      <c r="IB74" s="1980"/>
      <c r="IC74" s="1980"/>
      <c r="ID74" s="1980"/>
      <c r="IE74" s="1980"/>
      <c r="IF74" s="1980"/>
      <c r="IG74" s="1980"/>
      <c r="IH74" s="1980"/>
      <c r="II74" s="1980"/>
      <c r="IJ74" s="1980"/>
      <c r="IK74" s="1980"/>
      <c r="IL74" s="1980"/>
      <c r="IM74" s="1980"/>
      <c r="IN74" s="1980"/>
      <c r="IO74" s="1980"/>
      <c r="IP74" s="1980"/>
      <c r="IQ74" s="1980"/>
      <c r="IR74" s="1980"/>
      <c r="IS74" s="1980"/>
      <c r="IT74" s="1980"/>
      <c r="IU74" s="1980"/>
      <c r="IV74" s="1980"/>
      <c r="IW74" s="1980"/>
      <c r="IX74" s="1980"/>
      <c r="IY74" s="1980"/>
      <c r="IZ74" s="1980"/>
      <c r="JA74" s="1980"/>
      <c r="JB74" s="1980"/>
      <c r="JC74" s="1980"/>
      <c r="JD74" s="1980"/>
      <c r="JE74" s="1980"/>
      <c r="JF74" s="1980"/>
      <c r="JG74" s="1980"/>
      <c r="JH74" s="1980"/>
      <c r="JI74" s="1980"/>
      <c r="JJ74" s="1980"/>
      <c r="JK74" s="1980"/>
      <c r="JL74" s="1980"/>
      <c r="JM74" s="1980"/>
      <c r="JN74" s="1980"/>
      <c r="JO74" s="1980"/>
      <c r="JP74" s="1980"/>
      <c r="JQ74" s="1980"/>
      <c r="JR74" s="1980"/>
      <c r="JS74" s="1980"/>
      <c r="JT74" s="1980"/>
      <c r="JU74" s="1980"/>
      <c r="JV74" s="1980"/>
      <c r="JW74" s="1980"/>
      <c r="JX74" s="1980"/>
      <c r="JY74" s="1980"/>
      <c r="JZ74" s="1980"/>
      <c r="KA74" s="1980"/>
      <c r="KB74" s="1980"/>
      <c r="KC74" s="1980"/>
      <c r="KD74" s="1980"/>
      <c r="KE74" s="1980"/>
      <c r="KF74" s="1980"/>
      <c r="KG74" s="1980"/>
      <c r="KH74" s="1980"/>
      <c r="KI74" s="1980"/>
      <c r="KJ74" s="1980"/>
      <c r="KK74" s="1980"/>
    </row>
    <row r="75" spans="1:297">
      <c r="A75" s="1997"/>
      <c r="B75" s="2">
        <v>11</v>
      </c>
      <c r="C75" s="2" t="s">
        <v>4337</v>
      </c>
      <c r="D75" s="1979">
        <v>1.2460724484274905</v>
      </c>
      <c r="E75" s="1979">
        <v>1.2181272277548167</v>
      </c>
      <c r="F75" s="1979">
        <v>1.2653062136943212</v>
      </c>
      <c r="G75" s="1979">
        <v>1.2422060653862916</v>
      </c>
      <c r="H75" s="1979">
        <v>1.299368707931992</v>
      </c>
      <c r="I75" s="1979">
        <v>1.283820532237185</v>
      </c>
      <c r="J75" s="1979">
        <v>1.3307031046160274</v>
      </c>
      <c r="K75" s="1979">
        <v>1.3244993306387713</v>
      </c>
      <c r="L75" s="1979">
        <v>1.3690173056040373</v>
      </c>
      <c r="M75" s="1979">
        <v>1.3695421671549772</v>
      </c>
      <c r="N75" s="2000">
        <v>1</v>
      </c>
      <c r="O75" s="1998">
        <v>1</v>
      </c>
      <c r="P75" s="1998">
        <v>1.0162777496752462</v>
      </c>
      <c r="Q75" s="1998">
        <v>1.0209667905066127</v>
      </c>
      <c r="R75" s="1998">
        <v>1.0413321137290024</v>
      </c>
      <c r="S75" s="1998">
        <v>1.05175382251924</v>
      </c>
      <c r="T75" s="1998">
        <v>1.0629673288548169</v>
      </c>
      <c r="U75" s="1998">
        <v>1.0799645380077194</v>
      </c>
      <c r="V75" s="1998">
        <v>1.0994678340113888</v>
      </c>
      <c r="W75" s="1998">
        <v>1.1174574127821815</v>
      </c>
      <c r="X75" s="1999">
        <v>1.3276202343912291</v>
      </c>
      <c r="Y75" s="1979">
        <v>1.323664978041289</v>
      </c>
      <c r="Z75" s="1979">
        <v>1.3674729039278806</v>
      </c>
      <c r="AA75" s="1979">
        <v>1.3679653586547034</v>
      </c>
      <c r="AB75" s="1979">
        <v>1.3724605049360337</v>
      </c>
      <c r="AC75" s="1979">
        <v>1.374157483302243</v>
      </c>
      <c r="AD75" s="1979">
        <v>1.377448105944187</v>
      </c>
      <c r="AE75" s="1979">
        <v>1.3803496079497826</v>
      </c>
      <c r="AF75" s="1979">
        <v>1.3824357069523401</v>
      </c>
      <c r="AG75" s="1979">
        <v>1.3865417325973219</v>
      </c>
      <c r="AH75" s="2000">
        <v>1</v>
      </c>
      <c r="AI75" s="1998">
        <v>1</v>
      </c>
      <c r="AJ75" s="1998">
        <v>1.0269728217958571</v>
      </c>
      <c r="AK75" s="1998">
        <v>1.0303260859618595</v>
      </c>
      <c r="AL75" s="1998">
        <v>1.0303484971206438</v>
      </c>
      <c r="AM75" s="1998">
        <v>1.0345649412887814</v>
      </c>
      <c r="AN75" s="1998">
        <v>1.0337241724454302</v>
      </c>
      <c r="AO75" s="1998">
        <v>1.0388037966157031</v>
      </c>
      <c r="AP75" s="1998">
        <v>1.0370998477702171</v>
      </c>
      <c r="AQ75" s="1998">
        <v>1.043042651942625</v>
      </c>
      <c r="AR75" s="1999">
        <v>1.3199073603347076</v>
      </c>
      <c r="AS75" s="1979">
        <v>1.3166199945754808</v>
      </c>
      <c r="AT75" s="1979">
        <v>1.3596112263132836</v>
      </c>
      <c r="AU75" s="1979">
        <v>1.360922402706382</v>
      </c>
      <c r="AV75" s="1979">
        <v>1.3645802044089719</v>
      </c>
      <c r="AW75" s="1979">
        <v>1.3671148107519606</v>
      </c>
      <c r="AX75" s="1979">
        <v>1.36954918250466</v>
      </c>
      <c r="AY75" s="1979">
        <v>1.3733072187975397</v>
      </c>
      <c r="AZ75" s="1979">
        <v>1.3745181606003483</v>
      </c>
      <c r="BA75" s="1979">
        <v>1.3794996268431183</v>
      </c>
      <c r="BB75" s="2000">
        <v>1.3514218714380064</v>
      </c>
      <c r="BC75" s="1998">
        <v>1.3022917537733461</v>
      </c>
      <c r="BD75" s="1998">
        <v>1.3922412447604411</v>
      </c>
      <c r="BE75" s="1998">
        <v>1.3436099964669466</v>
      </c>
      <c r="BF75" s="1998">
        <v>1.3988219253746967</v>
      </c>
      <c r="BG75" s="1998">
        <v>1.3515290400700699</v>
      </c>
      <c r="BH75" s="1998">
        <v>1.4054026059889524</v>
      </c>
      <c r="BI75" s="1998">
        <v>1.3594480836731935</v>
      </c>
      <c r="BJ75" s="1998">
        <v>1.4119832866032078</v>
      </c>
      <c r="BK75" s="1998">
        <v>1.3673671272763166</v>
      </c>
      <c r="BL75" s="1999">
        <v>1.0248976500602094</v>
      </c>
      <c r="BM75" s="1979">
        <v>1.0231893142280948</v>
      </c>
      <c r="BN75" s="1999">
        <v>1.0273575619708417</v>
      </c>
      <c r="BO75" s="1979">
        <v>1.0261404457636212</v>
      </c>
      <c r="BP75" s="1999">
        <v>1.0298174738814736</v>
      </c>
      <c r="BQ75" s="1979">
        <v>1.0290915772991478</v>
      </c>
      <c r="BR75" s="1999">
        <v>1.0322773857921059</v>
      </c>
      <c r="BS75" s="1979">
        <v>1.0320427088346746</v>
      </c>
      <c r="BT75" s="1999">
        <v>1.034737297702738</v>
      </c>
      <c r="BU75" s="1979">
        <v>1.0349938403702008</v>
      </c>
      <c r="BV75" s="2000">
        <v>1.3297099968314925</v>
      </c>
      <c r="BW75" s="1998">
        <v>1.3436399308635651</v>
      </c>
      <c r="BX75" s="1998">
        <v>1.3463029008042928</v>
      </c>
      <c r="BY75" s="1998">
        <v>1.3660540253571805</v>
      </c>
      <c r="BZ75" s="1998">
        <v>1.3751261765213902</v>
      </c>
      <c r="CA75" s="1998">
        <v>1.4031490756471865</v>
      </c>
      <c r="CB75" s="1998">
        <v>1.4007414135324441</v>
      </c>
      <c r="CC75" s="1998">
        <v>1.4382120167010017</v>
      </c>
      <c r="CD75" s="1998">
        <v>1.4382285737787281</v>
      </c>
      <c r="CE75" s="1998">
        <v>1.4810379778632901</v>
      </c>
      <c r="CF75" s="1999">
        <v>1.1371473712223814</v>
      </c>
      <c r="CG75" s="1979">
        <v>1.2200473540763106</v>
      </c>
      <c r="CH75" s="1999">
        <v>1.139903865576458</v>
      </c>
      <c r="CI75" s="1979">
        <v>1.2235819501841585</v>
      </c>
      <c r="CJ75" s="1999">
        <v>1.1426603599305345</v>
      </c>
      <c r="CK75" s="1979">
        <v>1.2271165462920064</v>
      </c>
      <c r="CL75" s="1999">
        <v>1.145416854284611</v>
      </c>
      <c r="CM75" s="1979">
        <v>1.2306511423998541</v>
      </c>
      <c r="CN75" s="1999">
        <v>1.1481733486386876</v>
      </c>
      <c r="CO75" s="1979">
        <v>1.2341857385077017</v>
      </c>
      <c r="CP75" s="2000">
        <v>1.1319548345085071</v>
      </c>
      <c r="CQ75" s="1998">
        <v>1.2218496598865194</v>
      </c>
      <c r="CR75" s="2000">
        <v>1.1348478100981527</v>
      </c>
      <c r="CS75" s="1998">
        <v>1.2255507284663596</v>
      </c>
      <c r="CT75" s="2000">
        <v>1.1377407856877981</v>
      </c>
      <c r="CU75" s="1998">
        <v>1.2292517970461994</v>
      </c>
      <c r="CV75" s="2000">
        <v>1.1406337612774438</v>
      </c>
      <c r="CW75" s="1998">
        <v>1.2329528656260393</v>
      </c>
      <c r="CX75" s="2000">
        <v>1.1435267368670892</v>
      </c>
      <c r="CY75" s="1998">
        <v>1.2366539342058795</v>
      </c>
      <c r="CZ75" s="1999">
        <v>0.98719699551047235</v>
      </c>
      <c r="DA75" s="1979">
        <v>1.0172657740150728</v>
      </c>
      <c r="DB75" s="1999">
        <v>0.98956364031774702</v>
      </c>
      <c r="DC75" s="1979">
        <v>1.0202653023188752</v>
      </c>
      <c r="DD75" s="1999">
        <v>0.99193028512502168</v>
      </c>
      <c r="DE75" s="1979">
        <v>1.0232648306226775</v>
      </c>
      <c r="DF75" s="1999">
        <v>0.99429692993229613</v>
      </c>
      <c r="DG75" s="1979">
        <v>1.0262643589264799</v>
      </c>
      <c r="DH75" s="1999">
        <v>0.99903021954684545</v>
      </c>
      <c r="DI75" s="1979">
        <v>1.0322634155340846</v>
      </c>
      <c r="DJ75" s="2000">
        <v>0.97550704934787424</v>
      </c>
      <c r="DK75" s="1998">
        <v>1.0062622110438446</v>
      </c>
      <c r="DL75" s="2000">
        <v>0.97759423191806083</v>
      </c>
      <c r="DM75" s="1998">
        <v>1.0089434418574939</v>
      </c>
      <c r="DN75" s="2000">
        <v>0.97968141448824742</v>
      </c>
      <c r="DO75" s="1998">
        <v>1.0116246726711426</v>
      </c>
      <c r="DP75" s="2000">
        <v>0.981768597058434</v>
      </c>
      <c r="DQ75" s="1998">
        <v>1.0143059034847917</v>
      </c>
      <c r="DR75" s="2000">
        <v>0.98594296219880717</v>
      </c>
      <c r="DS75" s="1998">
        <v>1.0196683651120897</v>
      </c>
      <c r="GT75" s="1980"/>
      <c r="GU75" s="1980"/>
      <c r="GV75" s="1980"/>
      <c r="GW75" s="1980"/>
      <c r="GX75" s="1980"/>
      <c r="GY75" s="1980"/>
      <c r="GZ75" s="1980"/>
      <c r="HA75" s="1980"/>
      <c r="HB75" s="1980"/>
      <c r="HC75" s="1980"/>
      <c r="HD75" s="1980"/>
      <c r="HE75" s="1980"/>
      <c r="HF75" s="1980"/>
      <c r="HG75" s="1980"/>
      <c r="HH75" s="1980"/>
      <c r="HI75" s="1980"/>
      <c r="HJ75" s="1980"/>
      <c r="HK75" s="1980"/>
      <c r="HL75" s="1980"/>
      <c r="HM75" s="1980"/>
      <c r="HN75" s="1980"/>
      <c r="HO75" s="1980"/>
      <c r="HP75" s="1980"/>
      <c r="HQ75" s="1980"/>
      <c r="HR75" s="1980"/>
      <c r="HS75" s="1980"/>
      <c r="HT75" s="1980"/>
      <c r="HU75" s="1980"/>
      <c r="HV75" s="1980"/>
      <c r="HW75" s="1980"/>
      <c r="HX75" s="1980"/>
      <c r="HY75" s="1980"/>
      <c r="HZ75" s="1980"/>
      <c r="IA75" s="1980"/>
      <c r="IB75" s="1980"/>
      <c r="IC75" s="1980"/>
      <c r="ID75" s="1980"/>
      <c r="IE75" s="1980"/>
      <c r="IF75" s="1980"/>
      <c r="IG75" s="1980"/>
      <c r="IH75" s="1980"/>
      <c r="II75" s="1980"/>
      <c r="IJ75" s="1980"/>
      <c r="IK75" s="1980"/>
      <c r="IL75" s="1980"/>
      <c r="IM75" s="1980"/>
      <c r="IN75" s="1980"/>
      <c r="IO75" s="1980"/>
      <c r="IP75" s="1980"/>
      <c r="IQ75" s="1980"/>
      <c r="IR75" s="1980"/>
      <c r="IS75" s="1980"/>
      <c r="IT75" s="1980"/>
      <c r="IU75" s="1980"/>
      <c r="IV75" s="1980"/>
      <c r="IW75" s="1980"/>
      <c r="IX75" s="1980"/>
      <c r="IY75" s="1980"/>
      <c r="IZ75" s="1980"/>
      <c r="JA75" s="1980"/>
      <c r="JB75" s="1980"/>
      <c r="JC75" s="1980"/>
      <c r="JD75" s="1980"/>
      <c r="JE75" s="1980"/>
      <c r="JF75" s="1980"/>
      <c r="JG75" s="1980"/>
      <c r="JH75" s="1980"/>
      <c r="JI75" s="1980"/>
      <c r="JJ75" s="1980"/>
      <c r="JK75" s="1980"/>
      <c r="JL75" s="1980"/>
      <c r="JM75" s="1980"/>
      <c r="JN75" s="1980"/>
      <c r="JO75" s="1980"/>
      <c r="JP75" s="1980"/>
      <c r="JQ75" s="1980"/>
      <c r="JR75" s="1980"/>
      <c r="JS75" s="1980"/>
      <c r="JT75" s="1980"/>
      <c r="JU75" s="1980"/>
      <c r="JV75" s="1980"/>
      <c r="JW75" s="1980"/>
      <c r="JX75" s="1980"/>
      <c r="JY75" s="1980"/>
      <c r="JZ75" s="1980"/>
      <c r="KA75" s="1980"/>
      <c r="KB75" s="1980"/>
      <c r="KC75" s="1980"/>
      <c r="KD75" s="1980"/>
      <c r="KE75" s="1980"/>
      <c r="KF75" s="1980"/>
      <c r="KG75" s="1980"/>
      <c r="KH75" s="1980"/>
      <c r="KI75" s="1980"/>
      <c r="KJ75" s="1980"/>
      <c r="KK75" s="1980"/>
    </row>
    <row r="76" spans="1:297">
      <c r="A76" s="1997"/>
      <c r="B76" s="2">
        <v>12</v>
      </c>
      <c r="C76" s="2" t="s">
        <v>4338</v>
      </c>
      <c r="D76" s="1979">
        <v>1.455434021164614</v>
      </c>
      <c r="E76" s="1979">
        <v>1.4119752523202822</v>
      </c>
      <c r="F76" s="1979">
        <v>1.475790144808838</v>
      </c>
      <c r="G76" s="1979">
        <v>1.437382550212678</v>
      </c>
      <c r="H76" s="1979">
        <v>1.5103519917040464</v>
      </c>
      <c r="I76" s="1979">
        <v>1.4795674891315429</v>
      </c>
      <c r="J76" s="1979">
        <v>1.5419769256792306</v>
      </c>
      <c r="K76" s="1979">
        <v>1.5205469473067503</v>
      </c>
      <c r="L76" s="1979">
        <v>1.5819776248191841</v>
      </c>
      <c r="M76" s="1979">
        <v>1.5667632512195013</v>
      </c>
      <c r="N76" s="2000">
        <v>1.039053679122405</v>
      </c>
      <c r="O76" s="1998">
        <v>1.0373788194972122</v>
      </c>
      <c r="P76" s="1998">
        <v>1.0555855477933069</v>
      </c>
      <c r="Q76" s="1998">
        <v>1.058608237936157</v>
      </c>
      <c r="R76" s="1998">
        <v>1.0807669713448911</v>
      </c>
      <c r="S76" s="1998">
        <v>1.0895265839149504</v>
      </c>
      <c r="T76" s="1998">
        <v>1.1025292459685339</v>
      </c>
      <c r="U76" s="1998">
        <v>1.1178686133695963</v>
      </c>
      <c r="V76" s="1998">
        <v>1.1391568106229337</v>
      </c>
      <c r="W76" s="1998">
        <v>1.155492802110224</v>
      </c>
      <c r="X76" s="1999">
        <v>1.4884941583380438</v>
      </c>
      <c r="Y76" s="1979">
        <v>1.4930234260903728</v>
      </c>
      <c r="Z76" s="1979">
        <v>1.534900622836743</v>
      </c>
      <c r="AA76" s="1979">
        <v>1.5414852836955928</v>
      </c>
      <c r="AB76" s="1979">
        <v>1.5423820243489725</v>
      </c>
      <c r="AC76" s="1979">
        <v>1.5507734706669023</v>
      </c>
      <c r="AD76" s="1979">
        <v>1.5498634258612023</v>
      </c>
      <c r="AE76" s="1979">
        <v>1.5600616576382116</v>
      </c>
      <c r="AF76" s="1979">
        <v>1.5573448273734323</v>
      </c>
      <c r="AG76" s="1979">
        <v>1.5693498446095209</v>
      </c>
      <c r="AH76" s="2000">
        <v>1.1229882320901845</v>
      </c>
      <c r="AI76" s="1998">
        <v>1.1302093574898768</v>
      </c>
      <c r="AJ76" s="1998">
        <v>1.1543967503062105</v>
      </c>
      <c r="AK76" s="1998">
        <v>1.163384206989077</v>
      </c>
      <c r="AL76" s="1998">
        <v>1.1594602632933904</v>
      </c>
      <c r="AM76" s="1998">
        <v>1.1697424899794597</v>
      </c>
      <c r="AN76" s="1998">
        <v>1.1645237762805705</v>
      </c>
      <c r="AO76" s="1998">
        <v>1.1761007729698423</v>
      </c>
      <c r="AP76" s="1998">
        <v>1.1695872892677504</v>
      </c>
      <c r="AQ76" s="1998">
        <v>1.182459055960225</v>
      </c>
      <c r="AR76" s="1999">
        <v>1.4761586795397414</v>
      </c>
      <c r="AS76" s="1979">
        <v>1.4866041666596883</v>
      </c>
      <c r="AT76" s="1979">
        <v>1.5223918696476559</v>
      </c>
      <c r="AU76" s="1979">
        <v>1.5350682422427766</v>
      </c>
      <c r="AV76" s="1979">
        <v>1.5298453367911882</v>
      </c>
      <c r="AW76" s="1979">
        <v>1.544356854311145</v>
      </c>
      <c r="AX76" s="1979">
        <v>1.5372988039347206</v>
      </c>
      <c r="AY76" s="1979">
        <v>1.553645466379513</v>
      </c>
      <c r="AZ76" s="1979">
        <v>1.5447522710782529</v>
      </c>
      <c r="BA76" s="1979">
        <v>1.5629340784478813</v>
      </c>
      <c r="BB76" s="2000">
        <v>1.7572344027132061</v>
      </c>
      <c r="BC76" s="1998">
        <v>1.7091832423369746</v>
      </c>
      <c r="BD76" s="1998">
        <v>1.8153480348931761</v>
      </c>
      <c r="BE76" s="1998">
        <v>1.7611456240385328</v>
      </c>
      <c r="BF76" s="1998">
        <v>1.8285093961216874</v>
      </c>
      <c r="BG76" s="1998">
        <v>1.7769837112447795</v>
      </c>
      <c r="BH76" s="1998">
        <v>1.8416707573501987</v>
      </c>
      <c r="BI76" s="1998">
        <v>1.7928217984510266</v>
      </c>
      <c r="BJ76" s="1998">
        <v>1.8548321185787098</v>
      </c>
      <c r="BK76" s="1998">
        <v>1.8086598856572738</v>
      </c>
      <c r="BL76" s="1999">
        <v>1.1336985048339647</v>
      </c>
      <c r="BM76" s="1979">
        <v>1.1245630501693968</v>
      </c>
      <c r="BN76" s="1999">
        <v>1.1361584167445968</v>
      </c>
      <c r="BO76" s="1979">
        <v>1.1275141817049235</v>
      </c>
      <c r="BP76" s="1999">
        <v>1.1386183286552289</v>
      </c>
      <c r="BQ76" s="1979">
        <v>1.1304653132404503</v>
      </c>
      <c r="BR76" s="1999">
        <v>1.141078240565861</v>
      </c>
      <c r="BS76" s="1979">
        <v>1.1334164447759765</v>
      </c>
      <c r="BT76" s="1999">
        <v>1.1435381524764932</v>
      </c>
      <c r="BU76" s="1979">
        <v>1.1363675763115033</v>
      </c>
      <c r="BV76" s="2000">
        <v>1.4996806649976349</v>
      </c>
      <c r="BW76" s="1998">
        <v>1.5104908648518409</v>
      </c>
      <c r="BX76" s="1998">
        <v>1.517068680399315</v>
      </c>
      <c r="BY76" s="1998">
        <v>1.5337654888825407</v>
      </c>
      <c r="BZ76" s="1998">
        <v>1.5462895118308522</v>
      </c>
      <c r="CA76" s="1998">
        <v>1.5712908039410889</v>
      </c>
      <c r="CB76" s="1998">
        <v>1.572302304556346</v>
      </c>
      <c r="CC76" s="1998">
        <v>1.6067840097634463</v>
      </c>
      <c r="CD76" s="1998">
        <v>1.6101870205170703</v>
      </c>
      <c r="CE76" s="1998">
        <v>1.6500402356942767</v>
      </c>
      <c r="CF76" s="1999">
        <v>1.2374832598122623</v>
      </c>
      <c r="CG76" s="1979">
        <v>1.3227402028691859</v>
      </c>
      <c r="CH76" s="1999">
        <v>1.2402397541663388</v>
      </c>
      <c r="CI76" s="1979">
        <v>1.3262747989770338</v>
      </c>
      <c r="CJ76" s="1999">
        <v>1.2429962485204153</v>
      </c>
      <c r="CK76" s="1979">
        <v>1.3298093950848817</v>
      </c>
      <c r="CL76" s="1999">
        <v>1.2457527428744917</v>
      </c>
      <c r="CM76" s="1979">
        <v>1.3333439911927296</v>
      </c>
      <c r="CN76" s="1999">
        <v>1.2485092372285682</v>
      </c>
      <c r="CO76" s="1979">
        <v>1.3368785873005775</v>
      </c>
      <c r="CP76" s="2000">
        <v>1.2588198768233601</v>
      </c>
      <c r="CQ76" s="1998">
        <v>1.3510467122635299</v>
      </c>
      <c r="CR76" s="2000">
        <v>1.2617128524130057</v>
      </c>
      <c r="CS76" s="1998">
        <v>1.3547477808433701</v>
      </c>
      <c r="CT76" s="2000">
        <v>1.2646058280026513</v>
      </c>
      <c r="CU76" s="1998">
        <v>1.3584488494232101</v>
      </c>
      <c r="CV76" s="2000">
        <v>1.2674988035922967</v>
      </c>
      <c r="CW76" s="1998">
        <v>1.3621499180030496</v>
      </c>
      <c r="CX76" s="2000">
        <v>1.2703917791819421</v>
      </c>
      <c r="CY76" s="1998">
        <v>1.3658509865828898</v>
      </c>
      <c r="CZ76" s="1999">
        <v>0.99359359027612582</v>
      </c>
      <c r="DA76" s="1979">
        <v>1.0694543733696724</v>
      </c>
      <c r="DB76" s="1999">
        <v>0.99832687989067492</v>
      </c>
      <c r="DC76" s="1979">
        <v>1.0754534299772773</v>
      </c>
      <c r="DD76" s="1999">
        <v>1.0030601695052241</v>
      </c>
      <c r="DE76" s="1979">
        <v>1.081452486584882</v>
      </c>
      <c r="DF76" s="1999">
        <v>1.0077934591197732</v>
      </c>
      <c r="DG76" s="1979">
        <v>1.0874515431924867</v>
      </c>
      <c r="DH76" s="1999">
        <v>1.0172600383488717</v>
      </c>
      <c r="DI76" s="1979">
        <v>1.0994496564076963</v>
      </c>
      <c r="DJ76" s="2000">
        <v>1.0963622358151193</v>
      </c>
      <c r="DK76" s="1998">
        <v>1.1609953073811596</v>
      </c>
      <c r="DL76" s="2000">
        <v>1.1005366009554927</v>
      </c>
      <c r="DM76" s="1998">
        <v>1.1663577690084579</v>
      </c>
      <c r="DN76" s="2000">
        <v>1.1047109660958658</v>
      </c>
      <c r="DO76" s="1998">
        <v>1.1717202306357559</v>
      </c>
      <c r="DP76" s="2000">
        <v>1.108885331236239</v>
      </c>
      <c r="DQ76" s="1998">
        <v>1.1770826922630537</v>
      </c>
      <c r="DR76" s="2000">
        <v>1.1172340615169853</v>
      </c>
      <c r="DS76" s="1998">
        <v>1.18780761551765</v>
      </c>
      <c r="GT76" s="1980"/>
      <c r="GU76" s="1980"/>
      <c r="GV76" s="1980"/>
      <c r="GW76" s="1980"/>
      <c r="GX76" s="1980"/>
      <c r="GY76" s="1980"/>
      <c r="GZ76" s="1980"/>
      <c r="HA76" s="1980"/>
      <c r="HB76" s="1980"/>
      <c r="HC76" s="1980"/>
      <c r="HD76" s="1980"/>
      <c r="HE76" s="1980"/>
      <c r="HF76" s="1980"/>
      <c r="HG76" s="1980"/>
      <c r="HH76" s="1980"/>
      <c r="HI76" s="1980"/>
      <c r="HJ76" s="1980"/>
      <c r="HK76" s="1980"/>
      <c r="HL76" s="1980"/>
      <c r="HM76" s="1980"/>
      <c r="HN76" s="1980"/>
      <c r="HO76" s="1980"/>
      <c r="HP76" s="1980"/>
      <c r="HQ76" s="1980"/>
      <c r="HR76" s="1980"/>
      <c r="HS76" s="1980"/>
      <c r="HT76" s="1980"/>
      <c r="HU76" s="1980"/>
      <c r="HV76" s="1980"/>
      <c r="HW76" s="1980"/>
      <c r="HX76" s="1980"/>
      <c r="HY76" s="1980"/>
      <c r="HZ76" s="1980"/>
      <c r="IA76" s="1980"/>
      <c r="IB76" s="1980"/>
      <c r="IC76" s="1980"/>
      <c r="ID76" s="1980"/>
      <c r="IE76" s="1980"/>
      <c r="IF76" s="1980"/>
      <c r="IG76" s="1980"/>
      <c r="IH76" s="1980"/>
      <c r="II76" s="1980"/>
      <c r="IJ76" s="1980"/>
      <c r="IK76" s="1980"/>
      <c r="IL76" s="1980"/>
      <c r="IM76" s="1980"/>
      <c r="IN76" s="1980"/>
      <c r="IO76" s="1980"/>
      <c r="IP76" s="1980"/>
      <c r="IQ76" s="1980"/>
      <c r="IR76" s="1980"/>
      <c r="IS76" s="1980"/>
      <c r="IT76" s="1980"/>
      <c r="IU76" s="1980"/>
      <c r="IV76" s="1980"/>
      <c r="IW76" s="1980"/>
      <c r="IX76" s="1980"/>
      <c r="IY76" s="1980"/>
      <c r="IZ76" s="1980"/>
      <c r="JA76" s="1980"/>
      <c r="JB76" s="1980"/>
      <c r="JC76" s="1980"/>
      <c r="JD76" s="1980"/>
      <c r="JE76" s="1980"/>
      <c r="JF76" s="1980"/>
      <c r="JG76" s="1980"/>
      <c r="JH76" s="1980"/>
      <c r="JI76" s="1980"/>
      <c r="JJ76" s="1980"/>
      <c r="JK76" s="1980"/>
      <c r="JL76" s="1980"/>
      <c r="JM76" s="1980"/>
      <c r="JN76" s="1980"/>
      <c r="JO76" s="1980"/>
      <c r="JP76" s="1980"/>
      <c r="JQ76" s="1980"/>
      <c r="JR76" s="1980"/>
      <c r="JS76" s="1980"/>
      <c r="JT76" s="1980"/>
      <c r="JU76" s="1980"/>
      <c r="JV76" s="1980"/>
      <c r="JW76" s="1980"/>
      <c r="JX76" s="1980"/>
      <c r="JY76" s="1980"/>
      <c r="JZ76" s="1980"/>
      <c r="KA76" s="1980"/>
      <c r="KB76" s="1980"/>
      <c r="KC76" s="1980"/>
      <c r="KD76" s="1980"/>
      <c r="KE76" s="1980"/>
      <c r="KF76" s="1980"/>
      <c r="KG76" s="1980"/>
      <c r="KH76" s="1980"/>
      <c r="KI76" s="1980"/>
      <c r="KJ76" s="1980"/>
      <c r="KK76" s="1980"/>
    </row>
    <row r="77" spans="1:297">
      <c r="A77" s="1997"/>
      <c r="B77" s="2">
        <v>13</v>
      </c>
      <c r="C77" s="2" t="str">
        <f>CONCATENATE($U$8," ",V$10)</f>
        <v>Proportion de fenêtres 0</v>
      </c>
      <c r="D77" s="1979">
        <v>0</v>
      </c>
      <c r="E77" s="1979">
        <v>0</v>
      </c>
      <c r="F77" s="1979">
        <v>0</v>
      </c>
      <c r="G77" s="1979">
        <v>0</v>
      </c>
      <c r="H77" s="1979">
        <v>0</v>
      </c>
      <c r="I77" s="1979">
        <v>0</v>
      </c>
      <c r="J77" s="1979">
        <v>0</v>
      </c>
      <c r="K77" s="1979">
        <v>0</v>
      </c>
      <c r="L77" s="1979">
        <v>0</v>
      </c>
      <c r="M77" s="1979">
        <v>0</v>
      </c>
      <c r="N77" s="2000">
        <v>0</v>
      </c>
      <c r="O77" s="1998">
        <v>0</v>
      </c>
      <c r="P77" s="1998">
        <v>0</v>
      </c>
      <c r="Q77" s="1998">
        <v>0</v>
      </c>
      <c r="R77" s="1998">
        <v>0</v>
      </c>
      <c r="S77" s="1998">
        <v>0</v>
      </c>
      <c r="T77" s="1998">
        <v>0</v>
      </c>
      <c r="U77" s="1998">
        <v>0</v>
      </c>
      <c r="V77" s="1998">
        <v>0</v>
      </c>
      <c r="W77" s="1998">
        <v>0</v>
      </c>
      <c r="X77" s="1999">
        <v>0</v>
      </c>
      <c r="Y77" s="1979">
        <v>0</v>
      </c>
      <c r="Z77" s="1979">
        <v>0</v>
      </c>
      <c r="AA77" s="1979">
        <v>0</v>
      </c>
      <c r="AB77" s="1979">
        <v>0</v>
      </c>
      <c r="AC77" s="1979">
        <v>0</v>
      </c>
      <c r="AD77" s="1979">
        <v>0</v>
      </c>
      <c r="AE77" s="1979">
        <v>0</v>
      </c>
      <c r="AF77" s="1979">
        <v>0</v>
      </c>
      <c r="AG77" s="1979">
        <v>0</v>
      </c>
      <c r="AH77" s="2000">
        <v>0</v>
      </c>
      <c r="AI77" s="1998">
        <v>0</v>
      </c>
      <c r="AJ77" s="1998">
        <v>0</v>
      </c>
      <c r="AK77" s="1998">
        <v>0</v>
      </c>
      <c r="AL77" s="1998">
        <v>0</v>
      </c>
      <c r="AM77" s="1998">
        <v>0</v>
      </c>
      <c r="AN77" s="1998">
        <v>0</v>
      </c>
      <c r="AO77" s="1998">
        <v>0</v>
      </c>
      <c r="AP77" s="1998">
        <v>0</v>
      </c>
      <c r="AQ77" s="1998">
        <v>0</v>
      </c>
      <c r="AR77" s="1999">
        <v>0.97227725291373057</v>
      </c>
      <c r="AS77" s="1979">
        <v>0.98611303848495835</v>
      </c>
      <c r="AT77" s="1979">
        <v>1.0054517947629682</v>
      </c>
      <c r="AU77" s="1979">
        <v>1.0262537791636728</v>
      </c>
      <c r="AV77" s="1979">
        <v>1.0079362838108121</v>
      </c>
      <c r="AW77" s="1979">
        <v>1.0293499831864619</v>
      </c>
      <c r="AX77" s="1979">
        <v>1.0104207728586565</v>
      </c>
      <c r="AY77" s="1979">
        <v>1.0324461872092514</v>
      </c>
      <c r="AZ77" s="1979">
        <v>1.0129052619065004</v>
      </c>
      <c r="BA77" s="1979">
        <v>1.0355423912320409</v>
      </c>
      <c r="BB77" s="2000">
        <v>0</v>
      </c>
      <c r="BC77" s="1998">
        <v>0</v>
      </c>
      <c r="BD77" s="1998">
        <v>0</v>
      </c>
      <c r="BE77" s="1998">
        <v>0</v>
      </c>
      <c r="BF77" s="1998">
        <v>0</v>
      </c>
      <c r="BG77" s="1998">
        <v>0</v>
      </c>
      <c r="BH77" s="1998">
        <v>0</v>
      </c>
      <c r="BI77" s="1998">
        <v>0</v>
      </c>
      <c r="BJ77" s="1998">
        <v>0</v>
      </c>
      <c r="BK77" s="1998">
        <v>0</v>
      </c>
      <c r="BL77" s="1999">
        <v>0.9779550583602068</v>
      </c>
      <c r="BM77" s="1979">
        <v>0.99009517238277489</v>
      </c>
      <c r="BN77" s="1999">
        <v>0.98041497027083879</v>
      </c>
      <c r="BO77" s="1979">
        <v>0.9930463039183014</v>
      </c>
      <c r="BP77" s="1999">
        <v>0.9828748821814709</v>
      </c>
      <c r="BQ77" s="1979">
        <v>0.99599743545382791</v>
      </c>
      <c r="BR77" s="1999">
        <v>0.98533479409210323</v>
      </c>
      <c r="BS77" s="1979">
        <v>0.99894856698935486</v>
      </c>
      <c r="BT77" s="1999">
        <v>0.98779470600273511</v>
      </c>
      <c r="BU77" s="1979">
        <v>1.0018996985248814</v>
      </c>
      <c r="BV77" s="2000">
        <v>0.98525037975126284</v>
      </c>
      <c r="BW77" s="1998">
        <v>0.99083840377089005</v>
      </c>
      <c r="BX77" s="1998">
        <v>1.0006924492264195</v>
      </c>
      <c r="BY77" s="1998">
        <v>1.0116356448383539</v>
      </c>
      <c r="BZ77" s="1998">
        <v>1.0290717583414202</v>
      </c>
      <c r="CA77" s="1998">
        <v>1.0481307466942651</v>
      </c>
      <c r="CB77" s="1998">
        <v>1.054686995352474</v>
      </c>
      <c r="CC77" s="1998">
        <v>1.0831936877480801</v>
      </c>
      <c r="CD77" s="1998">
        <v>1.0892061747899506</v>
      </c>
      <c r="CE77" s="1998">
        <v>1.1240788938832502</v>
      </c>
      <c r="CF77" s="1999">
        <v>1.0034787835389907</v>
      </c>
      <c r="CG77" s="1979">
        <v>1.0867262165894205</v>
      </c>
      <c r="CH77" s="1999">
        <v>1.0062352778930674</v>
      </c>
      <c r="CI77" s="1979">
        <v>1.0902608126972684</v>
      </c>
      <c r="CJ77" s="1999">
        <v>1.008991772247144</v>
      </c>
      <c r="CK77" s="1979">
        <v>1.0937954088051161</v>
      </c>
      <c r="CL77" s="1999">
        <v>1.0117482666012203</v>
      </c>
      <c r="CM77" s="1979">
        <v>1.097330004912964</v>
      </c>
      <c r="CN77" s="1999">
        <v>1.0145047609552971</v>
      </c>
      <c r="CO77" s="1979">
        <v>1.1008646010208119</v>
      </c>
      <c r="CP77" s="2000">
        <v>1.000612600783892</v>
      </c>
      <c r="CQ77" s="1998">
        <v>1.0918716623849567</v>
      </c>
      <c r="CR77" s="2000">
        <v>1.0035055763735374</v>
      </c>
      <c r="CS77" s="1998">
        <v>1.0955727309647969</v>
      </c>
      <c r="CT77" s="2000">
        <v>1.0063985519631828</v>
      </c>
      <c r="CU77" s="1998">
        <v>1.0992737995446367</v>
      </c>
      <c r="CV77" s="2000">
        <v>1.0092915275528287</v>
      </c>
      <c r="CW77" s="1998">
        <v>1.1029748681244769</v>
      </c>
      <c r="CX77" s="2000">
        <v>1.0121845031424741</v>
      </c>
      <c r="CY77" s="1998">
        <v>1.1066759367043171</v>
      </c>
      <c r="CZ77" s="1999">
        <v>1.0828214764620046</v>
      </c>
      <c r="DA77" s="1979">
        <v>1.1604096543171043</v>
      </c>
      <c r="DB77" s="1999">
        <v>1.0875547660765537</v>
      </c>
      <c r="DC77" s="1979">
        <v>1.1664087109247092</v>
      </c>
      <c r="DD77" s="1999">
        <v>1.092288055691103</v>
      </c>
      <c r="DE77" s="1979">
        <v>1.1724077675323139</v>
      </c>
      <c r="DF77" s="1999">
        <v>1.0970213453056521</v>
      </c>
      <c r="DG77" s="1979">
        <v>1.1784068241399186</v>
      </c>
      <c r="DH77" s="1999">
        <v>1.1064879245347505</v>
      </c>
      <c r="DI77" s="1979">
        <v>1.1904049373551282</v>
      </c>
      <c r="DJ77" s="2000">
        <v>1.0660096725649002</v>
      </c>
      <c r="DK77" s="1998">
        <v>1.1463924416623676</v>
      </c>
      <c r="DL77" s="2000">
        <v>1.0701840377052732</v>
      </c>
      <c r="DM77" s="1998">
        <v>1.1517549032896657</v>
      </c>
      <c r="DN77" s="2000">
        <v>1.0743584028456465</v>
      </c>
      <c r="DO77" s="1998">
        <v>1.1571173649169637</v>
      </c>
      <c r="DP77" s="2000">
        <v>1.0785327679860197</v>
      </c>
      <c r="DQ77" s="1998">
        <v>1.162479826544262</v>
      </c>
      <c r="DR77" s="2000">
        <v>1.0868814982667661</v>
      </c>
      <c r="DS77" s="1998">
        <v>1.1732047497988582</v>
      </c>
      <c r="GT77" s="1980"/>
      <c r="GU77" s="1980"/>
      <c r="GV77" s="1980"/>
      <c r="GW77" s="1980"/>
      <c r="GX77" s="1980"/>
      <c r="GY77" s="1980"/>
      <c r="GZ77" s="1980"/>
      <c r="HA77" s="1980"/>
      <c r="HB77" s="1980"/>
      <c r="HC77" s="1980"/>
      <c r="HD77" s="1980"/>
      <c r="HE77" s="1980"/>
      <c r="HF77" s="1980"/>
      <c r="HG77" s="1980"/>
      <c r="HH77" s="1980"/>
      <c r="HI77" s="1980"/>
      <c r="HJ77" s="1980"/>
      <c r="HK77" s="1980"/>
      <c r="HL77" s="1980"/>
      <c r="HM77" s="1980"/>
      <c r="HN77" s="1980"/>
      <c r="HO77" s="1980"/>
      <c r="HP77" s="1980"/>
      <c r="HQ77" s="1980"/>
      <c r="HR77" s="1980"/>
      <c r="HS77" s="1980"/>
      <c r="HT77" s="1980"/>
      <c r="HU77" s="1980"/>
      <c r="HV77" s="1980"/>
      <c r="HW77" s="1980"/>
      <c r="HX77" s="1980"/>
      <c r="HY77" s="1980"/>
      <c r="HZ77" s="1980"/>
      <c r="IA77" s="1980"/>
      <c r="IB77" s="1980"/>
      <c r="IC77" s="1980"/>
      <c r="ID77" s="1980"/>
      <c r="IE77" s="1980"/>
      <c r="IF77" s="1980"/>
      <c r="IG77" s="1980"/>
      <c r="IH77" s="1980"/>
      <c r="II77" s="1980"/>
      <c r="IJ77" s="1980"/>
      <c r="IK77" s="1980"/>
      <c r="IL77" s="1980"/>
      <c r="IM77" s="1980"/>
      <c r="IN77" s="1980"/>
      <c r="IO77" s="1980"/>
      <c r="IP77" s="1980"/>
      <c r="IQ77" s="1980"/>
      <c r="IR77" s="1980"/>
      <c r="IS77" s="1980"/>
      <c r="IT77" s="1980"/>
      <c r="IU77" s="1980"/>
      <c r="IV77" s="1980"/>
      <c r="IW77" s="1980"/>
      <c r="IX77" s="1980"/>
      <c r="IY77" s="1980"/>
      <c r="IZ77" s="1980"/>
      <c r="JA77" s="1980"/>
      <c r="JB77" s="1980"/>
      <c r="JC77" s="1980"/>
      <c r="JD77" s="1980"/>
      <c r="JE77" s="1980"/>
      <c r="JF77" s="1980"/>
      <c r="JG77" s="1980"/>
      <c r="JH77" s="1980"/>
      <c r="JI77" s="1980"/>
      <c r="JJ77" s="1980"/>
      <c r="JK77" s="1980"/>
      <c r="JL77" s="1980"/>
      <c r="JM77" s="1980"/>
      <c r="JN77" s="1980"/>
      <c r="JO77" s="1980"/>
      <c r="JP77" s="1980"/>
      <c r="JQ77" s="1980"/>
      <c r="JR77" s="1980"/>
      <c r="JS77" s="1980"/>
      <c r="JT77" s="1980"/>
      <c r="JU77" s="1980"/>
      <c r="JV77" s="1980"/>
      <c r="JW77" s="1980"/>
      <c r="JX77" s="1980"/>
      <c r="JY77" s="1980"/>
      <c r="JZ77" s="1980"/>
      <c r="KA77" s="1980"/>
      <c r="KB77" s="1980"/>
      <c r="KC77" s="1980"/>
      <c r="KD77" s="1980"/>
      <c r="KE77" s="1980"/>
      <c r="KF77" s="1980"/>
      <c r="KG77" s="1980"/>
      <c r="KH77" s="1980"/>
      <c r="KI77" s="1980"/>
      <c r="KJ77" s="1980"/>
      <c r="KK77" s="1980"/>
    </row>
    <row r="78" spans="1:297">
      <c r="A78" s="1997"/>
      <c r="B78" s="2">
        <v>14</v>
      </c>
      <c r="C78" s="2" t="str">
        <f>CONCATENATE($U$8," ",V$11)</f>
        <v>Proportion de fenêtres 10</v>
      </c>
      <c r="D78" s="1979">
        <v>0</v>
      </c>
      <c r="E78" s="1979">
        <v>0</v>
      </c>
      <c r="F78" s="1979">
        <v>0</v>
      </c>
      <c r="G78" s="1979">
        <v>0</v>
      </c>
      <c r="H78" s="1979">
        <v>0</v>
      </c>
      <c r="I78" s="1979">
        <v>0</v>
      </c>
      <c r="J78" s="1979">
        <v>0</v>
      </c>
      <c r="K78" s="1979">
        <v>0</v>
      </c>
      <c r="L78" s="1979">
        <v>0</v>
      </c>
      <c r="M78" s="1979">
        <v>0</v>
      </c>
      <c r="N78" s="2000">
        <v>0</v>
      </c>
      <c r="O78" s="1998">
        <v>0</v>
      </c>
      <c r="P78" s="1998">
        <v>0</v>
      </c>
      <c r="Q78" s="1998">
        <v>0</v>
      </c>
      <c r="R78" s="1998">
        <v>0</v>
      </c>
      <c r="S78" s="1998">
        <v>0</v>
      </c>
      <c r="T78" s="1998">
        <v>0</v>
      </c>
      <c r="U78" s="1998">
        <v>0</v>
      </c>
      <c r="V78" s="1998">
        <v>0</v>
      </c>
      <c r="W78" s="1998">
        <v>0</v>
      </c>
      <c r="X78" s="1999">
        <v>0</v>
      </c>
      <c r="Y78" s="1979">
        <v>0</v>
      </c>
      <c r="Z78" s="1979">
        <v>0</v>
      </c>
      <c r="AA78" s="1979">
        <v>0</v>
      </c>
      <c r="AB78" s="1979">
        <v>0</v>
      </c>
      <c r="AC78" s="1979">
        <v>0</v>
      </c>
      <c r="AD78" s="1979">
        <v>0</v>
      </c>
      <c r="AE78" s="1979">
        <v>0</v>
      </c>
      <c r="AF78" s="1979">
        <v>0</v>
      </c>
      <c r="AG78" s="1979">
        <v>0</v>
      </c>
      <c r="AH78" s="2000">
        <v>0</v>
      </c>
      <c r="AI78" s="1998">
        <v>0</v>
      </c>
      <c r="AJ78" s="1998">
        <v>0</v>
      </c>
      <c r="AK78" s="1998">
        <v>0</v>
      </c>
      <c r="AL78" s="1998">
        <v>0</v>
      </c>
      <c r="AM78" s="1998">
        <v>0</v>
      </c>
      <c r="AN78" s="1998">
        <v>0</v>
      </c>
      <c r="AO78" s="1998">
        <v>0</v>
      </c>
      <c r="AP78" s="1998">
        <v>0</v>
      </c>
      <c r="AQ78" s="1998">
        <v>0</v>
      </c>
      <c r="AR78" s="1999">
        <v>0.97782180233098437</v>
      </c>
      <c r="AS78" s="1979">
        <v>0.98889043078796668</v>
      </c>
      <c r="AT78" s="1979">
        <v>1.0109963441802219</v>
      </c>
      <c r="AU78" s="1979">
        <v>1.0290311714666811</v>
      </c>
      <c r="AV78" s="1979">
        <v>1.0134808332280663</v>
      </c>
      <c r="AW78" s="1979">
        <v>1.0321273754894704</v>
      </c>
      <c r="AX78" s="1979">
        <v>1.0159653222759102</v>
      </c>
      <c r="AY78" s="1979">
        <v>1.0352235795122597</v>
      </c>
      <c r="AZ78" s="1979">
        <v>1.0184498113237543</v>
      </c>
      <c r="BA78" s="1979">
        <v>1.0383197835350493</v>
      </c>
      <c r="BB78" s="2000">
        <v>0</v>
      </c>
      <c r="BC78" s="1998">
        <v>0</v>
      </c>
      <c r="BD78" s="1998">
        <v>0</v>
      </c>
      <c r="BE78" s="1998">
        <v>0</v>
      </c>
      <c r="BF78" s="1998">
        <v>0</v>
      </c>
      <c r="BG78" s="1998">
        <v>0</v>
      </c>
      <c r="BH78" s="1998">
        <v>0</v>
      </c>
      <c r="BI78" s="1998">
        <v>0</v>
      </c>
      <c r="BJ78" s="1998">
        <v>0</v>
      </c>
      <c r="BK78" s="1998">
        <v>0</v>
      </c>
      <c r="BL78" s="1999">
        <v>0.98236404668816535</v>
      </c>
      <c r="BM78" s="1979">
        <v>0.99207613790621985</v>
      </c>
      <c r="BN78" s="1999">
        <v>0.98482395859879746</v>
      </c>
      <c r="BO78" s="1979">
        <v>0.9950272694417468</v>
      </c>
      <c r="BP78" s="1999">
        <v>0.98728387050942945</v>
      </c>
      <c r="BQ78" s="1979">
        <v>0.99797840097727331</v>
      </c>
      <c r="BR78" s="1999">
        <v>0.98974378242006167</v>
      </c>
      <c r="BS78" s="1979">
        <v>1.0009295325127998</v>
      </c>
      <c r="BT78" s="1999">
        <v>0.99220369433069378</v>
      </c>
      <c r="BU78" s="1979">
        <v>1.0038806640483262</v>
      </c>
      <c r="BV78" s="2000">
        <v>0.98820030380101043</v>
      </c>
      <c r="BW78" s="1998">
        <v>0.99267072301671211</v>
      </c>
      <c r="BX78" s="1998">
        <v>1.0033640842760592</v>
      </c>
      <c r="BY78" s="1998">
        <v>1.0131667787461962</v>
      </c>
      <c r="BZ78" s="1998">
        <v>1.0316042488910058</v>
      </c>
      <c r="CA78" s="1998">
        <v>1.0495112879331179</v>
      </c>
      <c r="CB78" s="1998">
        <v>1.0570803414020058</v>
      </c>
      <c r="CC78" s="1998">
        <v>1.0844236363179429</v>
      </c>
      <c r="CD78" s="1998">
        <v>1.0914603763394282</v>
      </c>
      <c r="CE78" s="1998">
        <v>1.1251582497841235</v>
      </c>
      <c r="CF78" s="1999">
        <v>1.0056795800858223</v>
      </c>
      <c r="CG78" s="1979">
        <v>1.0877831108511893</v>
      </c>
      <c r="CH78" s="1999">
        <v>1.0084360744398988</v>
      </c>
      <c r="CI78" s="1979">
        <v>1.091317706959037</v>
      </c>
      <c r="CJ78" s="1999">
        <v>1.0111925687939756</v>
      </c>
      <c r="CK78" s="1979">
        <v>1.0948523030668851</v>
      </c>
      <c r="CL78" s="1999">
        <v>1.0139490631480521</v>
      </c>
      <c r="CM78" s="1979">
        <v>1.098386899174733</v>
      </c>
      <c r="CN78" s="1999">
        <v>1.0167055575021284</v>
      </c>
      <c r="CO78" s="1979">
        <v>1.1019214952825807</v>
      </c>
      <c r="CP78" s="2000">
        <v>1.0030166405870582</v>
      </c>
      <c r="CQ78" s="1998">
        <v>1.0930235045530561</v>
      </c>
      <c r="CR78" s="2000">
        <v>1.0059096161767036</v>
      </c>
      <c r="CS78" s="1998">
        <v>1.0967245731328963</v>
      </c>
      <c r="CT78" s="2000">
        <v>1.008802591766349</v>
      </c>
      <c r="CU78" s="1998">
        <v>1.1004256417127363</v>
      </c>
      <c r="CV78" s="2000">
        <v>1.0116955673559949</v>
      </c>
      <c r="CW78" s="1998">
        <v>1.1041267102925763</v>
      </c>
      <c r="CX78" s="2000">
        <v>1.0145885429456403</v>
      </c>
      <c r="CY78" s="1998">
        <v>1.1078277788724162</v>
      </c>
      <c r="CZ78" s="1999">
        <v>1.0864032949883025</v>
      </c>
      <c r="DA78" s="1979">
        <v>1.1621098245827242</v>
      </c>
      <c r="DB78" s="1999">
        <v>1.0911365846028516</v>
      </c>
      <c r="DC78" s="1979">
        <v>1.1681088811903291</v>
      </c>
      <c r="DD78" s="1999">
        <v>1.0958698742174009</v>
      </c>
      <c r="DE78" s="1979">
        <v>1.1741079377979338</v>
      </c>
      <c r="DF78" s="1999">
        <v>1.10060316383195</v>
      </c>
      <c r="DG78" s="1979">
        <v>1.1801069944055387</v>
      </c>
      <c r="DH78" s="1999">
        <v>1.1100697430610487</v>
      </c>
      <c r="DI78" s="1979">
        <v>1.1921051076207483</v>
      </c>
      <c r="DJ78" s="2000">
        <v>1.072080185214944</v>
      </c>
      <c r="DK78" s="1998">
        <v>1.1493130148061261</v>
      </c>
      <c r="DL78" s="2000">
        <v>1.0762545503553171</v>
      </c>
      <c r="DM78" s="1998">
        <v>1.1546754764334242</v>
      </c>
      <c r="DN78" s="2000">
        <v>1.0804289154956903</v>
      </c>
      <c r="DO78" s="1998">
        <v>1.160037938060722</v>
      </c>
      <c r="DP78" s="2000">
        <v>1.0846032806360633</v>
      </c>
      <c r="DQ78" s="1998">
        <v>1.1654003996880204</v>
      </c>
      <c r="DR78" s="2000">
        <v>1.0929520109168098</v>
      </c>
      <c r="DS78" s="1998">
        <v>1.1761253229426165</v>
      </c>
      <c r="GT78" s="1980"/>
      <c r="GU78" s="1980"/>
      <c r="GV78" s="1980"/>
      <c r="GW78" s="1980"/>
      <c r="GX78" s="1980"/>
      <c r="GY78" s="1980"/>
      <c r="GZ78" s="1980"/>
      <c r="HA78" s="1980"/>
      <c r="HB78" s="1980"/>
      <c r="HC78" s="1980"/>
      <c r="HD78" s="1980"/>
      <c r="HE78" s="1980"/>
      <c r="HF78" s="1980"/>
      <c r="HG78" s="1980"/>
      <c r="HH78" s="1980"/>
      <c r="HI78" s="1980"/>
      <c r="HJ78" s="1980"/>
      <c r="HK78" s="1980"/>
      <c r="HL78" s="1980"/>
      <c r="HM78" s="1980"/>
      <c r="HN78" s="1980"/>
      <c r="HO78" s="1980"/>
      <c r="HP78" s="1980"/>
      <c r="HQ78" s="1980"/>
      <c r="HR78" s="1980"/>
      <c r="HS78" s="1980"/>
      <c r="HT78" s="1980"/>
      <c r="HU78" s="1980"/>
      <c r="HV78" s="1980"/>
      <c r="HW78" s="1980"/>
      <c r="HX78" s="1980"/>
      <c r="HY78" s="1980"/>
      <c r="HZ78" s="1980"/>
      <c r="IA78" s="1980"/>
      <c r="IB78" s="1980"/>
      <c r="IC78" s="1980"/>
      <c r="ID78" s="1980"/>
      <c r="IE78" s="1980"/>
      <c r="IF78" s="1980"/>
      <c r="IG78" s="1980"/>
      <c r="IH78" s="1980"/>
      <c r="II78" s="1980"/>
      <c r="IJ78" s="1980"/>
      <c r="IK78" s="1980"/>
      <c r="IL78" s="1980"/>
      <c r="IM78" s="1980"/>
      <c r="IN78" s="1980"/>
      <c r="IO78" s="1980"/>
      <c r="IP78" s="1980"/>
      <c r="IQ78" s="1980"/>
      <c r="IR78" s="1980"/>
      <c r="IS78" s="1980"/>
      <c r="IT78" s="1980"/>
      <c r="IU78" s="1980"/>
      <c r="IV78" s="1980"/>
      <c r="IW78" s="1980"/>
      <c r="IX78" s="1980"/>
      <c r="IY78" s="1980"/>
      <c r="IZ78" s="1980"/>
      <c r="JA78" s="1980"/>
      <c r="JB78" s="1980"/>
      <c r="JC78" s="1980"/>
      <c r="JD78" s="1980"/>
      <c r="JE78" s="1980"/>
      <c r="JF78" s="1980"/>
      <c r="JG78" s="1980"/>
      <c r="JH78" s="1980"/>
      <c r="JI78" s="1980"/>
      <c r="JJ78" s="1980"/>
      <c r="JK78" s="1980"/>
      <c r="JL78" s="1980"/>
      <c r="JM78" s="1980"/>
      <c r="JN78" s="1980"/>
      <c r="JO78" s="1980"/>
      <c r="JP78" s="1980"/>
      <c r="JQ78" s="1980"/>
      <c r="JR78" s="1980"/>
      <c r="JS78" s="1980"/>
      <c r="JT78" s="1980"/>
      <c r="JU78" s="1980"/>
      <c r="JV78" s="1980"/>
      <c r="JW78" s="1980"/>
      <c r="JX78" s="1980"/>
      <c r="JY78" s="1980"/>
      <c r="JZ78" s="1980"/>
      <c r="KA78" s="1980"/>
      <c r="KB78" s="1980"/>
      <c r="KC78" s="1980"/>
      <c r="KD78" s="1980"/>
      <c r="KE78" s="1980"/>
      <c r="KF78" s="1980"/>
      <c r="KG78" s="1980"/>
      <c r="KH78" s="1980"/>
      <c r="KI78" s="1980"/>
      <c r="KJ78" s="1980"/>
      <c r="KK78" s="1980"/>
    </row>
    <row r="79" spans="1:297">
      <c r="A79" s="1997"/>
      <c r="B79" s="2">
        <v>15</v>
      </c>
      <c r="C79" s="2" t="str">
        <f>CONCATENATE($U$8," ",V$12)</f>
        <v>Proportion de fenêtres 20</v>
      </c>
      <c r="D79" s="1979">
        <v>0</v>
      </c>
      <c r="E79" s="1979">
        <v>0</v>
      </c>
      <c r="F79" s="1979">
        <v>0</v>
      </c>
      <c r="G79" s="1979">
        <v>0</v>
      </c>
      <c r="H79" s="1979">
        <v>0</v>
      </c>
      <c r="I79" s="1979">
        <v>0</v>
      </c>
      <c r="J79" s="1979">
        <v>0</v>
      </c>
      <c r="K79" s="1979">
        <v>0</v>
      </c>
      <c r="L79" s="1979">
        <v>0</v>
      </c>
      <c r="M79" s="1979">
        <v>0</v>
      </c>
      <c r="N79" s="2000">
        <v>0</v>
      </c>
      <c r="O79" s="1998">
        <v>0</v>
      </c>
      <c r="P79" s="1998">
        <v>0</v>
      </c>
      <c r="Q79" s="1998">
        <v>0</v>
      </c>
      <c r="R79" s="1998">
        <v>0</v>
      </c>
      <c r="S79" s="1998">
        <v>0</v>
      </c>
      <c r="T79" s="1998">
        <v>0</v>
      </c>
      <c r="U79" s="1998">
        <v>0</v>
      </c>
      <c r="V79" s="1998">
        <v>0</v>
      </c>
      <c r="W79" s="1998">
        <v>0</v>
      </c>
      <c r="X79" s="1999">
        <v>0</v>
      </c>
      <c r="Y79" s="1979">
        <v>0</v>
      </c>
      <c r="Z79" s="1979">
        <v>0</v>
      </c>
      <c r="AA79" s="1979">
        <v>0</v>
      </c>
      <c r="AB79" s="1979">
        <v>0</v>
      </c>
      <c r="AC79" s="1979">
        <v>0</v>
      </c>
      <c r="AD79" s="1979">
        <v>0</v>
      </c>
      <c r="AE79" s="1979">
        <v>0</v>
      </c>
      <c r="AF79" s="1979">
        <v>0</v>
      </c>
      <c r="AG79" s="1979">
        <v>0</v>
      </c>
      <c r="AH79" s="2000">
        <v>0</v>
      </c>
      <c r="AI79" s="1998">
        <v>0</v>
      </c>
      <c r="AJ79" s="1998">
        <v>0</v>
      </c>
      <c r="AK79" s="1998">
        <v>0</v>
      </c>
      <c r="AL79" s="1998">
        <v>0</v>
      </c>
      <c r="AM79" s="1998">
        <v>0</v>
      </c>
      <c r="AN79" s="1998">
        <v>0</v>
      </c>
      <c r="AO79" s="1998">
        <v>0</v>
      </c>
      <c r="AP79" s="1998">
        <v>0</v>
      </c>
      <c r="AQ79" s="1998">
        <v>0</v>
      </c>
      <c r="AR79" s="1999">
        <v>0.98336635174823817</v>
      </c>
      <c r="AS79" s="1979">
        <v>0.99166782309097512</v>
      </c>
      <c r="AT79" s="1979">
        <v>1.016540893597476</v>
      </c>
      <c r="AU79" s="1979">
        <v>1.0318085637696894</v>
      </c>
      <c r="AV79" s="1979">
        <v>1.0190253826453199</v>
      </c>
      <c r="AW79" s="1979">
        <v>1.0349047677924788</v>
      </c>
      <c r="AX79" s="1979">
        <v>1.0215098716931643</v>
      </c>
      <c r="AY79" s="1979">
        <v>1.0380009718152683</v>
      </c>
      <c r="AZ79" s="1979">
        <v>1.0239943607410082</v>
      </c>
      <c r="BA79" s="1979">
        <v>1.0410971758380576</v>
      </c>
      <c r="BB79" s="2000">
        <v>0</v>
      </c>
      <c r="BC79" s="1998">
        <v>0</v>
      </c>
      <c r="BD79" s="1998">
        <v>0</v>
      </c>
      <c r="BE79" s="1998">
        <v>0</v>
      </c>
      <c r="BF79" s="1998">
        <v>0</v>
      </c>
      <c r="BG79" s="1998">
        <v>0</v>
      </c>
      <c r="BH79" s="1998">
        <v>0</v>
      </c>
      <c r="BI79" s="1998">
        <v>0</v>
      </c>
      <c r="BJ79" s="1998">
        <v>0</v>
      </c>
      <c r="BK79" s="1998">
        <v>0</v>
      </c>
      <c r="BL79" s="1999">
        <v>0.9867730350161239</v>
      </c>
      <c r="BM79" s="1979">
        <v>0.99405710342966513</v>
      </c>
      <c r="BN79" s="1999">
        <v>0.98923294692675623</v>
      </c>
      <c r="BO79" s="1979">
        <v>0.99700823496519164</v>
      </c>
      <c r="BP79" s="1999">
        <v>0.99169285883738834</v>
      </c>
      <c r="BQ79" s="1979">
        <v>0.99995936650071815</v>
      </c>
      <c r="BR79" s="1999">
        <v>0.99415277074802033</v>
      </c>
      <c r="BS79" s="1979">
        <v>1.0029104980362447</v>
      </c>
      <c r="BT79" s="1999">
        <v>0.99661268265865244</v>
      </c>
      <c r="BU79" s="1979">
        <v>1.0058616295717713</v>
      </c>
      <c r="BV79" s="2000">
        <v>0.99115022785075768</v>
      </c>
      <c r="BW79" s="1998">
        <v>0.99450304226253394</v>
      </c>
      <c r="BX79" s="1998">
        <v>1.0060357193256986</v>
      </c>
      <c r="BY79" s="1998">
        <v>1.0146979126540387</v>
      </c>
      <c r="BZ79" s="1998">
        <v>1.0341367394405914</v>
      </c>
      <c r="CA79" s="1998">
        <v>1.0508918291719704</v>
      </c>
      <c r="CB79" s="1998">
        <v>1.0594736874515374</v>
      </c>
      <c r="CC79" s="1998">
        <v>1.0856535848878059</v>
      </c>
      <c r="CD79" s="1998">
        <v>1.0937145778889059</v>
      </c>
      <c r="CE79" s="1998">
        <v>1.1262376056849965</v>
      </c>
      <c r="CF79" s="1999">
        <v>1.0078803766326538</v>
      </c>
      <c r="CG79" s="1979">
        <v>1.0888400051129581</v>
      </c>
      <c r="CH79" s="1999">
        <v>1.0106368709867304</v>
      </c>
      <c r="CI79" s="1979">
        <v>1.092374601220806</v>
      </c>
      <c r="CJ79" s="1999">
        <v>1.0133933653408069</v>
      </c>
      <c r="CK79" s="1979">
        <v>1.0959091973286539</v>
      </c>
      <c r="CL79" s="1999">
        <v>1.0161498596948837</v>
      </c>
      <c r="CM79" s="1979">
        <v>1.0994437934365016</v>
      </c>
      <c r="CN79" s="1999">
        <v>1.01890635404896</v>
      </c>
      <c r="CO79" s="1979">
        <v>1.1029783895443495</v>
      </c>
      <c r="CP79" s="2000">
        <v>1.0054206803902244</v>
      </c>
      <c r="CQ79" s="1998">
        <v>1.0941753467211555</v>
      </c>
      <c r="CR79" s="2000">
        <v>1.0083136559798698</v>
      </c>
      <c r="CS79" s="1998">
        <v>1.0978764153009957</v>
      </c>
      <c r="CT79" s="2000">
        <v>1.0112066315695154</v>
      </c>
      <c r="CU79" s="1998">
        <v>1.1015774838808357</v>
      </c>
      <c r="CV79" s="2000">
        <v>1.014099607159161</v>
      </c>
      <c r="CW79" s="1998">
        <v>1.1052785524606754</v>
      </c>
      <c r="CX79" s="2000">
        <v>1.0169925827488064</v>
      </c>
      <c r="CY79" s="1998">
        <v>1.1089796210405156</v>
      </c>
      <c r="CZ79" s="1999">
        <v>1.0899851135146001</v>
      </c>
      <c r="DA79" s="1979">
        <v>1.1638099948483442</v>
      </c>
      <c r="DB79" s="1999">
        <v>1.0947184031291495</v>
      </c>
      <c r="DC79" s="1979">
        <v>1.1698090514559492</v>
      </c>
      <c r="DD79" s="1999">
        <v>1.0994516927436986</v>
      </c>
      <c r="DE79" s="1979">
        <v>1.1758081080635541</v>
      </c>
      <c r="DF79" s="1999">
        <v>1.1041849823582477</v>
      </c>
      <c r="DG79" s="1979">
        <v>1.1818071646711588</v>
      </c>
      <c r="DH79" s="1999">
        <v>1.1136515615873464</v>
      </c>
      <c r="DI79" s="1979">
        <v>1.1938052778863684</v>
      </c>
      <c r="DJ79" s="2000">
        <v>1.078150697864988</v>
      </c>
      <c r="DK79" s="1998">
        <v>1.1522335879498846</v>
      </c>
      <c r="DL79" s="2000">
        <v>1.0823250630053609</v>
      </c>
      <c r="DM79" s="1998">
        <v>1.1575960495771827</v>
      </c>
      <c r="DN79" s="2000">
        <v>1.0864994281457343</v>
      </c>
      <c r="DO79" s="1998">
        <v>1.1629585112044805</v>
      </c>
      <c r="DP79" s="2000">
        <v>1.0906737932861073</v>
      </c>
      <c r="DQ79" s="1998">
        <v>1.1683209728317787</v>
      </c>
      <c r="DR79" s="2000">
        <v>1.0990225235668538</v>
      </c>
      <c r="DS79" s="1998">
        <v>1.179045896086375</v>
      </c>
      <c r="GT79" s="1980"/>
      <c r="GU79" s="1980"/>
      <c r="GV79" s="1980"/>
      <c r="GW79" s="1980"/>
      <c r="GX79" s="1980"/>
      <c r="GY79" s="1980"/>
      <c r="GZ79" s="1980"/>
      <c r="HA79" s="1980"/>
      <c r="HB79" s="1980"/>
      <c r="HC79" s="1980"/>
      <c r="HD79" s="1980"/>
      <c r="HE79" s="1980"/>
      <c r="HF79" s="1980"/>
      <c r="HG79" s="1980"/>
      <c r="HH79" s="1980"/>
      <c r="HI79" s="1980"/>
      <c r="HJ79" s="1980"/>
      <c r="HK79" s="1980"/>
      <c r="HL79" s="1980"/>
      <c r="HM79" s="1980"/>
      <c r="HN79" s="1980"/>
      <c r="HO79" s="1980"/>
      <c r="HP79" s="1980"/>
      <c r="HQ79" s="1980"/>
      <c r="HR79" s="1980"/>
      <c r="HS79" s="1980"/>
      <c r="HT79" s="1980"/>
      <c r="HU79" s="1980"/>
      <c r="HV79" s="1980"/>
      <c r="HW79" s="1980"/>
      <c r="HX79" s="1980"/>
      <c r="HY79" s="1980"/>
      <c r="HZ79" s="1980"/>
      <c r="IA79" s="1980"/>
      <c r="IB79" s="1980"/>
      <c r="IC79" s="1980"/>
      <c r="ID79" s="1980"/>
      <c r="IE79" s="1980"/>
      <c r="IF79" s="1980"/>
      <c r="IG79" s="1980"/>
      <c r="IH79" s="1980"/>
      <c r="II79" s="1980"/>
      <c r="IJ79" s="1980"/>
      <c r="IK79" s="1980"/>
      <c r="IL79" s="1980"/>
      <c r="IM79" s="1980"/>
      <c r="IN79" s="1980"/>
      <c r="IO79" s="1980"/>
      <c r="IP79" s="1980"/>
      <c r="IQ79" s="1980"/>
      <c r="IR79" s="1980"/>
      <c r="IS79" s="1980"/>
      <c r="IT79" s="1980"/>
      <c r="IU79" s="1980"/>
      <c r="IV79" s="1980"/>
      <c r="IW79" s="1980"/>
      <c r="IX79" s="1980"/>
      <c r="IY79" s="1980"/>
      <c r="IZ79" s="1980"/>
      <c r="JA79" s="1980"/>
      <c r="JB79" s="1980"/>
      <c r="JC79" s="1980"/>
      <c r="JD79" s="1980"/>
      <c r="JE79" s="1980"/>
      <c r="JF79" s="1980"/>
      <c r="JG79" s="1980"/>
      <c r="JH79" s="1980"/>
      <c r="JI79" s="1980"/>
      <c r="JJ79" s="1980"/>
      <c r="JK79" s="1980"/>
      <c r="JL79" s="1980"/>
      <c r="JM79" s="1980"/>
      <c r="JN79" s="1980"/>
      <c r="JO79" s="1980"/>
      <c r="JP79" s="1980"/>
      <c r="JQ79" s="1980"/>
      <c r="JR79" s="1980"/>
      <c r="JS79" s="1980"/>
      <c r="JT79" s="1980"/>
      <c r="JU79" s="1980"/>
      <c r="JV79" s="1980"/>
      <c r="JW79" s="1980"/>
      <c r="JX79" s="1980"/>
      <c r="JY79" s="1980"/>
      <c r="JZ79" s="1980"/>
      <c r="KA79" s="1980"/>
      <c r="KB79" s="1980"/>
      <c r="KC79" s="1980"/>
      <c r="KD79" s="1980"/>
      <c r="KE79" s="1980"/>
      <c r="KF79" s="1980"/>
      <c r="KG79" s="1980"/>
      <c r="KH79" s="1980"/>
      <c r="KI79" s="1980"/>
      <c r="KJ79" s="1980"/>
      <c r="KK79" s="1980"/>
    </row>
    <row r="80" spans="1:297">
      <c r="A80" s="1997"/>
      <c r="B80" s="2">
        <v>16</v>
      </c>
      <c r="C80" s="2" t="str">
        <f>CONCATENATE($U$8," ",V$13)</f>
        <v>Proportion de fenêtres 30</v>
      </c>
      <c r="D80" s="1979">
        <v>0.94963042343552395</v>
      </c>
      <c r="E80" s="1979">
        <v>0.95338120647425972</v>
      </c>
      <c r="F80" s="1979">
        <v>0.96875132382447571</v>
      </c>
      <c r="G80" s="1979">
        <v>0.97722396246136201</v>
      </c>
      <c r="H80" s="1979">
        <v>1.0028015474311771</v>
      </c>
      <c r="I80" s="1979">
        <v>1.0187873585347043</v>
      </c>
      <c r="J80" s="1979">
        <v>1.0342728273173787</v>
      </c>
      <c r="K80" s="1979">
        <v>1.059607809226133</v>
      </c>
      <c r="L80" s="1979">
        <v>1.071726796606987</v>
      </c>
      <c r="M80" s="1979">
        <v>1.1041688640158069</v>
      </c>
      <c r="N80" s="2000">
        <v>0.98800742549444498</v>
      </c>
      <c r="O80" s="1998">
        <v>0.99288673919108839</v>
      </c>
      <c r="P80" s="1998">
        <v>1.0054165268626802</v>
      </c>
      <c r="Q80" s="1998">
        <v>1.0150227636430154</v>
      </c>
      <c r="R80" s="1998">
        <v>1.0310365667629309</v>
      </c>
      <c r="S80" s="1998">
        <v>1.0463944126283002</v>
      </c>
      <c r="T80" s="1998">
        <v>1.0532374577352401</v>
      </c>
      <c r="U80" s="1998">
        <v>1.075189745089437</v>
      </c>
      <c r="V80" s="1998">
        <v>1.0903036387383063</v>
      </c>
      <c r="W80" s="1998">
        <v>1.1132672368365564</v>
      </c>
      <c r="X80" s="1999">
        <v>0.98652348995989514</v>
      </c>
      <c r="Y80" s="1979">
        <v>0.98784008588822836</v>
      </c>
      <c r="Z80" s="1979">
        <v>1.0181839157939869</v>
      </c>
      <c r="AA80" s="1979">
        <v>1.0269386202618855</v>
      </c>
      <c r="AB80" s="1979">
        <v>1.0200542661720444</v>
      </c>
      <c r="AC80" s="1979">
        <v>1.0292606670047129</v>
      </c>
      <c r="AD80" s="1979">
        <v>1.0219246165501017</v>
      </c>
      <c r="AE80" s="1979">
        <v>1.0315827137475402</v>
      </c>
      <c r="AF80" s="1979">
        <v>1.0237949669281592</v>
      </c>
      <c r="AG80" s="1979">
        <v>1.0339047604903677</v>
      </c>
      <c r="AH80" s="2000">
        <v>0.98501110555266413</v>
      </c>
      <c r="AI80" s="1998">
        <v>0.99243452829314971</v>
      </c>
      <c r="AJ80" s="1998">
        <v>1.0119839273485214</v>
      </c>
      <c r="AK80" s="1998">
        <v>1.0227606142550092</v>
      </c>
      <c r="AL80" s="1998">
        <v>1.0153596026733078</v>
      </c>
      <c r="AM80" s="1998">
        <v>1.0269994695819311</v>
      </c>
      <c r="AN80" s="1998">
        <v>1.0187352779980945</v>
      </c>
      <c r="AO80" s="1998">
        <v>1.0312383249088528</v>
      </c>
      <c r="AP80" s="1998">
        <v>1.0221109533228814</v>
      </c>
      <c r="AQ80" s="1998">
        <v>1.0354771802357747</v>
      </c>
      <c r="AR80" s="1999">
        <v>0.98891090116549218</v>
      </c>
      <c r="AS80" s="1979">
        <v>0.99444521539398323</v>
      </c>
      <c r="AT80" s="1979">
        <v>1.0220854430147299</v>
      </c>
      <c r="AU80" s="1979">
        <v>1.0345859560726978</v>
      </c>
      <c r="AV80" s="1979">
        <v>1.0245699320625741</v>
      </c>
      <c r="AW80" s="1979">
        <v>1.0376821600954871</v>
      </c>
      <c r="AX80" s="1979">
        <v>1.027054421110418</v>
      </c>
      <c r="AY80" s="1979">
        <v>1.0407783641182766</v>
      </c>
      <c r="AZ80" s="1979">
        <v>1.0295389101582624</v>
      </c>
      <c r="BA80" s="1979">
        <v>1.0438745681410662</v>
      </c>
      <c r="BB80" s="2000">
        <v>1.3590971332521491</v>
      </c>
      <c r="BC80" s="1998">
        <v>1.3771432720601779</v>
      </c>
      <c r="BD80" s="1998">
        <v>1.4172107654321193</v>
      </c>
      <c r="BE80" s="1998">
        <v>1.4291056537617364</v>
      </c>
      <c r="BF80" s="1998">
        <v>1.4303721266606306</v>
      </c>
      <c r="BG80" s="1998">
        <v>1.4449437409679828</v>
      </c>
      <c r="BH80" s="1998">
        <v>1.4435334878891417</v>
      </c>
      <c r="BI80" s="1998">
        <v>1.46078182817423</v>
      </c>
      <c r="BJ80" s="1998">
        <v>1.456694849117653</v>
      </c>
      <c r="BK80" s="1998">
        <v>1.4766199153804771</v>
      </c>
      <c r="BL80" s="1999">
        <v>0.99118202334408279</v>
      </c>
      <c r="BM80" s="1979">
        <v>0.99603806895310998</v>
      </c>
      <c r="BN80" s="1999">
        <v>0.99364193525471478</v>
      </c>
      <c r="BO80" s="1979">
        <v>0.99898920048863649</v>
      </c>
      <c r="BP80" s="1999">
        <v>0.99610184716534689</v>
      </c>
      <c r="BQ80" s="1979">
        <v>1.0019403320241631</v>
      </c>
      <c r="BR80" s="1999">
        <v>0.99856175907597888</v>
      </c>
      <c r="BS80" s="1979">
        <v>1.0048914635596897</v>
      </c>
      <c r="BT80" s="1999">
        <v>1.0010216709866109</v>
      </c>
      <c r="BU80" s="1979">
        <v>1.0078425950952163</v>
      </c>
      <c r="BV80" s="2000">
        <v>0.99410015190050516</v>
      </c>
      <c r="BW80" s="1998">
        <v>0.996335361508356</v>
      </c>
      <c r="BX80" s="1998">
        <v>1.0087073543753382</v>
      </c>
      <c r="BY80" s="1998">
        <v>1.0162290465618813</v>
      </c>
      <c r="BZ80" s="1998">
        <v>1.036669229990177</v>
      </c>
      <c r="CA80" s="1998">
        <v>1.0522723704108232</v>
      </c>
      <c r="CB80" s="1998">
        <v>1.0618670335010687</v>
      </c>
      <c r="CC80" s="1998">
        <v>1.0868835334576687</v>
      </c>
      <c r="CD80" s="1998">
        <v>1.0959687794383834</v>
      </c>
      <c r="CE80" s="1998">
        <v>1.1273169615858696</v>
      </c>
      <c r="CF80" s="1999">
        <v>1.0100811731794852</v>
      </c>
      <c r="CG80" s="1979">
        <v>1.0898968993747269</v>
      </c>
      <c r="CH80" s="1999">
        <v>1.0128376675335617</v>
      </c>
      <c r="CI80" s="1979">
        <v>1.0934314954825748</v>
      </c>
      <c r="CJ80" s="1999">
        <v>1.0155941618876383</v>
      </c>
      <c r="CK80" s="1979">
        <v>1.0969660915904225</v>
      </c>
      <c r="CL80" s="1999">
        <v>1.0183506562417151</v>
      </c>
      <c r="CM80" s="1979">
        <v>1.1005006876982706</v>
      </c>
      <c r="CN80" s="1999">
        <v>1.0211071505957914</v>
      </c>
      <c r="CO80" s="1979">
        <v>1.104035283806118</v>
      </c>
      <c r="CP80" s="2000">
        <v>1.0078247201933905</v>
      </c>
      <c r="CQ80" s="1998">
        <v>1.0953271888892546</v>
      </c>
      <c r="CR80" s="2000">
        <v>1.0107176957830362</v>
      </c>
      <c r="CS80" s="1998">
        <v>1.0990282574690948</v>
      </c>
      <c r="CT80" s="2000">
        <v>1.0136106713726816</v>
      </c>
      <c r="CU80" s="1998">
        <v>1.102729326048935</v>
      </c>
      <c r="CV80" s="2000">
        <v>1.016503646962327</v>
      </c>
      <c r="CW80" s="1998">
        <v>1.1064303946287748</v>
      </c>
      <c r="CX80" s="2000">
        <v>1.0193966225519726</v>
      </c>
      <c r="CY80" s="1998">
        <v>1.1101314632086148</v>
      </c>
      <c r="CZ80" s="1999">
        <v>1.0935669320408981</v>
      </c>
      <c r="DA80" s="1979">
        <v>1.1655101651139643</v>
      </c>
      <c r="DB80" s="1999">
        <v>1.0983002216554474</v>
      </c>
      <c r="DC80" s="1979">
        <v>1.171509221721569</v>
      </c>
      <c r="DD80" s="1999">
        <v>1.1030335112699967</v>
      </c>
      <c r="DE80" s="1979">
        <v>1.1775082783291739</v>
      </c>
      <c r="DF80" s="1999">
        <v>1.1077668008845456</v>
      </c>
      <c r="DG80" s="1979">
        <v>1.1835073349367788</v>
      </c>
      <c r="DH80" s="1999">
        <v>1.117233380113644</v>
      </c>
      <c r="DI80" s="1979">
        <v>1.1955054481519882</v>
      </c>
      <c r="DJ80" s="2000">
        <v>1.084221210515032</v>
      </c>
      <c r="DK80" s="1998">
        <v>1.1551541610936431</v>
      </c>
      <c r="DL80" s="2000">
        <v>1.0883955756554049</v>
      </c>
      <c r="DM80" s="1998">
        <v>1.1605166227209409</v>
      </c>
      <c r="DN80" s="2000">
        <v>1.0925699407957781</v>
      </c>
      <c r="DO80" s="1998">
        <v>1.1658790843482389</v>
      </c>
      <c r="DP80" s="2000">
        <v>1.0967443059361512</v>
      </c>
      <c r="DQ80" s="1998">
        <v>1.1712415459755372</v>
      </c>
      <c r="DR80" s="2000">
        <v>1.1050930362168976</v>
      </c>
      <c r="DS80" s="1998">
        <v>1.1819664692301333</v>
      </c>
      <c r="GT80" s="1980"/>
      <c r="GU80" s="1980"/>
      <c r="GV80" s="1980"/>
      <c r="GW80" s="1980"/>
      <c r="GX80" s="1980"/>
      <c r="GY80" s="1980"/>
      <c r="GZ80" s="1980"/>
      <c r="HA80" s="1980"/>
      <c r="HB80" s="1980"/>
      <c r="HC80" s="1980"/>
      <c r="HD80" s="1980"/>
      <c r="HE80" s="1980"/>
      <c r="HF80" s="1980"/>
      <c r="HG80" s="1980"/>
      <c r="HH80" s="1980"/>
      <c r="HI80" s="1980"/>
      <c r="HJ80" s="1980"/>
      <c r="HK80" s="1980"/>
      <c r="HL80" s="1980"/>
      <c r="HM80" s="1980"/>
      <c r="HN80" s="1980"/>
      <c r="HO80" s="1980"/>
      <c r="HP80" s="1980"/>
      <c r="HQ80" s="1980"/>
      <c r="HR80" s="1980"/>
      <c r="HS80" s="1980"/>
      <c r="HT80" s="1980"/>
      <c r="HU80" s="1980"/>
      <c r="HV80" s="1980"/>
      <c r="HW80" s="1980"/>
      <c r="HX80" s="1980"/>
      <c r="HY80" s="1980"/>
      <c r="HZ80" s="1980"/>
      <c r="IA80" s="1980"/>
      <c r="IB80" s="1980"/>
      <c r="IC80" s="1980"/>
      <c r="ID80" s="1980"/>
      <c r="IE80" s="1980"/>
      <c r="IF80" s="1980"/>
      <c r="IG80" s="1980"/>
      <c r="IH80" s="1980"/>
      <c r="II80" s="1980"/>
      <c r="IJ80" s="1980"/>
      <c r="IK80" s="1980"/>
      <c r="IL80" s="1980"/>
      <c r="IM80" s="1980"/>
      <c r="IN80" s="1980"/>
      <c r="IO80" s="1980"/>
      <c r="IP80" s="1980"/>
      <c r="IQ80" s="1980"/>
      <c r="IR80" s="1980"/>
      <c r="IS80" s="1980"/>
      <c r="IT80" s="1980"/>
      <c r="IU80" s="1980"/>
      <c r="IV80" s="1980"/>
      <c r="IW80" s="1980"/>
      <c r="IX80" s="1980"/>
      <c r="IY80" s="1980"/>
      <c r="IZ80" s="1980"/>
      <c r="JA80" s="1980"/>
      <c r="JB80" s="1980"/>
      <c r="JC80" s="1980"/>
      <c r="JD80" s="1980"/>
      <c r="JE80" s="1980"/>
      <c r="JF80" s="1980"/>
      <c r="JG80" s="1980"/>
      <c r="JH80" s="1980"/>
      <c r="JI80" s="1980"/>
      <c r="JJ80" s="1980"/>
      <c r="JK80" s="1980"/>
      <c r="JL80" s="1980"/>
      <c r="JM80" s="1980"/>
      <c r="JN80" s="1980"/>
      <c r="JO80" s="1980"/>
      <c r="JP80" s="1980"/>
      <c r="JQ80" s="1980"/>
      <c r="JR80" s="1980"/>
      <c r="JS80" s="1980"/>
      <c r="JT80" s="1980"/>
      <c r="JU80" s="1980"/>
      <c r="JV80" s="1980"/>
      <c r="JW80" s="1980"/>
      <c r="JX80" s="1980"/>
      <c r="JY80" s="1980"/>
      <c r="JZ80" s="1980"/>
      <c r="KA80" s="1980"/>
      <c r="KB80" s="1980"/>
      <c r="KC80" s="1980"/>
      <c r="KD80" s="1980"/>
      <c r="KE80" s="1980"/>
      <c r="KF80" s="1980"/>
      <c r="KG80" s="1980"/>
      <c r="KH80" s="1980"/>
      <c r="KI80" s="1980"/>
      <c r="KJ80" s="1980"/>
      <c r="KK80" s="1980"/>
    </row>
    <row r="81" spans="1:297">
      <c r="A81" s="1997"/>
      <c r="B81" s="2">
        <v>17</v>
      </c>
      <c r="C81" s="2" t="str">
        <f>CONCATENATE($U$8," ",V$14)</f>
        <v>Proportion de fenêtres 40</v>
      </c>
      <c r="D81" s="1979">
        <v>0.95867912804468347</v>
      </c>
      <c r="E81" s="1979">
        <v>0.95875538856264109</v>
      </c>
      <c r="F81" s="1979">
        <v>0.97694639460595378</v>
      </c>
      <c r="G81" s="1979">
        <v>0.98171476963986148</v>
      </c>
      <c r="H81" s="1979">
        <v>1.0105698012988149</v>
      </c>
      <c r="I81" s="1979">
        <v>1.0228364782582631</v>
      </c>
      <c r="J81" s="1979">
        <v>1.0416142642711756</v>
      </c>
      <c r="K81" s="1979">
        <v>1.0632152414947509</v>
      </c>
      <c r="L81" s="1979">
        <v>1.0786414166469431</v>
      </c>
      <c r="M81" s="1979">
        <v>1.107334608829484</v>
      </c>
      <c r="N81" s="2000">
        <v>0.99400371274722243</v>
      </c>
      <c r="O81" s="1998">
        <v>0.99644336959554414</v>
      </c>
      <c r="P81" s="1998">
        <v>1.0108471382689632</v>
      </c>
      <c r="Q81" s="1998">
        <v>1.0179947770748141</v>
      </c>
      <c r="R81" s="1998">
        <v>1.0361843402459665</v>
      </c>
      <c r="S81" s="1998">
        <v>1.0490741175737701</v>
      </c>
      <c r="T81" s="1998">
        <v>1.0581023932950286</v>
      </c>
      <c r="U81" s="1998">
        <v>1.0775771415485784</v>
      </c>
      <c r="V81" s="1998">
        <v>1.0948857363748477</v>
      </c>
      <c r="W81" s="1998">
        <v>1.1153623248093689</v>
      </c>
      <c r="X81" s="1999">
        <v>0.99326174497994757</v>
      </c>
      <c r="Y81" s="1979">
        <v>0.99120267586940247</v>
      </c>
      <c r="Z81" s="1979">
        <v>1.0249221708140395</v>
      </c>
      <c r="AA81" s="1979">
        <v>1.0303012102430595</v>
      </c>
      <c r="AB81" s="1979">
        <v>1.0267925211920967</v>
      </c>
      <c r="AC81" s="1979">
        <v>1.0326232569858869</v>
      </c>
      <c r="AD81" s="1979">
        <v>1.0286628715701545</v>
      </c>
      <c r="AE81" s="1979">
        <v>1.0349453037287144</v>
      </c>
      <c r="AF81" s="1979">
        <v>1.0305332219482117</v>
      </c>
      <c r="AG81" s="1979">
        <v>1.0372673504715417</v>
      </c>
      <c r="AH81" s="2000">
        <v>0.9925055527763319</v>
      </c>
      <c r="AI81" s="1998">
        <v>0.99621726414657485</v>
      </c>
      <c r="AJ81" s="1998">
        <v>1.0194783745721891</v>
      </c>
      <c r="AK81" s="1998">
        <v>1.0265433501084344</v>
      </c>
      <c r="AL81" s="1998">
        <v>1.022854049896976</v>
      </c>
      <c r="AM81" s="1998">
        <v>1.0307822054353561</v>
      </c>
      <c r="AN81" s="1998">
        <v>1.0262297252217625</v>
      </c>
      <c r="AO81" s="1998">
        <v>1.0350210607622781</v>
      </c>
      <c r="AP81" s="1998">
        <v>1.0296054005465491</v>
      </c>
      <c r="AQ81" s="1998">
        <v>1.0392599160892</v>
      </c>
      <c r="AR81" s="1999">
        <v>0.9944554505827462</v>
      </c>
      <c r="AS81" s="1979">
        <v>0.99722260769699156</v>
      </c>
      <c r="AT81" s="1979">
        <v>1.0276299924319838</v>
      </c>
      <c r="AU81" s="1979">
        <v>1.0373633483757063</v>
      </c>
      <c r="AV81" s="1979">
        <v>1.030114481479828</v>
      </c>
      <c r="AW81" s="1979">
        <v>1.0404595523984954</v>
      </c>
      <c r="AX81" s="1979">
        <v>1.0325989705276719</v>
      </c>
      <c r="AY81" s="1979">
        <v>1.043555756421285</v>
      </c>
      <c r="AZ81" s="1979">
        <v>1.0350834595755163</v>
      </c>
      <c r="BA81" s="1979">
        <v>1.0466519604440745</v>
      </c>
      <c r="BB81" s="2000">
        <v>1.3653727856071252</v>
      </c>
      <c r="BC81" s="1998">
        <v>1.3801788352895901</v>
      </c>
      <c r="BD81" s="1998">
        <v>1.4234864177870954</v>
      </c>
      <c r="BE81" s="1998">
        <v>1.432141216991148</v>
      </c>
      <c r="BF81" s="1998">
        <v>1.4366477790156067</v>
      </c>
      <c r="BG81" s="1998">
        <v>1.4479793041973952</v>
      </c>
      <c r="BH81" s="1998">
        <v>1.4498091402441178</v>
      </c>
      <c r="BI81" s="1998">
        <v>1.4638173914036419</v>
      </c>
      <c r="BJ81" s="1998">
        <v>1.4629705014726291</v>
      </c>
      <c r="BK81" s="1998">
        <v>1.4796554786098888</v>
      </c>
      <c r="BL81" s="1999">
        <v>0.99559101167204145</v>
      </c>
      <c r="BM81" s="1979">
        <v>0.99801903447655516</v>
      </c>
      <c r="BN81" s="1999">
        <v>0.99805092358267344</v>
      </c>
      <c r="BO81" s="1979">
        <v>1.0009701660120816</v>
      </c>
      <c r="BP81" s="1999">
        <v>1.0005108354933057</v>
      </c>
      <c r="BQ81" s="1979">
        <v>1.0039212975476082</v>
      </c>
      <c r="BR81" s="1999">
        <v>1.0029707474039375</v>
      </c>
      <c r="BS81" s="1979">
        <v>1.0068724290831346</v>
      </c>
      <c r="BT81" s="1999">
        <v>1.0054306593145697</v>
      </c>
      <c r="BU81" s="1979">
        <v>1.0098235606186612</v>
      </c>
      <c r="BV81" s="2000">
        <v>0.99705007595025263</v>
      </c>
      <c r="BW81" s="1998">
        <v>0.99816768075417794</v>
      </c>
      <c r="BX81" s="1998">
        <v>1.0113789894249776</v>
      </c>
      <c r="BY81" s="1998">
        <v>1.0177601804697236</v>
      </c>
      <c r="BZ81" s="1998">
        <v>1.0392017205397626</v>
      </c>
      <c r="CA81" s="1998">
        <v>1.053652911649676</v>
      </c>
      <c r="CB81" s="1998">
        <v>1.0642603795506003</v>
      </c>
      <c r="CC81" s="1998">
        <v>1.0881134820275318</v>
      </c>
      <c r="CD81" s="1998">
        <v>1.0982229809878612</v>
      </c>
      <c r="CE81" s="1998">
        <v>1.1283963174867429</v>
      </c>
      <c r="CF81" s="1999">
        <v>1.0122819697263166</v>
      </c>
      <c r="CG81" s="1979">
        <v>1.0909537936364955</v>
      </c>
      <c r="CH81" s="1999">
        <v>1.0150384640803933</v>
      </c>
      <c r="CI81" s="1979">
        <v>1.0944883897443434</v>
      </c>
      <c r="CJ81" s="1999">
        <v>1.0177949584344699</v>
      </c>
      <c r="CK81" s="1979">
        <v>1.0980229858521913</v>
      </c>
      <c r="CL81" s="1999">
        <v>1.0205514527885464</v>
      </c>
      <c r="CM81" s="1979">
        <v>1.1015575819600389</v>
      </c>
      <c r="CN81" s="1999">
        <v>1.023307947142623</v>
      </c>
      <c r="CO81" s="1979">
        <v>1.1050921780678871</v>
      </c>
      <c r="CP81" s="2000">
        <v>1.0102287599965567</v>
      </c>
      <c r="CQ81" s="1998">
        <v>1.0964790310573542</v>
      </c>
      <c r="CR81" s="2000">
        <v>1.0131217355862023</v>
      </c>
      <c r="CS81" s="1998">
        <v>1.100180099637194</v>
      </c>
      <c r="CT81" s="2000">
        <v>1.0160147111758477</v>
      </c>
      <c r="CU81" s="1998">
        <v>1.1038811682170342</v>
      </c>
      <c r="CV81" s="2000">
        <v>1.0189076867654931</v>
      </c>
      <c r="CW81" s="1998">
        <v>1.1075822367968744</v>
      </c>
      <c r="CX81" s="2000">
        <v>1.0218006623551388</v>
      </c>
      <c r="CY81" s="1998">
        <v>1.1112833053767142</v>
      </c>
      <c r="CZ81" s="1999">
        <v>1.0971487505671962</v>
      </c>
      <c r="DA81" s="1979">
        <v>1.1672103353795842</v>
      </c>
      <c r="DB81" s="1999">
        <v>1.1018820401817453</v>
      </c>
      <c r="DC81" s="1979">
        <v>1.1732093919871891</v>
      </c>
      <c r="DD81" s="1999">
        <v>1.1066153297962946</v>
      </c>
      <c r="DE81" s="1979">
        <v>1.179208448594794</v>
      </c>
      <c r="DF81" s="1999">
        <v>1.1113486194108435</v>
      </c>
      <c r="DG81" s="1979">
        <v>1.1852075052023987</v>
      </c>
      <c r="DH81" s="1999">
        <v>1.1208151986399422</v>
      </c>
      <c r="DI81" s="1979">
        <v>1.1972056184176083</v>
      </c>
      <c r="DJ81" s="2000">
        <v>1.0902917231650757</v>
      </c>
      <c r="DK81" s="1998">
        <v>1.1580747342374014</v>
      </c>
      <c r="DL81" s="2000">
        <v>1.0944660883054489</v>
      </c>
      <c r="DM81" s="1998">
        <v>1.1634371958646994</v>
      </c>
      <c r="DN81" s="2000">
        <v>1.0986404534458218</v>
      </c>
      <c r="DO81" s="1998">
        <v>1.1687996574919974</v>
      </c>
      <c r="DP81" s="2000">
        <v>1.102814818586195</v>
      </c>
      <c r="DQ81" s="1998">
        <v>1.1741621191192952</v>
      </c>
      <c r="DR81" s="2000">
        <v>1.1111635488669414</v>
      </c>
      <c r="DS81" s="1998">
        <v>1.1848870423738915</v>
      </c>
      <c r="GT81" s="1980"/>
      <c r="GU81" s="1980"/>
      <c r="GV81" s="1980"/>
      <c r="GW81" s="1980"/>
      <c r="GX81" s="1980"/>
      <c r="GY81" s="1980"/>
      <c r="GZ81" s="1980"/>
      <c r="HA81" s="1980"/>
      <c r="HB81" s="1980"/>
      <c r="HC81" s="1980"/>
      <c r="HD81" s="1980"/>
      <c r="HE81" s="1980"/>
      <c r="HF81" s="1980"/>
      <c r="HG81" s="1980"/>
      <c r="HH81" s="1980"/>
      <c r="HI81" s="1980"/>
      <c r="HJ81" s="1980"/>
      <c r="HK81" s="1980"/>
      <c r="HL81" s="1980"/>
      <c r="HM81" s="1980"/>
      <c r="HN81" s="1980"/>
      <c r="HO81" s="1980"/>
      <c r="HP81" s="1980"/>
      <c r="HQ81" s="1980"/>
      <c r="HR81" s="1980"/>
      <c r="HS81" s="1980"/>
      <c r="HT81" s="1980"/>
      <c r="HU81" s="1980"/>
      <c r="HV81" s="1980"/>
      <c r="HW81" s="1980"/>
      <c r="HX81" s="1980"/>
      <c r="HY81" s="1980"/>
      <c r="HZ81" s="1980"/>
      <c r="IA81" s="1980"/>
      <c r="IB81" s="1980"/>
      <c r="IC81" s="1980"/>
      <c r="ID81" s="1980"/>
      <c r="IE81" s="1980"/>
      <c r="IF81" s="1980"/>
      <c r="IG81" s="1980"/>
      <c r="IH81" s="1980"/>
      <c r="II81" s="1980"/>
      <c r="IJ81" s="1980"/>
      <c r="IK81" s="1980"/>
      <c r="IL81" s="1980"/>
      <c r="IM81" s="1980"/>
      <c r="IN81" s="1980"/>
      <c r="IO81" s="1980"/>
      <c r="IP81" s="1980"/>
      <c r="IQ81" s="1980"/>
      <c r="IR81" s="1980"/>
      <c r="IS81" s="1980"/>
      <c r="IT81" s="1980"/>
      <c r="IU81" s="1980"/>
      <c r="IV81" s="1980"/>
      <c r="IW81" s="1980"/>
      <c r="IX81" s="1980"/>
      <c r="IY81" s="1980"/>
      <c r="IZ81" s="1980"/>
      <c r="JA81" s="1980"/>
      <c r="JB81" s="1980"/>
      <c r="JC81" s="1980"/>
      <c r="JD81" s="1980"/>
      <c r="JE81" s="1980"/>
      <c r="JF81" s="1980"/>
      <c r="JG81" s="1980"/>
      <c r="JH81" s="1980"/>
      <c r="JI81" s="1980"/>
      <c r="JJ81" s="1980"/>
      <c r="JK81" s="1980"/>
      <c r="JL81" s="1980"/>
      <c r="JM81" s="1980"/>
      <c r="JN81" s="1980"/>
      <c r="JO81" s="1980"/>
      <c r="JP81" s="1980"/>
      <c r="JQ81" s="1980"/>
      <c r="JR81" s="1980"/>
      <c r="JS81" s="1980"/>
      <c r="JT81" s="1980"/>
      <c r="JU81" s="1980"/>
      <c r="JV81" s="1980"/>
      <c r="JW81" s="1980"/>
      <c r="JX81" s="1980"/>
      <c r="JY81" s="1980"/>
      <c r="JZ81" s="1980"/>
      <c r="KA81" s="1980"/>
      <c r="KB81" s="1980"/>
      <c r="KC81" s="1980"/>
      <c r="KD81" s="1980"/>
      <c r="KE81" s="1980"/>
      <c r="KF81" s="1980"/>
      <c r="KG81" s="1980"/>
      <c r="KH81" s="1980"/>
      <c r="KI81" s="1980"/>
      <c r="KJ81" s="1980"/>
      <c r="KK81" s="1980"/>
    </row>
    <row r="82" spans="1:297">
      <c r="A82" s="1997"/>
      <c r="B82" s="2">
        <v>18</v>
      </c>
      <c r="C82" s="2" t="str">
        <f>CONCATENATE($U$8," ",V$15)</f>
        <v>Proportion de fenêtres 50</v>
      </c>
      <c r="D82" s="1979">
        <v>0.96772783265384288</v>
      </c>
      <c r="E82" s="1979">
        <v>0.96412957065102256</v>
      </c>
      <c r="F82" s="1979">
        <v>0.98514146538743197</v>
      </c>
      <c r="G82" s="1979">
        <v>0.98620557681836118</v>
      </c>
      <c r="H82" s="1979">
        <v>1.0183380551664523</v>
      </c>
      <c r="I82" s="1979">
        <v>1.0268855979818217</v>
      </c>
      <c r="J82" s="1979">
        <v>1.0489557012249726</v>
      </c>
      <c r="K82" s="1979">
        <v>1.0668226737633686</v>
      </c>
      <c r="L82" s="1979">
        <v>1.0855560366868993</v>
      </c>
      <c r="M82" s="1979">
        <v>1.1105003536431606</v>
      </c>
      <c r="N82" s="2000">
        <v>1</v>
      </c>
      <c r="O82" s="1998">
        <v>1</v>
      </c>
      <c r="P82" s="1998">
        <v>1.0162777496752462</v>
      </c>
      <c r="Q82" s="1998">
        <v>1.0209667905066127</v>
      </c>
      <c r="R82" s="1998">
        <v>1.0413321137290024</v>
      </c>
      <c r="S82" s="1998">
        <v>1.05175382251924</v>
      </c>
      <c r="T82" s="1998">
        <v>1.0629673288548169</v>
      </c>
      <c r="U82" s="1998">
        <v>1.0799645380077194</v>
      </c>
      <c r="V82" s="1998">
        <v>1.0994678340113888</v>
      </c>
      <c r="W82" s="1998">
        <v>1.1174574127821815</v>
      </c>
      <c r="X82" s="1999">
        <v>1</v>
      </c>
      <c r="Y82" s="1979">
        <v>0.99456526585057647</v>
      </c>
      <c r="Z82" s="1979">
        <v>1.0316604258340918</v>
      </c>
      <c r="AA82" s="1979">
        <v>1.0336638002242333</v>
      </c>
      <c r="AB82" s="1979">
        <v>1.0335307762121493</v>
      </c>
      <c r="AC82" s="1979">
        <v>1.0359858469670606</v>
      </c>
      <c r="AD82" s="1979">
        <v>1.0354011265902068</v>
      </c>
      <c r="AE82" s="1979">
        <v>1.038307893709888</v>
      </c>
      <c r="AF82" s="1979">
        <v>1.0372714769682641</v>
      </c>
      <c r="AG82" s="1979">
        <v>1.0406299404527153</v>
      </c>
      <c r="AH82" s="2000">
        <v>1</v>
      </c>
      <c r="AI82" s="1998">
        <v>1</v>
      </c>
      <c r="AJ82" s="1998">
        <v>1.0269728217958571</v>
      </c>
      <c r="AK82" s="1998">
        <v>1.0303260859618595</v>
      </c>
      <c r="AL82" s="1998">
        <v>1.0303484971206438</v>
      </c>
      <c r="AM82" s="1998">
        <v>1.0345649412887814</v>
      </c>
      <c r="AN82" s="1998">
        <v>1.0337241724454302</v>
      </c>
      <c r="AO82" s="1998">
        <v>1.0388037966157031</v>
      </c>
      <c r="AP82" s="1998">
        <v>1.0370998477702171</v>
      </c>
      <c r="AQ82" s="1998">
        <v>1.043042651942625</v>
      </c>
      <c r="AR82" s="1999">
        <v>1</v>
      </c>
      <c r="AS82" s="1979">
        <v>1</v>
      </c>
      <c r="AT82" s="1979">
        <v>1.0331745418492377</v>
      </c>
      <c r="AU82" s="1979">
        <v>1.0401407406787144</v>
      </c>
      <c r="AV82" s="1979">
        <v>1.0356590308970819</v>
      </c>
      <c r="AW82" s="1979">
        <v>1.0432369447015037</v>
      </c>
      <c r="AX82" s="1979">
        <v>1.038143519944926</v>
      </c>
      <c r="AY82" s="1979">
        <v>1.0463331487242933</v>
      </c>
      <c r="AZ82" s="1979">
        <v>1.04062800899277</v>
      </c>
      <c r="BA82" s="1979">
        <v>1.0494293527470828</v>
      </c>
      <c r="BB82" s="2000">
        <v>1.3716484379621008</v>
      </c>
      <c r="BC82" s="1998">
        <v>1.383214398519002</v>
      </c>
      <c r="BD82" s="1998">
        <v>1.4297620701420712</v>
      </c>
      <c r="BE82" s="1998">
        <v>1.4351767802205602</v>
      </c>
      <c r="BF82" s="1998">
        <v>1.4429234313705823</v>
      </c>
      <c r="BG82" s="1998">
        <v>1.4510148674268069</v>
      </c>
      <c r="BH82" s="1998">
        <v>1.4560847925990934</v>
      </c>
      <c r="BI82" s="1998">
        <v>1.466852954633054</v>
      </c>
      <c r="BJ82" s="1998">
        <v>1.4692461538276047</v>
      </c>
      <c r="BK82" s="1998">
        <v>1.4826910418393007</v>
      </c>
      <c r="BL82" s="1999">
        <v>1</v>
      </c>
      <c r="BM82" s="1979">
        <v>1</v>
      </c>
      <c r="BN82" s="1999">
        <v>1.0024599119106321</v>
      </c>
      <c r="BO82" s="1979">
        <v>1.0029511315355266</v>
      </c>
      <c r="BP82" s="1999">
        <v>1.0049198238212642</v>
      </c>
      <c r="BQ82" s="1979">
        <v>1.005902263071053</v>
      </c>
      <c r="BR82" s="1999">
        <v>1.0073797357318965</v>
      </c>
      <c r="BS82" s="1979">
        <v>1.0088533946065796</v>
      </c>
      <c r="BT82" s="1999">
        <v>1.0098396476425284</v>
      </c>
      <c r="BU82" s="1979">
        <v>1.0118045261421065</v>
      </c>
      <c r="BV82" s="2000">
        <v>1</v>
      </c>
      <c r="BW82" s="1998">
        <v>1</v>
      </c>
      <c r="BX82" s="1998">
        <v>1.0140506244746172</v>
      </c>
      <c r="BY82" s="1998">
        <v>1.0192913143775659</v>
      </c>
      <c r="BZ82" s="1998">
        <v>1.0417342110893479</v>
      </c>
      <c r="CA82" s="1998">
        <v>1.0550334528885286</v>
      </c>
      <c r="CB82" s="1998">
        <v>1.0666537256001318</v>
      </c>
      <c r="CC82" s="1998">
        <v>1.0893434305973946</v>
      </c>
      <c r="CD82" s="1998">
        <v>1.1004771825373387</v>
      </c>
      <c r="CE82" s="1998">
        <v>1.1294756733876159</v>
      </c>
      <c r="CF82" s="1999">
        <v>1.0144827662731484</v>
      </c>
      <c r="CG82" s="1979">
        <v>1.0920106878982643</v>
      </c>
      <c r="CH82" s="1999">
        <v>1.0172392606272247</v>
      </c>
      <c r="CI82" s="1979">
        <v>1.0955452840061124</v>
      </c>
      <c r="CJ82" s="1999">
        <v>1.0199957549813015</v>
      </c>
      <c r="CK82" s="1979">
        <v>1.0990798801139601</v>
      </c>
      <c r="CL82" s="1999">
        <v>1.022752249335378</v>
      </c>
      <c r="CM82" s="1979">
        <v>1.102614476221808</v>
      </c>
      <c r="CN82" s="1999">
        <v>1.0255087436894548</v>
      </c>
      <c r="CO82" s="1979">
        <v>1.1061490723296556</v>
      </c>
      <c r="CP82" s="2000">
        <v>1.0126327997997229</v>
      </c>
      <c r="CQ82" s="1998">
        <v>1.0976308732254536</v>
      </c>
      <c r="CR82" s="2000">
        <v>1.0155257753893685</v>
      </c>
      <c r="CS82" s="1998">
        <v>1.1013319418052934</v>
      </c>
      <c r="CT82" s="2000">
        <v>1.0184187509790139</v>
      </c>
      <c r="CU82" s="1998">
        <v>1.1050330103851336</v>
      </c>
      <c r="CV82" s="2000">
        <v>1.0213117265686595</v>
      </c>
      <c r="CW82" s="1998">
        <v>1.1087340789649738</v>
      </c>
      <c r="CX82" s="2000">
        <v>1.0242047021583052</v>
      </c>
      <c r="CY82" s="1998">
        <v>1.1124351475448135</v>
      </c>
      <c r="CZ82" s="1999">
        <v>1.1007305690934941</v>
      </c>
      <c r="DA82" s="1979">
        <v>1.1689105056452043</v>
      </c>
      <c r="DB82" s="1999">
        <v>1.105463858708043</v>
      </c>
      <c r="DC82" s="1979">
        <v>1.1749095622528092</v>
      </c>
      <c r="DD82" s="1999">
        <v>1.1101971483225923</v>
      </c>
      <c r="DE82" s="1979">
        <v>1.1809086188604139</v>
      </c>
      <c r="DF82" s="1999">
        <v>1.1149304379371416</v>
      </c>
      <c r="DG82" s="1979">
        <v>1.1869076754680186</v>
      </c>
      <c r="DH82" s="1999">
        <v>1.1243970171662401</v>
      </c>
      <c r="DI82" s="1979">
        <v>1.1989057886832284</v>
      </c>
      <c r="DJ82" s="2000">
        <v>1.0963622358151193</v>
      </c>
      <c r="DK82" s="1998">
        <v>1.1609953073811596</v>
      </c>
      <c r="DL82" s="2000">
        <v>1.1005366009554927</v>
      </c>
      <c r="DM82" s="1998">
        <v>1.1663577690084579</v>
      </c>
      <c r="DN82" s="2000">
        <v>1.1047109660958658</v>
      </c>
      <c r="DO82" s="1998">
        <v>1.1717202306357559</v>
      </c>
      <c r="DP82" s="2000">
        <v>1.108885331236239</v>
      </c>
      <c r="DQ82" s="1998">
        <v>1.1770826922630537</v>
      </c>
      <c r="DR82" s="2000">
        <v>1.1172340615169853</v>
      </c>
      <c r="DS82" s="1998">
        <v>1.18780761551765</v>
      </c>
      <c r="GT82" s="1980"/>
      <c r="GU82" s="1980"/>
      <c r="GV82" s="1980"/>
      <c r="GW82" s="1980"/>
      <c r="GX82" s="1980"/>
      <c r="GY82" s="1980"/>
      <c r="GZ82" s="1980"/>
      <c r="HA82" s="1980"/>
      <c r="HB82" s="1980"/>
      <c r="HC82" s="1980"/>
      <c r="HD82" s="1980"/>
      <c r="HE82" s="1980"/>
      <c r="HF82" s="1980"/>
      <c r="HG82" s="1980"/>
      <c r="HH82" s="1980"/>
      <c r="HI82" s="1980"/>
      <c r="HJ82" s="1980"/>
      <c r="HK82" s="1980"/>
      <c r="HL82" s="1980"/>
      <c r="HM82" s="1980"/>
      <c r="HN82" s="1980"/>
      <c r="HO82" s="1980"/>
      <c r="HP82" s="1980"/>
      <c r="HQ82" s="1980"/>
      <c r="HR82" s="1980"/>
      <c r="HS82" s="1980"/>
      <c r="HT82" s="1980"/>
      <c r="HU82" s="1980"/>
      <c r="HV82" s="1980"/>
      <c r="HW82" s="1980"/>
      <c r="HX82" s="1980"/>
      <c r="HY82" s="1980"/>
      <c r="HZ82" s="1980"/>
      <c r="IA82" s="1980"/>
      <c r="IB82" s="1980"/>
      <c r="IC82" s="1980"/>
      <c r="ID82" s="1980"/>
      <c r="IE82" s="1980"/>
      <c r="IF82" s="1980"/>
      <c r="IG82" s="1980"/>
      <c r="IH82" s="1980"/>
      <c r="II82" s="1980"/>
      <c r="IJ82" s="1980"/>
      <c r="IK82" s="1980"/>
      <c r="IL82" s="1980"/>
      <c r="IM82" s="1980"/>
      <c r="IN82" s="1980"/>
      <c r="IO82" s="1980"/>
      <c r="IP82" s="1980"/>
      <c r="IQ82" s="1980"/>
      <c r="IR82" s="1980"/>
      <c r="IS82" s="1980"/>
      <c r="IT82" s="1980"/>
      <c r="IU82" s="1980"/>
      <c r="IV82" s="1980"/>
      <c r="IW82" s="1980"/>
      <c r="IX82" s="1980"/>
      <c r="IY82" s="1980"/>
      <c r="IZ82" s="1980"/>
      <c r="JA82" s="1980"/>
      <c r="JB82" s="1980"/>
      <c r="JC82" s="1980"/>
      <c r="JD82" s="1980"/>
      <c r="JE82" s="1980"/>
      <c r="JF82" s="1980"/>
      <c r="JG82" s="1980"/>
      <c r="JH82" s="1980"/>
      <c r="JI82" s="1980"/>
      <c r="JJ82" s="1980"/>
      <c r="JK82" s="1980"/>
      <c r="JL82" s="1980"/>
      <c r="JM82" s="1980"/>
      <c r="JN82" s="1980"/>
      <c r="JO82" s="1980"/>
      <c r="JP82" s="1980"/>
      <c r="JQ82" s="1980"/>
      <c r="JR82" s="1980"/>
      <c r="JS82" s="1980"/>
      <c r="JT82" s="1980"/>
      <c r="JU82" s="1980"/>
      <c r="JV82" s="1980"/>
      <c r="JW82" s="1980"/>
      <c r="JX82" s="1980"/>
      <c r="JY82" s="1980"/>
      <c r="JZ82" s="1980"/>
      <c r="KA82" s="1980"/>
      <c r="KB82" s="1980"/>
      <c r="KC82" s="1980"/>
      <c r="KD82" s="1980"/>
      <c r="KE82" s="1980"/>
      <c r="KF82" s="1980"/>
      <c r="KG82" s="1980"/>
      <c r="KH82" s="1980"/>
      <c r="KI82" s="1980"/>
      <c r="KJ82" s="1980"/>
      <c r="KK82" s="1980"/>
    </row>
    <row r="83" spans="1:297">
      <c r="A83" s="1997"/>
      <c r="B83" s="2">
        <v>19</v>
      </c>
      <c r="C83" s="2" t="str">
        <f>CONCATENATE($U$8," ",V$16)</f>
        <v>Proportion de fenêtres 60</v>
      </c>
      <c r="D83" s="1979">
        <v>0.97677653726300229</v>
      </c>
      <c r="E83" s="1979">
        <v>0.96950375273940381</v>
      </c>
      <c r="F83" s="1979">
        <v>0.99333653616891016</v>
      </c>
      <c r="G83" s="1979">
        <v>0.99069638399686066</v>
      </c>
      <c r="H83" s="1979">
        <v>1.0261063090340898</v>
      </c>
      <c r="I83" s="1979">
        <v>1.0309347177053805</v>
      </c>
      <c r="J83" s="1979">
        <v>1.0562971381787694</v>
      </c>
      <c r="K83" s="1979">
        <v>1.0704301060319865</v>
      </c>
      <c r="L83" s="1979">
        <v>1.0924706567268554</v>
      </c>
      <c r="M83" s="1979">
        <v>1.1136660984568378</v>
      </c>
      <c r="N83" s="2000">
        <v>1.0059962872527777</v>
      </c>
      <c r="O83" s="1998">
        <v>1.0035566304044559</v>
      </c>
      <c r="P83" s="1998">
        <v>1.0217083610815292</v>
      </c>
      <c r="Q83" s="1998">
        <v>1.023938803938411</v>
      </c>
      <c r="R83" s="1998">
        <v>1.046479887212038</v>
      </c>
      <c r="S83" s="1998">
        <v>1.0544335274647094</v>
      </c>
      <c r="T83" s="1998">
        <v>1.0678322644146054</v>
      </c>
      <c r="U83" s="1998">
        <v>1.0823519344668606</v>
      </c>
      <c r="V83" s="1998">
        <v>1.1040499316479302</v>
      </c>
      <c r="W83" s="1998">
        <v>1.1195525007549938</v>
      </c>
      <c r="X83" s="1999">
        <v>1.0067382550200525</v>
      </c>
      <c r="Y83" s="1979">
        <v>0.99792785583175048</v>
      </c>
      <c r="Z83" s="1979">
        <v>1.0383986808541443</v>
      </c>
      <c r="AA83" s="1979">
        <v>1.0370263902054073</v>
      </c>
      <c r="AB83" s="1979">
        <v>1.0402690312322018</v>
      </c>
      <c r="AC83" s="1979">
        <v>1.0393484369482346</v>
      </c>
      <c r="AD83" s="1979">
        <v>1.0421393816102591</v>
      </c>
      <c r="AE83" s="1979">
        <v>1.041670483691062</v>
      </c>
      <c r="AF83" s="1979">
        <v>1.0440097319883168</v>
      </c>
      <c r="AG83" s="1979">
        <v>1.0439925304338895</v>
      </c>
      <c r="AH83" s="2000">
        <v>1.007494447223668</v>
      </c>
      <c r="AI83" s="1998">
        <v>1.0037827358534253</v>
      </c>
      <c r="AJ83" s="1998">
        <v>1.0344672690195249</v>
      </c>
      <c r="AK83" s="1998">
        <v>1.0341088218152847</v>
      </c>
      <c r="AL83" s="1998">
        <v>1.0378429443443116</v>
      </c>
      <c r="AM83" s="1998">
        <v>1.0383476771422064</v>
      </c>
      <c r="AN83" s="1998">
        <v>1.0412186196690985</v>
      </c>
      <c r="AO83" s="1998">
        <v>1.0425865324691284</v>
      </c>
      <c r="AP83" s="1998">
        <v>1.0445942949938851</v>
      </c>
      <c r="AQ83" s="1998">
        <v>1.0468253877960503</v>
      </c>
      <c r="AR83" s="1999">
        <v>1.0055445494172539</v>
      </c>
      <c r="AS83" s="1979">
        <v>1.0027773923030083</v>
      </c>
      <c r="AT83" s="1979">
        <v>1.0387190912664916</v>
      </c>
      <c r="AU83" s="1979">
        <v>1.042918132981723</v>
      </c>
      <c r="AV83" s="1979">
        <v>1.041203580314336</v>
      </c>
      <c r="AW83" s="1979">
        <v>1.0460143370045121</v>
      </c>
      <c r="AX83" s="1979">
        <v>1.0436880693621799</v>
      </c>
      <c r="AY83" s="1979">
        <v>1.0491105410273016</v>
      </c>
      <c r="AZ83" s="1979">
        <v>1.0461725584100241</v>
      </c>
      <c r="BA83" s="1979">
        <v>1.0522067450500912</v>
      </c>
      <c r="BB83" s="2000">
        <v>1.3779240903170769</v>
      </c>
      <c r="BC83" s="1998">
        <v>1.3862499617484139</v>
      </c>
      <c r="BD83" s="1998">
        <v>1.4360377224970471</v>
      </c>
      <c r="BE83" s="1998">
        <v>1.4382123434499721</v>
      </c>
      <c r="BF83" s="1998">
        <v>1.4491990837255582</v>
      </c>
      <c r="BG83" s="1998">
        <v>1.4540504306562188</v>
      </c>
      <c r="BH83" s="1998">
        <v>1.4623604449540695</v>
      </c>
      <c r="BI83" s="1998">
        <v>1.4698885178624659</v>
      </c>
      <c r="BJ83" s="1998">
        <v>1.4755218061825808</v>
      </c>
      <c r="BK83" s="1998">
        <v>1.4857266050687126</v>
      </c>
      <c r="BL83" s="1999">
        <v>1.0044089883279588</v>
      </c>
      <c r="BM83" s="1979">
        <v>1.0019809655234448</v>
      </c>
      <c r="BN83" s="1999">
        <v>1.0068689002385907</v>
      </c>
      <c r="BO83" s="1979">
        <v>1.0049320970589715</v>
      </c>
      <c r="BP83" s="1999">
        <v>1.0093288121492228</v>
      </c>
      <c r="BQ83" s="1979">
        <v>1.0078832285944983</v>
      </c>
      <c r="BR83" s="1999">
        <v>1.0117887240598551</v>
      </c>
      <c r="BS83" s="1979">
        <v>1.0108343601300249</v>
      </c>
      <c r="BT83" s="1999">
        <v>1.0142486359704872</v>
      </c>
      <c r="BU83" s="1979">
        <v>1.0137854916655513</v>
      </c>
      <c r="BV83" s="2000">
        <v>1.0029499240497475</v>
      </c>
      <c r="BW83" s="1998">
        <v>1.0018323192458218</v>
      </c>
      <c r="BX83" s="1998">
        <v>1.0167222595242567</v>
      </c>
      <c r="BY83" s="1998">
        <v>1.0208224482854085</v>
      </c>
      <c r="BZ83" s="1998">
        <v>1.0442667016389335</v>
      </c>
      <c r="CA83" s="1998">
        <v>1.0564139941273814</v>
      </c>
      <c r="CB83" s="1998">
        <v>1.0690470716496636</v>
      </c>
      <c r="CC83" s="1998">
        <v>1.0905733791672576</v>
      </c>
      <c r="CD83" s="1998">
        <v>1.1027313840868163</v>
      </c>
      <c r="CE83" s="1998">
        <v>1.1305550292884892</v>
      </c>
      <c r="CF83" s="1999">
        <v>1.0166835628199797</v>
      </c>
      <c r="CG83" s="1979">
        <v>1.0930675821600333</v>
      </c>
      <c r="CH83" s="1999">
        <v>1.0194400571740565</v>
      </c>
      <c r="CI83" s="1979">
        <v>1.096602178267881</v>
      </c>
      <c r="CJ83" s="1999">
        <v>1.0221965515281328</v>
      </c>
      <c r="CK83" s="1979">
        <v>1.1001367743757289</v>
      </c>
      <c r="CL83" s="1999">
        <v>1.0249530458822094</v>
      </c>
      <c r="CM83" s="1979">
        <v>1.1036713704835768</v>
      </c>
      <c r="CN83" s="1999">
        <v>1.0277095402362861</v>
      </c>
      <c r="CO83" s="1979">
        <v>1.1072059665914245</v>
      </c>
      <c r="CP83" s="2000">
        <v>1.015036839602889</v>
      </c>
      <c r="CQ83" s="1998">
        <v>1.098782715393553</v>
      </c>
      <c r="CR83" s="2000">
        <v>1.0179298151925347</v>
      </c>
      <c r="CS83" s="1998">
        <v>1.1024837839733928</v>
      </c>
      <c r="CT83" s="2000">
        <v>1.0208227907821801</v>
      </c>
      <c r="CU83" s="1998">
        <v>1.1061848525532327</v>
      </c>
      <c r="CV83" s="2000">
        <v>1.0237157663718257</v>
      </c>
      <c r="CW83" s="1998">
        <v>1.1098859211330729</v>
      </c>
      <c r="CX83" s="2000">
        <v>1.0266087419614711</v>
      </c>
      <c r="CY83" s="1998">
        <v>1.1135869897129127</v>
      </c>
      <c r="CZ83" s="1999">
        <v>1.104312387619792</v>
      </c>
      <c r="DA83" s="1979">
        <v>1.1706106759108243</v>
      </c>
      <c r="DB83" s="1999">
        <v>1.1090456772343409</v>
      </c>
      <c r="DC83" s="1979">
        <v>1.1766097325184293</v>
      </c>
      <c r="DD83" s="1999">
        <v>1.1137789668488902</v>
      </c>
      <c r="DE83" s="1979">
        <v>1.182608789126034</v>
      </c>
      <c r="DF83" s="1999">
        <v>1.1185122564634395</v>
      </c>
      <c r="DG83" s="1979">
        <v>1.1886078457336386</v>
      </c>
      <c r="DH83" s="1999">
        <v>1.1279788356925378</v>
      </c>
      <c r="DI83" s="1979">
        <v>1.2006059589488483</v>
      </c>
      <c r="DJ83" s="2000">
        <v>1.1024327484651633</v>
      </c>
      <c r="DK83" s="1998">
        <v>1.1639158805249179</v>
      </c>
      <c r="DL83" s="2000">
        <v>1.1066071136055367</v>
      </c>
      <c r="DM83" s="1998">
        <v>1.1692783421522164</v>
      </c>
      <c r="DN83" s="2000">
        <v>1.1107814787459096</v>
      </c>
      <c r="DO83" s="1998">
        <v>1.1746408037795142</v>
      </c>
      <c r="DP83" s="2000">
        <v>1.114955843886283</v>
      </c>
      <c r="DQ83" s="1998">
        <v>1.1800032654068122</v>
      </c>
      <c r="DR83" s="2000">
        <v>1.1233045741670291</v>
      </c>
      <c r="DS83" s="1998">
        <v>1.1907281886614085</v>
      </c>
      <c r="GT83" s="1980"/>
      <c r="GU83" s="1980"/>
      <c r="GV83" s="1980"/>
      <c r="GW83" s="1980"/>
      <c r="GX83" s="1980"/>
      <c r="GY83" s="1980"/>
      <c r="GZ83" s="1980"/>
      <c r="HA83" s="1980"/>
      <c r="HB83" s="1980"/>
      <c r="HC83" s="1980"/>
      <c r="HD83" s="1980"/>
      <c r="HE83" s="1980"/>
      <c r="HF83" s="1980"/>
      <c r="HG83" s="1980"/>
      <c r="HH83" s="1980"/>
      <c r="HI83" s="1980"/>
      <c r="HJ83" s="1980"/>
      <c r="HK83" s="1980"/>
      <c r="HL83" s="1980"/>
      <c r="HM83" s="1980"/>
      <c r="HN83" s="1980"/>
      <c r="HO83" s="1980"/>
      <c r="HP83" s="1980"/>
      <c r="HQ83" s="1980"/>
      <c r="HR83" s="1980"/>
      <c r="HS83" s="1980"/>
      <c r="HT83" s="1980"/>
      <c r="HU83" s="1980"/>
      <c r="HV83" s="1980"/>
      <c r="HW83" s="1980"/>
      <c r="HX83" s="1980"/>
      <c r="HY83" s="1980"/>
      <c r="HZ83" s="1980"/>
      <c r="IA83" s="1980"/>
      <c r="IB83" s="1980"/>
      <c r="IC83" s="1980"/>
      <c r="ID83" s="1980"/>
      <c r="IE83" s="1980"/>
      <c r="IF83" s="1980"/>
      <c r="IG83" s="1980"/>
      <c r="IH83" s="1980"/>
      <c r="II83" s="1980"/>
      <c r="IJ83" s="1980"/>
      <c r="IK83" s="1980"/>
      <c r="IL83" s="1980"/>
      <c r="IM83" s="1980"/>
      <c r="IN83" s="1980"/>
      <c r="IO83" s="1980"/>
      <c r="IP83" s="1980"/>
      <c r="IQ83" s="1980"/>
      <c r="IR83" s="1980"/>
      <c r="IS83" s="1980"/>
      <c r="IT83" s="1980"/>
      <c r="IU83" s="1980"/>
      <c r="IV83" s="1980"/>
      <c r="IW83" s="1980"/>
      <c r="IX83" s="1980"/>
      <c r="IY83" s="1980"/>
      <c r="IZ83" s="1980"/>
      <c r="JA83" s="1980"/>
      <c r="JB83" s="1980"/>
      <c r="JC83" s="1980"/>
      <c r="JD83" s="1980"/>
      <c r="JE83" s="1980"/>
      <c r="JF83" s="1980"/>
      <c r="JG83" s="1980"/>
      <c r="JH83" s="1980"/>
      <c r="JI83" s="1980"/>
      <c r="JJ83" s="1980"/>
      <c r="JK83" s="1980"/>
      <c r="JL83" s="1980"/>
      <c r="JM83" s="1980"/>
      <c r="JN83" s="1980"/>
      <c r="JO83" s="1980"/>
      <c r="JP83" s="1980"/>
      <c r="JQ83" s="1980"/>
      <c r="JR83" s="1980"/>
      <c r="JS83" s="1980"/>
      <c r="JT83" s="1980"/>
      <c r="JU83" s="1980"/>
      <c r="JV83" s="1980"/>
      <c r="JW83" s="1980"/>
      <c r="JX83" s="1980"/>
      <c r="JY83" s="1980"/>
      <c r="JZ83" s="1980"/>
      <c r="KA83" s="1980"/>
      <c r="KB83" s="1980"/>
      <c r="KC83" s="1980"/>
      <c r="KD83" s="1980"/>
      <c r="KE83" s="1980"/>
      <c r="KF83" s="1980"/>
      <c r="KG83" s="1980"/>
      <c r="KH83" s="1980"/>
      <c r="KI83" s="1980"/>
      <c r="KJ83" s="1980"/>
      <c r="KK83" s="1980"/>
    </row>
    <row r="84" spans="1:297">
      <c r="A84" s="1997"/>
      <c r="B84" s="2">
        <v>20</v>
      </c>
      <c r="C84" s="2" t="str">
        <f>CONCATENATE($U$8," ",V$17)</f>
        <v>Proportion de fenêtres 70</v>
      </c>
      <c r="D84" s="1979">
        <v>0.98582524187216192</v>
      </c>
      <c r="E84" s="1979">
        <v>0.97487793482778529</v>
      </c>
      <c r="F84" s="1979">
        <v>1.0015316069503883</v>
      </c>
      <c r="G84" s="1979">
        <v>0.99518719117536036</v>
      </c>
      <c r="H84" s="1979">
        <v>1.0338745629017272</v>
      </c>
      <c r="I84" s="1979">
        <v>1.0349838374289391</v>
      </c>
      <c r="J84" s="1979">
        <v>1.0636385751325663</v>
      </c>
      <c r="K84" s="1979">
        <v>1.0740375383006044</v>
      </c>
      <c r="L84" s="1979">
        <v>1.0993852767668117</v>
      </c>
      <c r="M84" s="1979">
        <v>1.1168318432705149</v>
      </c>
      <c r="N84" s="2000">
        <v>1.0119925745055551</v>
      </c>
      <c r="O84" s="1998">
        <v>1.0071132608089117</v>
      </c>
      <c r="P84" s="1998">
        <v>1.0271389724878122</v>
      </c>
      <c r="Q84" s="1998">
        <v>1.0269108173702095</v>
      </c>
      <c r="R84" s="1998">
        <v>1.0516276606950739</v>
      </c>
      <c r="S84" s="1998">
        <v>1.0571132324101795</v>
      </c>
      <c r="T84" s="1998">
        <v>1.0726971999743939</v>
      </c>
      <c r="U84" s="1998">
        <v>1.0847393309260016</v>
      </c>
      <c r="V84" s="1998">
        <v>1.1086320292844714</v>
      </c>
      <c r="W84" s="1998">
        <v>1.1216475887278063</v>
      </c>
      <c r="X84" s="1999">
        <v>1.0134765100401049</v>
      </c>
      <c r="Y84" s="1979">
        <v>1.0012904458129244</v>
      </c>
      <c r="Z84" s="1979">
        <v>1.0451369358741969</v>
      </c>
      <c r="AA84" s="1979">
        <v>1.0403889801865815</v>
      </c>
      <c r="AB84" s="1979">
        <v>1.0470072862522541</v>
      </c>
      <c r="AC84" s="1979">
        <v>1.0427110269294086</v>
      </c>
      <c r="AD84" s="1979">
        <v>1.0488776366303114</v>
      </c>
      <c r="AE84" s="1979">
        <v>1.0450330736722362</v>
      </c>
      <c r="AF84" s="1979">
        <v>1.0507479870083691</v>
      </c>
      <c r="AG84" s="1979">
        <v>1.0473551204150635</v>
      </c>
      <c r="AH84" s="2000">
        <v>1.014988894447336</v>
      </c>
      <c r="AI84" s="1998">
        <v>1.0075654717068505</v>
      </c>
      <c r="AJ84" s="1998">
        <v>1.0419617162431931</v>
      </c>
      <c r="AK84" s="1998">
        <v>1.0378915576687098</v>
      </c>
      <c r="AL84" s="1998">
        <v>1.0453373915679796</v>
      </c>
      <c r="AM84" s="1998">
        <v>1.0421304129956317</v>
      </c>
      <c r="AN84" s="1998">
        <v>1.0487130668927662</v>
      </c>
      <c r="AO84" s="1998">
        <v>1.0463692683225536</v>
      </c>
      <c r="AP84" s="1998">
        <v>1.0520887422175529</v>
      </c>
      <c r="AQ84" s="1998">
        <v>1.0506081236494753</v>
      </c>
      <c r="AR84" s="1999">
        <v>1.011089098834508</v>
      </c>
      <c r="AS84" s="1979">
        <v>1.0055547846060167</v>
      </c>
      <c r="AT84" s="1979">
        <v>1.0442636406837456</v>
      </c>
      <c r="AU84" s="1979">
        <v>1.0456955252847313</v>
      </c>
      <c r="AV84" s="1979">
        <v>1.0467481297315895</v>
      </c>
      <c r="AW84" s="1979">
        <v>1.0487917293075206</v>
      </c>
      <c r="AX84" s="1979">
        <v>1.0492326187794339</v>
      </c>
      <c r="AY84" s="1979">
        <v>1.0518879333303099</v>
      </c>
      <c r="AZ84" s="1979">
        <v>1.0517171078272778</v>
      </c>
      <c r="BA84" s="1979">
        <v>1.0549841373530995</v>
      </c>
      <c r="BB84" s="2000">
        <v>1.3841997426720529</v>
      </c>
      <c r="BC84" s="1998">
        <v>1.3892855249778255</v>
      </c>
      <c r="BD84" s="1998">
        <v>1.4423133748520229</v>
      </c>
      <c r="BE84" s="1998">
        <v>1.441247906679384</v>
      </c>
      <c r="BF84" s="1998">
        <v>1.4554747360805342</v>
      </c>
      <c r="BG84" s="1998">
        <v>1.4570859938856309</v>
      </c>
      <c r="BH84" s="1998">
        <v>1.4686360973090453</v>
      </c>
      <c r="BI84" s="1998">
        <v>1.4729240810918776</v>
      </c>
      <c r="BJ84" s="1998">
        <v>1.4817974585375566</v>
      </c>
      <c r="BK84" s="1998">
        <v>1.4887621682981247</v>
      </c>
      <c r="BL84" s="1999">
        <v>1.0088179766559173</v>
      </c>
      <c r="BM84" s="1979">
        <v>1.0039619310468899</v>
      </c>
      <c r="BN84" s="1999">
        <v>1.0112778885665494</v>
      </c>
      <c r="BO84" s="1979">
        <v>1.0069130625824165</v>
      </c>
      <c r="BP84" s="1999">
        <v>1.0137378004771818</v>
      </c>
      <c r="BQ84" s="1979">
        <v>1.0098641941179429</v>
      </c>
      <c r="BR84" s="1999">
        <v>1.0161977123878136</v>
      </c>
      <c r="BS84" s="1979">
        <v>1.0128153256534698</v>
      </c>
      <c r="BT84" s="1999">
        <v>1.0186576242984458</v>
      </c>
      <c r="BU84" s="1979">
        <v>1.0157664571889962</v>
      </c>
      <c r="BV84" s="2000">
        <v>1.005899848099495</v>
      </c>
      <c r="BW84" s="1998">
        <v>1.0036646384916439</v>
      </c>
      <c r="BX84" s="1998">
        <v>1.0193938945738963</v>
      </c>
      <c r="BY84" s="1998">
        <v>1.022353582193251</v>
      </c>
      <c r="BZ84" s="1998">
        <v>1.0467991921885191</v>
      </c>
      <c r="CA84" s="1998">
        <v>1.0577945353662339</v>
      </c>
      <c r="CB84" s="1998">
        <v>1.0714404176991952</v>
      </c>
      <c r="CC84" s="1998">
        <v>1.0918033277371206</v>
      </c>
      <c r="CD84" s="1998">
        <v>1.1049855856362938</v>
      </c>
      <c r="CE84" s="1998">
        <v>1.1316343851893624</v>
      </c>
      <c r="CF84" s="1999">
        <v>1.0188843593668113</v>
      </c>
      <c r="CG84" s="1979">
        <v>1.0941244764218019</v>
      </c>
      <c r="CH84" s="1999">
        <v>1.0216408537208876</v>
      </c>
      <c r="CI84" s="1979">
        <v>1.0976590725296498</v>
      </c>
      <c r="CJ84" s="1999">
        <v>1.0243973480749642</v>
      </c>
      <c r="CK84" s="1979">
        <v>1.1011936686374979</v>
      </c>
      <c r="CL84" s="1999">
        <v>1.027153842429041</v>
      </c>
      <c r="CM84" s="1979">
        <v>1.1047282647453454</v>
      </c>
      <c r="CN84" s="1999">
        <v>1.0299103367831175</v>
      </c>
      <c r="CO84" s="1979">
        <v>1.1082628608531933</v>
      </c>
      <c r="CP84" s="2000">
        <v>1.0174408794060554</v>
      </c>
      <c r="CQ84" s="1998">
        <v>1.0999345575616521</v>
      </c>
      <c r="CR84" s="2000">
        <v>1.0203338549957008</v>
      </c>
      <c r="CS84" s="1998">
        <v>1.1036356261414924</v>
      </c>
      <c r="CT84" s="2000">
        <v>1.0232268305853462</v>
      </c>
      <c r="CU84" s="1998">
        <v>1.1073366947213321</v>
      </c>
      <c r="CV84" s="2000">
        <v>1.0261198061749919</v>
      </c>
      <c r="CW84" s="1998">
        <v>1.1110377633011723</v>
      </c>
      <c r="CX84" s="2000">
        <v>1.0290127817646373</v>
      </c>
      <c r="CY84" s="1998">
        <v>1.1147388318810123</v>
      </c>
      <c r="CZ84" s="1999">
        <v>1.1078942061460897</v>
      </c>
      <c r="DA84" s="1979">
        <v>1.1723108461764447</v>
      </c>
      <c r="DB84" s="1999">
        <v>1.1126274957606388</v>
      </c>
      <c r="DC84" s="1979">
        <v>1.1783099027840491</v>
      </c>
      <c r="DD84" s="1999">
        <v>1.1173607853751881</v>
      </c>
      <c r="DE84" s="1979">
        <v>1.184308959391654</v>
      </c>
      <c r="DF84" s="1999">
        <v>1.1220940749897372</v>
      </c>
      <c r="DG84" s="1979">
        <v>1.1903080159992587</v>
      </c>
      <c r="DH84" s="1999">
        <v>1.1315606542188357</v>
      </c>
      <c r="DI84" s="1979">
        <v>1.2023061292144683</v>
      </c>
      <c r="DJ84" s="2000">
        <v>1.1085032611152073</v>
      </c>
      <c r="DK84" s="1998">
        <v>1.1668364536686764</v>
      </c>
      <c r="DL84" s="2000">
        <v>1.1126776262555804</v>
      </c>
      <c r="DM84" s="1998">
        <v>1.1721989152959749</v>
      </c>
      <c r="DN84" s="2000">
        <v>1.1168519913959536</v>
      </c>
      <c r="DO84" s="1998">
        <v>1.1775613769232727</v>
      </c>
      <c r="DP84" s="2000">
        <v>1.1210263565363268</v>
      </c>
      <c r="DQ84" s="1998">
        <v>1.1829238385505707</v>
      </c>
      <c r="DR84" s="2000">
        <v>1.1293750868170731</v>
      </c>
      <c r="DS84" s="1998">
        <v>1.1936487618051668</v>
      </c>
      <c r="GT84" s="1980"/>
      <c r="GU84" s="1980"/>
      <c r="GV84" s="1980"/>
      <c r="GW84" s="1980"/>
      <c r="GX84" s="1980"/>
      <c r="GY84" s="1980"/>
      <c r="GZ84" s="1980"/>
      <c r="HA84" s="1980"/>
      <c r="HB84" s="1980"/>
      <c r="HC84" s="1980"/>
      <c r="HD84" s="1980"/>
      <c r="HE84" s="1980"/>
      <c r="HF84" s="1980"/>
      <c r="HG84" s="1980"/>
      <c r="HH84" s="1980"/>
      <c r="HI84" s="1980"/>
      <c r="HJ84" s="1980"/>
      <c r="HK84" s="1980"/>
      <c r="HL84" s="1980"/>
      <c r="HM84" s="1980"/>
      <c r="HN84" s="1980"/>
      <c r="HO84" s="1980"/>
      <c r="HP84" s="1980"/>
      <c r="HQ84" s="1980"/>
      <c r="HR84" s="1980"/>
      <c r="HS84" s="1980"/>
      <c r="HT84" s="1980"/>
      <c r="HU84" s="1980"/>
      <c r="HV84" s="1980"/>
      <c r="HW84" s="1980"/>
      <c r="HX84" s="1980"/>
      <c r="HY84" s="1980"/>
      <c r="HZ84" s="1980"/>
      <c r="IA84" s="1980"/>
      <c r="IB84" s="1980"/>
      <c r="IC84" s="1980"/>
      <c r="ID84" s="1980"/>
      <c r="IE84" s="1980"/>
      <c r="IF84" s="1980"/>
      <c r="IG84" s="1980"/>
      <c r="IH84" s="1980"/>
      <c r="II84" s="1980"/>
      <c r="IJ84" s="1980"/>
      <c r="IK84" s="1980"/>
      <c r="IL84" s="1980"/>
      <c r="IM84" s="1980"/>
      <c r="IN84" s="1980"/>
      <c r="IO84" s="1980"/>
      <c r="IP84" s="1980"/>
      <c r="IQ84" s="1980"/>
      <c r="IR84" s="1980"/>
      <c r="IS84" s="1980"/>
      <c r="IT84" s="1980"/>
      <c r="IU84" s="1980"/>
      <c r="IV84" s="1980"/>
      <c r="IW84" s="1980"/>
      <c r="IX84" s="1980"/>
      <c r="IY84" s="1980"/>
      <c r="IZ84" s="1980"/>
      <c r="JA84" s="1980"/>
      <c r="JB84" s="1980"/>
      <c r="JC84" s="1980"/>
      <c r="JD84" s="1980"/>
      <c r="JE84" s="1980"/>
      <c r="JF84" s="1980"/>
      <c r="JG84" s="1980"/>
      <c r="JH84" s="1980"/>
      <c r="JI84" s="1980"/>
      <c r="JJ84" s="1980"/>
      <c r="JK84" s="1980"/>
      <c r="JL84" s="1980"/>
      <c r="JM84" s="1980"/>
      <c r="JN84" s="1980"/>
      <c r="JO84" s="1980"/>
      <c r="JP84" s="1980"/>
      <c r="JQ84" s="1980"/>
      <c r="JR84" s="1980"/>
      <c r="JS84" s="1980"/>
      <c r="JT84" s="1980"/>
      <c r="JU84" s="1980"/>
      <c r="JV84" s="1980"/>
      <c r="JW84" s="1980"/>
      <c r="JX84" s="1980"/>
      <c r="JY84" s="1980"/>
      <c r="JZ84" s="1980"/>
      <c r="KA84" s="1980"/>
      <c r="KB84" s="1980"/>
      <c r="KC84" s="1980"/>
      <c r="KD84" s="1980"/>
      <c r="KE84" s="1980"/>
      <c r="KF84" s="1980"/>
      <c r="KG84" s="1980"/>
      <c r="KH84" s="1980"/>
      <c r="KI84" s="1980"/>
      <c r="KJ84" s="1980"/>
      <c r="KK84" s="1980"/>
    </row>
    <row r="85" spans="1:297">
      <c r="A85" s="1997"/>
      <c r="B85" s="2">
        <v>21</v>
      </c>
      <c r="C85" s="2" t="str">
        <f>CONCATENATE($U$8," ",V$18)</f>
        <v>Proportion de fenêtres 80</v>
      </c>
      <c r="D85" s="1979">
        <v>0.99487394648132133</v>
      </c>
      <c r="E85" s="1979">
        <v>0.98025211691616665</v>
      </c>
      <c r="F85" s="1979">
        <v>1.0097266777318665</v>
      </c>
      <c r="G85" s="1979">
        <v>0.99967799835386006</v>
      </c>
      <c r="H85" s="1979">
        <v>1.0416428167693648</v>
      </c>
      <c r="I85" s="1979">
        <v>1.0390329571524979</v>
      </c>
      <c r="J85" s="1979">
        <v>1.0709800120863631</v>
      </c>
      <c r="K85" s="1979">
        <v>1.0776449705692221</v>
      </c>
      <c r="L85" s="1979">
        <v>1.1062998968067681</v>
      </c>
      <c r="M85" s="1979">
        <v>1.1199975880841917</v>
      </c>
      <c r="N85" s="2000">
        <v>1.0179888617583326</v>
      </c>
      <c r="O85" s="1998">
        <v>1.0106698912133678</v>
      </c>
      <c r="P85" s="1998">
        <v>1.0325695838940951</v>
      </c>
      <c r="Q85" s="1998">
        <v>1.0298828308020083</v>
      </c>
      <c r="R85" s="1998">
        <v>1.0567754341781095</v>
      </c>
      <c r="S85" s="1998">
        <v>1.0597929373556494</v>
      </c>
      <c r="T85" s="1998">
        <v>1.0775621355341825</v>
      </c>
      <c r="U85" s="1998">
        <v>1.0871267273851428</v>
      </c>
      <c r="V85" s="1998">
        <v>1.1132141269210125</v>
      </c>
      <c r="W85" s="1998">
        <v>1.1237426767006187</v>
      </c>
      <c r="X85" s="1999">
        <v>1.0202147650601574</v>
      </c>
      <c r="Y85" s="1979">
        <v>1.0046530357940984</v>
      </c>
      <c r="Z85" s="1979">
        <v>1.0518751908942492</v>
      </c>
      <c r="AA85" s="1979">
        <v>1.0437515701677551</v>
      </c>
      <c r="AB85" s="1979">
        <v>1.0537455412723067</v>
      </c>
      <c r="AC85" s="1979">
        <v>1.0460736169105824</v>
      </c>
      <c r="AD85" s="1979">
        <v>1.0556158916503642</v>
      </c>
      <c r="AE85" s="1979">
        <v>1.04839566365341</v>
      </c>
      <c r="AF85" s="1979">
        <v>1.0574862420284215</v>
      </c>
      <c r="AG85" s="1979">
        <v>1.0507177103962371</v>
      </c>
      <c r="AH85" s="2000">
        <v>1.0224833416710037</v>
      </c>
      <c r="AI85" s="1998">
        <v>1.0113482075602753</v>
      </c>
      <c r="AJ85" s="1998">
        <v>1.0494561634668609</v>
      </c>
      <c r="AK85" s="1998">
        <v>1.041674293522135</v>
      </c>
      <c r="AL85" s="1998">
        <v>1.0528318387916475</v>
      </c>
      <c r="AM85" s="1998">
        <v>1.0459131488490567</v>
      </c>
      <c r="AN85" s="1998">
        <v>1.0562075141164342</v>
      </c>
      <c r="AO85" s="1998">
        <v>1.0501520041759784</v>
      </c>
      <c r="AP85" s="1998">
        <v>1.0595831894412207</v>
      </c>
      <c r="AQ85" s="1998">
        <v>1.0543908595029006</v>
      </c>
      <c r="AR85" s="1999">
        <v>1.0166336482517617</v>
      </c>
      <c r="AS85" s="1979">
        <v>1.008332176909025</v>
      </c>
      <c r="AT85" s="1979">
        <v>1.0498081901009995</v>
      </c>
      <c r="AU85" s="1979">
        <v>1.0484729175877396</v>
      </c>
      <c r="AV85" s="1979">
        <v>1.0522926791488436</v>
      </c>
      <c r="AW85" s="1979">
        <v>1.0515691216105287</v>
      </c>
      <c r="AX85" s="1979">
        <v>1.0547771681966875</v>
      </c>
      <c r="AY85" s="1979">
        <v>1.0546653256333185</v>
      </c>
      <c r="AZ85" s="1979">
        <v>1.0572616572445319</v>
      </c>
      <c r="BA85" s="1979">
        <v>1.0577615296561078</v>
      </c>
      <c r="BB85" s="2000">
        <v>1.3904753950270285</v>
      </c>
      <c r="BC85" s="1998">
        <v>1.3923210882072379</v>
      </c>
      <c r="BD85" s="1998">
        <v>1.4485890272069988</v>
      </c>
      <c r="BE85" s="1998">
        <v>1.4442834699087956</v>
      </c>
      <c r="BF85" s="1998">
        <v>1.4617503884355099</v>
      </c>
      <c r="BG85" s="1998">
        <v>1.4601215571150428</v>
      </c>
      <c r="BH85" s="1998">
        <v>1.4749117496640212</v>
      </c>
      <c r="BI85" s="1998">
        <v>1.4759596443212899</v>
      </c>
      <c r="BJ85" s="1998">
        <v>1.4880731108925322</v>
      </c>
      <c r="BK85" s="1998">
        <v>1.4917977315275364</v>
      </c>
      <c r="BL85" s="1999">
        <v>1.0132269649838759</v>
      </c>
      <c r="BM85" s="1979">
        <v>1.005942896570335</v>
      </c>
      <c r="BN85" s="1999">
        <v>1.0156868768945082</v>
      </c>
      <c r="BO85" s="1979">
        <v>1.0088940281058614</v>
      </c>
      <c r="BP85" s="1999">
        <v>1.0181467888051403</v>
      </c>
      <c r="BQ85" s="1979">
        <v>1.011845159641388</v>
      </c>
      <c r="BR85" s="1999">
        <v>1.0206067007157724</v>
      </c>
      <c r="BS85" s="1979">
        <v>1.0147962911769144</v>
      </c>
      <c r="BT85" s="1999">
        <v>1.0230666126264045</v>
      </c>
      <c r="BU85" s="1979">
        <v>1.017747422712441</v>
      </c>
      <c r="BV85" s="2000">
        <v>1.0088497721492422</v>
      </c>
      <c r="BW85" s="1998">
        <v>1.0054969577374657</v>
      </c>
      <c r="BX85" s="1998">
        <v>1.0220655296235357</v>
      </c>
      <c r="BY85" s="1998">
        <v>1.0238847161010933</v>
      </c>
      <c r="BZ85" s="1998">
        <v>1.0493316827381045</v>
      </c>
      <c r="CA85" s="1998">
        <v>1.0591750766050865</v>
      </c>
      <c r="CB85" s="1998">
        <v>1.0738337637487267</v>
      </c>
      <c r="CC85" s="1998">
        <v>1.0930332763069834</v>
      </c>
      <c r="CD85" s="1998">
        <v>1.1072397871857715</v>
      </c>
      <c r="CE85" s="1998">
        <v>1.1327137410902355</v>
      </c>
      <c r="CF85" s="1999">
        <v>1.0210851559136429</v>
      </c>
      <c r="CG85" s="1979">
        <v>1.0951813706835709</v>
      </c>
      <c r="CH85" s="1999">
        <v>1.0238416502677194</v>
      </c>
      <c r="CI85" s="1979">
        <v>1.0987159667914188</v>
      </c>
      <c r="CJ85" s="1999">
        <v>1.0265981446217958</v>
      </c>
      <c r="CK85" s="1979">
        <v>1.1022505628992663</v>
      </c>
      <c r="CL85" s="1999">
        <v>1.0293546389758723</v>
      </c>
      <c r="CM85" s="1979">
        <v>1.1057851590071144</v>
      </c>
      <c r="CN85" s="1999">
        <v>1.0321111333299489</v>
      </c>
      <c r="CO85" s="1979">
        <v>1.1093197551149621</v>
      </c>
      <c r="CP85" s="2000">
        <v>1.0198449192092214</v>
      </c>
      <c r="CQ85" s="1998">
        <v>1.1010863997297515</v>
      </c>
      <c r="CR85" s="2000">
        <v>1.022737894798867</v>
      </c>
      <c r="CS85" s="1998">
        <v>1.1047874683095915</v>
      </c>
      <c r="CT85" s="2000">
        <v>1.0256308703885124</v>
      </c>
      <c r="CU85" s="1998">
        <v>1.1084885368894315</v>
      </c>
      <c r="CV85" s="2000">
        <v>1.028523845978158</v>
      </c>
      <c r="CW85" s="1998">
        <v>1.1121896054692717</v>
      </c>
      <c r="CX85" s="2000">
        <v>1.0314168215678037</v>
      </c>
      <c r="CY85" s="1998">
        <v>1.1158906740491117</v>
      </c>
      <c r="CZ85" s="1999">
        <v>1.1114760246723874</v>
      </c>
      <c r="DA85" s="1979">
        <v>1.1740110164420645</v>
      </c>
      <c r="DB85" s="1999">
        <v>1.1162093142869367</v>
      </c>
      <c r="DC85" s="1979">
        <v>1.1800100730496692</v>
      </c>
      <c r="DD85" s="1999">
        <v>1.120942603901486</v>
      </c>
      <c r="DE85" s="1979">
        <v>1.1860091296572739</v>
      </c>
      <c r="DF85" s="1999">
        <v>1.1256758935160351</v>
      </c>
      <c r="DG85" s="1979">
        <v>1.1920081862648786</v>
      </c>
      <c r="DH85" s="1999">
        <v>1.1351424727451336</v>
      </c>
      <c r="DI85" s="1979">
        <v>1.2040062994800882</v>
      </c>
      <c r="DJ85" s="2000">
        <v>1.114573773765251</v>
      </c>
      <c r="DK85" s="1998">
        <v>1.1697570268124349</v>
      </c>
      <c r="DL85" s="2000">
        <v>1.1187481389056242</v>
      </c>
      <c r="DM85" s="1998">
        <v>1.1751194884397329</v>
      </c>
      <c r="DN85" s="2000">
        <v>1.1229225040459974</v>
      </c>
      <c r="DO85" s="1998">
        <v>1.1804819500670312</v>
      </c>
      <c r="DP85" s="2000">
        <v>1.1270968691863705</v>
      </c>
      <c r="DQ85" s="1998">
        <v>1.1858444116943292</v>
      </c>
      <c r="DR85" s="2000">
        <v>1.1354455994671171</v>
      </c>
      <c r="DS85" s="1998">
        <v>1.1965693349489253</v>
      </c>
      <c r="GT85" s="1980"/>
      <c r="GU85" s="1980"/>
      <c r="GV85" s="1980"/>
      <c r="GW85" s="1980"/>
      <c r="GX85" s="1980"/>
      <c r="GY85" s="1980"/>
      <c r="GZ85" s="1980"/>
      <c r="HA85" s="1980"/>
      <c r="HB85" s="1980"/>
      <c r="HC85" s="1980"/>
      <c r="HD85" s="1980"/>
      <c r="HE85" s="1980"/>
      <c r="HF85" s="1980"/>
      <c r="HG85" s="1980"/>
      <c r="HH85" s="1980"/>
      <c r="HI85" s="1980"/>
      <c r="HJ85" s="1980"/>
      <c r="HK85" s="1980"/>
      <c r="HL85" s="1980"/>
      <c r="HM85" s="1980"/>
      <c r="HN85" s="1980"/>
      <c r="HO85" s="1980"/>
      <c r="HP85" s="1980"/>
      <c r="HQ85" s="1980"/>
      <c r="HR85" s="1980"/>
      <c r="HS85" s="1980"/>
      <c r="HT85" s="1980"/>
      <c r="HU85" s="1980"/>
      <c r="HV85" s="1980"/>
      <c r="HW85" s="1980"/>
      <c r="HX85" s="1980"/>
      <c r="HY85" s="1980"/>
      <c r="HZ85" s="1980"/>
      <c r="IA85" s="1980"/>
      <c r="IB85" s="1980"/>
      <c r="IC85" s="1980"/>
      <c r="ID85" s="1980"/>
      <c r="IE85" s="1980"/>
      <c r="IF85" s="1980"/>
      <c r="IG85" s="1980"/>
      <c r="IH85" s="1980"/>
      <c r="II85" s="1980"/>
      <c r="IJ85" s="1980"/>
      <c r="IK85" s="1980"/>
      <c r="IL85" s="1980"/>
      <c r="IM85" s="1980"/>
      <c r="IN85" s="1980"/>
      <c r="IO85" s="1980"/>
      <c r="IP85" s="1980"/>
      <c r="IQ85" s="1980"/>
      <c r="IR85" s="1980"/>
      <c r="IS85" s="1980"/>
      <c r="IT85" s="1980"/>
      <c r="IU85" s="1980"/>
      <c r="IV85" s="1980"/>
      <c r="IW85" s="1980"/>
      <c r="IX85" s="1980"/>
      <c r="IY85" s="1980"/>
      <c r="IZ85" s="1980"/>
      <c r="JA85" s="1980"/>
      <c r="JB85" s="1980"/>
      <c r="JC85" s="1980"/>
      <c r="JD85" s="1980"/>
      <c r="JE85" s="1980"/>
      <c r="JF85" s="1980"/>
      <c r="JG85" s="1980"/>
      <c r="JH85" s="1980"/>
      <c r="JI85" s="1980"/>
      <c r="JJ85" s="1980"/>
      <c r="JK85" s="1980"/>
      <c r="JL85" s="1980"/>
      <c r="JM85" s="1980"/>
      <c r="JN85" s="1980"/>
      <c r="JO85" s="1980"/>
      <c r="JP85" s="1980"/>
      <c r="JQ85" s="1980"/>
      <c r="JR85" s="1980"/>
      <c r="JS85" s="1980"/>
      <c r="JT85" s="1980"/>
      <c r="JU85" s="1980"/>
      <c r="JV85" s="1980"/>
      <c r="JW85" s="1980"/>
      <c r="JX85" s="1980"/>
      <c r="JY85" s="1980"/>
      <c r="JZ85" s="1980"/>
      <c r="KA85" s="1980"/>
      <c r="KB85" s="1980"/>
      <c r="KC85" s="1980"/>
      <c r="KD85" s="1980"/>
      <c r="KE85" s="1980"/>
      <c r="KF85" s="1980"/>
      <c r="KG85" s="1980"/>
      <c r="KH85" s="1980"/>
      <c r="KI85" s="1980"/>
      <c r="KJ85" s="1980"/>
      <c r="KK85" s="1980"/>
    </row>
    <row r="86" spans="1:297">
      <c r="A86" s="1997"/>
      <c r="B86" s="2">
        <v>22</v>
      </c>
      <c r="C86" s="2" t="str">
        <f>CONCATENATE($U$8," ",V$19)</f>
        <v>Proportion de fenêtres 90</v>
      </c>
      <c r="D86" s="1979">
        <v>1.0039226510904808</v>
      </c>
      <c r="E86" s="1979">
        <v>0.98562629900454846</v>
      </c>
      <c r="F86" s="1979">
        <v>1.0179217485133447</v>
      </c>
      <c r="G86" s="1979">
        <v>1.0041688055323597</v>
      </c>
      <c r="H86" s="1979">
        <v>1.0494110706370023</v>
      </c>
      <c r="I86" s="1979">
        <v>1.0430820768760567</v>
      </c>
      <c r="J86" s="1979">
        <v>1.07832144904016</v>
      </c>
      <c r="K86" s="1979">
        <v>1.0812524028378399</v>
      </c>
      <c r="L86" s="1979">
        <v>1.1132145168467242</v>
      </c>
      <c r="M86" s="1979">
        <v>1.1231633328978685</v>
      </c>
      <c r="N86" s="2000">
        <v>1.02398514901111</v>
      </c>
      <c r="O86" s="1998">
        <v>1.0142265216178237</v>
      </c>
      <c r="P86" s="1998">
        <v>1.0380001953003781</v>
      </c>
      <c r="Q86" s="1998">
        <v>1.0328548442338066</v>
      </c>
      <c r="R86" s="1998">
        <v>1.0619232076611453</v>
      </c>
      <c r="S86" s="1998">
        <v>1.062472642301119</v>
      </c>
      <c r="T86" s="1998">
        <v>1.082427071093971</v>
      </c>
      <c r="U86" s="1998">
        <v>1.089514123844284</v>
      </c>
      <c r="V86" s="1998">
        <v>1.1177962245575537</v>
      </c>
      <c r="W86" s="1998">
        <v>1.125837764673431</v>
      </c>
      <c r="X86" s="1999">
        <v>1.0269530200802097</v>
      </c>
      <c r="Y86" s="1979">
        <v>1.0080156257752724</v>
      </c>
      <c r="Z86" s="1979">
        <v>1.0586134459143017</v>
      </c>
      <c r="AA86" s="1979">
        <v>1.0471141601489291</v>
      </c>
      <c r="AB86" s="1979">
        <v>1.0604837962923592</v>
      </c>
      <c r="AC86" s="1979">
        <v>1.0494362068917567</v>
      </c>
      <c r="AD86" s="1979">
        <v>1.0623541466704167</v>
      </c>
      <c r="AE86" s="1979">
        <v>1.051758253634584</v>
      </c>
      <c r="AF86" s="1979">
        <v>1.064224497048474</v>
      </c>
      <c r="AG86" s="1979">
        <v>1.0540803003774113</v>
      </c>
      <c r="AH86" s="2000">
        <v>1.0299777888946717</v>
      </c>
      <c r="AI86" s="1998">
        <v>1.0151309434137006</v>
      </c>
      <c r="AJ86" s="1998">
        <v>1.0569506106905289</v>
      </c>
      <c r="AK86" s="1998">
        <v>1.0454570293755601</v>
      </c>
      <c r="AL86" s="1998">
        <v>1.0603262860153155</v>
      </c>
      <c r="AM86" s="1998">
        <v>1.049695884702482</v>
      </c>
      <c r="AN86" s="1998">
        <v>1.0637019613401022</v>
      </c>
      <c r="AO86" s="1998">
        <v>1.0539347400294037</v>
      </c>
      <c r="AP86" s="1998">
        <v>1.0670776366648889</v>
      </c>
      <c r="AQ86" s="1998">
        <v>1.0581735953563254</v>
      </c>
      <c r="AR86" s="1999">
        <v>1.0221781976690156</v>
      </c>
      <c r="AS86" s="1979">
        <v>1.0111095692120335</v>
      </c>
      <c r="AT86" s="1979">
        <v>1.0553527395182534</v>
      </c>
      <c r="AU86" s="1979">
        <v>1.0512503098907477</v>
      </c>
      <c r="AV86" s="1979">
        <v>1.0578372285660975</v>
      </c>
      <c r="AW86" s="1979">
        <v>1.0543465139135373</v>
      </c>
      <c r="AX86" s="1979">
        <v>1.0603217176139417</v>
      </c>
      <c r="AY86" s="1979">
        <v>1.0574427179363266</v>
      </c>
      <c r="AZ86" s="1979">
        <v>1.0628062066617856</v>
      </c>
      <c r="BA86" s="1979">
        <v>1.0605389219591164</v>
      </c>
      <c r="BB86" s="2000">
        <v>1.3967510473820046</v>
      </c>
      <c r="BC86" s="1998">
        <v>1.3953566514366496</v>
      </c>
      <c r="BD86" s="1998">
        <v>1.4548646795619746</v>
      </c>
      <c r="BE86" s="1998">
        <v>1.447319033138208</v>
      </c>
      <c r="BF86" s="1998">
        <v>1.4680260407904859</v>
      </c>
      <c r="BG86" s="1998">
        <v>1.4631571203444544</v>
      </c>
      <c r="BH86" s="1998">
        <v>1.4811874020189972</v>
      </c>
      <c r="BI86" s="1998">
        <v>1.4789952075507016</v>
      </c>
      <c r="BJ86" s="1998">
        <v>1.4943487632475083</v>
      </c>
      <c r="BK86" s="1998">
        <v>1.4948332947569487</v>
      </c>
      <c r="BL86" s="1999">
        <v>1.0176359533118349</v>
      </c>
      <c r="BM86" s="1979">
        <v>1.0079238620937798</v>
      </c>
      <c r="BN86" s="1999">
        <v>1.0200958652224668</v>
      </c>
      <c r="BO86" s="1979">
        <v>1.0108749936293062</v>
      </c>
      <c r="BP86" s="1999">
        <v>1.0225557771330989</v>
      </c>
      <c r="BQ86" s="1979">
        <v>1.0138261251648333</v>
      </c>
      <c r="BR86" s="1999">
        <v>1.025015689043731</v>
      </c>
      <c r="BS86" s="1979">
        <v>1.0167772567003597</v>
      </c>
      <c r="BT86" s="1999">
        <v>1.0274756009543633</v>
      </c>
      <c r="BU86" s="1979">
        <v>1.0197283882358859</v>
      </c>
      <c r="BV86" s="2000">
        <v>1.0117996961989899</v>
      </c>
      <c r="BW86" s="1998">
        <v>1.0073292769832878</v>
      </c>
      <c r="BX86" s="1998">
        <v>1.0247371646731751</v>
      </c>
      <c r="BY86" s="1998">
        <v>1.0254158500089359</v>
      </c>
      <c r="BZ86" s="1998">
        <v>1.0518641732876901</v>
      </c>
      <c r="CA86" s="1998">
        <v>1.0605556178439393</v>
      </c>
      <c r="CB86" s="1998">
        <v>1.0762271097982583</v>
      </c>
      <c r="CC86" s="1998">
        <v>1.0942632248768465</v>
      </c>
      <c r="CD86" s="1998">
        <v>1.1094939887352491</v>
      </c>
      <c r="CE86" s="1998">
        <v>1.1337930969911085</v>
      </c>
      <c r="CF86" s="1999">
        <v>1.0232859524604743</v>
      </c>
      <c r="CG86" s="1979">
        <v>1.0962382649453397</v>
      </c>
      <c r="CH86" s="1999">
        <v>1.0260424468145508</v>
      </c>
      <c r="CI86" s="1979">
        <v>1.0997728610531874</v>
      </c>
      <c r="CJ86" s="1999">
        <v>1.0287989411686271</v>
      </c>
      <c r="CK86" s="1979">
        <v>1.1033074571610353</v>
      </c>
      <c r="CL86" s="1999">
        <v>1.0315554355227037</v>
      </c>
      <c r="CM86" s="1979">
        <v>1.106842053268883</v>
      </c>
      <c r="CN86" s="1999">
        <v>1.0343119298767802</v>
      </c>
      <c r="CO86" s="1979">
        <v>1.1103766493767309</v>
      </c>
      <c r="CP86" s="2000">
        <v>1.0222489590123875</v>
      </c>
      <c r="CQ86" s="1998">
        <v>1.1022382418978509</v>
      </c>
      <c r="CR86" s="2000">
        <v>1.0251419346020332</v>
      </c>
      <c r="CS86" s="1998">
        <v>1.1059393104776909</v>
      </c>
      <c r="CT86" s="2000">
        <v>1.0280349101916786</v>
      </c>
      <c r="CU86" s="1998">
        <v>1.1096403790575311</v>
      </c>
      <c r="CV86" s="2000">
        <v>1.0309278857813242</v>
      </c>
      <c r="CW86" s="1998">
        <v>1.1133414476373709</v>
      </c>
      <c r="CX86" s="2000">
        <v>1.0338208613709698</v>
      </c>
      <c r="CY86" s="1998">
        <v>1.1170425162172111</v>
      </c>
      <c r="CZ86" s="1999">
        <v>1.1150578431986855</v>
      </c>
      <c r="DA86" s="1979">
        <v>1.1757111867076844</v>
      </c>
      <c r="DB86" s="1999">
        <v>1.1197911328132346</v>
      </c>
      <c r="DC86" s="1979">
        <v>1.1817102433152891</v>
      </c>
      <c r="DD86" s="1999">
        <v>1.1245244224277837</v>
      </c>
      <c r="DE86" s="1979">
        <v>1.1877092999228938</v>
      </c>
      <c r="DF86" s="1999">
        <v>1.1292577120423331</v>
      </c>
      <c r="DG86" s="1979">
        <v>1.1937083565304987</v>
      </c>
      <c r="DH86" s="1999">
        <v>1.1387242912714315</v>
      </c>
      <c r="DI86" s="1979">
        <v>1.2057064697457083</v>
      </c>
      <c r="DJ86" s="2000">
        <v>1.1206442864152948</v>
      </c>
      <c r="DK86" s="1998">
        <v>1.1726775999561934</v>
      </c>
      <c r="DL86" s="2000">
        <v>1.1248186515556682</v>
      </c>
      <c r="DM86" s="1998">
        <v>1.1780400615834914</v>
      </c>
      <c r="DN86" s="2000">
        <v>1.1289930166960414</v>
      </c>
      <c r="DO86" s="1998">
        <v>1.1834025232107896</v>
      </c>
      <c r="DP86" s="2000">
        <v>1.1331673818364145</v>
      </c>
      <c r="DQ86" s="1998">
        <v>1.1887649848380877</v>
      </c>
      <c r="DR86" s="2000">
        <v>1.1415161121171609</v>
      </c>
      <c r="DS86" s="1998">
        <v>1.1994899080926837</v>
      </c>
      <c r="GT86" s="1980"/>
      <c r="GU86" s="1980"/>
      <c r="GV86" s="1980"/>
      <c r="GW86" s="1980"/>
      <c r="GX86" s="1980"/>
      <c r="GY86" s="1980"/>
      <c r="GZ86" s="1980"/>
      <c r="HA86" s="1980"/>
      <c r="HB86" s="1980"/>
      <c r="HC86" s="1980"/>
      <c r="HD86" s="1980"/>
      <c r="HE86" s="1980"/>
      <c r="HF86" s="1980"/>
      <c r="HG86" s="1980"/>
      <c r="HH86" s="1980"/>
      <c r="HI86" s="1980"/>
      <c r="HJ86" s="1980"/>
      <c r="HK86" s="1980"/>
      <c r="HL86" s="1980"/>
      <c r="HM86" s="1980"/>
      <c r="HN86" s="1980"/>
      <c r="HO86" s="1980"/>
      <c r="HP86" s="1980"/>
      <c r="HQ86" s="1980"/>
      <c r="HR86" s="1980"/>
      <c r="HS86" s="1980"/>
      <c r="HT86" s="1980"/>
      <c r="HU86" s="1980"/>
      <c r="HV86" s="1980"/>
      <c r="HW86" s="1980"/>
      <c r="HX86" s="1980"/>
      <c r="HY86" s="1980"/>
      <c r="HZ86" s="1980"/>
      <c r="IA86" s="1980"/>
      <c r="IB86" s="1980"/>
      <c r="IC86" s="1980"/>
      <c r="ID86" s="1980"/>
      <c r="IE86" s="1980"/>
      <c r="IF86" s="1980"/>
      <c r="IG86" s="1980"/>
      <c r="IH86" s="1980"/>
      <c r="II86" s="1980"/>
      <c r="IJ86" s="1980"/>
      <c r="IK86" s="1980"/>
      <c r="IL86" s="1980"/>
      <c r="IM86" s="1980"/>
      <c r="IN86" s="1980"/>
      <c r="IO86" s="1980"/>
      <c r="IP86" s="1980"/>
      <c r="IQ86" s="1980"/>
      <c r="IR86" s="1980"/>
      <c r="IS86" s="1980"/>
      <c r="IT86" s="1980"/>
      <c r="IU86" s="1980"/>
      <c r="IV86" s="1980"/>
      <c r="IW86" s="1980"/>
      <c r="IX86" s="1980"/>
      <c r="IY86" s="1980"/>
      <c r="IZ86" s="1980"/>
      <c r="JA86" s="1980"/>
      <c r="JB86" s="1980"/>
      <c r="JC86" s="1980"/>
      <c r="JD86" s="1980"/>
      <c r="JE86" s="1980"/>
      <c r="JF86" s="1980"/>
      <c r="JG86" s="1980"/>
      <c r="JH86" s="1980"/>
      <c r="JI86" s="1980"/>
      <c r="JJ86" s="1980"/>
      <c r="JK86" s="1980"/>
      <c r="JL86" s="1980"/>
      <c r="JM86" s="1980"/>
      <c r="JN86" s="1980"/>
      <c r="JO86" s="1980"/>
      <c r="JP86" s="1980"/>
      <c r="JQ86" s="1980"/>
      <c r="JR86" s="1980"/>
      <c r="JS86" s="1980"/>
      <c r="JT86" s="1980"/>
      <c r="JU86" s="1980"/>
      <c r="JV86" s="1980"/>
      <c r="JW86" s="1980"/>
      <c r="JX86" s="1980"/>
      <c r="JY86" s="1980"/>
      <c r="JZ86" s="1980"/>
      <c r="KA86" s="1980"/>
      <c r="KB86" s="1980"/>
      <c r="KC86" s="1980"/>
      <c r="KD86" s="1980"/>
      <c r="KE86" s="1980"/>
      <c r="KF86" s="1980"/>
      <c r="KG86" s="1980"/>
      <c r="KH86" s="1980"/>
      <c r="KI86" s="1980"/>
      <c r="KJ86" s="1980"/>
      <c r="KK86" s="1980"/>
    </row>
    <row r="87" spans="1:297">
      <c r="A87" s="1997"/>
      <c r="B87" s="2">
        <v>23</v>
      </c>
      <c r="C87" s="2" t="str">
        <f>CONCATENATE($U$8," ",V$20)</f>
        <v>Proportion de fenêtres 100</v>
      </c>
      <c r="D87" s="1979">
        <v>1.0129713556996403</v>
      </c>
      <c r="E87" s="1979">
        <v>0.99100048109292971</v>
      </c>
      <c r="F87" s="1979">
        <v>1.0261168192948227</v>
      </c>
      <c r="G87" s="1979">
        <v>1.0086596127108594</v>
      </c>
      <c r="H87" s="1979">
        <v>1.0571793245046397</v>
      </c>
      <c r="I87" s="1979">
        <v>1.0471311965996155</v>
      </c>
      <c r="J87" s="1979">
        <v>1.0856628859939568</v>
      </c>
      <c r="K87" s="1979">
        <v>1.084859835106458</v>
      </c>
      <c r="L87" s="1979">
        <v>1.1201291368866804</v>
      </c>
      <c r="M87" s="1979">
        <v>1.1263290777115456</v>
      </c>
      <c r="N87" s="2000">
        <v>1.0299814362638877</v>
      </c>
      <c r="O87" s="1998">
        <v>1.0177831520222793</v>
      </c>
      <c r="P87" s="1998">
        <v>1.0434308067066611</v>
      </c>
      <c r="Q87" s="1998">
        <v>1.0358268576656049</v>
      </c>
      <c r="R87" s="1998">
        <v>1.067070981144181</v>
      </c>
      <c r="S87" s="1998">
        <v>1.0651523472465891</v>
      </c>
      <c r="T87" s="1998">
        <v>1.0872920066537595</v>
      </c>
      <c r="U87" s="1998">
        <v>1.091901520303425</v>
      </c>
      <c r="V87" s="1998">
        <v>1.1223783221940951</v>
      </c>
      <c r="W87" s="1998">
        <v>1.1279328526462438</v>
      </c>
      <c r="X87" s="1999">
        <v>1.0336912751002623</v>
      </c>
      <c r="Y87" s="1979">
        <v>1.0113782157564462</v>
      </c>
      <c r="Z87" s="1979">
        <v>1.0653517009343543</v>
      </c>
      <c r="AA87" s="1979">
        <v>1.0504767501301033</v>
      </c>
      <c r="AB87" s="1979">
        <v>1.0672220513124115</v>
      </c>
      <c r="AC87" s="1979">
        <v>1.0527987968729307</v>
      </c>
      <c r="AD87" s="1979">
        <v>1.069092401690469</v>
      </c>
      <c r="AE87" s="1979">
        <v>1.055120843615758</v>
      </c>
      <c r="AF87" s="1979">
        <v>1.0709627520685265</v>
      </c>
      <c r="AG87" s="1979">
        <v>1.0574428903585853</v>
      </c>
      <c r="AH87" s="2000">
        <v>1.0374722361183399</v>
      </c>
      <c r="AI87" s="1998">
        <v>1.0189136792671256</v>
      </c>
      <c r="AJ87" s="1998">
        <v>1.0644450579141969</v>
      </c>
      <c r="AK87" s="1998">
        <v>1.0492397652289853</v>
      </c>
      <c r="AL87" s="1998">
        <v>1.0678207332389833</v>
      </c>
      <c r="AM87" s="1998">
        <v>1.053478620555907</v>
      </c>
      <c r="AN87" s="1998">
        <v>1.07119640856377</v>
      </c>
      <c r="AO87" s="1998">
        <v>1.0577174758828287</v>
      </c>
      <c r="AP87" s="1998">
        <v>1.0745720838885569</v>
      </c>
      <c r="AQ87" s="1998">
        <v>1.0619563312097506</v>
      </c>
      <c r="AR87" s="1999">
        <v>1.0277227470862695</v>
      </c>
      <c r="AS87" s="1979">
        <v>1.0138869615150419</v>
      </c>
      <c r="AT87" s="1979">
        <v>1.0608972889355073</v>
      </c>
      <c r="AU87" s="1979">
        <v>1.0540277021937561</v>
      </c>
      <c r="AV87" s="1979">
        <v>1.0633817779833514</v>
      </c>
      <c r="AW87" s="1979">
        <v>1.0571239062165456</v>
      </c>
      <c r="AX87" s="1979">
        <v>1.0658662670311956</v>
      </c>
      <c r="AY87" s="1979">
        <v>1.0602201102393352</v>
      </c>
      <c r="AZ87" s="1979">
        <v>1.0683507560790397</v>
      </c>
      <c r="BA87" s="1979">
        <v>1.0633163142621245</v>
      </c>
      <c r="BB87" s="2000">
        <v>1.4030266997369802</v>
      </c>
      <c r="BC87" s="1998">
        <v>1.3983922146660617</v>
      </c>
      <c r="BD87" s="1998">
        <v>1.4611403319169505</v>
      </c>
      <c r="BE87" s="1998">
        <v>1.4503545963676197</v>
      </c>
      <c r="BF87" s="1998">
        <v>1.4743016931454618</v>
      </c>
      <c r="BG87" s="1998">
        <v>1.4661926835738668</v>
      </c>
      <c r="BH87" s="1998">
        <v>1.4874630543739729</v>
      </c>
      <c r="BI87" s="1998">
        <v>1.4820307707801132</v>
      </c>
      <c r="BJ87" s="1998">
        <v>1.5006244156024842</v>
      </c>
      <c r="BK87" s="1998">
        <v>1.4978688579863604</v>
      </c>
      <c r="BL87" s="1999">
        <v>1.0220449416397934</v>
      </c>
      <c r="BM87" s="1979">
        <v>1.0099048276172251</v>
      </c>
      <c r="BN87" s="1999">
        <v>1.0245048535504255</v>
      </c>
      <c r="BO87" s="1979">
        <v>1.0128559591527515</v>
      </c>
      <c r="BP87" s="1999">
        <v>1.0269647654610576</v>
      </c>
      <c r="BQ87" s="1979">
        <v>1.0158070906882781</v>
      </c>
      <c r="BR87" s="1999">
        <v>1.02942467737169</v>
      </c>
      <c r="BS87" s="1979">
        <v>1.0187582222238045</v>
      </c>
      <c r="BT87" s="1999">
        <v>1.0318845892823221</v>
      </c>
      <c r="BU87" s="1979">
        <v>1.0217093537593311</v>
      </c>
      <c r="BV87" s="2000">
        <v>1.0147496202487374</v>
      </c>
      <c r="BW87" s="1998">
        <v>1.0091615962291098</v>
      </c>
      <c r="BX87" s="1998">
        <v>1.0274087997228147</v>
      </c>
      <c r="BY87" s="1998">
        <v>1.0269469839167784</v>
      </c>
      <c r="BZ87" s="1998">
        <v>1.0543966638372757</v>
      </c>
      <c r="CA87" s="1998">
        <v>1.0619361590827918</v>
      </c>
      <c r="CB87" s="1998">
        <v>1.0786204558477896</v>
      </c>
      <c r="CC87" s="1998">
        <v>1.0954931734467093</v>
      </c>
      <c r="CD87" s="1998">
        <v>1.1117481902847266</v>
      </c>
      <c r="CE87" s="1998">
        <v>1.1348724528919818</v>
      </c>
      <c r="CF87" s="1999">
        <v>1.0254867490073056</v>
      </c>
      <c r="CG87" s="1979">
        <v>1.0972951592071083</v>
      </c>
      <c r="CH87" s="1999">
        <v>1.0282432433613824</v>
      </c>
      <c r="CI87" s="1979">
        <v>1.1008297553149562</v>
      </c>
      <c r="CJ87" s="1999">
        <v>1.0309997377154587</v>
      </c>
      <c r="CK87" s="1979">
        <v>1.1043643514228039</v>
      </c>
      <c r="CL87" s="1999">
        <v>1.0337562320695355</v>
      </c>
      <c r="CM87" s="1979">
        <v>1.107898947530652</v>
      </c>
      <c r="CN87" s="1999">
        <v>1.0365127264236118</v>
      </c>
      <c r="CO87" s="1979">
        <v>1.1114335436384999</v>
      </c>
      <c r="CP87" s="2000">
        <v>1.0246529988155537</v>
      </c>
      <c r="CQ87" s="1998">
        <v>1.1033900840659501</v>
      </c>
      <c r="CR87" s="2000">
        <v>1.0275459744051993</v>
      </c>
      <c r="CS87" s="1998">
        <v>1.1070911526457903</v>
      </c>
      <c r="CT87" s="2000">
        <v>1.0304389499948448</v>
      </c>
      <c r="CU87" s="1998">
        <v>1.1107922212256303</v>
      </c>
      <c r="CV87" s="2000">
        <v>1.0333319255844904</v>
      </c>
      <c r="CW87" s="1998">
        <v>1.11449328980547</v>
      </c>
      <c r="CX87" s="2000">
        <v>1.036224901174136</v>
      </c>
      <c r="CY87" s="1998">
        <v>1.1181943583853102</v>
      </c>
      <c r="CZ87" s="1999">
        <v>1.1186396617249832</v>
      </c>
      <c r="DA87" s="1979">
        <v>1.1774113569733045</v>
      </c>
      <c r="DB87" s="1999">
        <v>1.1233729513395325</v>
      </c>
      <c r="DC87" s="1979">
        <v>1.1834104135809091</v>
      </c>
      <c r="DD87" s="1999">
        <v>1.1281062409540819</v>
      </c>
      <c r="DE87" s="1979">
        <v>1.1894094701885138</v>
      </c>
      <c r="DF87" s="1999">
        <v>1.1328395305686307</v>
      </c>
      <c r="DG87" s="1979">
        <v>1.1954085267961185</v>
      </c>
      <c r="DH87" s="1999">
        <v>1.1423061097977294</v>
      </c>
      <c r="DI87" s="1979">
        <v>1.2074066400113284</v>
      </c>
      <c r="DJ87" s="2000">
        <v>1.1267147990653388</v>
      </c>
      <c r="DK87" s="1998">
        <v>1.1755981730999518</v>
      </c>
      <c r="DL87" s="2000">
        <v>1.1308891642057119</v>
      </c>
      <c r="DM87" s="1998">
        <v>1.1809606347272497</v>
      </c>
      <c r="DN87" s="2000">
        <v>1.1350635293460851</v>
      </c>
      <c r="DO87" s="1998">
        <v>1.1863230963545479</v>
      </c>
      <c r="DP87" s="2000">
        <v>1.1392378944864583</v>
      </c>
      <c r="DQ87" s="1998">
        <v>1.1916855579818459</v>
      </c>
      <c r="DR87" s="2000">
        <v>1.1475866247672049</v>
      </c>
      <c r="DS87" s="1998">
        <v>1.202410481236442</v>
      </c>
      <c r="GT87" s="1980"/>
      <c r="GU87" s="1980"/>
      <c r="GV87" s="1980"/>
      <c r="GW87" s="1980"/>
      <c r="GX87" s="1980"/>
      <c r="GY87" s="1980"/>
      <c r="GZ87" s="1980"/>
      <c r="HA87" s="1980"/>
      <c r="HB87" s="1980"/>
      <c r="HC87" s="1980"/>
      <c r="HD87" s="1980"/>
      <c r="HE87" s="1980"/>
      <c r="HF87" s="1980"/>
      <c r="HG87" s="1980"/>
      <c r="HH87" s="1980"/>
      <c r="HI87" s="1980"/>
      <c r="HJ87" s="1980"/>
      <c r="HK87" s="1980"/>
      <c r="HL87" s="1980"/>
      <c r="HM87" s="1980"/>
      <c r="HN87" s="1980"/>
      <c r="HO87" s="1980"/>
      <c r="HP87" s="1980"/>
      <c r="HQ87" s="1980"/>
      <c r="HR87" s="1980"/>
      <c r="HS87" s="1980"/>
      <c r="HT87" s="1980"/>
      <c r="HU87" s="1980"/>
      <c r="HV87" s="1980"/>
      <c r="HW87" s="1980"/>
      <c r="HX87" s="1980"/>
      <c r="HY87" s="1980"/>
      <c r="HZ87" s="1980"/>
      <c r="IA87" s="1980"/>
      <c r="IB87" s="1980"/>
      <c r="IC87" s="1980"/>
      <c r="ID87" s="1980"/>
      <c r="IE87" s="1980"/>
      <c r="IF87" s="1980"/>
      <c r="IG87" s="1980"/>
      <c r="IH87" s="1980"/>
      <c r="II87" s="1980"/>
      <c r="IJ87" s="1980"/>
      <c r="IK87" s="1980"/>
      <c r="IL87" s="1980"/>
      <c r="IM87" s="1980"/>
      <c r="IN87" s="1980"/>
      <c r="IO87" s="1980"/>
      <c r="IP87" s="1980"/>
      <c r="IQ87" s="1980"/>
      <c r="IR87" s="1980"/>
      <c r="IS87" s="1980"/>
      <c r="IT87" s="1980"/>
      <c r="IU87" s="1980"/>
      <c r="IV87" s="1980"/>
      <c r="IW87" s="1980"/>
      <c r="IX87" s="1980"/>
      <c r="IY87" s="1980"/>
      <c r="IZ87" s="1980"/>
      <c r="JA87" s="1980"/>
      <c r="JB87" s="1980"/>
      <c r="JC87" s="1980"/>
      <c r="JD87" s="1980"/>
      <c r="JE87" s="1980"/>
      <c r="JF87" s="1980"/>
      <c r="JG87" s="1980"/>
      <c r="JH87" s="1980"/>
      <c r="JI87" s="1980"/>
      <c r="JJ87" s="1980"/>
      <c r="JK87" s="1980"/>
      <c r="JL87" s="1980"/>
      <c r="JM87" s="1980"/>
      <c r="JN87" s="1980"/>
      <c r="JO87" s="1980"/>
      <c r="JP87" s="1980"/>
      <c r="JQ87" s="1980"/>
      <c r="JR87" s="1980"/>
      <c r="JS87" s="1980"/>
      <c r="JT87" s="1980"/>
      <c r="JU87" s="1980"/>
      <c r="JV87" s="1980"/>
      <c r="JW87" s="1980"/>
      <c r="JX87" s="1980"/>
      <c r="JY87" s="1980"/>
      <c r="JZ87" s="1980"/>
      <c r="KA87" s="1980"/>
      <c r="KB87" s="1980"/>
      <c r="KC87" s="1980"/>
      <c r="KD87" s="1980"/>
      <c r="KE87" s="1980"/>
      <c r="KF87" s="1980"/>
      <c r="KG87" s="1980"/>
      <c r="KH87" s="1980"/>
      <c r="KI87" s="1980"/>
      <c r="KJ87" s="1980"/>
      <c r="KK87" s="1980"/>
    </row>
    <row r="88" spans="1:297">
      <c r="A88" s="1997"/>
      <c r="B88" s="2">
        <v>24</v>
      </c>
      <c r="C88" s="2" t="s">
        <v>4211</v>
      </c>
      <c r="D88" s="1979">
        <v>0.8826013366689236</v>
      </c>
      <c r="E88" s="1979">
        <v>0.88191265901315286</v>
      </c>
      <c r="F88" s="1979">
        <v>0.8826013366689236</v>
      </c>
      <c r="G88" s="1979">
        <v>0.88191265901315286</v>
      </c>
      <c r="H88" s="1979">
        <v>0.8826013366689236</v>
      </c>
      <c r="I88" s="1979">
        <v>0.88191265901315286</v>
      </c>
      <c r="J88" s="1979">
        <v>0.8826013366689236</v>
      </c>
      <c r="K88" s="1979">
        <v>0.88191265901315286</v>
      </c>
      <c r="L88" s="1979">
        <v>0.8826013366689236</v>
      </c>
      <c r="M88" s="1979">
        <v>0.88191265901315286</v>
      </c>
      <c r="N88" s="2000">
        <v>0.76334582665060702</v>
      </c>
      <c r="O88" s="1998">
        <v>0.76788521867535808</v>
      </c>
      <c r="P88" s="1998">
        <v>0.76334582665060702</v>
      </c>
      <c r="Q88" s="1998">
        <v>0.76788521867535808</v>
      </c>
      <c r="R88" s="1998">
        <v>0.76334582665060702</v>
      </c>
      <c r="S88" s="1998">
        <v>0.76788521867535808</v>
      </c>
      <c r="T88" s="1998">
        <v>0.76334582665060702</v>
      </c>
      <c r="U88" s="1998">
        <v>0.76788521867535808</v>
      </c>
      <c r="V88" s="1998">
        <v>0.76334582665060702</v>
      </c>
      <c r="W88" s="1998">
        <v>0.76788521867535808</v>
      </c>
      <c r="X88" s="1999">
        <v>0.92312868655307501</v>
      </c>
      <c r="Y88" s="1979">
        <v>0.91669361180519193</v>
      </c>
      <c r="Z88" s="1979">
        <v>0.92312868655307501</v>
      </c>
      <c r="AA88" s="1979">
        <v>0.91669361180519193</v>
      </c>
      <c r="AB88" s="1979">
        <v>0.92312868655307501</v>
      </c>
      <c r="AC88" s="1979">
        <v>0.91669361180519193</v>
      </c>
      <c r="AD88" s="1979">
        <v>0.92312868655307501</v>
      </c>
      <c r="AE88" s="1979">
        <v>0.91669361180519193</v>
      </c>
      <c r="AF88" s="1979">
        <v>0.92312868655307501</v>
      </c>
      <c r="AG88" s="1979">
        <v>0.91669361180519193</v>
      </c>
      <c r="AH88" s="2000">
        <v>0.83515927062346285</v>
      </c>
      <c r="AI88" s="1998">
        <v>0.82782218967614762</v>
      </c>
      <c r="AJ88" s="1998">
        <v>0.83515927062346285</v>
      </c>
      <c r="AK88" s="1998">
        <v>0.82782218967614762</v>
      </c>
      <c r="AL88" s="1998">
        <v>0.83515927062346285</v>
      </c>
      <c r="AM88" s="1998">
        <v>0.82782218967614762</v>
      </c>
      <c r="AN88" s="1998">
        <v>0.83515927062346285</v>
      </c>
      <c r="AO88" s="1998">
        <v>0.82782218967614762</v>
      </c>
      <c r="AP88" s="1998">
        <v>0.83515927062346285</v>
      </c>
      <c r="AQ88" s="1998">
        <v>0.82782218967614762</v>
      </c>
      <c r="AR88" s="1999">
        <v>0.91408103122428785</v>
      </c>
      <c r="AS88" s="1979">
        <v>0.91475539883448376</v>
      </c>
      <c r="AT88" s="1979">
        <v>0.91408103122428785</v>
      </c>
      <c r="AU88" s="1979">
        <v>0.91475539883448376</v>
      </c>
      <c r="AV88" s="1979">
        <v>0.91408103122428785</v>
      </c>
      <c r="AW88" s="1979">
        <v>0.91475539883448376</v>
      </c>
      <c r="AX88" s="1979">
        <v>0.91408103122428785</v>
      </c>
      <c r="AY88" s="1979">
        <v>0.91475539883448376</v>
      </c>
      <c r="AZ88" s="1979">
        <v>0.91408103122428785</v>
      </c>
      <c r="BA88" s="1979">
        <v>0.91475539883448376</v>
      </c>
      <c r="BB88" s="2000">
        <v>1.3779240903170769</v>
      </c>
      <c r="BC88" s="1998">
        <v>1.3862499617484139</v>
      </c>
      <c r="BD88" s="1998">
        <v>1.3779240903170769</v>
      </c>
      <c r="BE88" s="1998">
        <v>1.3862499617484139</v>
      </c>
      <c r="BF88" s="1998">
        <v>1.3779240903170769</v>
      </c>
      <c r="BG88" s="1998">
        <v>1.3862499617484139</v>
      </c>
      <c r="BH88" s="1998">
        <v>1.3779240903170769</v>
      </c>
      <c r="BI88" s="1998">
        <v>1.3862499617484139</v>
      </c>
      <c r="BJ88" s="1998">
        <v>1.3779240903170769</v>
      </c>
      <c r="BK88" s="1998">
        <v>1.3862499617484139</v>
      </c>
      <c r="BL88" s="1999">
        <v>0.81504532796908635</v>
      </c>
      <c r="BM88" s="1979">
        <v>0.81939147790231492</v>
      </c>
      <c r="BN88" s="1979">
        <v>0.81504532796908635</v>
      </c>
      <c r="BO88" s="1979">
        <v>0.81939147790231492</v>
      </c>
      <c r="BP88" s="1979">
        <v>0.81504532796908635</v>
      </c>
      <c r="BQ88" s="1979">
        <v>0.81939147790231492</v>
      </c>
      <c r="BR88" s="1979">
        <v>0.81504532796908635</v>
      </c>
      <c r="BS88" s="1979">
        <v>0.81939147790231492</v>
      </c>
      <c r="BT88" s="1979">
        <v>0.81504532796908635</v>
      </c>
      <c r="BU88" s="1979">
        <v>0.81939147790231492</v>
      </c>
      <c r="BV88" s="2000">
        <v>0.75818607942942884</v>
      </c>
      <c r="BW88" s="1998">
        <v>0.75642464860108916</v>
      </c>
      <c r="BX88" s="1998">
        <v>0.75818607942942884</v>
      </c>
      <c r="BY88" s="1998">
        <v>0.75642464860108916</v>
      </c>
      <c r="BZ88" s="1998">
        <v>0.75818607942942884</v>
      </c>
      <c r="CA88" s="1998">
        <v>0.75642464860108916</v>
      </c>
      <c r="CB88" s="1998">
        <v>0.75818607942942884</v>
      </c>
      <c r="CC88" s="1998">
        <v>0.75642464860108916</v>
      </c>
      <c r="CD88" s="1998">
        <v>0.75818607942942884</v>
      </c>
      <c r="CE88" s="1998">
        <v>0.75642464860108916</v>
      </c>
      <c r="CF88" s="1999">
        <v>0.80719296136381258</v>
      </c>
      <c r="CG88" s="1979">
        <v>0.81872288984299058</v>
      </c>
      <c r="CH88" s="1979">
        <v>0.80719296136381258</v>
      </c>
      <c r="CI88" s="1979">
        <v>0.81872288984299058</v>
      </c>
      <c r="CJ88" s="1979">
        <v>0.80719296136381258</v>
      </c>
      <c r="CK88" s="1979">
        <v>0.81872288984299058</v>
      </c>
      <c r="CL88" s="1979">
        <v>0.80719296136381258</v>
      </c>
      <c r="CM88" s="1979">
        <v>0.81872288984299058</v>
      </c>
      <c r="CN88" s="1979">
        <v>0.80719296136381258</v>
      </c>
      <c r="CO88" s="1979">
        <v>0.81872288984299058</v>
      </c>
      <c r="CP88" s="2000">
        <v>0.79813582946748696</v>
      </c>
      <c r="CQ88" s="1998">
        <v>0.81077198351634028</v>
      </c>
      <c r="CR88" s="1998">
        <v>0.79813582946748696</v>
      </c>
      <c r="CS88" s="1998">
        <v>0.81077198351634028</v>
      </c>
      <c r="CT88" s="1998">
        <v>0.79813582946748696</v>
      </c>
      <c r="CU88" s="1998">
        <v>0.81077198351634028</v>
      </c>
      <c r="CV88" s="1998">
        <v>0.79813582946748696</v>
      </c>
      <c r="CW88" s="1998">
        <v>0.81077198351634028</v>
      </c>
      <c r="CX88" s="1998">
        <v>0.79813582946748696</v>
      </c>
      <c r="CY88" s="1998">
        <v>0.81077198351634028</v>
      </c>
      <c r="CZ88" s="1999">
        <v>1</v>
      </c>
      <c r="DA88" s="1979">
        <v>1</v>
      </c>
      <c r="DB88" s="1979">
        <v>1</v>
      </c>
      <c r="DC88" s="1979">
        <v>1</v>
      </c>
      <c r="DD88" s="1979">
        <v>1</v>
      </c>
      <c r="DE88" s="1979">
        <v>1</v>
      </c>
      <c r="DF88" s="1979">
        <v>1</v>
      </c>
      <c r="DG88" s="1979">
        <v>1</v>
      </c>
      <c r="DH88" s="1979">
        <v>1</v>
      </c>
      <c r="DI88" s="1979">
        <v>1</v>
      </c>
      <c r="DJ88" s="2000">
        <v>1.0002450682306379</v>
      </c>
      <c r="DK88" s="1998">
        <v>1.0001651239704095</v>
      </c>
      <c r="DL88" s="1998">
        <v>1.0002450682306379</v>
      </c>
      <c r="DM88" s="1998">
        <v>1.0001651239704095</v>
      </c>
      <c r="DN88" s="1998">
        <v>1.0002450682306379</v>
      </c>
      <c r="DO88" s="1998">
        <v>1.0001651239704095</v>
      </c>
      <c r="DP88" s="1998">
        <v>1.0002450682306379</v>
      </c>
      <c r="DQ88" s="1998">
        <v>1.0001651239704095</v>
      </c>
      <c r="DR88" s="1998">
        <v>1.0002450682306379</v>
      </c>
      <c r="DS88" s="1998">
        <v>1.0001651239704095</v>
      </c>
      <c r="GT88" s="1980"/>
      <c r="GU88" s="1980"/>
      <c r="GV88" s="1980"/>
      <c r="GW88" s="1980"/>
      <c r="GX88" s="1980"/>
      <c r="GY88" s="1980"/>
      <c r="GZ88" s="1980"/>
      <c r="HA88" s="1980"/>
      <c r="HB88" s="1980"/>
      <c r="HC88" s="1980"/>
      <c r="HD88" s="1980"/>
      <c r="HE88" s="1980"/>
      <c r="HF88" s="1980"/>
      <c r="HG88" s="1980"/>
      <c r="HH88" s="1980"/>
      <c r="HI88" s="1980"/>
      <c r="HJ88" s="1980"/>
      <c r="HK88" s="1980"/>
      <c r="HL88" s="1980"/>
      <c r="HM88" s="1980"/>
      <c r="HN88" s="1980"/>
      <c r="HO88" s="1980"/>
      <c r="HP88" s="1980"/>
      <c r="HQ88" s="1980"/>
      <c r="HR88" s="1980"/>
      <c r="HS88" s="1980"/>
      <c r="HT88" s="1980"/>
      <c r="HU88" s="1980"/>
      <c r="HV88" s="1980"/>
      <c r="HW88" s="1980"/>
      <c r="HX88" s="1980"/>
      <c r="HY88" s="1980"/>
      <c r="HZ88" s="1980"/>
      <c r="IA88" s="1980"/>
      <c r="IB88" s="1980"/>
      <c r="IC88" s="1980"/>
      <c r="ID88" s="1980"/>
      <c r="IE88" s="1980"/>
      <c r="IF88" s="1980"/>
      <c r="IG88" s="1980"/>
      <c r="IH88" s="1980"/>
      <c r="II88" s="1980"/>
      <c r="IJ88" s="1980"/>
      <c r="IK88" s="1980"/>
      <c r="IL88" s="1980"/>
      <c r="IM88" s="1980"/>
      <c r="IN88" s="1980"/>
      <c r="IO88" s="1980"/>
      <c r="IP88" s="1980"/>
      <c r="IQ88" s="1980"/>
      <c r="IR88" s="1980"/>
      <c r="IS88" s="1980"/>
      <c r="IT88" s="1980"/>
      <c r="IU88" s="1980"/>
      <c r="IV88" s="1980"/>
      <c r="IW88" s="1980"/>
      <c r="IX88" s="1980"/>
      <c r="IY88" s="1980"/>
      <c r="IZ88" s="1980"/>
      <c r="JA88" s="1980"/>
      <c r="JB88" s="1980"/>
      <c r="JC88" s="1980"/>
      <c r="JD88" s="1980"/>
      <c r="JE88" s="1980"/>
      <c r="JF88" s="1980"/>
      <c r="JG88" s="1980"/>
      <c r="JH88" s="1980"/>
      <c r="JI88" s="1980"/>
      <c r="JJ88" s="1980"/>
      <c r="JK88" s="1980"/>
      <c r="JL88" s="1980"/>
      <c r="JM88" s="1980"/>
      <c r="JN88" s="1980"/>
      <c r="JO88" s="1980"/>
      <c r="JP88" s="1980"/>
      <c r="JQ88" s="1980"/>
      <c r="JR88" s="1980"/>
      <c r="JS88" s="1980"/>
      <c r="JT88" s="1980"/>
      <c r="JU88" s="1980"/>
      <c r="JV88" s="1980"/>
      <c r="JW88" s="1980"/>
      <c r="JX88" s="1980"/>
      <c r="JY88" s="1980"/>
      <c r="JZ88" s="1980"/>
      <c r="KA88" s="1980"/>
      <c r="KB88" s="1980"/>
      <c r="KC88" s="1980"/>
      <c r="KD88" s="1980"/>
      <c r="KE88" s="1980"/>
      <c r="KF88" s="1980"/>
      <c r="KG88" s="1980"/>
      <c r="KH88" s="1980"/>
      <c r="KI88" s="1980"/>
      <c r="KJ88" s="1980"/>
      <c r="KK88" s="1980"/>
    </row>
    <row r="89" spans="1:297">
      <c r="A89" s="1997"/>
      <c r="B89" s="2">
        <v>25</v>
      </c>
      <c r="C89" s="2" t="s">
        <v>4229</v>
      </c>
      <c r="D89" s="1979">
        <v>0.91292982313176918</v>
      </c>
      <c r="E89" s="1979">
        <v>0.9125827720671047</v>
      </c>
      <c r="F89" s="1979">
        <v>0.91292982313176918</v>
      </c>
      <c r="G89" s="1979">
        <v>0.9125827720671047</v>
      </c>
      <c r="H89" s="1979">
        <v>0.91292982313176918</v>
      </c>
      <c r="I89" s="1979">
        <v>0.9125827720671047</v>
      </c>
      <c r="J89" s="1979">
        <v>0.91292982313176918</v>
      </c>
      <c r="K89" s="1979">
        <v>0.9125827720671047</v>
      </c>
      <c r="L89" s="1979">
        <v>0.91292982313176918</v>
      </c>
      <c r="M89" s="1979">
        <v>0.9125827720671047</v>
      </c>
      <c r="N89" s="2000">
        <v>0.85169000385791704</v>
      </c>
      <c r="O89" s="1998">
        <v>0.85830731292323603</v>
      </c>
      <c r="P89" s="1998">
        <v>0.85169000385791704</v>
      </c>
      <c r="Q89" s="1998">
        <v>0.85830731292323603</v>
      </c>
      <c r="R89" s="1998">
        <v>0.85169000385791704</v>
      </c>
      <c r="S89" s="1998">
        <v>0.85830731292323603</v>
      </c>
      <c r="T89" s="1998">
        <v>0.85169000385791704</v>
      </c>
      <c r="U89" s="1998">
        <v>0.85830731292323603</v>
      </c>
      <c r="V89" s="1998">
        <v>0.85169000385791704</v>
      </c>
      <c r="W89" s="1998">
        <v>0.85830731292323603</v>
      </c>
      <c r="X89" s="1999">
        <v>0.96981513216885551</v>
      </c>
      <c r="Y89" s="1979">
        <v>0.96505817916298342</v>
      </c>
      <c r="Z89" s="1979">
        <v>0.96981513216885551</v>
      </c>
      <c r="AA89" s="1979">
        <v>0.96505817916298342</v>
      </c>
      <c r="AB89" s="1979">
        <v>0.96981513216885551</v>
      </c>
      <c r="AC89" s="1979">
        <v>0.96505817916298342</v>
      </c>
      <c r="AD89" s="1979">
        <v>0.96981513216885551</v>
      </c>
      <c r="AE89" s="1979">
        <v>0.96505817916298342</v>
      </c>
      <c r="AF89" s="1979">
        <v>0.96981513216885551</v>
      </c>
      <c r="AG89" s="1979">
        <v>0.96505817916298342</v>
      </c>
      <c r="AH89" s="2000">
        <v>0.93871649296211201</v>
      </c>
      <c r="AI89" s="1998">
        <v>0.93819824274275199</v>
      </c>
      <c r="AJ89" s="1998">
        <v>0.93871649296211201</v>
      </c>
      <c r="AK89" s="1998">
        <v>0.93819824274275199</v>
      </c>
      <c r="AL89" s="1998">
        <v>0.93871649296211201</v>
      </c>
      <c r="AM89" s="1998">
        <v>0.93819824274275199</v>
      </c>
      <c r="AN89" s="1998">
        <v>0.93871649296211201</v>
      </c>
      <c r="AO89" s="1998">
        <v>0.93819824274275199</v>
      </c>
      <c r="AP89" s="1998">
        <v>0.93871649296211201</v>
      </c>
      <c r="AQ89" s="1998">
        <v>0.93819824274275199</v>
      </c>
      <c r="AR89" s="1999">
        <v>0.96312340480789194</v>
      </c>
      <c r="AS89" s="1979">
        <v>0.96438239521439473</v>
      </c>
      <c r="AT89" s="1979">
        <v>0.96312340480789194</v>
      </c>
      <c r="AU89" s="1979">
        <v>0.96438239521439473</v>
      </c>
      <c r="AV89" s="1979">
        <v>0.96312340480789194</v>
      </c>
      <c r="AW89" s="1979">
        <v>0.96438239521439473</v>
      </c>
      <c r="AX89" s="1979">
        <v>0.96312340480789194</v>
      </c>
      <c r="AY89" s="1979">
        <v>0.96438239521439473</v>
      </c>
      <c r="AZ89" s="1979">
        <v>0.96312340480789194</v>
      </c>
      <c r="BA89" s="1979">
        <v>0.96438239521439473</v>
      </c>
      <c r="BB89" s="2000">
        <v>1.6633162050082382</v>
      </c>
      <c r="BC89" s="1998">
        <v>1.6684354677572975</v>
      </c>
      <c r="BD89" s="1998">
        <v>1.6633162050082382</v>
      </c>
      <c r="BE89" s="1998">
        <v>1.6684354677572975</v>
      </c>
      <c r="BF89" s="1998">
        <v>1.6633162050082382</v>
      </c>
      <c r="BG89" s="1998">
        <v>1.6684354677572975</v>
      </c>
      <c r="BH89" s="1998">
        <v>1.6633162050082382</v>
      </c>
      <c r="BI89" s="1998">
        <v>1.6684354677572975</v>
      </c>
      <c r="BJ89" s="1998">
        <v>1.6633162050082382</v>
      </c>
      <c r="BK89" s="1998">
        <v>1.6684354677572975</v>
      </c>
      <c r="BL89" s="1999">
        <v>0.92257945362571736</v>
      </c>
      <c r="BM89" s="1979">
        <v>0.92638696675106547</v>
      </c>
      <c r="BN89" s="1979">
        <v>0.92257945362571736</v>
      </c>
      <c r="BO89" s="1979">
        <v>0.92638696675106547</v>
      </c>
      <c r="BP89" s="1979">
        <v>0.92257945362571736</v>
      </c>
      <c r="BQ89" s="1979">
        <v>0.92638696675106547</v>
      </c>
      <c r="BR89" s="1979">
        <v>0.92257945362571736</v>
      </c>
      <c r="BS89" s="1979">
        <v>0.92638696675106547</v>
      </c>
      <c r="BT89" s="1979">
        <v>0.92257945362571736</v>
      </c>
      <c r="BU89" s="1979">
        <v>0.92638696675106547</v>
      </c>
      <c r="BV89" s="2000">
        <v>0.82284332182257303</v>
      </c>
      <c r="BW89" s="1998">
        <v>0.82198011587613595</v>
      </c>
      <c r="BX89" s="1998">
        <v>0.82284332182257303</v>
      </c>
      <c r="BY89" s="1998">
        <v>0.82198011587613595</v>
      </c>
      <c r="BZ89" s="1998">
        <v>0.82284332182257303</v>
      </c>
      <c r="CA89" s="1998">
        <v>0.82198011587613595</v>
      </c>
      <c r="CB89" s="1998">
        <v>0.82284332182257303</v>
      </c>
      <c r="CC89" s="1998">
        <v>0.82198011587613595</v>
      </c>
      <c r="CD89" s="1998">
        <v>0.82284332182257303</v>
      </c>
      <c r="CE89" s="1998">
        <v>0.82198011587613595</v>
      </c>
      <c r="CF89" s="1999">
        <v>0.86128226688212361</v>
      </c>
      <c r="CG89" s="1979">
        <v>0.87102719352858338</v>
      </c>
      <c r="CH89" s="1979">
        <v>0.86128226688212361</v>
      </c>
      <c r="CI89" s="1979">
        <v>0.87102719352858338</v>
      </c>
      <c r="CJ89" s="1979">
        <v>0.86128226688212361</v>
      </c>
      <c r="CK89" s="1979">
        <v>0.87102719352858338</v>
      </c>
      <c r="CL89" s="1979">
        <v>0.86128226688212361</v>
      </c>
      <c r="CM89" s="1979">
        <v>0.87102719352858338</v>
      </c>
      <c r="CN89" s="1979">
        <v>0.86128226688212361</v>
      </c>
      <c r="CO89" s="1979">
        <v>0.87102719352858338</v>
      </c>
      <c r="CP89" s="2000">
        <v>0.85466392119864998</v>
      </c>
      <c r="CQ89" s="1998">
        <v>0.86524983451263915</v>
      </c>
      <c r="CR89" s="1998">
        <v>0.85466392119864998</v>
      </c>
      <c r="CS89" s="1998">
        <v>0.86524983451263915</v>
      </c>
      <c r="CT89" s="1998">
        <v>0.85466392119864998</v>
      </c>
      <c r="CU89" s="1998">
        <v>0.86524983451263915</v>
      </c>
      <c r="CV89" s="1998">
        <v>0.85466392119864998</v>
      </c>
      <c r="CW89" s="1998">
        <v>0.86524983451263915</v>
      </c>
      <c r="CX89" s="1998">
        <v>0.85466392119864998</v>
      </c>
      <c r="CY89" s="1998">
        <v>0.86524983451263915</v>
      </c>
      <c r="CZ89" s="1999">
        <v>1.0931272105979928</v>
      </c>
      <c r="DA89" s="1979">
        <v>1.0890508106235626</v>
      </c>
      <c r="DB89" s="1979">
        <v>1.0931272105979928</v>
      </c>
      <c r="DC89" s="1979">
        <v>1.0890508106235626</v>
      </c>
      <c r="DD89" s="1979">
        <v>1.0931272105979928</v>
      </c>
      <c r="DE89" s="1979">
        <v>1.0890508106235626</v>
      </c>
      <c r="DF89" s="1979">
        <v>1.0931272105979928</v>
      </c>
      <c r="DG89" s="1979">
        <v>1.0890508106235626</v>
      </c>
      <c r="DH89" s="1979">
        <v>1.0931272105979928</v>
      </c>
      <c r="DI89" s="1979">
        <v>1.0890508106235626</v>
      </c>
      <c r="DJ89" s="2000">
        <v>1.0889013725521897</v>
      </c>
      <c r="DK89" s="1998">
        <v>1.0876218473174644</v>
      </c>
      <c r="DL89" s="1998">
        <v>1.0889013725521897</v>
      </c>
      <c r="DM89" s="1998">
        <v>1.0876218473174644</v>
      </c>
      <c r="DN89" s="1998">
        <v>1.0889013725521897</v>
      </c>
      <c r="DO89" s="1998">
        <v>1.0876218473174644</v>
      </c>
      <c r="DP89" s="1998">
        <v>1.0889013725521897</v>
      </c>
      <c r="DQ89" s="1998">
        <v>1.0876218473174644</v>
      </c>
      <c r="DR89" s="1998">
        <v>1.0889013725521897</v>
      </c>
      <c r="DS89" s="1998">
        <v>1.0876218473174644</v>
      </c>
      <c r="GT89" s="1980"/>
      <c r="GU89" s="1980"/>
      <c r="GV89" s="1980"/>
      <c r="GW89" s="1980"/>
      <c r="GX89" s="1980"/>
      <c r="GY89" s="1980"/>
      <c r="GZ89" s="1980"/>
      <c r="HA89" s="1980"/>
      <c r="HB89" s="1980"/>
      <c r="HC89" s="1980"/>
      <c r="HD89" s="1980"/>
      <c r="HE89" s="1980"/>
      <c r="HF89" s="1980"/>
      <c r="HG89" s="1980"/>
      <c r="HH89" s="1980"/>
      <c r="HI89" s="1980"/>
      <c r="HJ89" s="1980"/>
      <c r="HK89" s="1980"/>
      <c r="HL89" s="1980"/>
      <c r="HM89" s="1980"/>
      <c r="HN89" s="1980"/>
      <c r="HO89" s="1980"/>
      <c r="HP89" s="1980"/>
      <c r="HQ89" s="1980"/>
      <c r="HR89" s="1980"/>
      <c r="HS89" s="1980"/>
      <c r="HT89" s="1980"/>
      <c r="HU89" s="1980"/>
      <c r="HV89" s="1980"/>
      <c r="HW89" s="1980"/>
      <c r="HX89" s="1980"/>
      <c r="HY89" s="1980"/>
      <c r="HZ89" s="1980"/>
      <c r="IA89" s="1980"/>
      <c r="IB89" s="1980"/>
      <c r="IC89" s="1980"/>
      <c r="ID89" s="1980"/>
      <c r="IE89" s="1980"/>
      <c r="IF89" s="1980"/>
      <c r="IG89" s="1980"/>
      <c r="IH89" s="1980"/>
      <c r="II89" s="1980"/>
      <c r="IJ89" s="1980"/>
      <c r="IK89" s="1980"/>
      <c r="IL89" s="1980"/>
      <c r="IM89" s="1980"/>
      <c r="IN89" s="1980"/>
      <c r="IO89" s="1980"/>
      <c r="IP89" s="1980"/>
      <c r="IQ89" s="1980"/>
      <c r="IR89" s="1980"/>
      <c r="IS89" s="1980"/>
      <c r="IT89" s="1980"/>
      <c r="IU89" s="1980"/>
      <c r="IV89" s="1980"/>
      <c r="IW89" s="1980"/>
      <c r="IX89" s="1980"/>
      <c r="IY89" s="1980"/>
      <c r="IZ89" s="1980"/>
      <c r="JA89" s="1980"/>
      <c r="JB89" s="1980"/>
      <c r="JC89" s="1980"/>
      <c r="JD89" s="1980"/>
      <c r="JE89" s="1980"/>
      <c r="JF89" s="1980"/>
      <c r="JG89" s="1980"/>
      <c r="JH89" s="1980"/>
      <c r="JI89" s="1980"/>
      <c r="JJ89" s="1980"/>
      <c r="JK89" s="1980"/>
      <c r="JL89" s="1980"/>
      <c r="JM89" s="1980"/>
      <c r="JN89" s="1980"/>
      <c r="JO89" s="1980"/>
      <c r="JP89" s="1980"/>
      <c r="JQ89" s="1980"/>
      <c r="JR89" s="1980"/>
      <c r="JS89" s="1980"/>
      <c r="JT89" s="1980"/>
      <c r="JU89" s="1980"/>
      <c r="JV89" s="1980"/>
      <c r="JW89" s="1980"/>
      <c r="JX89" s="1980"/>
      <c r="JY89" s="1980"/>
      <c r="JZ89" s="1980"/>
      <c r="KA89" s="1980"/>
      <c r="KB89" s="1980"/>
      <c r="KC89" s="1980"/>
      <c r="KD89" s="1980"/>
      <c r="KE89" s="1980"/>
      <c r="KF89" s="1980"/>
      <c r="KG89" s="1980"/>
      <c r="KH89" s="1980"/>
      <c r="KI89" s="1980"/>
      <c r="KJ89" s="1980"/>
      <c r="KK89" s="1980"/>
    </row>
    <row r="90" spans="1:297">
      <c r="A90" s="1997"/>
      <c r="B90" s="2">
        <v>26</v>
      </c>
      <c r="C90" s="2" t="s">
        <v>4244</v>
      </c>
      <c r="D90" s="1979">
        <v>0.96772783265384288</v>
      </c>
      <c r="E90" s="1979">
        <v>0.96412957065102256</v>
      </c>
      <c r="F90" s="1979">
        <v>0.96772783265384288</v>
      </c>
      <c r="G90" s="1979">
        <v>0.96412957065102256</v>
      </c>
      <c r="H90" s="1979">
        <v>0.96772783265384288</v>
      </c>
      <c r="I90" s="1979">
        <v>0.96412957065102256</v>
      </c>
      <c r="J90" s="1979">
        <v>0.96772783265384288</v>
      </c>
      <c r="K90" s="1979">
        <v>0.96412957065102256</v>
      </c>
      <c r="L90" s="1979">
        <v>0.96772783265384288</v>
      </c>
      <c r="M90" s="1979">
        <v>0.96412957065102256</v>
      </c>
      <c r="N90" s="2000">
        <v>1</v>
      </c>
      <c r="O90" s="1998">
        <v>1</v>
      </c>
      <c r="P90" s="1998">
        <v>1</v>
      </c>
      <c r="Q90" s="1998">
        <v>1</v>
      </c>
      <c r="R90" s="1998">
        <v>1</v>
      </c>
      <c r="S90" s="1998">
        <v>1</v>
      </c>
      <c r="T90" s="1998">
        <v>1</v>
      </c>
      <c r="U90" s="1998">
        <v>1</v>
      </c>
      <c r="V90" s="1998">
        <v>1</v>
      </c>
      <c r="W90" s="1998">
        <v>1</v>
      </c>
      <c r="X90" s="1999">
        <v>1</v>
      </c>
      <c r="Y90" s="1979">
        <v>0.99456526585057647</v>
      </c>
      <c r="Z90" s="1979">
        <v>1</v>
      </c>
      <c r="AA90" s="1979">
        <v>0.99456526585057647</v>
      </c>
      <c r="AB90" s="1979">
        <v>1</v>
      </c>
      <c r="AC90" s="1979">
        <v>0.99456526585057647</v>
      </c>
      <c r="AD90" s="1979">
        <v>1</v>
      </c>
      <c r="AE90" s="1979">
        <v>0.99456526585057647</v>
      </c>
      <c r="AF90" s="1979">
        <v>1</v>
      </c>
      <c r="AG90" s="1979">
        <v>0.99456526585057647</v>
      </c>
      <c r="AH90" s="2000">
        <v>1</v>
      </c>
      <c r="AI90" s="1998">
        <v>1</v>
      </c>
      <c r="AJ90" s="1998">
        <v>1</v>
      </c>
      <c r="AK90" s="1998">
        <v>1</v>
      </c>
      <c r="AL90" s="1998">
        <v>1</v>
      </c>
      <c r="AM90" s="1998">
        <v>1</v>
      </c>
      <c r="AN90" s="1998">
        <v>1</v>
      </c>
      <c r="AO90" s="1998">
        <v>1</v>
      </c>
      <c r="AP90" s="1998">
        <v>1</v>
      </c>
      <c r="AQ90" s="1998">
        <v>1</v>
      </c>
      <c r="AR90" s="1999">
        <v>1</v>
      </c>
      <c r="AS90" s="1979">
        <v>1</v>
      </c>
      <c r="AT90" s="1979">
        <v>1</v>
      </c>
      <c r="AU90" s="1979">
        <v>1</v>
      </c>
      <c r="AV90" s="1979">
        <v>1</v>
      </c>
      <c r="AW90" s="1979">
        <v>1</v>
      </c>
      <c r="AX90" s="1979">
        <v>1</v>
      </c>
      <c r="AY90" s="1979">
        <v>1</v>
      </c>
      <c r="AZ90" s="1979">
        <v>1</v>
      </c>
      <c r="BA90" s="1979">
        <v>1</v>
      </c>
      <c r="BB90" s="2000">
        <v>1.8677630614880787</v>
      </c>
      <c r="BC90" s="1998">
        <v>1.8607989021595341</v>
      </c>
      <c r="BD90" s="1998">
        <v>1.8677630614880787</v>
      </c>
      <c r="BE90" s="1998">
        <v>1.8607989021595341</v>
      </c>
      <c r="BF90" s="1998">
        <v>1.8677630614880787</v>
      </c>
      <c r="BG90" s="1998">
        <v>1.8607989021595341</v>
      </c>
      <c r="BH90" s="1998">
        <v>1.8677630614880787</v>
      </c>
      <c r="BI90" s="1998">
        <v>1.8607989021595341</v>
      </c>
      <c r="BJ90" s="1998">
        <v>1.8677630614880787</v>
      </c>
      <c r="BK90" s="1998">
        <v>1.8607989021595341</v>
      </c>
      <c r="BL90" s="1999">
        <v>1</v>
      </c>
      <c r="BM90" s="1979">
        <v>1</v>
      </c>
      <c r="BN90" s="1979">
        <v>1</v>
      </c>
      <c r="BO90" s="1979">
        <v>1</v>
      </c>
      <c r="BP90" s="1979">
        <v>1</v>
      </c>
      <c r="BQ90" s="1979">
        <v>1</v>
      </c>
      <c r="BR90" s="1979">
        <v>1</v>
      </c>
      <c r="BS90" s="1979">
        <v>1</v>
      </c>
      <c r="BT90" s="1979">
        <v>1</v>
      </c>
      <c r="BU90" s="1979">
        <v>1</v>
      </c>
      <c r="BV90" s="2000">
        <v>1</v>
      </c>
      <c r="BW90" s="1998">
        <v>1</v>
      </c>
      <c r="BX90" s="1998">
        <v>1</v>
      </c>
      <c r="BY90" s="1998">
        <v>1</v>
      </c>
      <c r="BZ90" s="1998">
        <v>1</v>
      </c>
      <c r="CA90" s="1998">
        <v>1</v>
      </c>
      <c r="CB90" s="1998">
        <v>1</v>
      </c>
      <c r="CC90" s="1998">
        <v>1</v>
      </c>
      <c r="CD90" s="1998">
        <v>1</v>
      </c>
      <c r="CE90" s="1998">
        <v>1</v>
      </c>
      <c r="CF90" s="1999">
        <v>1</v>
      </c>
      <c r="CG90" s="1979">
        <v>1</v>
      </c>
      <c r="CH90" s="1979">
        <v>1</v>
      </c>
      <c r="CI90" s="1979">
        <v>1</v>
      </c>
      <c r="CJ90" s="1979">
        <v>1</v>
      </c>
      <c r="CK90" s="1979">
        <v>1</v>
      </c>
      <c r="CL90" s="1979">
        <v>1</v>
      </c>
      <c r="CM90" s="1979">
        <v>1</v>
      </c>
      <c r="CN90" s="1979">
        <v>1</v>
      </c>
      <c r="CO90" s="1979">
        <v>1</v>
      </c>
      <c r="CP90" s="2000">
        <v>1</v>
      </c>
      <c r="CQ90" s="1998">
        <v>1</v>
      </c>
      <c r="CR90" s="1998">
        <v>1</v>
      </c>
      <c r="CS90" s="1998">
        <v>1</v>
      </c>
      <c r="CT90" s="1998">
        <v>1</v>
      </c>
      <c r="CU90" s="1998">
        <v>1</v>
      </c>
      <c r="CV90" s="1998">
        <v>1</v>
      </c>
      <c r="CW90" s="1998">
        <v>1</v>
      </c>
      <c r="CX90" s="1998">
        <v>1</v>
      </c>
      <c r="CY90" s="1998">
        <v>1</v>
      </c>
      <c r="CZ90" s="1999">
        <v>1.3315453130345394</v>
      </c>
      <c r="DA90" s="1979">
        <v>1.3082077926656719</v>
      </c>
      <c r="DB90" s="1979">
        <v>1.3315453130345394</v>
      </c>
      <c r="DC90" s="1979">
        <v>1.3082077926656719</v>
      </c>
      <c r="DD90" s="1979">
        <v>1.3315453130345394</v>
      </c>
      <c r="DE90" s="1979">
        <v>1.3082077926656719</v>
      </c>
      <c r="DF90" s="1979">
        <v>1.3315453130345394</v>
      </c>
      <c r="DG90" s="1979">
        <v>1.3082077926656719</v>
      </c>
      <c r="DH90" s="1979">
        <v>1.3315453130345394</v>
      </c>
      <c r="DI90" s="1979">
        <v>1.3082077926656719</v>
      </c>
      <c r="DJ90" s="2000">
        <v>1.3058240386588684</v>
      </c>
      <c r="DK90" s="1998">
        <v>1.291467328254273</v>
      </c>
      <c r="DL90" s="1998">
        <v>1.3058240386588684</v>
      </c>
      <c r="DM90" s="1998">
        <v>1.291467328254273</v>
      </c>
      <c r="DN90" s="1998">
        <v>1.3058240386588684</v>
      </c>
      <c r="DO90" s="1998">
        <v>1.291467328254273</v>
      </c>
      <c r="DP90" s="1998">
        <v>1.3058240386588684</v>
      </c>
      <c r="DQ90" s="1998">
        <v>1.291467328254273</v>
      </c>
      <c r="DR90" s="1998">
        <v>1.3058240386588684</v>
      </c>
      <c r="DS90" s="1998">
        <v>1.291467328254273</v>
      </c>
      <c r="GT90" s="1980"/>
      <c r="GU90" s="1980"/>
      <c r="GV90" s="1980"/>
      <c r="GW90" s="1980"/>
      <c r="GX90" s="1980"/>
      <c r="GY90" s="1980"/>
      <c r="GZ90" s="1980"/>
      <c r="HA90" s="1980"/>
      <c r="HB90" s="1980"/>
      <c r="HC90" s="1980"/>
      <c r="HD90" s="1980"/>
      <c r="HE90" s="1980"/>
      <c r="HF90" s="1980"/>
      <c r="HG90" s="1980"/>
      <c r="HH90" s="1980"/>
      <c r="HI90" s="1980"/>
      <c r="HJ90" s="1980"/>
      <c r="HK90" s="1980"/>
      <c r="HL90" s="1980"/>
      <c r="HM90" s="1980"/>
      <c r="HN90" s="1980"/>
      <c r="HO90" s="1980"/>
      <c r="HP90" s="1980"/>
      <c r="HQ90" s="1980"/>
      <c r="HR90" s="1980"/>
      <c r="HS90" s="1980"/>
      <c r="HT90" s="1980"/>
      <c r="HU90" s="1980"/>
      <c r="HV90" s="1980"/>
      <c r="HW90" s="1980"/>
      <c r="HX90" s="1980"/>
      <c r="HY90" s="1980"/>
      <c r="HZ90" s="1980"/>
      <c r="IA90" s="1980"/>
      <c r="IB90" s="1980"/>
      <c r="IC90" s="1980"/>
      <c r="ID90" s="1980"/>
      <c r="IE90" s="1980"/>
      <c r="IF90" s="1980"/>
      <c r="IG90" s="1980"/>
      <c r="IH90" s="1980"/>
      <c r="II90" s="1980"/>
      <c r="IJ90" s="1980"/>
      <c r="IK90" s="1980"/>
      <c r="IL90" s="1980"/>
      <c r="IM90" s="1980"/>
      <c r="IN90" s="1980"/>
      <c r="IO90" s="1980"/>
      <c r="IP90" s="1980"/>
      <c r="IQ90" s="1980"/>
      <c r="IR90" s="1980"/>
      <c r="IS90" s="1980"/>
      <c r="IT90" s="1980"/>
      <c r="IU90" s="1980"/>
      <c r="IV90" s="1980"/>
      <c r="IW90" s="1980"/>
      <c r="IX90" s="1980"/>
      <c r="IY90" s="1980"/>
      <c r="IZ90" s="1980"/>
      <c r="JA90" s="1980"/>
      <c r="JB90" s="1980"/>
      <c r="JC90" s="1980"/>
      <c r="JD90" s="1980"/>
      <c r="JE90" s="1980"/>
      <c r="JF90" s="1980"/>
      <c r="JG90" s="1980"/>
      <c r="JH90" s="1980"/>
      <c r="JI90" s="1980"/>
      <c r="JJ90" s="1980"/>
      <c r="JK90" s="1980"/>
      <c r="JL90" s="1980"/>
      <c r="JM90" s="1980"/>
      <c r="JN90" s="1980"/>
      <c r="JO90" s="1980"/>
      <c r="JP90" s="1980"/>
      <c r="JQ90" s="1980"/>
      <c r="JR90" s="1980"/>
      <c r="JS90" s="1980"/>
      <c r="JT90" s="1980"/>
      <c r="JU90" s="1980"/>
      <c r="JV90" s="1980"/>
      <c r="JW90" s="1980"/>
      <c r="JX90" s="1980"/>
      <c r="JY90" s="1980"/>
      <c r="JZ90" s="1980"/>
      <c r="KA90" s="1980"/>
      <c r="KB90" s="1980"/>
      <c r="KC90" s="1980"/>
      <c r="KD90" s="1980"/>
      <c r="KE90" s="1980"/>
      <c r="KF90" s="1980"/>
      <c r="KG90" s="1980"/>
      <c r="KH90" s="1980"/>
      <c r="KI90" s="1980"/>
      <c r="KJ90" s="1980"/>
      <c r="KK90" s="1980"/>
    </row>
    <row r="91" spans="1:297">
      <c r="A91" s="1997"/>
      <c r="B91" s="2">
        <v>27</v>
      </c>
      <c r="C91" s="2" t="s">
        <v>4259</v>
      </c>
      <c r="D91" s="1979">
        <v>1.0276667149414613</v>
      </c>
      <c r="E91" s="1979">
        <v>1.0319187461350141</v>
      </c>
      <c r="F91" s="1979">
        <v>1.0276667149414613</v>
      </c>
      <c r="G91" s="1979">
        <v>1.0319187461350141</v>
      </c>
      <c r="H91" s="1979">
        <v>1.0276667149414613</v>
      </c>
      <c r="I91" s="1979">
        <v>1.0319187461350141</v>
      </c>
      <c r="J91" s="1979">
        <v>1.0276667149414613</v>
      </c>
      <c r="K91" s="1979">
        <v>1.0319187461350141</v>
      </c>
      <c r="L91" s="1979">
        <v>1.0276667149414613</v>
      </c>
      <c r="M91" s="1979">
        <v>1.0319187461350141</v>
      </c>
      <c r="N91" s="2000">
        <v>1.1584921603271991</v>
      </c>
      <c r="O91" s="1998">
        <v>1.1790586861653303</v>
      </c>
      <c r="P91" s="1998">
        <v>1.1584921603271991</v>
      </c>
      <c r="Q91" s="1998">
        <v>1.1790586861653303</v>
      </c>
      <c r="R91" s="1998">
        <v>1.1584921603271991</v>
      </c>
      <c r="S91" s="1998">
        <v>1.1790586861653303</v>
      </c>
      <c r="T91" s="1998">
        <v>1.1584921603271991</v>
      </c>
      <c r="U91" s="1998">
        <v>1.1790586861653303</v>
      </c>
      <c r="V91" s="1998">
        <v>1.1584921603271991</v>
      </c>
      <c r="W91" s="1998">
        <v>1.1790586861653303</v>
      </c>
      <c r="X91" s="1999">
        <v>1.0499831390527208</v>
      </c>
      <c r="Y91" s="1979">
        <v>1.0519782901065435</v>
      </c>
      <c r="Z91" s="1979">
        <v>1.0499831390527208</v>
      </c>
      <c r="AA91" s="1979">
        <v>1.0519782901065435</v>
      </c>
      <c r="AB91" s="1979">
        <v>1.0499831390527208</v>
      </c>
      <c r="AC91" s="1979">
        <v>1.0519782901065435</v>
      </c>
      <c r="AD91" s="1979">
        <v>1.0499831390527208</v>
      </c>
      <c r="AE91" s="1979">
        <v>1.0519782901065435</v>
      </c>
      <c r="AF91" s="1979">
        <v>1.0499831390527208</v>
      </c>
      <c r="AG91" s="1979">
        <v>1.0519782901065435</v>
      </c>
      <c r="AH91" s="2000">
        <v>1.0970161357582471</v>
      </c>
      <c r="AI91" s="1998">
        <v>1.1127435535323817</v>
      </c>
      <c r="AJ91" s="1998">
        <v>1.0970161357582471</v>
      </c>
      <c r="AK91" s="1998">
        <v>1.1127435535323817</v>
      </c>
      <c r="AL91" s="1998">
        <v>1.0970161357582471</v>
      </c>
      <c r="AM91" s="1998">
        <v>1.1127435535323817</v>
      </c>
      <c r="AN91" s="1998">
        <v>1.0970161357582471</v>
      </c>
      <c r="AO91" s="1998">
        <v>1.1127435535323817</v>
      </c>
      <c r="AP91" s="1998">
        <v>1.0970161357582471</v>
      </c>
      <c r="AQ91" s="1998">
        <v>1.1127435535323817</v>
      </c>
      <c r="AR91" s="1999">
        <v>1.0631757253408356</v>
      </c>
      <c r="AS91" s="1979">
        <v>1.0728272244566142</v>
      </c>
      <c r="AT91" s="1979">
        <v>1.0631757253408356</v>
      </c>
      <c r="AU91" s="1979">
        <v>1.0728272244566142</v>
      </c>
      <c r="AV91" s="1979">
        <v>1.0631757253408356</v>
      </c>
      <c r="AW91" s="1979">
        <v>1.0728272244566142</v>
      </c>
      <c r="AX91" s="1979">
        <v>1.0631757253408356</v>
      </c>
      <c r="AY91" s="1979">
        <v>1.0728272244566142</v>
      </c>
      <c r="AZ91" s="1979">
        <v>1.0631757253408356</v>
      </c>
      <c r="BA91" s="1979">
        <v>1.0728272244566142</v>
      </c>
      <c r="BB91" s="2000">
        <v>2.2115272364255643</v>
      </c>
      <c r="BC91" s="1998">
        <v>2.2435016026188501</v>
      </c>
      <c r="BD91" s="1998">
        <v>2.2115272364255643</v>
      </c>
      <c r="BE91" s="1998">
        <v>2.2435016026188501</v>
      </c>
      <c r="BF91" s="1998">
        <v>2.2115272364255643</v>
      </c>
      <c r="BG91" s="1998">
        <v>2.2435016026188501</v>
      </c>
      <c r="BH91" s="1998">
        <v>2.2115272364255643</v>
      </c>
      <c r="BI91" s="1998">
        <v>2.2435016026188501</v>
      </c>
      <c r="BJ91" s="1998">
        <v>2.2115272364255643</v>
      </c>
      <c r="BK91" s="1998">
        <v>2.2435016026188501</v>
      </c>
      <c r="BL91" s="1999">
        <v>1.1251015530646817</v>
      </c>
      <c r="BM91" s="1979">
        <v>1.1388298168705033</v>
      </c>
      <c r="BN91" s="1979">
        <v>1.1251015530646817</v>
      </c>
      <c r="BO91" s="1979">
        <v>1.1388298168705033</v>
      </c>
      <c r="BP91" s="1979">
        <v>1.1251015530646817</v>
      </c>
      <c r="BQ91" s="1979">
        <v>1.1388298168705033</v>
      </c>
      <c r="BR91" s="1979">
        <v>1.1251015530646817</v>
      </c>
      <c r="BS91" s="1979">
        <v>1.1388298168705033</v>
      </c>
      <c r="BT91" s="1979">
        <v>1.1251015530646817</v>
      </c>
      <c r="BU91" s="1979">
        <v>1.1388298168705033</v>
      </c>
      <c r="BV91" s="2000">
        <v>1.143377194782732</v>
      </c>
      <c r="BW91" s="1998">
        <v>1.1592778053690169</v>
      </c>
      <c r="BX91" s="1998">
        <v>1.143377194782732</v>
      </c>
      <c r="BY91" s="1998">
        <v>1.1592778053690169</v>
      </c>
      <c r="BZ91" s="1998">
        <v>1.143377194782732</v>
      </c>
      <c r="CA91" s="1998">
        <v>1.1592778053690169</v>
      </c>
      <c r="CB91" s="1998">
        <v>1.143377194782732</v>
      </c>
      <c r="CC91" s="1998">
        <v>1.1592778053690169</v>
      </c>
      <c r="CD91" s="1998">
        <v>1.143377194782732</v>
      </c>
      <c r="CE91" s="1998">
        <v>1.1592778053690169</v>
      </c>
      <c r="CF91" s="1999">
        <v>1.1339929256890262</v>
      </c>
      <c r="CG91" s="1979">
        <v>1.1589029071489558</v>
      </c>
      <c r="CH91" s="1979">
        <v>1.1339929256890262</v>
      </c>
      <c r="CI91" s="1979">
        <v>1.1589029071489558</v>
      </c>
      <c r="CJ91" s="1979">
        <v>1.1339929256890262</v>
      </c>
      <c r="CK91" s="1979">
        <v>1.1589029071489558</v>
      </c>
      <c r="CL91" s="1979">
        <v>1.1339929256890262</v>
      </c>
      <c r="CM91" s="1979">
        <v>1.1589029071489558</v>
      </c>
      <c r="CN91" s="1979">
        <v>1.1339929256890262</v>
      </c>
      <c r="CO91" s="1979">
        <v>1.1589029071489558</v>
      </c>
      <c r="CP91" s="2000">
        <v>1.1421268551603387</v>
      </c>
      <c r="CQ91" s="1998">
        <v>1.1681689466314089</v>
      </c>
      <c r="CR91" s="1998">
        <v>1.1421268551603387</v>
      </c>
      <c r="CS91" s="1998">
        <v>1.1681689466314089</v>
      </c>
      <c r="CT91" s="1998">
        <v>1.1421268551603387</v>
      </c>
      <c r="CU91" s="1998">
        <v>1.1681689466314089</v>
      </c>
      <c r="CV91" s="1998">
        <v>1.1421268551603387</v>
      </c>
      <c r="CW91" s="1998">
        <v>1.1681689466314089</v>
      </c>
      <c r="CX91" s="1998">
        <v>1.1421268551603387</v>
      </c>
      <c r="CY91" s="1998">
        <v>1.1681689466314089</v>
      </c>
      <c r="CZ91" s="1999">
        <v>1.5647127023350567</v>
      </c>
      <c r="DA91" s="1979">
        <v>1.5815332278221961</v>
      </c>
      <c r="DB91" s="1979">
        <v>1.5647127023350567</v>
      </c>
      <c r="DC91" s="1979">
        <v>1.5815332278221961</v>
      </c>
      <c r="DD91" s="1979">
        <v>1.5647127023350567</v>
      </c>
      <c r="DE91" s="1979">
        <v>1.5815332278221961</v>
      </c>
      <c r="DF91" s="1979">
        <v>1.5647127023350567</v>
      </c>
      <c r="DG91" s="1979">
        <v>1.5815332278221961</v>
      </c>
      <c r="DH91" s="1979">
        <v>1.5647127023350567</v>
      </c>
      <c r="DI91" s="1979">
        <v>1.5815332278221961</v>
      </c>
      <c r="DJ91" s="2000">
        <v>1.5137884053841772</v>
      </c>
      <c r="DK91" s="1998">
        <v>1.5385691878013936</v>
      </c>
      <c r="DL91" s="1998">
        <v>1.5137884053841772</v>
      </c>
      <c r="DM91" s="1998">
        <v>1.5385691878013936</v>
      </c>
      <c r="DN91" s="1998">
        <v>1.5137884053841772</v>
      </c>
      <c r="DO91" s="1998">
        <v>1.5385691878013936</v>
      </c>
      <c r="DP91" s="1998">
        <v>1.5137884053841772</v>
      </c>
      <c r="DQ91" s="1998">
        <v>1.5385691878013936</v>
      </c>
      <c r="DR91" s="1998">
        <v>1.5137884053841772</v>
      </c>
      <c r="DS91" s="1998">
        <v>1.5385691878013936</v>
      </c>
      <c r="GT91" s="1980"/>
      <c r="GU91" s="1980"/>
      <c r="GV91" s="1980"/>
      <c r="GW91" s="1980"/>
      <c r="GX91" s="1980"/>
      <c r="GY91" s="1980"/>
      <c r="GZ91" s="1980"/>
      <c r="HA91" s="1980"/>
      <c r="HB91" s="1980"/>
      <c r="HC91" s="1980"/>
      <c r="HD91" s="1980"/>
      <c r="HE91" s="1980"/>
      <c r="HF91" s="1980"/>
      <c r="HG91" s="1980"/>
      <c r="HH91" s="1980"/>
      <c r="HI91" s="1980"/>
      <c r="HJ91" s="1980"/>
      <c r="HK91" s="1980"/>
      <c r="HL91" s="1980"/>
      <c r="HM91" s="1980"/>
      <c r="HN91" s="1980"/>
      <c r="HO91" s="1980"/>
      <c r="HP91" s="1980"/>
      <c r="HQ91" s="1980"/>
      <c r="HR91" s="1980"/>
      <c r="HS91" s="1980"/>
      <c r="HT91" s="1980"/>
      <c r="HU91" s="1980"/>
      <c r="HV91" s="1980"/>
      <c r="HW91" s="1980"/>
      <c r="HX91" s="1980"/>
      <c r="HY91" s="1980"/>
      <c r="HZ91" s="1980"/>
      <c r="IA91" s="1980"/>
      <c r="IB91" s="1980"/>
      <c r="IC91" s="1980"/>
      <c r="ID91" s="1980"/>
      <c r="IE91" s="1980"/>
      <c r="IF91" s="1980"/>
      <c r="IG91" s="1980"/>
      <c r="IH91" s="1980"/>
      <c r="II91" s="1980"/>
      <c r="IJ91" s="1980"/>
      <c r="IK91" s="1980"/>
      <c r="IL91" s="1980"/>
      <c r="IM91" s="1980"/>
      <c r="IN91" s="1980"/>
      <c r="IO91" s="1980"/>
      <c r="IP91" s="1980"/>
      <c r="IQ91" s="1980"/>
      <c r="IR91" s="1980"/>
      <c r="IS91" s="1980"/>
      <c r="IT91" s="1980"/>
      <c r="IU91" s="1980"/>
      <c r="IV91" s="1980"/>
      <c r="IW91" s="1980"/>
      <c r="IX91" s="1980"/>
      <c r="IY91" s="1980"/>
      <c r="IZ91" s="1980"/>
      <c r="JA91" s="1980"/>
      <c r="JB91" s="1980"/>
      <c r="JC91" s="1980"/>
      <c r="JD91" s="1980"/>
      <c r="JE91" s="1980"/>
      <c r="JF91" s="1980"/>
      <c r="JG91" s="1980"/>
      <c r="JH91" s="1980"/>
      <c r="JI91" s="1980"/>
      <c r="JJ91" s="1980"/>
      <c r="JK91" s="1980"/>
      <c r="JL91" s="1980"/>
      <c r="JM91" s="1980"/>
      <c r="JN91" s="1980"/>
      <c r="JO91" s="1980"/>
      <c r="JP91" s="1980"/>
      <c r="JQ91" s="1980"/>
      <c r="JR91" s="1980"/>
      <c r="JS91" s="1980"/>
      <c r="JT91" s="1980"/>
      <c r="JU91" s="1980"/>
      <c r="JV91" s="1980"/>
      <c r="JW91" s="1980"/>
      <c r="JX91" s="1980"/>
      <c r="JY91" s="1980"/>
      <c r="JZ91" s="1980"/>
      <c r="KA91" s="1980"/>
      <c r="KB91" s="1980"/>
      <c r="KC91" s="1980"/>
      <c r="KD91" s="1980"/>
      <c r="KE91" s="1980"/>
      <c r="KF91" s="1980"/>
      <c r="KG91" s="1980"/>
      <c r="KH91" s="1980"/>
      <c r="KI91" s="1980"/>
      <c r="KJ91" s="1980"/>
      <c r="KK91" s="1980"/>
    </row>
    <row r="92" spans="1:297">
      <c r="A92" s="1997"/>
      <c r="B92" s="2">
        <v>28</v>
      </c>
      <c r="C92" s="2" t="s">
        <v>4274</v>
      </c>
      <c r="D92" s="1979">
        <v>1.2677409788794161</v>
      </c>
      <c r="E92" s="1979">
        <v>1.2768871008274929</v>
      </c>
      <c r="F92" s="1979">
        <v>1.2677409788794161</v>
      </c>
      <c r="G92" s="1979">
        <v>1.2768871008274929</v>
      </c>
      <c r="H92" s="1979">
        <v>1.2677409788794161</v>
      </c>
      <c r="I92" s="1979">
        <v>1.2768871008274929</v>
      </c>
      <c r="J92" s="1979">
        <v>1.2677409788794161</v>
      </c>
      <c r="K92" s="1979">
        <v>1.2768871008274929</v>
      </c>
      <c r="L92" s="1979">
        <v>1.2677409788794161</v>
      </c>
      <c r="M92" s="1979">
        <v>1.2768871008274929</v>
      </c>
      <c r="N92" s="2000">
        <v>1.3169843206543983</v>
      </c>
      <c r="O92" s="1998">
        <v>1.3581173723306608</v>
      </c>
      <c r="P92" s="1998">
        <v>1.3169843206543983</v>
      </c>
      <c r="Q92" s="1998">
        <v>1.3581173723306608</v>
      </c>
      <c r="R92" s="1998">
        <v>1.3169843206543983</v>
      </c>
      <c r="S92" s="1998">
        <v>1.3581173723306608</v>
      </c>
      <c r="T92" s="1998">
        <v>1.3169843206543983</v>
      </c>
      <c r="U92" s="1998">
        <v>1.3581173723306608</v>
      </c>
      <c r="V92" s="1998">
        <v>1.3169843206543983</v>
      </c>
      <c r="W92" s="1998">
        <v>1.3581173723306608</v>
      </c>
      <c r="X92" s="1999">
        <v>1.099966278105442</v>
      </c>
      <c r="Y92" s="1979">
        <v>1.1093913143625103</v>
      </c>
      <c r="Z92" s="1979">
        <v>1.099966278105442</v>
      </c>
      <c r="AA92" s="1979">
        <v>1.1093913143625103</v>
      </c>
      <c r="AB92" s="1979">
        <v>1.099966278105442</v>
      </c>
      <c r="AC92" s="1979">
        <v>1.1093913143625103</v>
      </c>
      <c r="AD92" s="1979">
        <v>1.099966278105442</v>
      </c>
      <c r="AE92" s="1979">
        <v>1.1093913143625103</v>
      </c>
      <c r="AF92" s="1979">
        <v>1.099966278105442</v>
      </c>
      <c r="AG92" s="1979">
        <v>1.1093913143625103</v>
      </c>
      <c r="AH92" s="2000">
        <v>1.1940322715164942</v>
      </c>
      <c r="AI92" s="1998">
        <v>1.2254871070647639</v>
      </c>
      <c r="AJ92" s="1998">
        <v>1.1940322715164942</v>
      </c>
      <c r="AK92" s="1998">
        <v>1.2254871070647639</v>
      </c>
      <c r="AL92" s="1998">
        <v>1.1940322715164942</v>
      </c>
      <c r="AM92" s="1998">
        <v>1.2254871070647639</v>
      </c>
      <c r="AN92" s="1998">
        <v>1.1940322715164942</v>
      </c>
      <c r="AO92" s="1998">
        <v>1.2254871070647639</v>
      </c>
      <c r="AP92" s="1998">
        <v>1.1940322715164942</v>
      </c>
      <c r="AQ92" s="1998">
        <v>1.2254871070647639</v>
      </c>
      <c r="AR92" s="1999">
        <v>1.1263514506816714</v>
      </c>
      <c r="AS92" s="1979">
        <v>1.1456544489132279</v>
      </c>
      <c r="AT92" s="1979">
        <v>1.1263514506816714</v>
      </c>
      <c r="AU92" s="1979">
        <v>1.1456544489132279</v>
      </c>
      <c r="AV92" s="1979">
        <v>1.1263514506816714</v>
      </c>
      <c r="AW92" s="1979">
        <v>1.1456544489132279</v>
      </c>
      <c r="AX92" s="1979">
        <v>1.1263514506816714</v>
      </c>
      <c r="AY92" s="1979">
        <v>1.1456544489132279</v>
      </c>
      <c r="AZ92" s="1979">
        <v>1.1263514506816714</v>
      </c>
      <c r="BA92" s="1979">
        <v>1.1456544489132279</v>
      </c>
      <c r="BB92" s="2000">
        <v>2.5552914113630503</v>
      </c>
      <c r="BC92" s="1998">
        <v>2.6262043030781661</v>
      </c>
      <c r="BD92" s="1998">
        <v>2.5552914113630503</v>
      </c>
      <c r="BE92" s="1998">
        <v>2.6262043030781661</v>
      </c>
      <c r="BF92" s="1998">
        <v>2.5552914113630503</v>
      </c>
      <c r="BG92" s="1998">
        <v>2.6262043030781661</v>
      </c>
      <c r="BH92" s="1998">
        <v>2.5552914113630503</v>
      </c>
      <c r="BI92" s="1998">
        <v>2.6262043030781661</v>
      </c>
      <c r="BJ92" s="1998">
        <v>2.5552914113630503</v>
      </c>
      <c r="BK92" s="1998">
        <v>2.6262043030781661</v>
      </c>
      <c r="BL92" s="1999">
        <v>1.2502031061293635</v>
      </c>
      <c r="BM92" s="1979">
        <v>1.2776596337410064</v>
      </c>
      <c r="BN92" s="1979">
        <v>1.2502031061293635</v>
      </c>
      <c r="BO92" s="1979">
        <v>1.2776596337410064</v>
      </c>
      <c r="BP92" s="1979">
        <v>1.2502031061293635</v>
      </c>
      <c r="BQ92" s="1979">
        <v>1.2776596337410064</v>
      </c>
      <c r="BR92" s="1979">
        <v>1.2502031061293635</v>
      </c>
      <c r="BS92" s="1979">
        <v>1.2776596337410064</v>
      </c>
      <c r="BT92" s="1979">
        <v>1.2502031061293635</v>
      </c>
      <c r="BU92" s="1979">
        <v>1.2776596337410064</v>
      </c>
      <c r="BV92" s="2000">
        <v>1.2867543895654641</v>
      </c>
      <c r="BW92" s="1998">
        <v>1.3185556107380338</v>
      </c>
      <c r="BX92" s="1998">
        <v>1.2867543895654641</v>
      </c>
      <c r="BY92" s="1998">
        <v>1.3185556107380338</v>
      </c>
      <c r="BZ92" s="1998">
        <v>1.2867543895654641</v>
      </c>
      <c r="CA92" s="1998">
        <v>1.3185556107380338</v>
      </c>
      <c r="CB92" s="1998">
        <v>1.2867543895654641</v>
      </c>
      <c r="CC92" s="1998">
        <v>1.3185556107380338</v>
      </c>
      <c r="CD92" s="1998">
        <v>1.2867543895654641</v>
      </c>
      <c r="CE92" s="1998">
        <v>1.3185556107380338</v>
      </c>
      <c r="CF92" s="1999">
        <v>1.2679858513780522</v>
      </c>
      <c r="CG92" s="1979">
        <v>1.3178058142979114</v>
      </c>
      <c r="CH92" s="1979">
        <v>1.2679858513780522</v>
      </c>
      <c r="CI92" s="1979">
        <v>1.3178058142979114</v>
      </c>
      <c r="CJ92" s="1979">
        <v>1.2679858513780522</v>
      </c>
      <c r="CK92" s="1979">
        <v>1.3178058142979114</v>
      </c>
      <c r="CL92" s="1979">
        <v>1.2679858513780522</v>
      </c>
      <c r="CM92" s="1979">
        <v>1.3178058142979114</v>
      </c>
      <c r="CN92" s="1979">
        <v>1.2679858513780522</v>
      </c>
      <c r="CO92" s="1979">
        <v>1.3178058142979114</v>
      </c>
      <c r="CP92" s="2000">
        <v>1.284253710320677</v>
      </c>
      <c r="CQ92" s="1998">
        <v>1.3363378932628178</v>
      </c>
      <c r="CR92" s="1998">
        <v>1.284253710320677</v>
      </c>
      <c r="CS92" s="1998">
        <v>1.3363378932628178</v>
      </c>
      <c r="CT92" s="1998">
        <v>1.284253710320677</v>
      </c>
      <c r="CU92" s="1998">
        <v>1.3363378932628178</v>
      </c>
      <c r="CV92" s="1998">
        <v>1.284253710320677</v>
      </c>
      <c r="CW92" s="1998">
        <v>1.3363378932628178</v>
      </c>
      <c r="CX92" s="1998">
        <v>1.284253710320677</v>
      </c>
      <c r="CY92" s="1998">
        <v>1.3363378932628178</v>
      </c>
      <c r="CZ92" s="1999">
        <v>1.7978800916355735</v>
      </c>
      <c r="DA92" s="1979">
        <v>1.8548586629787203</v>
      </c>
      <c r="DB92" s="1979">
        <v>1.7978800916355735</v>
      </c>
      <c r="DC92" s="1979">
        <v>1.8548586629787203</v>
      </c>
      <c r="DD92" s="1979">
        <v>1.7978800916355735</v>
      </c>
      <c r="DE92" s="1979">
        <v>1.8548586629787203</v>
      </c>
      <c r="DF92" s="1979">
        <v>1.7978800916355735</v>
      </c>
      <c r="DG92" s="1979">
        <v>1.8548586629787203</v>
      </c>
      <c r="DH92" s="1979">
        <v>1.7978800916355735</v>
      </c>
      <c r="DI92" s="1979">
        <v>1.8548586629787203</v>
      </c>
      <c r="DJ92" s="2000">
        <v>1.7217527721094865</v>
      </c>
      <c r="DK92" s="1998">
        <v>1.7856710473485147</v>
      </c>
      <c r="DL92" s="1998">
        <v>1.7217527721094865</v>
      </c>
      <c r="DM92" s="1998">
        <v>1.7856710473485147</v>
      </c>
      <c r="DN92" s="1998">
        <v>1.7217527721094865</v>
      </c>
      <c r="DO92" s="1998">
        <v>1.7856710473485147</v>
      </c>
      <c r="DP92" s="1998">
        <v>1.7217527721094865</v>
      </c>
      <c r="DQ92" s="1998">
        <v>1.7856710473485147</v>
      </c>
      <c r="DR92" s="1998">
        <v>1.7217527721094865</v>
      </c>
      <c r="DS92" s="1998">
        <v>1.7856710473485147</v>
      </c>
      <c r="GT92" s="1980"/>
      <c r="GU92" s="1980"/>
      <c r="GV92" s="1980"/>
      <c r="GW92" s="1980"/>
      <c r="GX92" s="1980"/>
      <c r="GY92" s="1980"/>
      <c r="GZ92" s="1980"/>
      <c r="HA92" s="1980"/>
      <c r="HB92" s="1980"/>
      <c r="HC92" s="1980"/>
      <c r="HD92" s="1980"/>
      <c r="HE92" s="1980"/>
      <c r="HF92" s="1980"/>
      <c r="HG92" s="1980"/>
      <c r="HH92" s="1980"/>
      <c r="HI92" s="1980"/>
      <c r="HJ92" s="1980"/>
      <c r="HK92" s="1980"/>
      <c r="HL92" s="1980"/>
      <c r="HM92" s="1980"/>
      <c r="HN92" s="1980"/>
      <c r="HO92" s="1980"/>
      <c r="HP92" s="1980"/>
      <c r="HQ92" s="1980"/>
      <c r="HR92" s="1980"/>
      <c r="HS92" s="1980"/>
      <c r="HT92" s="1980"/>
      <c r="HU92" s="1980"/>
      <c r="HV92" s="1980"/>
      <c r="HW92" s="1980"/>
      <c r="HX92" s="1980"/>
      <c r="HY92" s="1980"/>
      <c r="HZ92" s="1980"/>
      <c r="IA92" s="1980"/>
      <c r="IB92" s="1980"/>
      <c r="IC92" s="1980"/>
      <c r="ID92" s="1980"/>
      <c r="IE92" s="1980"/>
      <c r="IF92" s="1980"/>
      <c r="IG92" s="1980"/>
      <c r="IH92" s="1980"/>
      <c r="II92" s="1980"/>
      <c r="IJ92" s="1980"/>
      <c r="IK92" s="1980"/>
      <c r="IL92" s="1980"/>
      <c r="IM92" s="1980"/>
      <c r="IN92" s="1980"/>
      <c r="IO92" s="1980"/>
      <c r="IP92" s="1980"/>
      <c r="IQ92" s="1980"/>
      <c r="IR92" s="1980"/>
      <c r="IS92" s="1980"/>
      <c r="IT92" s="1980"/>
      <c r="IU92" s="1980"/>
      <c r="IV92" s="1980"/>
      <c r="IW92" s="1980"/>
      <c r="IX92" s="1980"/>
      <c r="IY92" s="1980"/>
      <c r="IZ92" s="1980"/>
      <c r="JA92" s="1980"/>
      <c r="JB92" s="1980"/>
      <c r="JC92" s="1980"/>
      <c r="JD92" s="1980"/>
      <c r="JE92" s="1980"/>
      <c r="JF92" s="1980"/>
      <c r="JG92" s="1980"/>
      <c r="JH92" s="1980"/>
      <c r="JI92" s="1980"/>
      <c r="JJ92" s="1980"/>
      <c r="JK92" s="1980"/>
      <c r="JL92" s="1980"/>
      <c r="JM92" s="1980"/>
      <c r="JN92" s="1980"/>
      <c r="JO92" s="1980"/>
      <c r="JP92" s="1980"/>
      <c r="JQ92" s="1980"/>
      <c r="JR92" s="1980"/>
      <c r="JS92" s="1980"/>
      <c r="JT92" s="1980"/>
      <c r="JU92" s="1980"/>
      <c r="JV92" s="1980"/>
      <c r="JW92" s="1980"/>
      <c r="JX92" s="1980"/>
      <c r="JY92" s="1980"/>
      <c r="JZ92" s="1980"/>
      <c r="KA92" s="1980"/>
      <c r="KB92" s="1980"/>
      <c r="KC92" s="1980"/>
      <c r="KD92" s="1980"/>
      <c r="KE92" s="1980"/>
      <c r="KF92" s="1980"/>
      <c r="KG92" s="1980"/>
      <c r="KH92" s="1980"/>
      <c r="KI92" s="1980"/>
      <c r="KJ92" s="1980"/>
      <c r="KK92" s="1980"/>
    </row>
    <row r="93" spans="1:297">
      <c r="A93" s="1997"/>
      <c r="B93" s="2">
        <v>29</v>
      </c>
      <c r="C93" s="2" t="str">
        <f>AD$13</f>
        <v>Fondation superficielle</v>
      </c>
      <c r="D93" s="1979">
        <v>0.96772783265384288</v>
      </c>
      <c r="E93" s="1979">
        <v>0.96412957065102256</v>
      </c>
      <c r="F93" s="1979">
        <v>0.96772783265384288</v>
      </c>
      <c r="G93" s="1979">
        <v>0.96412957065102256</v>
      </c>
      <c r="H93" s="1979">
        <v>0.96772783265384288</v>
      </c>
      <c r="I93" s="1979">
        <v>0.96412957065102256</v>
      </c>
      <c r="J93" s="1979">
        <v>0.96772783265384288</v>
      </c>
      <c r="K93" s="1979">
        <v>0.96412957065102256</v>
      </c>
      <c r="L93" s="1979">
        <v>0.96772783265384288</v>
      </c>
      <c r="M93" s="1979">
        <v>0.96412957065102256</v>
      </c>
      <c r="N93" s="2000">
        <v>1</v>
      </c>
      <c r="O93" s="1998">
        <v>1</v>
      </c>
      <c r="P93" s="1998">
        <v>1</v>
      </c>
      <c r="Q93" s="1998">
        <v>1</v>
      </c>
      <c r="R93" s="1998">
        <v>1</v>
      </c>
      <c r="S93" s="1998">
        <v>1</v>
      </c>
      <c r="T93" s="1998">
        <v>1</v>
      </c>
      <c r="U93" s="1998">
        <v>1</v>
      </c>
      <c r="V93" s="1998">
        <v>1</v>
      </c>
      <c r="W93" s="1998">
        <v>1</v>
      </c>
      <c r="X93" s="1999">
        <v>1</v>
      </c>
      <c r="Y93" s="1979">
        <v>0.99456526585057647</v>
      </c>
      <c r="Z93" s="1979">
        <v>1</v>
      </c>
      <c r="AA93" s="1979">
        <v>0.99456526585057647</v>
      </c>
      <c r="AB93" s="1979">
        <v>1</v>
      </c>
      <c r="AC93" s="1979">
        <v>0.99456526585057647</v>
      </c>
      <c r="AD93" s="1979">
        <v>1</v>
      </c>
      <c r="AE93" s="1979">
        <v>0.99456526585057647</v>
      </c>
      <c r="AF93" s="1979">
        <v>1</v>
      </c>
      <c r="AG93" s="1979">
        <v>0.99456526585057647</v>
      </c>
      <c r="AH93" s="2000">
        <v>1</v>
      </c>
      <c r="AI93" s="1998">
        <v>1</v>
      </c>
      <c r="AJ93" s="1998">
        <v>1</v>
      </c>
      <c r="AK93" s="1998">
        <v>1</v>
      </c>
      <c r="AL93" s="1998">
        <v>1</v>
      </c>
      <c r="AM93" s="1998">
        <v>1</v>
      </c>
      <c r="AN93" s="1998">
        <v>1</v>
      </c>
      <c r="AO93" s="1998">
        <v>1</v>
      </c>
      <c r="AP93" s="1998">
        <v>1</v>
      </c>
      <c r="AQ93" s="1998">
        <v>1</v>
      </c>
      <c r="AR93" s="1999">
        <v>1</v>
      </c>
      <c r="AS93" s="1979">
        <v>1</v>
      </c>
      <c r="AT93" s="1979">
        <v>1</v>
      </c>
      <c r="AU93" s="1979">
        <v>1</v>
      </c>
      <c r="AV93" s="1979">
        <v>1</v>
      </c>
      <c r="AW93" s="1979">
        <v>1</v>
      </c>
      <c r="AX93" s="1979">
        <v>1</v>
      </c>
      <c r="AY93" s="1979">
        <v>1</v>
      </c>
      <c r="AZ93" s="1979">
        <v>1</v>
      </c>
      <c r="BA93" s="1979">
        <v>1</v>
      </c>
      <c r="BB93" s="2000">
        <v>1.3180265000109936</v>
      </c>
      <c r="BC93" s="1998">
        <v>1.3308586370188196</v>
      </c>
      <c r="BD93" s="1998">
        <v>1.3180265000109936</v>
      </c>
      <c r="BE93" s="1998">
        <v>1.3308586370188196</v>
      </c>
      <c r="BF93" s="1998">
        <v>1.3180265000109936</v>
      </c>
      <c r="BG93" s="1998">
        <v>1.3308586370188196</v>
      </c>
      <c r="BH93" s="1998">
        <v>1.3180265000109936</v>
      </c>
      <c r="BI93" s="1998">
        <v>1.3308586370188196</v>
      </c>
      <c r="BJ93" s="1998">
        <v>1.3180265000109936</v>
      </c>
      <c r="BK93" s="1998">
        <v>1.3308586370188196</v>
      </c>
      <c r="BL93" s="1999">
        <v>1</v>
      </c>
      <c r="BM93" s="1979">
        <v>1</v>
      </c>
      <c r="BN93" s="1979">
        <v>1</v>
      </c>
      <c r="BO93" s="1979">
        <v>1</v>
      </c>
      <c r="BP93" s="1979">
        <v>1</v>
      </c>
      <c r="BQ93" s="1979">
        <v>1</v>
      </c>
      <c r="BR93" s="1979">
        <v>1</v>
      </c>
      <c r="BS93" s="1979">
        <v>1</v>
      </c>
      <c r="BT93" s="1979">
        <v>1</v>
      </c>
      <c r="BU93" s="1979">
        <v>1</v>
      </c>
      <c r="BV93" s="2000">
        <v>1</v>
      </c>
      <c r="BW93" s="1998">
        <v>1</v>
      </c>
      <c r="BX93" s="1998">
        <v>1</v>
      </c>
      <c r="BY93" s="1998">
        <v>1</v>
      </c>
      <c r="BZ93" s="1998">
        <v>1</v>
      </c>
      <c r="CA93" s="1998">
        <v>1</v>
      </c>
      <c r="CB93" s="1998">
        <v>1</v>
      </c>
      <c r="CC93" s="1998">
        <v>1</v>
      </c>
      <c r="CD93" s="1998">
        <v>1</v>
      </c>
      <c r="CE93" s="1998">
        <v>1</v>
      </c>
      <c r="CF93" s="1999">
        <v>1</v>
      </c>
      <c r="CG93" s="1979">
        <v>1</v>
      </c>
      <c r="CH93" s="1979">
        <v>1</v>
      </c>
      <c r="CI93" s="1979">
        <v>1</v>
      </c>
      <c r="CJ93" s="1979">
        <v>1</v>
      </c>
      <c r="CK93" s="1979">
        <v>1</v>
      </c>
      <c r="CL93" s="1979">
        <v>1</v>
      </c>
      <c r="CM93" s="1979">
        <v>1</v>
      </c>
      <c r="CN93" s="1979">
        <v>1</v>
      </c>
      <c r="CO93" s="1979">
        <v>1</v>
      </c>
      <c r="CP93" s="2000">
        <v>1</v>
      </c>
      <c r="CQ93" s="1998">
        <v>1</v>
      </c>
      <c r="CR93" s="1998">
        <v>1</v>
      </c>
      <c r="CS93" s="1998">
        <v>1</v>
      </c>
      <c r="CT93" s="1998">
        <v>1</v>
      </c>
      <c r="CU93" s="1998">
        <v>1</v>
      </c>
      <c r="CV93" s="1998">
        <v>1</v>
      </c>
      <c r="CW93" s="1998">
        <v>1</v>
      </c>
      <c r="CX93" s="1998">
        <v>1</v>
      </c>
      <c r="CY93" s="1998">
        <v>1</v>
      </c>
      <c r="CZ93" s="1999">
        <v>1</v>
      </c>
      <c r="DA93" s="1979">
        <v>1</v>
      </c>
      <c r="DB93" s="1979">
        <v>1</v>
      </c>
      <c r="DC93" s="1979">
        <v>1</v>
      </c>
      <c r="DD93" s="1979">
        <v>1</v>
      </c>
      <c r="DE93" s="1979">
        <v>1</v>
      </c>
      <c r="DF93" s="1979">
        <v>1</v>
      </c>
      <c r="DG93" s="1979">
        <v>1</v>
      </c>
      <c r="DH93" s="1979">
        <v>1</v>
      </c>
      <c r="DI93" s="1979">
        <v>1</v>
      </c>
      <c r="DJ93" s="2000">
        <v>1.0002450682306379</v>
      </c>
      <c r="DK93" s="1998">
        <v>1.0001651239704095</v>
      </c>
      <c r="DL93" s="1998">
        <v>1.0002450682306379</v>
      </c>
      <c r="DM93" s="1998">
        <v>1.0001651239704095</v>
      </c>
      <c r="DN93" s="1998">
        <v>1.0002450682306379</v>
      </c>
      <c r="DO93" s="1998">
        <v>1.0001651239704095</v>
      </c>
      <c r="DP93" s="1998">
        <v>1.0002450682306379</v>
      </c>
      <c r="DQ93" s="1998">
        <v>1.0001651239704095</v>
      </c>
      <c r="DR93" s="1998">
        <v>1.0002450682306379</v>
      </c>
      <c r="DS93" s="1998">
        <v>1.0001651239704095</v>
      </c>
      <c r="GT93" s="1980"/>
      <c r="GU93" s="1980"/>
      <c r="GV93" s="1980"/>
      <c r="GW93" s="1980"/>
      <c r="GX93" s="1980"/>
      <c r="GY93" s="1980"/>
      <c r="GZ93" s="1980"/>
      <c r="HA93" s="1980"/>
      <c r="HB93" s="1980"/>
      <c r="HC93" s="1980"/>
      <c r="HD93" s="1980"/>
      <c r="HE93" s="1980"/>
      <c r="HF93" s="1980"/>
      <c r="HG93" s="1980"/>
      <c r="HH93" s="1980"/>
      <c r="HI93" s="1980"/>
      <c r="HJ93" s="1980"/>
      <c r="HK93" s="1980"/>
      <c r="HL93" s="1980"/>
      <c r="HM93" s="1980"/>
      <c r="HN93" s="1980"/>
      <c r="HO93" s="1980"/>
      <c r="HP93" s="1980"/>
      <c r="HQ93" s="1980"/>
      <c r="HR93" s="1980"/>
      <c r="HS93" s="1980"/>
      <c r="HT93" s="1980"/>
      <c r="HU93" s="1980"/>
      <c r="HV93" s="1980"/>
      <c r="HW93" s="1980"/>
      <c r="HX93" s="1980"/>
      <c r="HY93" s="1980"/>
      <c r="HZ93" s="1980"/>
      <c r="IA93" s="1980"/>
      <c r="IB93" s="1980"/>
      <c r="IC93" s="1980"/>
      <c r="ID93" s="1980"/>
      <c r="IE93" s="1980"/>
      <c r="IF93" s="1980"/>
      <c r="IG93" s="1980"/>
      <c r="IH93" s="1980"/>
      <c r="II93" s="1980"/>
      <c r="IJ93" s="1980"/>
      <c r="IK93" s="1980"/>
      <c r="IL93" s="1980"/>
      <c r="IM93" s="1980"/>
      <c r="IN93" s="1980"/>
      <c r="IO93" s="1980"/>
      <c r="IP93" s="1980"/>
      <c r="IQ93" s="1980"/>
      <c r="IR93" s="1980"/>
      <c r="IS93" s="1980"/>
      <c r="IT93" s="1980"/>
      <c r="IU93" s="1980"/>
      <c r="IV93" s="1980"/>
      <c r="IW93" s="1980"/>
      <c r="IX93" s="1980"/>
      <c r="IY93" s="1980"/>
      <c r="IZ93" s="1980"/>
      <c r="JA93" s="1980"/>
      <c r="JB93" s="1980"/>
      <c r="JC93" s="1980"/>
      <c r="JD93" s="1980"/>
      <c r="JE93" s="1980"/>
      <c r="JF93" s="1980"/>
      <c r="JG93" s="1980"/>
      <c r="JH93" s="1980"/>
      <c r="JI93" s="1980"/>
      <c r="JJ93" s="1980"/>
      <c r="JK93" s="1980"/>
      <c r="JL93" s="1980"/>
      <c r="JM93" s="1980"/>
      <c r="JN93" s="1980"/>
      <c r="JO93" s="1980"/>
      <c r="JP93" s="1980"/>
      <c r="JQ93" s="1980"/>
      <c r="JR93" s="1980"/>
      <c r="JS93" s="1980"/>
      <c r="JT93" s="1980"/>
      <c r="JU93" s="1980"/>
      <c r="JV93" s="1980"/>
      <c r="JW93" s="1980"/>
      <c r="JX93" s="1980"/>
      <c r="JY93" s="1980"/>
      <c r="JZ93" s="1980"/>
      <c r="KA93" s="1980"/>
      <c r="KB93" s="1980"/>
      <c r="KC93" s="1980"/>
      <c r="KD93" s="1980"/>
      <c r="KE93" s="1980"/>
      <c r="KF93" s="1980"/>
      <c r="KG93" s="1980"/>
      <c r="KH93" s="1980"/>
      <c r="KI93" s="1980"/>
      <c r="KJ93" s="1980"/>
      <c r="KK93" s="1980"/>
    </row>
    <row r="94" spans="1:297">
      <c r="A94" s="1997"/>
      <c r="B94" s="2">
        <v>30</v>
      </c>
      <c r="C94" s="2" t="str">
        <f>AD$14</f>
        <v>Micro-pieux</v>
      </c>
      <c r="D94" s="1979">
        <v>0.98215194558222918</v>
      </c>
      <c r="E94" s="1979">
        <v>0.97790342861972512</v>
      </c>
      <c r="F94" s="1979">
        <v>0.98215194558222918</v>
      </c>
      <c r="G94" s="1979">
        <v>0.97790342861972512</v>
      </c>
      <c r="H94" s="1979">
        <v>0.98215194558222918</v>
      </c>
      <c r="I94" s="1979">
        <v>0.97790342861972512</v>
      </c>
      <c r="J94" s="1979">
        <v>0.98215194558222918</v>
      </c>
      <c r="K94" s="1979">
        <v>0.97790342861972512</v>
      </c>
      <c r="L94" s="1979">
        <v>0.98215194558222918</v>
      </c>
      <c r="M94" s="1979">
        <v>0.97790342861972512</v>
      </c>
      <c r="N94" s="2000">
        <v>1.0358398385172327</v>
      </c>
      <c r="O94" s="1998">
        <v>1.034179277007147</v>
      </c>
      <c r="P94" s="1998">
        <v>1.0358398385172327</v>
      </c>
      <c r="Q94" s="1998">
        <v>1.034179277007147</v>
      </c>
      <c r="R94" s="1998">
        <v>1.0358398385172327</v>
      </c>
      <c r="S94" s="1998">
        <v>1.034179277007147</v>
      </c>
      <c r="T94" s="1998">
        <v>1.0358398385172327</v>
      </c>
      <c r="U94" s="1998">
        <v>1.034179277007147</v>
      </c>
      <c r="V94" s="1998">
        <v>1.0358398385172327</v>
      </c>
      <c r="W94" s="1998">
        <v>1.034179277007147</v>
      </c>
      <c r="X94" s="1999">
        <v>1.0118507754959125</v>
      </c>
      <c r="Y94" s="1979">
        <v>1.0060579802998373</v>
      </c>
      <c r="Z94" s="1979">
        <v>1.0118507754959125</v>
      </c>
      <c r="AA94" s="1979">
        <v>1.0060579802998373</v>
      </c>
      <c r="AB94" s="1979">
        <v>1.0118507754959125</v>
      </c>
      <c r="AC94" s="1979">
        <v>1.0060579802998373</v>
      </c>
      <c r="AD94" s="1979">
        <v>1.0118507754959125</v>
      </c>
      <c r="AE94" s="1979">
        <v>1.0060579802998373</v>
      </c>
      <c r="AF94" s="1979">
        <v>1.0118507754959125</v>
      </c>
      <c r="AG94" s="1979">
        <v>1.0060579802998373</v>
      </c>
      <c r="AH94" s="2000">
        <v>1.0213887038976559</v>
      </c>
      <c r="AI94" s="1998">
        <v>1.0209797472917035</v>
      </c>
      <c r="AJ94" s="1998">
        <v>1.0213887038976559</v>
      </c>
      <c r="AK94" s="1998">
        <v>1.0209797472917035</v>
      </c>
      <c r="AL94" s="1998">
        <v>1.0213887038976559</v>
      </c>
      <c r="AM94" s="1998">
        <v>1.0209797472917035</v>
      </c>
      <c r="AN94" s="1998">
        <v>1.0213887038976559</v>
      </c>
      <c r="AO94" s="1998">
        <v>1.0209797472917035</v>
      </c>
      <c r="AP94" s="1998">
        <v>1.0213887038976559</v>
      </c>
      <c r="AQ94" s="1998">
        <v>1.0209797472917035</v>
      </c>
      <c r="AR94" s="1999">
        <v>1.0157420354354325</v>
      </c>
      <c r="AS94" s="1979">
        <v>1.0153243205893627</v>
      </c>
      <c r="AT94" s="1979">
        <v>1.0157420354354325</v>
      </c>
      <c r="AU94" s="1979">
        <v>1.0153243205893627</v>
      </c>
      <c r="AV94" s="1979">
        <v>1.0157420354354325</v>
      </c>
      <c r="AW94" s="1979">
        <v>1.0153243205893627</v>
      </c>
      <c r="AX94" s="1979">
        <v>1.0157420354354325</v>
      </c>
      <c r="AY94" s="1979">
        <v>1.0153243205893627</v>
      </c>
      <c r="AZ94" s="1979">
        <v>1.0157420354354325</v>
      </c>
      <c r="BA94" s="1979">
        <v>1.0153243205893627</v>
      </c>
      <c r="BB94" s="2000">
        <v>1.40141854193508</v>
      </c>
      <c r="BC94" s="1998">
        <v>1.4092475041878993</v>
      </c>
      <c r="BD94" s="1998">
        <v>1.40141854193508</v>
      </c>
      <c r="BE94" s="1998">
        <v>1.4092475041878993</v>
      </c>
      <c r="BF94" s="1998">
        <v>1.40141854193508</v>
      </c>
      <c r="BG94" s="1998">
        <v>1.4092475041878993</v>
      </c>
      <c r="BH94" s="1998">
        <v>1.40141854193508</v>
      </c>
      <c r="BI94" s="1998">
        <v>1.4092475041878993</v>
      </c>
      <c r="BJ94" s="1998">
        <v>1.40141854193508</v>
      </c>
      <c r="BK94" s="1998">
        <v>1.4092475041878993</v>
      </c>
      <c r="BL94" s="1999">
        <v>1.0311726231989757</v>
      </c>
      <c r="BM94" s="1979">
        <v>1.0292126006031375</v>
      </c>
      <c r="BN94" s="1979">
        <v>1.0311726231989757</v>
      </c>
      <c r="BO94" s="1979">
        <v>1.0292126006031375</v>
      </c>
      <c r="BP94" s="1979">
        <v>1.0311726231989757</v>
      </c>
      <c r="BQ94" s="1979">
        <v>1.0292126006031375</v>
      </c>
      <c r="BR94" s="1979">
        <v>1.0311726231989757</v>
      </c>
      <c r="BS94" s="1979">
        <v>1.0292126006031375</v>
      </c>
      <c r="BT94" s="1979">
        <v>1.0311726231989757</v>
      </c>
      <c r="BU94" s="1979">
        <v>1.0292126006031375</v>
      </c>
      <c r="BV94" s="2000">
        <v>1.0214671801269579</v>
      </c>
      <c r="BW94" s="1998">
        <v>1.0214390644346296</v>
      </c>
      <c r="BX94" s="1998">
        <v>1.0214671801269579</v>
      </c>
      <c r="BY94" s="1998">
        <v>1.0214390644346296</v>
      </c>
      <c r="BZ94" s="1998">
        <v>1.0214671801269579</v>
      </c>
      <c r="CA94" s="1998">
        <v>1.0214390644346296</v>
      </c>
      <c r="CB94" s="1998">
        <v>1.0214671801269579</v>
      </c>
      <c r="CC94" s="1998">
        <v>1.0214390644346296</v>
      </c>
      <c r="CD94" s="1998">
        <v>1.0214671801269579</v>
      </c>
      <c r="CE94" s="1998">
        <v>1.0214390644346296</v>
      </c>
      <c r="CF94" s="1999">
        <v>1.0349309906091928</v>
      </c>
      <c r="CG94" s="1979">
        <v>1.0349881878015106</v>
      </c>
      <c r="CH94" s="1979">
        <v>1.0349309906091928</v>
      </c>
      <c r="CI94" s="1979">
        <v>1.0349881878015106</v>
      </c>
      <c r="CJ94" s="1979">
        <v>1.0349309906091928</v>
      </c>
      <c r="CK94" s="1979">
        <v>1.0349881878015106</v>
      </c>
      <c r="CL94" s="1979">
        <v>1.0349309906091928</v>
      </c>
      <c r="CM94" s="1979">
        <v>1.0349881878015106</v>
      </c>
      <c r="CN94" s="1979">
        <v>1.0349309906091928</v>
      </c>
      <c r="CO94" s="1979">
        <v>1.0349881878015106</v>
      </c>
      <c r="CP94" s="2000">
        <v>1.0366605151957169</v>
      </c>
      <c r="CQ94" s="1998">
        <v>1.0366360621091044</v>
      </c>
      <c r="CR94" s="1998">
        <v>1.0366605151957169</v>
      </c>
      <c r="CS94" s="1998">
        <v>1.0366360621091044</v>
      </c>
      <c r="CT94" s="1998">
        <v>1.0366605151957169</v>
      </c>
      <c r="CU94" s="1998">
        <v>1.0366360621091044</v>
      </c>
      <c r="CV94" s="1998">
        <v>1.0366605151957169</v>
      </c>
      <c r="CW94" s="1998">
        <v>1.0366360621091044</v>
      </c>
      <c r="CX94" s="1998">
        <v>1.0366605151957169</v>
      </c>
      <c r="CY94" s="1998">
        <v>1.0366360621091044</v>
      </c>
      <c r="CZ94" s="1999">
        <v>1.059981437956472</v>
      </c>
      <c r="DA94" s="1979">
        <v>1.0593833390900691</v>
      </c>
      <c r="DB94" s="1979">
        <v>1.059981437956472</v>
      </c>
      <c r="DC94" s="1979">
        <v>1.0593833390900691</v>
      </c>
      <c r="DD94" s="1979">
        <v>1.059981437956472</v>
      </c>
      <c r="DE94" s="1979">
        <v>1.0593833390900691</v>
      </c>
      <c r="DF94" s="1979">
        <v>1.059981437956472</v>
      </c>
      <c r="DG94" s="1979">
        <v>1.0593833390900691</v>
      </c>
      <c r="DH94" s="1979">
        <v>1.059981437956472</v>
      </c>
      <c r="DI94" s="1979">
        <v>1.0593833390900691</v>
      </c>
      <c r="DJ94" s="2000">
        <v>1.0531436744991662</v>
      </c>
      <c r="DK94" s="1998">
        <v>1.0532469496640777</v>
      </c>
      <c r="DL94" s="1998">
        <v>1.0531436744991662</v>
      </c>
      <c r="DM94" s="1998">
        <v>1.0532469496640777</v>
      </c>
      <c r="DN94" s="1998">
        <v>1.0531436744991662</v>
      </c>
      <c r="DO94" s="1998">
        <v>1.0532469496640777</v>
      </c>
      <c r="DP94" s="1998">
        <v>1.0531436744991662</v>
      </c>
      <c r="DQ94" s="1998">
        <v>1.0532469496640777</v>
      </c>
      <c r="DR94" s="1998">
        <v>1.0531436744991662</v>
      </c>
      <c r="DS94" s="1998">
        <v>1.0532469496640777</v>
      </c>
      <c r="GT94" s="1980"/>
      <c r="GU94" s="1980"/>
      <c r="GV94" s="1980"/>
      <c r="GW94" s="1980"/>
      <c r="GX94" s="1980"/>
      <c r="GY94" s="1980"/>
      <c r="GZ94" s="1980"/>
      <c r="HA94" s="1980"/>
      <c r="HB94" s="1980"/>
      <c r="HC94" s="1980"/>
      <c r="HD94" s="1980"/>
      <c r="HE94" s="1980"/>
      <c r="HF94" s="1980"/>
      <c r="HG94" s="1980"/>
      <c r="HH94" s="1980"/>
      <c r="HI94" s="1980"/>
      <c r="HJ94" s="1980"/>
      <c r="HK94" s="1980"/>
      <c r="HL94" s="1980"/>
      <c r="HM94" s="1980"/>
      <c r="HN94" s="1980"/>
      <c r="HO94" s="1980"/>
      <c r="HP94" s="1980"/>
      <c r="HQ94" s="1980"/>
      <c r="HR94" s="1980"/>
      <c r="HS94" s="1980"/>
      <c r="HT94" s="1980"/>
      <c r="HU94" s="1980"/>
      <c r="HV94" s="1980"/>
      <c r="HW94" s="1980"/>
      <c r="HX94" s="1980"/>
      <c r="HY94" s="1980"/>
      <c r="HZ94" s="1980"/>
      <c r="IA94" s="1980"/>
      <c r="IB94" s="1980"/>
      <c r="IC94" s="1980"/>
      <c r="ID94" s="1980"/>
      <c r="IE94" s="1980"/>
      <c r="IF94" s="1980"/>
      <c r="IG94" s="1980"/>
      <c r="IH94" s="1980"/>
      <c r="II94" s="1980"/>
      <c r="IJ94" s="1980"/>
      <c r="IK94" s="1980"/>
      <c r="IL94" s="1980"/>
      <c r="IM94" s="1980"/>
      <c r="IN94" s="1980"/>
      <c r="IO94" s="1980"/>
      <c r="IP94" s="1980"/>
      <c r="IQ94" s="1980"/>
      <c r="IR94" s="1980"/>
      <c r="IS94" s="1980"/>
      <c r="IT94" s="1980"/>
      <c r="IU94" s="1980"/>
      <c r="IV94" s="1980"/>
      <c r="IW94" s="1980"/>
      <c r="IX94" s="1980"/>
      <c r="IY94" s="1980"/>
      <c r="IZ94" s="1980"/>
      <c r="JA94" s="1980"/>
      <c r="JB94" s="1980"/>
      <c r="JC94" s="1980"/>
      <c r="JD94" s="1980"/>
      <c r="JE94" s="1980"/>
      <c r="JF94" s="1980"/>
      <c r="JG94" s="1980"/>
      <c r="JH94" s="1980"/>
      <c r="JI94" s="1980"/>
      <c r="JJ94" s="1980"/>
      <c r="JK94" s="1980"/>
      <c r="JL94" s="1980"/>
      <c r="JM94" s="1980"/>
      <c r="JN94" s="1980"/>
      <c r="JO94" s="1980"/>
      <c r="JP94" s="1980"/>
      <c r="JQ94" s="1980"/>
      <c r="JR94" s="1980"/>
      <c r="JS94" s="1980"/>
      <c r="JT94" s="1980"/>
      <c r="JU94" s="1980"/>
      <c r="JV94" s="1980"/>
      <c r="JW94" s="1980"/>
      <c r="JX94" s="1980"/>
      <c r="JY94" s="1980"/>
      <c r="JZ94" s="1980"/>
      <c r="KA94" s="1980"/>
      <c r="KB94" s="1980"/>
      <c r="KC94" s="1980"/>
      <c r="KD94" s="1980"/>
      <c r="KE94" s="1980"/>
      <c r="KF94" s="1980"/>
      <c r="KG94" s="1980"/>
      <c r="KH94" s="1980"/>
      <c r="KI94" s="1980"/>
      <c r="KJ94" s="1980"/>
      <c r="KK94" s="1980"/>
    </row>
    <row r="95" spans="1:297">
      <c r="A95" s="1997"/>
      <c r="B95" s="2">
        <v>31</v>
      </c>
      <c r="C95" s="2" t="str">
        <f>AD$15</f>
        <v>Pieux en béton coulé sur place</v>
      </c>
      <c r="D95" s="1979">
        <v>1.0037284271901226</v>
      </c>
      <c r="E95" s="1979">
        <v>1.0087568640961355</v>
      </c>
      <c r="F95" s="1979">
        <v>1.0037284271901226</v>
      </c>
      <c r="G95" s="1979">
        <v>1.0087568640961355</v>
      </c>
      <c r="H95" s="1979">
        <v>1.0037284271901226</v>
      </c>
      <c r="I95" s="1979">
        <v>1.0087568640961355</v>
      </c>
      <c r="J95" s="1979">
        <v>1.0037284271901226</v>
      </c>
      <c r="K95" s="1979">
        <v>1.0087568640961355</v>
      </c>
      <c r="L95" s="1979">
        <v>1.0037284271901226</v>
      </c>
      <c r="M95" s="1979">
        <v>1.0087568640961355</v>
      </c>
      <c r="N95" s="2000">
        <v>1.0894512890401353</v>
      </c>
      <c r="O95" s="1998">
        <v>1.1107408416876123</v>
      </c>
      <c r="P95" s="1998">
        <v>1.0894512890401353</v>
      </c>
      <c r="Q95" s="1998">
        <v>1.1107408416876123</v>
      </c>
      <c r="R95" s="1998">
        <v>1.0894512890401353</v>
      </c>
      <c r="S95" s="1998">
        <v>1.1107408416876123</v>
      </c>
      <c r="T95" s="1998">
        <v>1.0894512890401353</v>
      </c>
      <c r="U95" s="1998">
        <v>1.1107408416876123</v>
      </c>
      <c r="V95" s="1998">
        <v>1.0894512890401353</v>
      </c>
      <c r="W95" s="1998">
        <v>1.1107408416876123</v>
      </c>
      <c r="X95" s="1999">
        <v>1.0295778995690765</v>
      </c>
      <c r="Y95" s="1979">
        <v>1.0318016553482365</v>
      </c>
      <c r="Z95" s="1979">
        <v>1.0295778995690765</v>
      </c>
      <c r="AA95" s="1979">
        <v>1.0318016553482365</v>
      </c>
      <c r="AB95" s="1979">
        <v>1.0295778995690765</v>
      </c>
      <c r="AC95" s="1979">
        <v>1.0318016553482365</v>
      </c>
      <c r="AD95" s="1979">
        <v>1.0295778995690765</v>
      </c>
      <c r="AE95" s="1979">
        <v>1.0318016553482365</v>
      </c>
      <c r="AF95" s="1979">
        <v>1.0295778995690765</v>
      </c>
      <c r="AG95" s="1979">
        <v>1.0318016553482365</v>
      </c>
      <c r="AH95" s="2000">
        <v>1.0533832520931459</v>
      </c>
      <c r="AI95" s="1998">
        <v>1.067974371517304</v>
      </c>
      <c r="AJ95" s="1998">
        <v>1.0533832520931459</v>
      </c>
      <c r="AK95" s="1998">
        <v>1.067974371517304</v>
      </c>
      <c r="AL95" s="1998">
        <v>1.0533832520931459</v>
      </c>
      <c r="AM95" s="1998">
        <v>1.067974371517304</v>
      </c>
      <c r="AN95" s="1998">
        <v>1.0533832520931459</v>
      </c>
      <c r="AO95" s="1998">
        <v>1.067974371517304</v>
      </c>
      <c r="AP95" s="1998">
        <v>1.0533832520931459</v>
      </c>
      <c r="AQ95" s="1998">
        <v>1.067974371517304</v>
      </c>
      <c r="AR95" s="1999">
        <v>1.039289947166973</v>
      </c>
      <c r="AS95" s="1979">
        <v>1.0496507916186171</v>
      </c>
      <c r="AT95" s="1979">
        <v>1.039289947166973</v>
      </c>
      <c r="AU95" s="1979">
        <v>1.0496507916186171</v>
      </c>
      <c r="AV95" s="1979">
        <v>1.039289947166973</v>
      </c>
      <c r="AW95" s="1979">
        <v>1.0496507916186171</v>
      </c>
      <c r="AX95" s="1979">
        <v>1.039289947166973</v>
      </c>
      <c r="AY95" s="1979">
        <v>1.0496507916186171</v>
      </c>
      <c r="AZ95" s="1979">
        <v>1.039289947166973</v>
      </c>
      <c r="BA95" s="1979">
        <v>1.0496507916186171</v>
      </c>
      <c r="BB95" s="2000">
        <v>1.5261615238954289</v>
      </c>
      <c r="BC95" s="1998">
        <v>1.5848385303742931</v>
      </c>
      <c r="BD95" s="1998">
        <v>1.5261615238954289</v>
      </c>
      <c r="BE95" s="1998">
        <v>1.5848385303742931</v>
      </c>
      <c r="BF95" s="1998">
        <v>1.5261615238954289</v>
      </c>
      <c r="BG95" s="1998">
        <v>1.5848385303742931</v>
      </c>
      <c r="BH95" s="1998">
        <v>1.5261615238954289</v>
      </c>
      <c r="BI95" s="1998">
        <v>1.5848385303742931</v>
      </c>
      <c r="BJ95" s="1998">
        <v>1.5261615238954289</v>
      </c>
      <c r="BK95" s="1998">
        <v>1.5848385303742931</v>
      </c>
      <c r="BL95" s="1999">
        <v>1.0778025639420794</v>
      </c>
      <c r="BM95" s="1979">
        <v>1.0946488124368183</v>
      </c>
      <c r="BN95" s="1979">
        <v>1.0778025639420794</v>
      </c>
      <c r="BO95" s="1979">
        <v>1.0946488124368183</v>
      </c>
      <c r="BP95" s="1979">
        <v>1.0778025639420794</v>
      </c>
      <c r="BQ95" s="1979">
        <v>1.0946488124368183</v>
      </c>
      <c r="BR95" s="1979">
        <v>1.0778025639420794</v>
      </c>
      <c r="BS95" s="1979">
        <v>1.0946488124368183</v>
      </c>
      <c r="BT95" s="1979">
        <v>1.0778025639420794</v>
      </c>
      <c r="BU95" s="1979">
        <v>1.0946488124368183</v>
      </c>
      <c r="BV95" s="2000">
        <v>1.0535791179273823</v>
      </c>
      <c r="BW95" s="1998">
        <v>1.0694625588478481</v>
      </c>
      <c r="BX95" s="1998">
        <v>1.0535791179273823</v>
      </c>
      <c r="BY95" s="1998">
        <v>1.0694625588478481</v>
      </c>
      <c r="BZ95" s="1998">
        <v>1.0535791179273823</v>
      </c>
      <c r="CA95" s="1998">
        <v>1.0694625588478481</v>
      </c>
      <c r="CB95" s="1998">
        <v>1.0535791179273823</v>
      </c>
      <c r="CC95" s="1998">
        <v>1.0694625588478481</v>
      </c>
      <c r="CD95" s="1998">
        <v>1.0535791179273823</v>
      </c>
      <c r="CE95" s="1998">
        <v>1.0694625588478481</v>
      </c>
      <c r="CF95" s="1999">
        <v>1.0871829301334257</v>
      </c>
      <c r="CG95" s="1979">
        <v>1.1133617122870485</v>
      </c>
      <c r="CH95" s="1979">
        <v>1.0871829301334257</v>
      </c>
      <c r="CI95" s="1979">
        <v>1.1133617122870485</v>
      </c>
      <c r="CJ95" s="1979">
        <v>1.0871829301334257</v>
      </c>
      <c r="CK95" s="1979">
        <v>1.1133617122870485</v>
      </c>
      <c r="CL95" s="1979">
        <v>1.0871829301334257</v>
      </c>
      <c r="CM95" s="1979">
        <v>1.1133617122870485</v>
      </c>
      <c r="CN95" s="1979">
        <v>1.0871829301334257</v>
      </c>
      <c r="CO95" s="1979">
        <v>1.1133617122870485</v>
      </c>
      <c r="CP95" s="2000">
        <v>1.0914995847304267</v>
      </c>
      <c r="CQ95" s="1998">
        <v>1.1187008242811434</v>
      </c>
      <c r="CR95" s="1998">
        <v>1.0914995847304267</v>
      </c>
      <c r="CS95" s="1998">
        <v>1.1187008242811434</v>
      </c>
      <c r="CT95" s="1998">
        <v>1.0914995847304267</v>
      </c>
      <c r="CU95" s="1998">
        <v>1.1187008242811434</v>
      </c>
      <c r="CV95" s="1998">
        <v>1.0914995847304267</v>
      </c>
      <c r="CW95" s="1998">
        <v>1.1187008242811434</v>
      </c>
      <c r="CX95" s="1998">
        <v>1.0914995847304267</v>
      </c>
      <c r="CY95" s="1998">
        <v>1.1187008242811434</v>
      </c>
      <c r="CZ95" s="1999">
        <v>1.1497053883517772</v>
      </c>
      <c r="DA95" s="1979">
        <v>1.1924019911737775</v>
      </c>
      <c r="DB95" s="1979">
        <v>1.1497053883517772</v>
      </c>
      <c r="DC95" s="1979">
        <v>1.1924019911737775</v>
      </c>
      <c r="DD95" s="1979">
        <v>1.1497053883517772</v>
      </c>
      <c r="DE95" s="1979">
        <v>1.1924019911737775</v>
      </c>
      <c r="DF95" s="1979">
        <v>1.1497053883517772</v>
      </c>
      <c r="DG95" s="1979">
        <v>1.1924019911737775</v>
      </c>
      <c r="DH95" s="1979">
        <v>1.1497053883517772</v>
      </c>
      <c r="DI95" s="1979">
        <v>1.1924019911737775</v>
      </c>
      <c r="DJ95" s="2000">
        <v>1.1322726865155595</v>
      </c>
      <c r="DK95" s="1998">
        <v>1.1721502146557041</v>
      </c>
      <c r="DL95" s="1998">
        <v>1.1322726865155595</v>
      </c>
      <c r="DM95" s="1998">
        <v>1.1721502146557041</v>
      </c>
      <c r="DN95" s="1998">
        <v>1.1322726865155595</v>
      </c>
      <c r="DO95" s="1998">
        <v>1.1721502146557041</v>
      </c>
      <c r="DP95" s="1998">
        <v>1.1322726865155595</v>
      </c>
      <c r="DQ95" s="1998">
        <v>1.1721502146557041</v>
      </c>
      <c r="DR95" s="1998">
        <v>1.1322726865155595</v>
      </c>
      <c r="DS95" s="1998">
        <v>1.1721502146557041</v>
      </c>
      <c r="GT95" s="1980"/>
      <c r="GU95" s="1980"/>
      <c r="GV95" s="1980"/>
      <c r="GW95" s="1980"/>
      <c r="GX95" s="1980"/>
      <c r="GY95" s="1980"/>
      <c r="GZ95" s="1980"/>
      <c r="HA95" s="1980"/>
      <c r="HB95" s="1980"/>
      <c r="HC95" s="1980"/>
      <c r="HD95" s="1980"/>
      <c r="HE95" s="1980"/>
      <c r="HF95" s="1980"/>
      <c r="HG95" s="1980"/>
      <c r="HH95" s="1980"/>
      <c r="HI95" s="1980"/>
      <c r="HJ95" s="1980"/>
      <c r="HK95" s="1980"/>
      <c r="HL95" s="1980"/>
      <c r="HM95" s="1980"/>
      <c r="HN95" s="1980"/>
      <c r="HO95" s="1980"/>
      <c r="HP95" s="1980"/>
      <c r="HQ95" s="1980"/>
      <c r="HR95" s="1980"/>
      <c r="HS95" s="1980"/>
      <c r="HT95" s="1980"/>
      <c r="HU95" s="1980"/>
      <c r="HV95" s="1980"/>
      <c r="HW95" s="1980"/>
      <c r="HX95" s="1980"/>
      <c r="HY95" s="1980"/>
      <c r="HZ95" s="1980"/>
      <c r="IA95" s="1980"/>
      <c r="IB95" s="1980"/>
      <c r="IC95" s="1980"/>
      <c r="ID95" s="1980"/>
      <c r="IE95" s="1980"/>
      <c r="IF95" s="1980"/>
      <c r="IG95" s="1980"/>
      <c r="IH95" s="1980"/>
      <c r="II95" s="1980"/>
      <c r="IJ95" s="1980"/>
      <c r="IK95" s="1980"/>
      <c r="IL95" s="1980"/>
      <c r="IM95" s="1980"/>
      <c r="IN95" s="1980"/>
      <c r="IO95" s="1980"/>
      <c r="IP95" s="1980"/>
      <c r="IQ95" s="1980"/>
      <c r="IR95" s="1980"/>
      <c r="IS95" s="1980"/>
      <c r="IT95" s="1980"/>
      <c r="IU95" s="1980"/>
      <c r="IV95" s="1980"/>
      <c r="IW95" s="1980"/>
      <c r="IX95" s="1980"/>
      <c r="IY95" s="1980"/>
      <c r="IZ95" s="1980"/>
      <c r="JA95" s="1980"/>
      <c r="JB95" s="1980"/>
      <c r="JC95" s="1980"/>
      <c r="JD95" s="1980"/>
      <c r="JE95" s="1980"/>
      <c r="JF95" s="1980"/>
      <c r="JG95" s="1980"/>
      <c r="JH95" s="1980"/>
      <c r="JI95" s="1980"/>
      <c r="JJ95" s="1980"/>
      <c r="JK95" s="1980"/>
      <c r="JL95" s="1980"/>
      <c r="JM95" s="1980"/>
      <c r="JN95" s="1980"/>
      <c r="JO95" s="1980"/>
      <c r="JP95" s="1980"/>
      <c r="JQ95" s="1980"/>
      <c r="JR95" s="1980"/>
      <c r="JS95" s="1980"/>
      <c r="JT95" s="1980"/>
      <c r="JU95" s="1980"/>
      <c r="JV95" s="1980"/>
      <c r="JW95" s="1980"/>
      <c r="JX95" s="1980"/>
      <c r="JY95" s="1980"/>
      <c r="JZ95" s="1980"/>
      <c r="KA95" s="1980"/>
      <c r="KB95" s="1980"/>
      <c r="KC95" s="1980"/>
      <c r="KD95" s="1980"/>
      <c r="KE95" s="1980"/>
      <c r="KF95" s="1980"/>
      <c r="KG95" s="1980"/>
      <c r="KH95" s="1980"/>
      <c r="KI95" s="1980"/>
      <c r="KJ95" s="1980"/>
      <c r="KK95" s="1980"/>
    </row>
    <row r="96" spans="1:297">
      <c r="A96" s="1997"/>
      <c r="B96" s="2">
        <v>32</v>
      </c>
      <c r="C96" s="2" t="str">
        <f>AD$16</f>
        <v>Colonnes ballastées</v>
      </c>
      <c r="D96" s="1979">
        <v>0.97125110674546655</v>
      </c>
      <c r="E96" s="1979">
        <v>0.96679150843935979</v>
      </c>
      <c r="F96" s="1979">
        <v>0.97125110674546655</v>
      </c>
      <c r="G96" s="1979">
        <v>0.96679150843935979</v>
      </c>
      <c r="H96" s="1979">
        <v>0.97125110674546655</v>
      </c>
      <c r="I96" s="1979">
        <v>0.96679150843935979</v>
      </c>
      <c r="J96" s="1979">
        <v>0.97125110674546655</v>
      </c>
      <c r="K96" s="1979">
        <v>0.96679150843935979</v>
      </c>
      <c r="L96" s="1979">
        <v>0.97125110674546655</v>
      </c>
      <c r="M96" s="1979">
        <v>0.96679150843935979</v>
      </c>
      <c r="N96" s="2000">
        <v>1.0087543390101477</v>
      </c>
      <c r="O96" s="1998">
        <v>1.006605492030636</v>
      </c>
      <c r="P96" s="1998">
        <v>1.0087543390101477</v>
      </c>
      <c r="Q96" s="1998">
        <v>1.006605492030636</v>
      </c>
      <c r="R96" s="1998">
        <v>1.0087543390101477</v>
      </c>
      <c r="S96" s="1998">
        <v>1.006605492030636</v>
      </c>
      <c r="T96" s="1998">
        <v>1.0087543390101477</v>
      </c>
      <c r="U96" s="1998">
        <v>1.006605492030636</v>
      </c>
      <c r="V96" s="1998">
        <v>1.0087543390101477</v>
      </c>
      <c r="W96" s="1998">
        <v>1.006605492030636</v>
      </c>
      <c r="X96" s="1999">
        <v>1.0028947035063922</v>
      </c>
      <c r="Y96" s="1979">
        <v>0.99678634951156475</v>
      </c>
      <c r="Z96" s="1979">
        <v>1.0028947035063922</v>
      </c>
      <c r="AA96" s="1979">
        <v>0.99678634951156475</v>
      </c>
      <c r="AB96" s="1979">
        <v>1.0028947035063922</v>
      </c>
      <c r="AC96" s="1979">
        <v>0.99678634951156475</v>
      </c>
      <c r="AD96" s="1979">
        <v>1.0028947035063922</v>
      </c>
      <c r="AE96" s="1979">
        <v>0.99678634951156475</v>
      </c>
      <c r="AF96" s="1979">
        <v>1.0028947035063922</v>
      </c>
      <c r="AG96" s="1979">
        <v>0.99678634951156475</v>
      </c>
      <c r="AH96" s="2000">
        <v>1.0052244645247972</v>
      </c>
      <c r="AI96" s="1998">
        <v>1.0040545490038051</v>
      </c>
      <c r="AJ96" s="1998">
        <v>1.0052244645247972</v>
      </c>
      <c r="AK96" s="1998">
        <v>1.0040545490038051</v>
      </c>
      <c r="AL96" s="1998">
        <v>1.0052244645247972</v>
      </c>
      <c r="AM96" s="1998">
        <v>1.0040545490038051</v>
      </c>
      <c r="AN96" s="1998">
        <v>1.0052244645247972</v>
      </c>
      <c r="AO96" s="1998">
        <v>1.0040545490038051</v>
      </c>
      <c r="AP96" s="1998">
        <v>1.0052244645247972</v>
      </c>
      <c r="AQ96" s="1998">
        <v>1.0040545490038051</v>
      </c>
      <c r="AR96" s="1999">
        <v>1.0038451935224337</v>
      </c>
      <c r="AS96" s="1979">
        <v>1.002961580419234</v>
      </c>
      <c r="AT96" s="1979">
        <v>1.0038451935224337</v>
      </c>
      <c r="AU96" s="1979">
        <v>1.002961580419234</v>
      </c>
      <c r="AV96" s="1979">
        <v>1.0038451935224337</v>
      </c>
      <c r="AW96" s="1979">
        <v>1.002961580419234</v>
      </c>
      <c r="AX96" s="1979">
        <v>1.0038451935224337</v>
      </c>
      <c r="AY96" s="1979">
        <v>1.002961580419234</v>
      </c>
      <c r="AZ96" s="1979">
        <v>1.0038451935224337</v>
      </c>
      <c r="BA96" s="1979">
        <v>1.002961580419234</v>
      </c>
      <c r="BB96" s="2000">
        <v>1.338396072976588</v>
      </c>
      <c r="BC96" s="1998">
        <v>1.3460080808548507</v>
      </c>
      <c r="BD96" s="1998">
        <v>1.338396072976588</v>
      </c>
      <c r="BE96" s="1998">
        <v>1.3460080808548507</v>
      </c>
      <c r="BF96" s="1998">
        <v>1.338396072976588</v>
      </c>
      <c r="BG96" s="1998">
        <v>1.3460080808548507</v>
      </c>
      <c r="BH96" s="1998">
        <v>1.338396072976588</v>
      </c>
      <c r="BI96" s="1998">
        <v>1.3460080808548507</v>
      </c>
      <c r="BJ96" s="1998">
        <v>1.338396072976588</v>
      </c>
      <c r="BK96" s="1998">
        <v>1.3460080808548507</v>
      </c>
      <c r="BL96" s="1999">
        <v>1.0076143119670644</v>
      </c>
      <c r="BM96" s="1979">
        <v>1.0056456314285942</v>
      </c>
      <c r="BN96" s="1979">
        <v>1.0076143119670644</v>
      </c>
      <c r="BO96" s="1979">
        <v>1.0056456314285942</v>
      </c>
      <c r="BP96" s="1979">
        <v>1.0076143119670644</v>
      </c>
      <c r="BQ96" s="1979">
        <v>1.0056456314285942</v>
      </c>
      <c r="BR96" s="1979">
        <v>1.0076143119670644</v>
      </c>
      <c r="BS96" s="1979">
        <v>1.0056456314285942</v>
      </c>
      <c r="BT96" s="1979">
        <v>1.0076143119670644</v>
      </c>
      <c r="BU96" s="1979">
        <v>1.0056456314285942</v>
      </c>
      <c r="BV96" s="2000">
        <v>1.0052436333476482</v>
      </c>
      <c r="BW96" s="1998">
        <v>1.0041433167014511</v>
      </c>
      <c r="BX96" s="1998">
        <v>1.0052436333476482</v>
      </c>
      <c r="BY96" s="1998">
        <v>1.0041433167014511</v>
      </c>
      <c r="BZ96" s="1998">
        <v>1.0052436333476482</v>
      </c>
      <c r="CA96" s="1998">
        <v>1.0041433167014511</v>
      </c>
      <c r="CB96" s="1998">
        <v>1.0052436333476482</v>
      </c>
      <c r="CC96" s="1998">
        <v>1.0041433167014511</v>
      </c>
      <c r="CD96" s="1998">
        <v>1.0052436333476482</v>
      </c>
      <c r="CE96" s="1998">
        <v>1.0041433167014511</v>
      </c>
      <c r="CF96" s="1999">
        <v>1.0085323412829028</v>
      </c>
      <c r="CG96" s="1979">
        <v>1.0067618222480523</v>
      </c>
      <c r="CH96" s="1979">
        <v>1.0085323412829028</v>
      </c>
      <c r="CI96" s="1979">
        <v>1.0067618222480523</v>
      </c>
      <c r="CJ96" s="1979">
        <v>1.0085323412829028</v>
      </c>
      <c r="CK96" s="1979">
        <v>1.0067618222480523</v>
      </c>
      <c r="CL96" s="1979">
        <v>1.0085323412829028</v>
      </c>
      <c r="CM96" s="1979">
        <v>1.0067618222480523</v>
      </c>
      <c r="CN96" s="1979">
        <v>1.0085323412829028</v>
      </c>
      <c r="CO96" s="1979">
        <v>1.0067618222480523</v>
      </c>
      <c r="CP96" s="2000">
        <v>1.0089547997867139</v>
      </c>
      <c r="CQ96" s="1998">
        <v>1.0070802906756915</v>
      </c>
      <c r="CR96" s="1998">
        <v>1.0089547997867139</v>
      </c>
      <c r="CS96" s="1998">
        <v>1.0070802906756915</v>
      </c>
      <c r="CT96" s="1998">
        <v>1.0089547997867139</v>
      </c>
      <c r="CU96" s="1998">
        <v>1.0070802906756915</v>
      </c>
      <c r="CV96" s="1998">
        <v>1.0089547997867139</v>
      </c>
      <c r="CW96" s="1998">
        <v>1.0070802906756915</v>
      </c>
      <c r="CX96" s="1998">
        <v>1.0089547997867139</v>
      </c>
      <c r="CY96" s="1998">
        <v>1.0070802906756915</v>
      </c>
      <c r="CZ96" s="1999">
        <v>1.0146512334851789</v>
      </c>
      <c r="DA96" s="1979">
        <v>1.011476432723547</v>
      </c>
      <c r="DB96" s="1979">
        <v>1.0146512334851789</v>
      </c>
      <c r="DC96" s="1979">
        <v>1.011476432723547</v>
      </c>
      <c r="DD96" s="1979">
        <v>1.0146512334851789</v>
      </c>
      <c r="DE96" s="1979">
        <v>1.011476432723547</v>
      </c>
      <c r="DF96" s="1979">
        <v>1.0146512334851789</v>
      </c>
      <c r="DG96" s="1979">
        <v>1.011476432723547</v>
      </c>
      <c r="DH96" s="1979">
        <v>1.0146512334851789</v>
      </c>
      <c r="DI96" s="1979">
        <v>1.011476432723547</v>
      </c>
      <c r="DJ96" s="2000">
        <v>1.0131662294746078</v>
      </c>
      <c r="DK96" s="1998">
        <v>1.0104237253012045</v>
      </c>
      <c r="DL96" s="1998">
        <v>1.0131662294746078</v>
      </c>
      <c r="DM96" s="1998">
        <v>1.0104237253012045</v>
      </c>
      <c r="DN96" s="1998">
        <v>1.0131662294746078</v>
      </c>
      <c r="DO96" s="1998">
        <v>1.0104237253012045</v>
      </c>
      <c r="DP96" s="1998">
        <v>1.0131662294746078</v>
      </c>
      <c r="DQ96" s="1998">
        <v>1.0104237253012045</v>
      </c>
      <c r="DR96" s="1998">
        <v>1.0131662294746078</v>
      </c>
      <c r="DS96" s="1998">
        <v>1.0104237253012045</v>
      </c>
      <c r="GT96" s="1980"/>
      <c r="GU96" s="1980"/>
      <c r="GV96" s="1980"/>
      <c r="GW96" s="1980"/>
      <c r="GX96" s="1980"/>
      <c r="GY96" s="1980"/>
      <c r="GZ96" s="1980"/>
      <c r="HA96" s="1980"/>
      <c r="HB96" s="1980"/>
      <c r="HC96" s="1980"/>
      <c r="HD96" s="1980"/>
      <c r="HE96" s="1980"/>
      <c r="HF96" s="1980"/>
      <c r="HG96" s="1980"/>
      <c r="HH96" s="1980"/>
      <c r="HI96" s="1980"/>
      <c r="HJ96" s="1980"/>
      <c r="HK96" s="1980"/>
      <c r="HL96" s="1980"/>
      <c r="HM96" s="1980"/>
      <c r="HN96" s="1980"/>
      <c r="HO96" s="1980"/>
      <c r="HP96" s="1980"/>
      <c r="HQ96" s="1980"/>
      <c r="HR96" s="1980"/>
      <c r="HS96" s="1980"/>
      <c r="HT96" s="1980"/>
      <c r="HU96" s="1980"/>
      <c r="HV96" s="1980"/>
      <c r="HW96" s="1980"/>
      <c r="HX96" s="1980"/>
      <c r="HY96" s="1980"/>
      <c r="HZ96" s="1980"/>
      <c r="IA96" s="1980"/>
      <c r="IB96" s="1980"/>
      <c r="IC96" s="1980"/>
      <c r="ID96" s="1980"/>
      <c r="IE96" s="1980"/>
      <c r="IF96" s="1980"/>
      <c r="IG96" s="1980"/>
      <c r="IH96" s="1980"/>
      <c r="II96" s="1980"/>
      <c r="IJ96" s="1980"/>
      <c r="IK96" s="1980"/>
      <c r="IL96" s="1980"/>
      <c r="IM96" s="1980"/>
      <c r="IN96" s="1980"/>
      <c r="IO96" s="1980"/>
      <c r="IP96" s="1980"/>
      <c r="IQ96" s="1980"/>
      <c r="IR96" s="1980"/>
      <c r="IS96" s="1980"/>
      <c r="IT96" s="1980"/>
      <c r="IU96" s="1980"/>
      <c r="IV96" s="1980"/>
      <c r="IW96" s="1980"/>
      <c r="IX96" s="1980"/>
      <c r="IY96" s="1980"/>
      <c r="IZ96" s="1980"/>
      <c r="JA96" s="1980"/>
      <c r="JB96" s="1980"/>
      <c r="JC96" s="1980"/>
      <c r="JD96" s="1980"/>
      <c r="JE96" s="1980"/>
      <c r="JF96" s="1980"/>
      <c r="JG96" s="1980"/>
      <c r="JH96" s="1980"/>
      <c r="JI96" s="1980"/>
      <c r="JJ96" s="1980"/>
      <c r="JK96" s="1980"/>
      <c r="JL96" s="1980"/>
      <c r="JM96" s="1980"/>
      <c r="JN96" s="1980"/>
      <c r="JO96" s="1980"/>
      <c r="JP96" s="1980"/>
      <c r="JQ96" s="1980"/>
      <c r="JR96" s="1980"/>
      <c r="JS96" s="1980"/>
      <c r="JT96" s="1980"/>
      <c r="JU96" s="1980"/>
      <c r="JV96" s="1980"/>
      <c r="JW96" s="1980"/>
      <c r="JX96" s="1980"/>
      <c r="JY96" s="1980"/>
      <c r="JZ96" s="1980"/>
      <c r="KA96" s="1980"/>
      <c r="KB96" s="1980"/>
      <c r="KC96" s="1980"/>
      <c r="KD96" s="1980"/>
      <c r="KE96" s="1980"/>
      <c r="KF96" s="1980"/>
      <c r="KG96" s="1980"/>
      <c r="KH96" s="1980"/>
      <c r="KI96" s="1980"/>
      <c r="KJ96" s="1980"/>
      <c r="KK96" s="1980"/>
    </row>
    <row r="97" spans="1:297">
      <c r="A97" s="1997"/>
      <c r="B97" s="2">
        <v>33</v>
      </c>
      <c r="C97" s="2" t="str">
        <f>AD$17</f>
        <v>Pieu en béton préfabriqué (battus)</v>
      </c>
      <c r="D97" s="1979">
        <v>0.97582476936753082</v>
      </c>
      <c r="E97" s="1979">
        <v>0.97696278685316518</v>
      </c>
      <c r="F97" s="1979">
        <v>0.97582476936753082</v>
      </c>
      <c r="G97" s="1979">
        <v>0.97696278685316518</v>
      </c>
      <c r="H97" s="1979">
        <v>0.97582476936753082</v>
      </c>
      <c r="I97" s="1979">
        <v>0.97696278685316518</v>
      </c>
      <c r="J97" s="1979">
        <v>0.97582476936753082</v>
      </c>
      <c r="K97" s="1979">
        <v>0.97696278685316518</v>
      </c>
      <c r="L97" s="1979">
        <v>0.97582476936753082</v>
      </c>
      <c r="M97" s="1979">
        <v>0.97696278685316518</v>
      </c>
      <c r="N97" s="2000">
        <v>1.0201185962522339</v>
      </c>
      <c r="O97" s="1998">
        <v>1.031845112129246</v>
      </c>
      <c r="P97" s="1998">
        <v>1.0201185962522339</v>
      </c>
      <c r="Q97" s="1998">
        <v>1.031845112129246</v>
      </c>
      <c r="R97" s="1998">
        <v>1.0201185962522339</v>
      </c>
      <c r="S97" s="1998">
        <v>1.031845112129246</v>
      </c>
      <c r="T97" s="1998">
        <v>1.0201185962522339</v>
      </c>
      <c r="U97" s="1998">
        <v>1.031845112129246</v>
      </c>
      <c r="V97" s="1998">
        <v>1.0201185962522339</v>
      </c>
      <c r="W97" s="1998">
        <v>1.031845112129246</v>
      </c>
      <c r="X97" s="1999">
        <v>1.0066524007178073</v>
      </c>
      <c r="Y97" s="1979">
        <v>1.0052731219655431</v>
      </c>
      <c r="Z97" s="1979">
        <v>1.0066524007178073</v>
      </c>
      <c r="AA97" s="1979">
        <v>1.0052731219655431</v>
      </c>
      <c r="AB97" s="1979">
        <v>1.0066524007178073</v>
      </c>
      <c r="AC97" s="1979">
        <v>1.0052731219655431</v>
      </c>
      <c r="AD97" s="1979">
        <v>1.0066524007178073</v>
      </c>
      <c r="AE97" s="1979">
        <v>1.0052731219655431</v>
      </c>
      <c r="AF97" s="1979">
        <v>1.0066524007178073</v>
      </c>
      <c r="AG97" s="1979">
        <v>1.0052731219655431</v>
      </c>
      <c r="AH97" s="2000">
        <v>1.0120064909854047</v>
      </c>
      <c r="AI97" s="1998">
        <v>1.0195470022612778</v>
      </c>
      <c r="AJ97" s="1998">
        <v>1.0120064909854047</v>
      </c>
      <c r="AK97" s="1998">
        <v>1.0195470022612778</v>
      </c>
      <c r="AL97" s="1998">
        <v>1.0120064909854047</v>
      </c>
      <c r="AM97" s="1998">
        <v>1.0195470022612778</v>
      </c>
      <c r="AN97" s="1998">
        <v>1.0120064909854047</v>
      </c>
      <c r="AO97" s="1998">
        <v>1.0195470022612778</v>
      </c>
      <c r="AP97" s="1998">
        <v>1.0120064909854047</v>
      </c>
      <c r="AQ97" s="1998">
        <v>1.0195470022612778</v>
      </c>
      <c r="AR97" s="1999">
        <v>1.0088367489424246</v>
      </c>
      <c r="AS97" s="1979">
        <v>1.0142777949156363</v>
      </c>
      <c r="AT97" s="1979">
        <v>1.0088367489424246</v>
      </c>
      <c r="AU97" s="1979">
        <v>1.0142777949156363</v>
      </c>
      <c r="AV97" s="1979">
        <v>1.0088367489424246</v>
      </c>
      <c r="AW97" s="1979">
        <v>1.0142777949156363</v>
      </c>
      <c r="AX97" s="1979">
        <v>1.0088367489424246</v>
      </c>
      <c r="AY97" s="1979">
        <v>1.0142777949156363</v>
      </c>
      <c r="AZ97" s="1979">
        <v>1.0088367489424246</v>
      </c>
      <c r="BA97" s="1979">
        <v>1.0142777949156363</v>
      </c>
      <c r="BB97" s="2000">
        <v>1.3648383968144167</v>
      </c>
      <c r="BC97" s="1998">
        <v>1.4038941861371332</v>
      </c>
      <c r="BD97" s="1998">
        <v>1.3648383968144167</v>
      </c>
      <c r="BE97" s="1998">
        <v>1.4038941861371332</v>
      </c>
      <c r="BF97" s="1998">
        <v>1.3648383968144167</v>
      </c>
      <c r="BG97" s="1998">
        <v>1.4038941861371332</v>
      </c>
      <c r="BH97" s="1998">
        <v>1.3648383968144167</v>
      </c>
      <c r="BI97" s="1998">
        <v>1.4038941861371332</v>
      </c>
      <c r="BJ97" s="1998">
        <v>1.3648383968144167</v>
      </c>
      <c r="BK97" s="1998">
        <v>1.4038941861371332</v>
      </c>
      <c r="BL97" s="1999">
        <v>1.0174986675780264</v>
      </c>
      <c r="BM97" s="1979">
        <v>1.027217619073665</v>
      </c>
      <c r="BN97" s="1979">
        <v>1.0174986675780264</v>
      </c>
      <c r="BO97" s="1979">
        <v>1.027217619073665</v>
      </c>
      <c r="BP97" s="1979">
        <v>1.0174986675780264</v>
      </c>
      <c r="BQ97" s="1979">
        <v>1.027217619073665</v>
      </c>
      <c r="BR97" s="1979">
        <v>1.0174986675780264</v>
      </c>
      <c r="BS97" s="1979">
        <v>1.027217619073665</v>
      </c>
      <c r="BT97" s="1979">
        <v>1.0174986675780264</v>
      </c>
      <c r="BU97" s="1979">
        <v>1.027217619073665</v>
      </c>
      <c r="BV97" s="2000">
        <v>1.0120505434041112</v>
      </c>
      <c r="BW97" s="1998">
        <v>1.019974951802642</v>
      </c>
      <c r="BX97" s="1998">
        <v>1.0120505434041112</v>
      </c>
      <c r="BY97" s="1998">
        <v>1.019974951802642</v>
      </c>
      <c r="BZ97" s="1998">
        <v>1.0120505434041112</v>
      </c>
      <c r="CA97" s="1998">
        <v>1.019974951802642</v>
      </c>
      <c r="CB97" s="1998">
        <v>1.0120505434041112</v>
      </c>
      <c r="CC97" s="1998">
        <v>1.019974951802642</v>
      </c>
      <c r="CD97" s="1998">
        <v>1.0120505434041112</v>
      </c>
      <c r="CE97" s="1998">
        <v>1.019974951802642</v>
      </c>
      <c r="CF97" s="1999">
        <v>1.0196084169413604</v>
      </c>
      <c r="CG97" s="1979">
        <v>1.0325987809369181</v>
      </c>
      <c r="CH97" s="1979">
        <v>1.0196084169413604</v>
      </c>
      <c r="CI97" s="1979">
        <v>1.0325987809369181</v>
      </c>
      <c r="CJ97" s="1979">
        <v>1.0196084169413604</v>
      </c>
      <c r="CK97" s="1979">
        <v>1.0325987809369181</v>
      </c>
      <c r="CL97" s="1979">
        <v>1.0196084169413604</v>
      </c>
      <c r="CM97" s="1979">
        <v>1.0325987809369181</v>
      </c>
      <c r="CN97" s="1979">
        <v>1.0196084169413604</v>
      </c>
      <c r="CO97" s="1979">
        <v>1.0325987809369181</v>
      </c>
      <c r="CP97" s="2000">
        <v>1.0205792808822751</v>
      </c>
      <c r="CQ97" s="1998">
        <v>1.0341341189163979</v>
      </c>
      <c r="CR97" s="1998">
        <v>1.0205792808822751</v>
      </c>
      <c r="CS97" s="1998">
        <v>1.0341341189163979</v>
      </c>
      <c r="CT97" s="1998">
        <v>1.0205792808822751</v>
      </c>
      <c r="CU97" s="1998">
        <v>1.0341341189163979</v>
      </c>
      <c r="CV97" s="1998">
        <v>1.0205792808822751</v>
      </c>
      <c r="CW97" s="1998">
        <v>1.0341341189163979</v>
      </c>
      <c r="CX97" s="1998">
        <v>1.0205792808822751</v>
      </c>
      <c r="CY97" s="1998">
        <v>1.0341341189163979</v>
      </c>
      <c r="CZ97" s="1999">
        <v>1.0336704176915985</v>
      </c>
      <c r="DA97" s="1979">
        <v>1.0553279430555793</v>
      </c>
      <c r="DB97" s="1979">
        <v>1.0336704176915985</v>
      </c>
      <c r="DC97" s="1979">
        <v>1.0553279430555793</v>
      </c>
      <c r="DD97" s="1979">
        <v>1.0336704176915985</v>
      </c>
      <c r="DE97" s="1979">
        <v>1.0553279430555793</v>
      </c>
      <c r="DF97" s="1979">
        <v>1.0336704176915985</v>
      </c>
      <c r="DG97" s="1979">
        <v>1.0553279430555793</v>
      </c>
      <c r="DH97" s="1979">
        <v>1.0336704176915985</v>
      </c>
      <c r="DI97" s="1979">
        <v>1.0553279430555793</v>
      </c>
      <c r="DJ97" s="2000">
        <v>1.0299395575434369</v>
      </c>
      <c r="DK97" s="1998">
        <v>1.0496218954195684</v>
      </c>
      <c r="DL97" s="1998">
        <v>1.0299395575434369</v>
      </c>
      <c r="DM97" s="1998">
        <v>1.0496218954195684</v>
      </c>
      <c r="DN97" s="1998">
        <v>1.0299395575434369</v>
      </c>
      <c r="DO97" s="1998">
        <v>1.0496218954195684</v>
      </c>
      <c r="DP97" s="1998">
        <v>1.0299395575434369</v>
      </c>
      <c r="DQ97" s="1998">
        <v>1.0496218954195684</v>
      </c>
      <c r="DR97" s="1998">
        <v>1.0299395575434369</v>
      </c>
      <c r="DS97" s="1998">
        <v>1.0496218954195684</v>
      </c>
      <c r="GT97" s="1980"/>
      <c r="GU97" s="1980"/>
      <c r="GV97" s="1980"/>
      <c r="GW97" s="1980"/>
      <c r="GX97" s="1980"/>
      <c r="GY97" s="1980"/>
      <c r="GZ97" s="1980"/>
      <c r="HA97" s="1980"/>
      <c r="HB97" s="1980"/>
      <c r="HC97" s="1980"/>
      <c r="HD97" s="1980"/>
      <c r="HE97" s="1980"/>
      <c r="HF97" s="1980"/>
      <c r="HG97" s="1980"/>
      <c r="HH97" s="1980"/>
      <c r="HI97" s="1980"/>
      <c r="HJ97" s="1980"/>
      <c r="HK97" s="1980"/>
      <c r="HL97" s="1980"/>
      <c r="HM97" s="1980"/>
      <c r="HN97" s="1980"/>
      <c r="HO97" s="1980"/>
      <c r="HP97" s="1980"/>
      <c r="HQ97" s="1980"/>
      <c r="HR97" s="1980"/>
      <c r="HS97" s="1980"/>
      <c r="HT97" s="1980"/>
      <c r="HU97" s="1980"/>
      <c r="HV97" s="1980"/>
      <c r="HW97" s="1980"/>
      <c r="HX97" s="1980"/>
      <c r="HY97" s="1980"/>
      <c r="HZ97" s="1980"/>
      <c r="IA97" s="1980"/>
      <c r="IB97" s="1980"/>
      <c r="IC97" s="1980"/>
      <c r="ID97" s="1980"/>
      <c r="IE97" s="1980"/>
      <c r="IF97" s="1980"/>
      <c r="IG97" s="1980"/>
      <c r="IH97" s="1980"/>
      <c r="II97" s="1980"/>
      <c r="IJ97" s="1980"/>
      <c r="IK97" s="1980"/>
      <c r="IL97" s="1980"/>
      <c r="IM97" s="1980"/>
      <c r="IN97" s="1980"/>
      <c r="IO97" s="1980"/>
      <c r="IP97" s="1980"/>
      <c r="IQ97" s="1980"/>
      <c r="IR97" s="1980"/>
      <c r="IS97" s="1980"/>
      <c r="IT97" s="1980"/>
      <c r="IU97" s="1980"/>
      <c r="IV97" s="1980"/>
      <c r="IW97" s="1980"/>
      <c r="IX97" s="1980"/>
      <c r="IY97" s="1980"/>
      <c r="IZ97" s="1980"/>
      <c r="JA97" s="1980"/>
      <c r="JB97" s="1980"/>
      <c r="JC97" s="1980"/>
      <c r="JD97" s="1980"/>
      <c r="JE97" s="1980"/>
      <c r="JF97" s="1980"/>
      <c r="JG97" s="1980"/>
      <c r="JH97" s="1980"/>
      <c r="JI97" s="1980"/>
      <c r="JJ97" s="1980"/>
      <c r="JK97" s="1980"/>
      <c r="JL97" s="1980"/>
      <c r="JM97" s="1980"/>
      <c r="JN97" s="1980"/>
      <c r="JO97" s="1980"/>
      <c r="JP97" s="1980"/>
      <c r="JQ97" s="1980"/>
      <c r="JR97" s="1980"/>
      <c r="JS97" s="1980"/>
      <c r="JT97" s="1980"/>
      <c r="JU97" s="1980"/>
      <c r="JV97" s="1980"/>
      <c r="JW97" s="1980"/>
      <c r="JX97" s="1980"/>
      <c r="JY97" s="1980"/>
      <c r="JZ97" s="1980"/>
      <c r="KA97" s="1980"/>
      <c r="KB97" s="1980"/>
      <c r="KC97" s="1980"/>
      <c r="KD97" s="1980"/>
      <c r="KE97" s="1980"/>
      <c r="KF97" s="1980"/>
      <c r="KG97" s="1980"/>
      <c r="KH97" s="1980"/>
      <c r="KI97" s="1980"/>
      <c r="KJ97" s="1980"/>
      <c r="KK97" s="1980"/>
    </row>
    <row r="98" spans="1:297">
      <c r="A98" s="1997"/>
      <c r="B98" s="2">
        <v>34</v>
      </c>
      <c r="C98" s="2" t="str">
        <f>AF$13</f>
        <v/>
      </c>
      <c r="D98" s="1979">
        <v>0.96772783265384288</v>
      </c>
      <c r="E98" s="1979">
        <v>0.96412957065102256</v>
      </c>
      <c r="F98" s="1979">
        <v>0.96772783265384288</v>
      </c>
      <c r="G98" s="1979">
        <v>0.96412957065102256</v>
      </c>
      <c r="H98" s="1979">
        <v>0.96772783265384288</v>
      </c>
      <c r="I98" s="1979">
        <v>0.96412957065102256</v>
      </c>
      <c r="J98" s="1979">
        <v>0.96772783265384288</v>
      </c>
      <c r="K98" s="1979">
        <v>0.96412957065102256</v>
      </c>
      <c r="L98" s="1979">
        <v>0.96772783265384288</v>
      </c>
      <c r="M98" s="1979">
        <v>0.96412957065102256</v>
      </c>
      <c r="N98" s="2000">
        <v>1</v>
      </c>
      <c r="O98" s="1998">
        <v>1</v>
      </c>
      <c r="P98" s="1998">
        <v>1</v>
      </c>
      <c r="Q98" s="1998">
        <v>1</v>
      </c>
      <c r="R98" s="1998">
        <v>1</v>
      </c>
      <c r="S98" s="1998">
        <v>1</v>
      </c>
      <c r="T98" s="1998">
        <v>1</v>
      </c>
      <c r="U98" s="1998">
        <v>1</v>
      </c>
      <c r="V98" s="1998">
        <v>1</v>
      </c>
      <c r="W98" s="1998">
        <v>1</v>
      </c>
      <c r="X98" s="1999">
        <v>1</v>
      </c>
      <c r="Y98" s="1979">
        <v>0.99456526585057647</v>
      </c>
      <c r="Z98" s="1979">
        <v>1</v>
      </c>
      <c r="AA98" s="1979">
        <v>0.99456526585057647</v>
      </c>
      <c r="AB98" s="1979">
        <v>1</v>
      </c>
      <c r="AC98" s="1979">
        <v>0.99456526585057647</v>
      </c>
      <c r="AD98" s="1979">
        <v>1</v>
      </c>
      <c r="AE98" s="1979">
        <v>0.99456526585057647</v>
      </c>
      <c r="AF98" s="1979">
        <v>1</v>
      </c>
      <c r="AG98" s="1979">
        <v>0.99456526585057647</v>
      </c>
      <c r="AH98" s="2000">
        <v>1</v>
      </c>
      <c r="AI98" s="1998">
        <v>1</v>
      </c>
      <c r="AJ98" s="1998">
        <v>1</v>
      </c>
      <c r="AK98" s="1998">
        <v>1</v>
      </c>
      <c r="AL98" s="1998">
        <v>1</v>
      </c>
      <c r="AM98" s="1998">
        <v>1</v>
      </c>
      <c r="AN98" s="1998">
        <v>1</v>
      </c>
      <c r="AO98" s="1998">
        <v>1</v>
      </c>
      <c r="AP98" s="1998">
        <v>1</v>
      </c>
      <c r="AQ98" s="1998">
        <v>1</v>
      </c>
      <c r="AR98" s="1999">
        <v>1</v>
      </c>
      <c r="AS98" s="1979">
        <v>1</v>
      </c>
      <c r="AT98" s="1979">
        <v>1</v>
      </c>
      <c r="AU98" s="1979">
        <v>1</v>
      </c>
      <c r="AV98" s="1979">
        <v>1</v>
      </c>
      <c r="AW98" s="1979">
        <v>1</v>
      </c>
      <c r="AX98" s="1979">
        <v>1</v>
      </c>
      <c r="AY98" s="1979">
        <v>1</v>
      </c>
      <c r="AZ98" s="1979">
        <v>1</v>
      </c>
      <c r="BA98" s="1979">
        <v>1</v>
      </c>
      <c r="BB98" s="2000">
        <v>1.3180265000109936</v>
      </c>
      <c r="BC98" s="1998">
        <v>1.3308586370188196</v>
      </c>
      <c r="BD98" s="1998">
        <v>1.3180265000109936</v>
      </c>
      <c r="BE98" s="1998">
        <v>1.3308586370188196</v>
      </c>
      <c r="BF98" s="1998">
        <v>1.3180265000109936</v>
      </c>
      <c r="BG98" s="1998">
        <v>1.3308586370188196</v>
      </c>
      <c r="BH98" s="1998">
        <v>1.3180265000109936</v>
      </c>
      <c r="BI98" s="1998">
        <v>1.3308586370188196</v>
      </c>
      <c r="BJ98" s="1998">
        <v>1.3180265000109936</v>
      </c>
      <c r="BK98" s="1998">
        <v>1.3308586370188196</v>
      </c>
      <c r="BL98" s="1999">
        <v>1</v>
      </c>
      <c r="BM98" s="1979">
        <v>1</v>
      </c>
      <c r="BN98" s="1979">
        <v>1</v>
      </c>
      <c r="BO98" s="1979">
        <v>1</v>
      </c>
      <c r="BP98" s="1979">
        <v>1</v>
      </c>
      <c r="BQ98" s="1979">
        <v>1</v>
      </c>
      <c r="BR98" s="1979">
        <v>1</v>
      </c>
      <c r="BS98" s="1979">
        <v>1</v>
      </c>
      <c r="BT98" s="1979">
        <v>1</v>
      </c>
      <c r="BU98" s="1979">
        <v>1</v>
      </c>
      <c r="BV98" s="2000">
        <v>1</v>
      </c>
      <c r="BW98" s="1998">
        <v>1</v>
      </c>
      <c r="BX98" s="1998">
        <v>1</v>
      </c>
      <c r="BY98" s="1998">
        <v>1</v>
      </c>
      <c r="BZ98" s="1998">
        <v>1</v>
      </c>
      <c r="CA98" s="1998">
        <v>1</v>
      </c>
      <c r="CB98" s="1998">
        <v>1</v>
      </c>
      <c r="CC98" s="1998">
        <v>1</v>
      </c>
      <c r="CD98" s="1998">
        <v>1</v>
      </c>
      <c r="CE98" s="1998">
        <v>1</v>
      </c>
      <c r="CF98" s="1999">
        <v>1</v>
      </c>
      <c r="CG98" s="1979">
        <v>1</v>
      </c>
      <c r="CH98" s="1979">
        <v>1</v>
      </c>
      <c r="CI98" s="1979">
        <v>1</v>
      </c>
      <c r="CJ98" s="1979">
        <v>1</v>
      </c>
      <c r="CK98" s="1979">
        <v>1</v>
      </c>
      <c r="CL98" s="1979">
        <v>1</v>
      </c>
      <c r="CM98" s="1979">
        <v>1</v>
      </c>
      <c r="CN98" s="1979">
        <v>1</v>
      </c>
      <c r="CO98" s="1979">
        <v>1</v>
      </c>
      <c r="CP98" s="2000">
        <v>1</v>
      </c>
      <c r="CQ98" s="1998">
        <v>1</v>
      </c>
      <c r="CR98" s="1998">
        <v>1</v>
      </c>
      <c r="CS98" s="1998">
        <v>1</v>
      </c>
      <c r="CT98" s="1998">
        <v>1</v>
      </c>
      <c r="CU98" s="1998">
        <v>1</v>
      </c>
      <c r="CV98" s="1998">
        <v>1</v>
      </c>
      <c r="CW98" s="1998">
        <v>1</v>
      </c>
      <c r="CX98" s="1998">
        <v>1</v>
      </c>
      <c r="CY98" s="1998">
        <v>1</v>
      </c>
      <c r="CZ98" s="1999">
        <v>1</v>
      </c>
      <c r="DA98" s="1979">
        <v>1</v>
      </c>
      <c r="DB98" s="1979">
        <v>1</v>
      </c>
      <c r="DC98" s="1979">
        <v>1</v>
      </c>
      <c r="DD98" s="1979">
        <v>1</v>
      </c>
      <c r="DE98" s="1979">
        <v>1</v>
      </c>
      <c r="DF98" s="1979">
        <v>1</v>
      </c>
      <c r="DG98" s="1979">
        <v>1</v>
      </c>
      <c r="DH98" s="1979">
        <v>1</v>
      </c>
      <c r="DI98" s="1979">
        <v>1</v>
      </c>
      <c r="DJ98" s="2000">
        <v>1.0002450682306379</v>
      </c>
      <c r="DK98" s="1998">
        <v>1.0001651239704095</v>
      </c>
      <c r="DL98" s="1998">
        <v>1.0002450682306379</v>
      </c>
      <c r="DM98" s="1998">
        <v>1.0001651239704095</v>
      </c>
      <c r="DN98" s="1998">
        <v>1.0002450682306379</v>
      </c>
      <c r="DO98" s="1998">
        <v>1.0001651239704095</v>
      </c>
      <c r="DP98" s="1998">
        <v>1.0002450682306379</v>
      </c>
      <c r="DQ98" s="1998">
        <v>1.0001651239704095</v>
      </c>
      <c r="DR98" s="1998">
        <v>1.0002450682306379</v>
      </c>
      <c r="DS98" s="1998">
        <v>1.0001651239704095</v>
      </c>
      <c r="GT98" s="1980"/>
      <c r="GU98" s="1980"/>
      <c r="GV98" s="1980"/>
      <c r="GW98" s="1980"/>
      <c r="GX98" s="1980"/>
      <c r="GY98" s="1980"/>
      <c r="GZ98" s="1980"/>
      <c r="HA98" s="1980"/>
      <c r="HB98" s="1980"/>
      <c r="HC98" s="1980"/>
      <c r="HD98" s="1980"/>
      <c r="HE98" s="1980"/>
      <c r="HF98" s="1980"/>
      <c r="HG98" s="1980"/>
      <c r="HH98" s="1980"/>
      <c r="HI98" s="1980"/>
      <c r="HJ98" s="1980"/>
      <c r="HK98" s="1980"/>
      <c r="HL98" s="1980"/>
      <c r="HM98" s="1980"/>
      <c r="HN98" s="1980"/>
      <c r="HO98" s="1980"/>
      <c r="HP98" s="1980"/>
      <c r="HQ98" s="1980"/>
      <c r="HR98" s="1980"/>
      <c r="HS98" s="1980"/>
      <c r="HT98" s="1980"/>
      <c r="HU98" s="1980"/>
      <c r="HV98" s="1980"/>
      <c r="HW98" s="1980"/>
      <c r="HX98" s="1980"/>
      <c r="HY98" s="1980"/>
      <c r="HZ98" s="1980"/>
      <c r="IA98" s="1980"/>
      <c r="IB98" s="1980"/>
      <c r="IC98" s="1980"/>
      <c r="ID98" s="1980"/>
      <c r="IE98" s="1980"/>
      <c r="IF98" s="1980"/>
      <c r="IG98" s="1980"/>
      <c r="IH98" s="1980"/>
      <c r="II98" s="1980"/>
      <c r="IJ98" s="1980"/>
      <c r="IK98" s="1980"/>
      <c r="IL98" s="1980"/>
      <c r="IM98" s="1980"/>
      <c r="IN98" s="1980"/>
      <c r="IO98" s="1980"/>
      <c r="IP98" s="1980"/>
      <c r="IQ98" s="1980"/>
      <c r="IR98" s="1980"/>
      <c r="IS98" s="1980"/>
      <c r="IT98" s="1980"/>
      <c r="IU98" s="1980"/>
      <c r="IV98" s="1980"/>
      <c r="IW98" s="1980"/>
      <c r="IX98" s="1980"/>
      <c r="IY98" s="1980"/>
      <c r="IZ98" s="1980"/>
      <c r="JA98" s="1980"/>
      <c r="JB98" s="1980"/>
      <c r="JC98" s="1980"/>
      <c r="JD98" s="1980"/>
      <c r="JE98" s="1980"/>
      <c r="JF98" s="1980"/>
      <c r="JG98" s="1980"/>
      <c r="JH98" s="1980"/>
      <c r="JI98" s="1980"/>
      <c r="JJ98" s="1980"/>
      <c r="JK98" s="1980"/>
      <c r="JL98" s="1980"/>
      <c r="JM98" s="1980"/>
      <c r="JN98" s="1980"/>
      <c r="JO98" s="1980"/>
      <c r="JP98" s="1980"/>
      <c r="JQ98" s="1980"/>
      <c r="JR98" s="1980"/>
      <c r="JS98" s="1980"/>
      <c r="JT98" s="1980"/>
      <c r="JU98" s="1980"/>
      <c r="JV98" s="1980"/>
      <c r="JW98" s="1980"/>
      <c r="JX98" s="1980"/>
      <c r="JY98" s="1980"/>
      <c r="JZ98" s="1980"/>
      <c r="KA98" s="1980"/>
      <c r="KB98" s="1980"/>
      <c r="KC98" s="1980"/>
      <c r="KD98" s="1980"/>
      <c r="KE98" s="1980"/>
      <c r="KF98" s="1980"/>
      <c r="KG98" s="1980"/>
      <c r="KH98" s="1980"/>
      <c r="KI98" s="1980"/>
      <c r="KJ98" s="1980"/>
      <c r="KK98" s="1980"/>
    </row>
    <row r="99" spans="1:297">
      <c r="A99" s="1997"/>
      <c r="B99" s="2">
        <v>35</v>
      </c>
      <c r="C99" s="2" t="str">
        <f>AF$14</f>
        <v/>
      </c>
      <c r="D99" s="1979">
        <v>1.1085004672486292</v>
      </c>
      <c r="E99" s="1979">
        <v>1.1563231854497538</v>
      </c>
      <c r="F99" s="1979">
        <v>1.1085004672486292</v>
      </c>
      <c r="G99" s="1979">
        <v>1.1563231854497538</v>
      </c>
      <c r="H99" s="1979">
        <v>1.1085004672486292</v>
      </c>
      <c r="I99" s="1979">
        <v>1.1563231854497538</v>
      </c>
      <c r="J99" s="1979">
        <v>1.1085004672486292</v>
      </c>
      <c r="K99" s="1979">
        <v>1.1563231854497538</v>
      </c>
      <c r="L99" s="1979">
        <v>1.1085004672486292</v>
      </c>
      <c r="M99" s="1979">
        <v>1.1563231854497538</v>
      </c>
      <c r="N99" s="2000">
        <v>1.4661405894816513</v>
      </c>
      <c r="O99" s="1998">
        <v>1.6355767160242427</v>
      </c>
      <c r="P99" s="1998">
        <v>1.4661405894816513</v>
      </c>
      <c r="Q99" s="1998">
        <v>1.6355767160242427</v>
      </c>
      <c r="R99" s="1998">
        <v>1.4661405894816513</v>
      </c>
      <c r="S99" s="1998">
        <v>1.6355767160242427</v>
      </c>
      <c r="T99" s="1998">
        <v>1.4661405894816513</v>
      </c>
      <c r="U99" s="1998">
        <v>1.6355767160242427</v>
      </c>
      <c r="V99" s="1998">
        <v>1.4661405894816513</v>
      </c>
      <c r="W99" s="1998">
        <v>1.6355767160242427</v>
      </c>
      <c r="X99" s="1999">
        <v>1.1110825743123112</v>
      </c>
      <c r="Y99" s="1979">
        <v>1.1485848729928583</v>
      </c>
      <c r="Z99" s="1979">
        <v>1.1110825743123112</v>
      </c>
      <c r="AA99" s="1979">
        <v>1.1485848729928583</v>
      </c>
      <c r="AB99" s="1979">
        <v>1.1110825743123112</v>
      </c>
      <c r="AC99" s="1979">
        <v>1.1485848729928583</v>
      </c>
      <c r="AD99" s="1979">
        <v>1.1110825743123112</v>
      </c>
      <c r="AE99" s="1979">
        <v>1.1485848729928583</v>
      </c>
      <c r="AF99" s="1979">
        <v>1.1110825743123112</v>
      </c>
      <c r="AG99" s="1979">
        <v>1.1485848729928583</v>
      </c>
      <c r="AH99" s="2000">
        <v>1.3200738324007066</v>
      </c>
      <c r="AI99" s="1998">
        <v>1.4488695905462043</v>
      </c>
      <c r="AJ99" s="1998">
        <v>1.3200738324007066</v>
      </c>
      <c r="AK99" s="1998">
        <v>1.4488695905462043</v>
      </c>
      <c r="AL99" s="1998">
        <v>1.3200738324007066</v>
      </c>
      <c r="AM99" s="1998">
        <v>1.4488695905462043</v>
      </c>
      <c r="AN99" s="1998">
        <v>1.3200738324007066</v>
      </c>
      <c r="AO99" s="1998">
        <v>1.4488695905462043</v>
      </c>
      <c r="AP99" s="1998">
        <v>1.3200738324007066</v>
      </c>
      <c r="AQ99" s="1998">
        <v>1.4488695905462043</v>
      </c>
      <c r="AR99" s="1999">
        <v>1.079525499647328</v>
      </c>
      <c r="AS99" s="1979">
        <v>1.1106830147253564</v>
      </c>
      <c r="AT99" s="1979">
        <v>1.079525499647328</v>
      </c>
      <c r="AU99" s="1979">
        <v>1.1106830147253564</v>
      </c>
      <c r="AV99" s="1979">
        <v>1.079525499647328</v>
      </c>
      <c r="AW99" s="1979">
        <v>1.1106830147253564</v>
      </c>
      <c r="AX99" s="1979">
        <v>1.079525499647328</v>
      </c>
      <c r="AY99" s="1979">
        <v>1.1106830147253564</v>
      </c>
      <c r="AZ99" s="1979">
        <v>1.079525499647328</v>
      </c>
      <c r="BA99" s="1979">
        <v>1.1106830147253564</v>
      </c>
      <c r="BB99" s="2000">
        <v>1.3180265000109936</v>
      </c>
      <c r="BC99" s="1998">
        <v>1.3308586370188196</v>
      </c>
      <c r="BD99" s="1998">
        <v>1.3180265000109936</v>
      </c>
      <c r="BE99" s="1998">
        <v>1.3308586370188196</v>
      </c>
      <c r="BF99" s="1998">
        <v>1.3180265000109936</v>
      </c>
      <c r="BG99" s="1998">
        <v>1.3308586370188196</v>
      </c>
      <c r="BH99" s="1998">
        <v>1.3180265000109936</v>
      </c>
      <c r="BI99" s="1998">
        <v>1.3308586370188196</v>
      </c>
      <c r="BJ99" s="1998">
        <v>1.3180265000109936</v>
      </c>
      <c r="BK99" s="1998">
        <v>1.3308586370188196</v>
      </c>
      <c r="BL99" s="1999">
        <v>1.1814683629492135</v>
      </c>
      <c r="BM99" s="1979">
        <v>1.2431375423131188</v>
      </c>
      <c r="BN99" s="1979">
        <v>1.1814683629492135</v>
      </c>
      <c r="BO99" s="1979">
        <v>1.2431375423131188</v>
      </c>
      <c r="BP99" s="1979">
        <v>1.1814683629492135</v>
      </c>
      <c r="BQ99" s="1979">
        <v>1.2431375423131188</v>
      </c>
      <c r="BR99" s="1979">
        <v>1.1814683629492135</v>
      </c>
      <c r="BS99" s="1979">
        <v>1.2431375423131188</v>
      </c>
      <c r="BT99" s="1979">
        <v>1.1814683629492135</v>
      </c>
      <c r="BU99" s="1979">
        <v>1.2431375423131188</v>
      </c>
      <c r="BV99" s="2000">
        <v>1.2668831194801757</v>
      </c>
      <c r="BW99" s="1998">
        <v>1.3810712323180965</v>
      </c>
      <c r="BX99" s="1998">
        <v>1.2668831194801757</v>
      </c>
      <c r="BY99" s="1998">
        <v>1.3810712323180965</v>
      </c>
      <c r="BZ99" s="1998">
        <v>1.2668831194801757</v>
      </c>
      <c r="CA99" s="1998">
        <v>1.3810712323180965</v>
      </c>
      <c r="CB99" s="1998">
        <v>1.2668831194801757</v>
      </c>
      <c r="CC99" s="1998">
        <v>1.3810712323180965</v>
      </c>
      <c r="CD99" s="1998">
        <v>1.2668831194801757</v>
      </c>
      <c r="CE99" s="1998">
        <v>1.3810712323180965</v>
      </c>
      <c r="CF99" s="1999">
        <v>1.0355857826682435</v>
      </c>
      <c r="CG99" s="1979">
        <v>1.0509613939831395</v>
      </c>
      <c r="CH99" s="1979">
        <v>1.0355857826682435</v>
      </c>
      <c r="CI99" s="1979">
        <v>1.0509613939831395</v>
      </c>
      <c r="CJ99" s="1979">
        <v>1.0355857826682435</v>
      </c>
      <c r="CK99" s="1979">
        <v>1.0509613939831395</v>
      </c>
      <c r="CL99" s="1979">
        <v>1.0355857826682435</v>
      </c>
      <c r="CM99" s="1979">
        <v>1.0509613939831395</v>
      </c>
      <c r="CN99" s="1979">
        <v>1.0355857826682435</v>
      </c>
      <c r="CO99" s="1979">
        <v>1.0509613939831395</v>
      </c>
      <c r="CP99" s="2000">
        <v>1.0426831173942406</v>
      </c>
      <c r="CQ99" s="1998">
        <v>1.0609846567394052</v>
      </c>
      <c r="CR99" s="1998">
        <v>1.0426831173942406</v>
      </c>
      <c r="CS99" s="1998">
        <v>1.0609846567394052</v>
      </c>
      <c r="CT99" s="1998">
        <v>1.0426831173942406</v>
      </c>
      <c r="CU99" s="1998">
        <v>1.0609846567394052</v>
      </c>
      <c r="CV99" s="1998">
        <v>1.0426831173942406</v>
      </c>
      <c r="CW99" s="1998">
        <v>1.0609846567394052</v>
      </c>
      <c r="CX99" s="1998">
        <v>1.0426831173942406</v>
      </c>
      <c r="CY99" s="1998">
        <v>1.0609846567394052</v>
      </c>
      <c r="CZ99" s="1999">
        <v>1</v>
      </c>
      <c r="DA99" s="1979">
        <v>1</v>
      </c>
      <c r="DB99" s="1979">
        <v>1</v>
      </c>
      <c r="DC99" s="1979">
        <v>1</v>
      </c>
      <c r="DD99" s="1979">
        <v>1</v>
      </c>
      <c r="DE99" s="1979">
        <v>1</v>
      </c>
      <c r="DF99" s="1979">
        <v>1</v>
      </c>
      <c r="DG99" s="1979">
        <v>1</v>
      </c>
      <c r="DH99" s="1979">
        <v>1</v>
      </c>
      <c r="DI99" s="1979">
        <v>1</v>
      </c>
      <c r="DJ99" s="2000">
        <v>1.0085960930064017</v>
      </c>
      <c r="DK99" s="1998">
        <v>1.0121461944782337</v>
      </c>
      <c r="DL99" s="1998">
        <v>1.0085960930064017</v>
      </c>
      <c r="DM99" s="1998">
        <v>1.0121461944782337</v>
      </c>
      <c r="DN99" s="1998">
        <v>1.0085960930064017</v>
      </c>
      <c r="DO99" s="1998">
        <v>1.0121461944782337</v>
      </c>
      <c r="DP99" s="1998">
        <v>1.0085960930064017</v>
      </c>
      <c r="DQ99" s="1998">
        <v>1.0121461944782337</v>
      </c>
      <c r="DR99" s="1998">
        <v>1.0085960930064017</v>
      </c>
      <c r="DS99" s="1998">
        <v>1.0121461944782337</v>
      </c>
      <c r="GT99" s="1980"/>
      <c r="GU99" s="1980"/>
      <c r="GV99" s="1980"/>
      <c r="GW99" s="1980"/>
      <c r="GX99" s="1980"/>
      <c r="GY99" s="1980"/>
      <c r="GZ99" s="1980"/>
      <c r="HA99" s="1980"/>
      <c r="HB99" s="1980"/>
      <c r="HC99" s="1980"/>
      <c r="HD99" s="1980"/>
      <c r="HE99" s="1980"/>
      <c r="HF99" s="1980"/>
      <c r="HG99" s="1980"/>
      <c r="HH99" s="1980"/>
      <c r="HI99" s="1980"/>
      <c r="HJ99" s="1980"/>
      <c r="HK99" s="1980"/>
      <c r="HL99" s="1980"/>
      <c r="HM99" s="1980"/>
      <c r="HN99" s="1980"/>
      <c r="HO99" s="1980"/>
      <c r="HP99" s="1980"/>
      <c r="HQ99" s="1980"/>
      <c r="HR99" s="1980"/>
      <c r="HS99" s="1980"/>
      <c r="HT99" s="1980"/>
      <c r="HU99" s="1980"/>
      <c r="HV99" s="1980"/>
      <c r="HW99" s="1980"/>
      <c r="HX99" s="1980"/>
      <c r="HY99" s="1980"/>
      <c r="HZ99" s="1980"/>
      <c r="IA99" s="1980"/>
      <c r="IB99" s="1980"/>
      <c r="IC99" s="1980"/>
      <c r="ID99" s="1980"/>
      <c r="IE99" s="1980"/>
      <c r="IF99" s="1980"/>
      <c r="IG99" s="1980"/>
      <c r="IH99" s="1980"/>
      <c r="II99" s="1980"/>
      <c r="IJ99" s="1980"/>
      <c r="IK99" s="1980"/>
      <c r="IL99" s="1980"/>
      <c r="IM99" s="1980"/>
      <c r="IN99" s="1980"/>
      <c r="IO99" s="1980"/>
      <c r="IP99" s="1980"/>
      <c r="IQ99" s="1980"/>
      <c r="IR99" s="1980"/>
      <c r="IS99" s="1980"/>
      <c r="IT99" s="1980"/>
      <c r="IU99" s="1980"/>
      <c r="IV99" s="1980"/>
      <c r="IW99" s="1980"/>
      <c r="IX99" s="1980"/>
      <c r="IY99" s="1980"/>
      <c r="IZ99" s="1980"/>
      <c r="JA99" s="1980"/>
      <c r="JB99" s="1980"/>
      <c r="JC99" s="1980"/>
      <c r="JD99" s="1980"/>
      <c r="JE99" s="1980"/>
      <c r="JF99" s="1980"/>
      <c r="JG99" s="1980"/>
      <c r="JH99" s="1980"/>
      <c r="JI99" s="1980"/>
      <c r="JJ99" s="1980"/>
      <c r="JK99" s="1980"/>
      <c r="JL99" s="1980"/>
      <c r="JM99" s="1980"/>
      <c r="JN99" s="1980"/>
      <c r="JO99" s="1980"/>
      <c r="JP99" s="1980"/>
      <c r="JQ99" s="1980"/>
      <c r="JR99" s="1980"/>
      <c r="JS99" s="1980"/>
      <c r="JT99" s="1980"/>
      <c r="JU99" s="1980"/>
      <c r="JV99" s="1980"/>
      <c r="JW99" s="1980"/>
      <c r="JX99" s="1980"/>
      <c r="JY99" s="1980"/>
      <c r="JZ99" s="1980"/>
      <c r="KA99" s="1980"/>
      <c r="KB99" s="1980"/>
      <c r="KC99" s="1980"/>
      <c r="KD99" s="1980"/>
      <c r="KE99" s="1980"/>
      <c r="KF99" s="1980"/>
      <c r="KG99" s="1980"/>
      <c r="KH99" s="1980"/>
      <c r="KI99" s="1980"/>
      <c r="KJ99" s="1980"/>
      <c r="KK99" s="1980"/>
    </row>
    <row r="100" spans="1:297">
      <c r="A100" s="1997"/>
      <c r="B100" s="2">
        <v>36</v>
      </c>
      <c r="C100" s="2" t="str">
        <f>AF$15</f>
        <v/>
      </c>
      <c r="D100" s="1979">
        <v>0.99089193585001911</v>
      </c>
      <c r="E100" s="1979">
        <v>0.99491643010161035</v>
      </c>
      <c r="F100" s="1979">
        <v>0.99089193585001911</v>
      </c>
      <c r="G100" s="1979">
        <v>0.99491643010161035</v>
      </c>
      <c r="H100" s="1979">
        <v>0.99089193585001911</v>
      </c>
      <c r="I100" s="1979">
        <v>0.99491643010161035</v>
      </c>
      <c r="J100" s="1979">
        <v>0.99089193585001911</v>
      </c>
      <c r="K100" s="1979">
        <v>0.99491643010161035</v>
      </c>
      <c r="L100" s="1979">
        <v>0.99089193585001911</v>
      </c>
      <c r="M100" s="1979">
        <v>0.99491643010161035</v>
      </c>
      <c r="N100" s="2000">
        <v>1.0767033219898217</v>
      </c>
      <c r="O100" s="1998">
        <v>1.1018109318917584</v>
      </c>
      <c r="P100" s="1998">
        <v>1.0767033219898217</v>
      </c>
      <c r="Q100" s="1998">
        <v>1.1018109318917584</v>
      </c>
      <c r="R100" s="1998">
        <v>1.0767033219898217</v>
      </c>
      <c r="S100" s="1998">
        <v>1.1018109318917584</v>
      </c>
      <c r="T100" s="1998">
        <v>1.0767033219898217</v>
      </c>
      <c r="U100" s="1998">
        <v>1.1018109318917584</v>
      </c>
      <c r="V100" s="1998">
        <v>1.0767033219898217</v>
      </c>
      <c r="W100" s="1998">
        <v>1.1018109318917584</v>
      </c>
      <c r="X100" s="1999">
        <v>1.018278610910949</v>
      </c>
      <c r="Y100" s="1979">
        <v>1.0192371572799035</v>
      </c>
      <c r="Z100" s="1979">
        <v>1.018278610910949</v>
      </c>
      <c r="AA100" s="1979">
        <v>1.0192371572799035</v>
      </c>
      <c r="AB100" s="1979">
        <v>1.018278610910949</v>
      </c>
      <c r="AC100" s="1979">
        <v>1.0192371572799035</v>
      </c>
      <c r="AD100" s="1979">
        <v>1.018278610910949</v>
      </c>
      <c r="AE100" s="1979">
        <v>1.0192371572799035</v>
      </c>
      <c r="AF100" s="1979">
        <v>1.018278610910949</v>
      </c>
      <c r="AG100" s="1979">
        <v>1.0192371572799035</v>
      </c>
      <c r="AH100" s="2000">
        <v>1.052668072210678</v>
      </c>
      <c r="AI100" s="1998">
        <v>1.0719029350182141</v>
      </c>
      <c r="AJ100" s="1998">
        <v>1.052668072210678</v>
      </c>
      <c r="AK100" s="1998">
        <v>1.0719029350182141</v>
      </c>
      <c r="AL100" s="1998">
        <v>1.052668072210678</v>
      </c>
      <c r="AM100" s="1998">
        <v>1.0719029350182141</v>
      </c>
      <c r="AN100" s="1998">
        <v>1.052668072210678</v>
      </c>
      <c r="AO100" s="1998">
        <v>1.0719029350182141</v>
      </c>
      <c r="AP100" s="1998">
        <v>1.052668072210678</v>
      </c>
      <c r="AQ100" s="1998">
        <v>1.0719029350182141</v>
      </c>
      <c r="AR100" s="1999">
        <v>1.0130859018577067</v>
      </c>
      <c r="AS100" s="1979">
        <v>1.0177299460311695</v>
      </c>
      <c r="AT100" s="1979">
        <v>1.0130859018577067</v>
      </c>
      <c r="AU100" s="1979">
        <v>1.0177299460311695</v>
      </c>
      <c r="AV100" s="1979">
        <v>1.0130859018577067</v>
      </c>
      <c r="AW100" s="1979">
        <v>1.0177299460311695</v>
      </c>
      <c r="AX100" s="1979">
        <v>1.0130859018577067</v>
      </c>
      <c r="AY100" s="1979">
        <v>1.0177299460311695</v>
      </c>
      <c r="AZ100" s="1979">
        <v>1.0130859018577067</v>
      </c>
      <c r="BA100" s="1979">
        <v>1.0177299460311695</v>
      </c>
      <c r="BB100" s="2000">
        <v>1.3180265000109936</v>
      </c>
      <c r="BC100" s="1998">
        <v>1.3308586370188196</v>
      </c>
      <c r="BD100" s="1998">
        <v>1.3180265000109936</v>
      </c>
      <c r="BE100" s="1998">
        <v>1.3308586370188196</v>
      </c>
      <c r="BF100" s="1998">
        <v>1.3180265000109936</v>
      </c>
      <c r="BG100" s="1998">
        <v>1.3308586370188196</v>
      </c>
      <c r="BH100" s="1998">
        <v>1.3180265000109936</v>
      </c>
      <c r="BI100" s="1998">
        <v>1.3308586370188196</v>
      </c>
      <c r="BJ100" s="1998">
        <v>1.3180265000109936</v>
      </c>
      <c r="BK100" s="1998">
        <v>1.3308586370188196</v>
      </c>
      <c r="BL100" s="1999">
        <v>1.0298605755180803</v>
      </c>
      <c r="BM100" s="1979">
        <v>1.0389473986958111</v>
      </c>
      <c r="BN100" s="1979">
        <v>1.0298605755180803</v>
      </c>
      <c r="BO100" s="1979">
        <v>1.0389473986958111</v>
      </c>
      <c r="BP100" s="1979">
        <v>1.0298605755180803</v>
      </c>
      <c r="BQ100" s="1979">
        <v>1.0389473986958111</v>
      </c>
      <c r="BR100" s="1979">
        <v>1.0298605755180803</v>
      </c>
      <c r="BS100" s="1979">
        <v>1.0389473986958111</v>
      </c>
      <c r="BT100" s="1979">
        <v>1.0298605755180803</v>
      </c>
      <c r="BU100" s="1979">
        <v>1.0389473986958111</v>
      </c>
      <c r="BV100" s="2000">
        <v>1.0439155531808537</v>
      </c>
      <c r="BW100" s="1998">
        <v>1.0610425402650627</v>
      </c>
      <c r="BX100" s="1998">
        <v>1.0439155531808537</v>
      </c>
      <c r="BY100" s="1998">
        <v>1.0610425402650627</v>
      </c>
      <c r="BZ100" s="1998">
        <v>1.0439155531808537</v>
      </c>
      <c r="CA100" s="1998">
        <v>1.0610425402650627</v>
      </c>
      <c r="CB100" s="1998">
        <v>1.0439155531808537</v>
      </c>
      <c r="CC100" s="1998">
        <v>1.0610425402650627</v>
      </c>
      <c r="CD100" s="1998">
        <v>1.0439155531808537</v>
      </c>
      <c r="CE100" s="1998">
        <v>1.0610425402650627</v>
      </c>
      <c r="CF100" s="1999">
        <v>1.0058556319871166</v>
      </c>
      <c r="CG100" s="1979">
        <v>1.0081633371410803</v>
      </c>
      <c r="CH100" s="1979">
        <v>1.0058556319871166</v>
      </c>
      <c r="CI100" s="1979">
        <v>1.0081633371410803</v>
      </c>
      <c r="CJ100" s="1979">
        <v>1.0058556319871166</v>
      </c>
      <c r="CK100" s="1979">
        <v>1.0081633371410803</v>
      </c>
      <c r="CL100" s="1979">
        <v>1.0058556319871166</v>
      </c>
      <c r="CM100" s="1979">
        <v>1.0081633371410803</v>
      </c>
      <c r="CN100" s="1979">
        <v>1.0058556319871166</v>
      </c>
      <c r="CO100" s="1979">
        <v>1.0081633371410803</v>
      </c>
      <c r="CP100" s="2000">
        <v>1.0070234967108538</v>
      </c>
      <c r="CQ100" s="1998">
        <v>1.009768930448832</v>
      </c>
      <c r="CR100" s="1998">
        <v>1.0070234967108538</v>
      </c>
      <c r="CS100" s="1998">
        <v>1.009768930448832</v>
      </c>
      <c r="CT100" s="1998">
        <v>1.0070234967108538</v>
      </c>
      <c r="CU100" s="1998">
        <v>1.009768930448832</v>
      </c>
      <c r="CV100" s="1998">
        <v>1.0070234967108538</v>
      </c>
      <c r="CW100" s="1998">
        <v>1.009768930448832</v>
      </c>
      <c r="CX100" s="1998">
        <v>1.0070234967108538</v>
      </c>
      <c r="CY100" s="1998">
        <v>1.009768930448832</v>
      </c>
      <c r="CZ100" s="1999">
        <v>1</v>
      </c>
      <c r="DA100" s="1979">
        <v>1</v>
      </c>
      <c r="DB100" s="1979">
        <v>1</v>
      </c>
      <c r="DC100" s="1979">
        <v>1</v>
      </c>
      <c r="DD100" s="1979">
        <v>1</v>
      </c>
      <c r="DE100" s="1979">
        <v>1</v>
      </c>
      <c r="DF100" s="1979">
        <v>1</v>
      </c>
      <c r="DG100" s="1979">
        <v>1</v>
      </c>
      <c r="DH100" s="1979">
        <v>1</v>
      </c>
      <c r="DI100" s="1979">
        <v>1</v>
      </c>
      <c r="DJ100" s="2000">
        <v>1.0016192273508138</v>
      </c>
      <c r="DK100" s="1998">
        <v>1.0020843320261934</v>
      </c>
      <c r="DL100" s="1998">
        <v>1.0016192273508138</v>
      </c>
      <c r="DM100" s="1998">
        <v>1.0020843320261934</v>
      </c>
      <c r="DN100" s="1998">
        <v>1.0016192273508138</v>
      </c>
      <c r="DO100" s="1998">
        <v>1.0020843320261934</v>
      </c>
      <c r="DP100" s="1998">
        <v>1.0016192273508138</v>
      </c>
      <c r="DQ100" s="1998">
        <v>1.0020843320261934</v>
      </c>
      <c r="DR100" s="1998">
        <v>1.0016192273508138</v>
      </c>
      <c r="DS100" s="1998">
        <v>1.0020843320261934</v>
      </c>
      <c r="GT100" s="1980"/>
      <c r="GU100" s="1980"/>
      <c r="GV100" s="1980"/>
      <c r="GW100" s="1980"/>
      <c r="GX100" s="1980"/>
      <c r="GY100" s="1980"/>
      <c r="GZ100" s="1980"/>
      <c r="HA100" s="1980"/>
      <c r="HB100" s="1980"/>
      <c r="HC100" s="1980"/>
      <c r="HD100" s="1980"/>
      <c r="HE100" s="1980"/>
      <c r="HF100" s="1980"/>
      <c r="HG100" s="1980"/>
      <c r="HH100" s="1980"/>
      <c r="HI100" s="1980"/>
      <c r="HJ100" s="1980"/>
      <c r="HK100" s="1980"/>
      <c r="HL100" s="1980"/>
      <c r="HM100" s="1980"/>
      <c r="HN100" s="1980"/>
      <c r="HO100" s="1980"/>
      <c r="HP100" s="1980"/>
      <c r="HQ100" s="1980"/>
      <c r="HR100" s="1980"/>
      <c r="HS100" s="1980"/>
      <c r="HT100" s="1980"/>
      <c r="HU100" s="1980"/>
      <c r="HV100" s="1980"/>
      <c r="HW100" s="1980"/>
      <c r="HX100" s="1980"/>
      <c r="HY100" s="1980"/>
      <c r="HZ100" s="1980"/>
      <c r="IA100" s="1980"/>
      <c r="IB100" s="1980"/>
      <c r="IC100" s="1980"/>
      <c r="ID100" s="1980"/>
      <c r="IE100" s="1980"/>
      <c r="IF100" s="1980"/>
      <c r="IG100" s="1980"/>
      <c r="IH100" s="1980"/>
      <c r="II100" s="1980"/>
      <c r="IJ100" s="1980"/>
      <c r="IK100" s="1980"/>
      <c r="IL100" s="1980"/>
      <c r="IM100" s="1980"/>
      <c r="IN100" s="1980"/>
      <c r="IO100" s="1980"/>
      <c r="IP100" s="1980"/>
      <c r="IQ100" s="1980"/>
      <c r="IR100" s="1980"/>
      <c r="IS100" s="1980"/>
      <c r="IT100" s="1980"/>
      <c r="IU100" s="1980"/>
      <c r="IV100" s="1980"/>
      <c r="IW100" s="1980"/>
      <c r="IX100" s="1980"/>
      <c r="IY100" s="1980"/>
      <c r="IZ100" s="1980"/>
      <c r="JA100" s="1980"/>
      <c r="JB100" s="1980"/>
      <c r="JC100" s="1980"/>
      <c r="JD100" s="1980"/>
      <c r="JE100" s="1980"/>
      <c r="JF100" s="1980"/>
      <c r="JG100" s="1980"/>
      <c r="JH100" s="1980"/>
      <c r="JI100" s="1980"/>
      <c r="JJ100" s="1980"/>
      <c r="JK100" s="1980"/>
      <c r="JL100" s="1980"/>
      <c r="JM100" s="1980"/>
      <c r="JN100" s="1980"/>
      <c r="JO100" s="1980"/>
      <c r="JP100" s="1980"/>
      <c r="JQ100" s="1980"/>
      <c r="JR100" s="1980"/>
      <c r="JS100" s="1980"/>
      <c r="JT100" s="1980"/>
      <c r="JU100" s="1980"/>
      <c r="JV100" s="1980"/>
      <c r="JW100" s="1980"/>
      <c r="JX100" s="1980"/>
      <c r="JY100" s="1980"/>
      <c r="JZ100" s="1980"/>
      <c r="KA100" s="1980"/>
      <c r="KB100" s="1980"/>
      <c r="KC100" s="1980"/>
      <c r="KD100" s="1980"/>
      <c r="KE100" s="1980"/>
      <c r="KF100" s="1980"/>
      <c r="KG100" s="1980"/>
      <c r="KH100" s="1980"/>
      <c r="KI100" s="1980"/>
      <c r="KJ100" s="1980"/>
      <c r="KK100" s="1980"/>
    </row>
    <row r="101" spans="1:297">
      <c r="A101" s="1997"/>
      <c r="B101" s="2">
        <v>37</v>
      </c>
      <c r="C101" s="2" t="str">
        <f>AF$16</f>
        <v/>
      </c>
      <c r="D101" s="1979">
        <v>1.0125322659304401</v>
      </c>
      <c r="E101" s="1979">
        <v>1.0066655697798217</v>
      </c>
      <c r="F101" s="1979">
        <v>1.0125322659304401</v>
      </c>
      <c r="G101" s="1979">
        <v>1.0066655697798217</v>
      </c>
      <c r="H101" s="1979">
        <v>1.0125322659304401</v>
      </c>
      <c r="I101" s="1979">
        <v>1.0066655697798217</v>
      </c>
      <c r="J101" s="1979">
        <v>1.0125322659304401</v>
      </c>
      <c r="K101" s="1979">
        <v>1.0066655697798217</v>
      </c>
      <c r="L101" s="1979">
        <v>1.0125322659304401</v>
      </c>
      <c r="M101" s="1979">
        <v>1.0066655697798217</v>
      </c>
      <c r="N101" s="2000">
        <v>1.1483609722803176</v>
      </c>
      <c r="O101" s="1998">
        <v>1.1406648741551781</v>
      </c>
      <c r="P101" s="1998">
        <v>1.1483609722803176</v>
      </c>
      <c r="Q101" s="1998">
        <v>1.1406648741551781</v>
      </c>
      <c r="R101" s="1998">
        <v>1.1483609722803176</v>
      </c>
      <c r="S101" s="1998">
        <v>1.1406648741551781</v>
      </c>
      <c r="T101" s="1998">
        <v>1.1483609722803176</v>
      </c>
      <c r="U101" s="1998">
        <v>1.1406648741551781</v>
      </c>
      <c r="V101" s="1998">
        <v>1.1483609722803176</v>
      </c>
      <c r="W101" s="1998">
        <v>1.1406648741551781</v>
      </c>
      <c r="X101" s="1999">
        <v>1.0353548244891122</v>
      </c>
      <c r="Y101" s="1979">
        <v>1.0286526515427747</v>
      </c>
      <c r="Z101" s="1979">
        <v>1.0353548244891122</v>
      </c>
      <c r="AA101" s="1979">
        <v>1.0286526515427747</v>
      </c>
      <c r="AB101" s="1979">
        <v>1.0353548244891122</v>
      </c>
      <c r="AC101" s="1979">
        <v>1.0286526515427747</v>
      </c>
      <c r="AD101" s="1979">
        <v>1.0353548244891122</v>
      </c>
      <c r="AE101" s="1979">
        <v>1.0286526515427747</v>
      </c>
      <c r="AF101" s="1979">
        <v>1.0353548244891122</v>
      </c>
      <c r="AG101" s="1979">
        <v>1.0286526515427747</v>
      </c>
      <c r="AH101" s="2000">
        <v>1.1018715513044277</v>
      </c>
      <c r="AI101" s="1998">
        <v>1.0993431365158126</v>
      </c>
      <c r="AJ101" s="1998">
        <v>1.1018715513044277</v>
      </c>
      <c r="AK101" s="1998">
        <v>1.0993431365158126</v>
      </c>
      <c r="AL101" s="1998">
        <v>1.1018715513044277</v>
      </c>
      <c r="AM101" s="1998">
        <v>1.0993431365158126</v>
      </c>
      <c r="AN101" s="1998">
        <v>1.1018715513044277</v>
      </c>
      <c r="AO101" s="1998">
        <v>1.0993431365158126</v>
      </c>
      <c r="AP101" s="1998">
        <v>1.1018715513044277</v>
      </c>
      <c r="AQ101" s="1998">
        <v>1.0993431365158126</v>
      </c>
      <c r="AR101" s="1999">
        <v>1.0253109913939817</v>
      </c>
      <c r="AS101" s="1979">
        <v>1.0244961968318298</v>
      </c>
      <c r="AT101" s="1979">
        <v>1.0253109913939817</v>
      </c>
      <c r="AU101" s="1979">
        <v>1.0244961968318298</v>
      </c>
      <c r="AV101" s="1979">
        <v>1.0253109913939817</v>
      </c>
      <c r="AW101" s="1979">
        <v>1.0244961968318298</v>
      </c>
      <c r="AX101" s="1979">
        <v>1.0253109913939817</v>
      </c>
      <c r="AY101" s="1979">
        <v>1.0244961968318298</v>
      </c>
      <c r="AZ101" s="1979">
        <v>1.0253109913939817</v>
      </c>
      <c r="BA101" s="1979">
        <v>1.0244961968318298</v>
      </c>
      <c r="BB101" s="2000">
        <v>1.3180265000109936</v>
      </c>
      <c r="BC101" s="1998">
        <v>1.3308586370188196</v>
      </c>
      <c r="BD101" s="1998">
        <v>1.3180265000109936</v>
      </c>
      <c r="BE101" s="1998">
        <v>1.3308586370188196</v>
      </c>
      <c r="BF101" s="1998">
        <v>1.3180265000109936</v>
      </c>
      <c r="BG101" s="1998">
        <v>1.3308586370188196</v>
      </c>
      <c r="BH101" s="1998">
        <v>1.3180265000109936</v>
      </c>
      <c r="BI101" s="1998">
        <v>1.3308586370188196</v>
      </c>
      <c r="BJ101" s="1998">
        <v>1.3180265000109936</v>
      </c>
      <c r="BK101" s="1998">
        <v>1.3308586370188196</v>
      </c>
      <c r="BL101" s="1999">
        <v>1.057756872867907</v>
      </c>
      <c r="BM101" s="1979">
        <v>1.0538108318470396</v>
      </c>
      <c r="BN101" s="1979">
        <v>1.057756872867907</v>
      </c>
      <c r="BO101" s="1979">
        <v>1.0538108318470396</v>
      </c>
      <c r="BP101" s="1979">
        <v>1.057756872867907</v>
      </c>
      <c r="BQ101" s="1979">
        <v>1.0538108318470396</v>
      </c>
      <c r="BR101" s="1979">
        <v>1.057756872867907</v>
      </c>
      <c r="BS101" s="1979">
        <v>1.0538108318470396</v>
      </c>
      <c r="BT101" s="1979">
        <v>1.057756872867907</v>
      </c>
      <c r="BU101" s="1979">
        <v>1.0538108318470396</v>
      </c>
      <c r="BV101" s="2000">
        <v>1.0849422684587771</v>
      </c>
      <c r="BW101" s="1998">
        <v>1.0843381067725255</v>
      </c>
      <c r="BX101" s="1998">
        <v>1.0849422684587771</v>
      </c>
      <c r="BY101" s="1998">
        <v>1.0843381067725255</v>
      </c>
      <c r="BZ101" s="1998">
        <v>1.0849422684587771</v>
      </c>
      <c r="CA101" s="1998">
        <v>1.0843381067725255</v>
      </c>
      <c r="CB101" s="1998">
        <v>1.0849422684587771</v>
      </c>
      <c r="CC101" s="1998">
        <v>1.0843381067725255</v>
      </c>
      <c r="CD101" s="1998">
        <v>1.0849422684587771</v>
      </c>
      <c r="CE101" s="1998">
        <v>1.0843381067725255</v>
      </c>
      <c r="CF101" s="1999">
        <v>1.0113260707931218</v>
      </c>
      <c r="CG101" s="1979">
        <v>1.011278698370595</v>
      </c>
      <c r="CH101" s="1979">
        <v>1.0113260707931218</v>
      </c>
      <c r="CI101" s="1979">
        <v>1.011278698370595</v>
      </c>
      <c r="CJ101" s="1979">
        <v>1.0113260707931218</v>
      </c>
      <c r="CK101" s="1979">
        <v>1.011278698370595</v>
      </c>
      <c r="CL101" s="1979">
        <v>1.0113260707931218</v>
      </c>
      <c r="CM101" s="1979">
        <v>1.011278698370595</v>
      </c>
      <c r="CN101" s="1979">
        <v>1.0113260707931218</v>
      </c>
      <c r="CO101" s="1979">
        <v>1.011278698370595</v>
      </c>
      <c r="CP101" s="2000">
        <v>1.013584976162677</v>
      </c>
      <c r="CQ101" s="1998">
        <v>1.0134970316711822</v>
      </c>
      <c r="CR101" s="1998">
        <v>1.013584976162677</v>
      </c>
      <c r="CS101" s="1998">
        <v>1.0134970316711822</v>
      </c>
      <c r="CT101" s="1998">
        <v>1.013584976162677</v>
      </c>
      <c r="CU101" s="1998">
        <v>1.0134970316711822</v>
      </c>
      <c r="CV101" s="1998">
        <v>1.013584976162677</v>
      </c>
      <c r="CW101" s="1998">
        <v>1.0134970316711822</v>
      </c>
      <c r="CX101" s="1998">
        <v>1.013584976162677</v>
      </c>
      <c r="CY101" s="1998">
        <v>1.0134970316711822</v>
      </c>
      <c r="CZ101" s="1999">
        <v>1</v>
      </c>
      <c r="DA101" s="1979">
        <v>1</v>
      </c>
      <c r="DB101" s="1979">
        <v>1</v>
      </c>
      <c r="DC101" s="1979">
        <v>1</v>
      </c>
      <c r="DD101" s="1979">
        <v>1</v>
      </c>
      <c r="DE101" s="1979">
        <v>1</v>
      </c>
      <c r="DF101" s="1979">
        <v>1</v>
      </c>
      <c r="DG101" s="1979">
        <v>1</v>
      </c>
      <c r="DH101" s="1979">
        <v>1</v>
      </c>
      <c r="DI101" s="1979">
        <v>1</v>
      </c>
      <c r="DJ101" s="2000">
        <v>1.002902992005624</v>
      </c>
      <c r="DK101" s="1998">
        <v>1.0028167563111434</v>
      </c>
      <c r="DL101" s="1998">
        <v>1.002902992005624</v>
      </c>
      <c r="DM101" s="1998">
        <v>1.0028167563111434</v>
      </c>
      <c r="DN101" s="1998">
        <v>1.002902992005624</v>
      </c>
      <c r="DO101" s="1998">
        <v>1.0028167563111434</v>
      </c>
      <c r="DP101" s="1998">
        <v>1.002902992005624</v>
      </c>
      <c r="DQ101" s="1998">
        <v>1.0028167563111434</v>
      </c>
      <c r="DR101" s="1998">
        <v>1.002902992005624</v>
      </c>
      <c r="DS101" s="1998">
        <v>1.0028167563111434</v>
      </c>
      <c r="GT101" s="1980"/>
      <c r="GU101" s="1980"/>
      <c r="GV101" s="1980"/>
      <c r="GW101" s="1980"/>
      <c r="GX101" s="1980"/>
      <c r="GY101" s="1980"/>
      <c r="GZ101" s="1980"/>
      <c r="HA101" s="1980"/>
      <c r="HB101" s="1980"/>
      <c r="HC101" s="1980"/>
      <c r="HD101" s="1980"/>
      <c r="HE101" s="1980"/>
      <c r="HF101" s="1980"/>
      <c r="HG101" s="1980"/>
      <c r="HH101" s="1980"/>
      <c r="HI101" s="1980"/>
      <c r="HJ101" s="1980"/>
      <c r="HK101" s="1980"/>
      <c r="HL101" s="1980"/>
      <c r="HM101" s="1980"/>
      <c r="HN101" s="1980"/>
      <c r="HO101" s="1980"/>
      <c r="HP101" s="1980"/>
      <c r="HQ101" s="1980"/>
      <c r="HR101" s="1980"/>
      <c r="HS101" s="1980"/>
      <c r="HT101" s="1980"/>
      <c r="HU101" s="1980"/>
      <c r="HV101" s="1980"/>
      <c r="HW101" s="1980"/>
      <c r="HX101" s="1980"/>
      <c r="HY101" s="1980"/>
      <c r="HZ101" s="1980"/>
      <c r="IA101" s="1980"/>
      <c r="IB101" s="1980"/>
      <c r="IC101" s="1980"/>
      <c r="ID101" s="1980"/>
      <c r="IE101" s="1980"/>
      <c r="IF101" s="1980"/>
      <c r="IG101" s="1980"/>
      <c r="IH101" s="1980"/>
      <c r="II101" s="1980"/>
      <c r="IJ101" s="1980"/>
      <c r="IK101" s="1980"/>
      <c r="IL101" s="1980"/>
      <c r="IM101" s="1980"/>
      <c r="IN101" s="1980"/>
      <c r="IO101" s="1980"/>
      <c r="IP101" s="1980"/>
      <c r="IQ101" s="1980"/>
      <c r="IR101" s="1980"/>
      <c r="IS101" s="1980"/>
      <c r="IT101" s="1980"/>
      <c r="IU101" s="1980"/>
      <c r="IV101" s="1980"/>
      <c r="IW101" s="1980"/>
      <c r="IX101" s="1980"/>
      <c r="IY101" s="1980"/>
      <c r="IZ101" s="1980"/>
      <c r="JA101" s="1980"/>
      <c r="JB101" s="1980"/>
      <c r="JC101" s="1980"/>
      <c r="JD101" s="1980"/>
      <c r="JE101" s="1980"/>
      <c r="JF101" s="1980"/>
      <c r="JG101" s="1980"/>
      <c r="JH101" s="1980"/>
      <c r="JI101" s="1980"/>
      <c r="JJ101" s="1980"/>
      <c r="JK101" s="1980"/>
      <c r="JL101" s="1980"/>
      <c r="JM101" s="1980"/>
      <c r="JN101" s="1980"/>
      <c r="JO101" s="1980"/>
      <c r="JP101" s="1980"/>
      <c r="JQ101" s="1980"/>
      <c r="JR101" s="1980"/>
      <c r="JS101" s="1980"/>
      <c r="JT101" s="1980"/>
      <c r="JU101" s="1980"/>
      <c r="JV101" s="1980"/>
      <c r="JW101" s="1980"/>
      <c r="JX101" s="1980"/>
      <c r="JY101" s="1980"/>
      <c r="JZ101" s="1980"/>
      <c r="KA101" s="1980"/>
      <c r="KB101" s="1980"/>
      <c r="KC101" s="1980"/>
      <c r="KD101" s="1980"/>
      <c r="KE101" s="1980"/>
      <c r="KF101" s="1980"/>
      <c r="KG101" s="1980"/>
      <c r="KH101" s="1980"/>
      <c r="KI101" s="1980"/>
      <c r="KJ101" s="1980"/>
      <c r="KK101" s="1980"/>
    </row>
    <row r="102" spans="1:297">
      <c r="A102" s="1997"/>
      <c r="B102" s="2">
        <v>38</v>
      </c>
      <c r="C102" s="2" t="str">
        <f>AF$17</f>
        <v/>
      </c>
      <c r="D102" s="1979">
        <v>1.0585003115621834</v>
      </c>
      <c r="E102" s="1979">
        <v>1.0736221665254722</v>
      </c>
      <c r="F102" s="1979">
        <v>1.0585003115621834</v>
      </c>
      <c r="G102" s="1979">
        <v>1.0736221665254722</v>
      </c>
      <c r="H102" s="1979">
        <v>1.0585003115621834</v>
      </c>
      <c r="I102" s="1979">
        <v>1.0736221665254722</v>
      </c>
      <c r="J102" s="1979">
        <v>1.0585003115621834</v>
      </c>
      <c r="K102" s="1979">
        <v>1.0736221665254722</v>
      </c>
      <c r="L102" s="1979">
        <v>1.0585003115621834</v>
      </c>
      <c r="M102" s="1979">
        <v>1.0736221665254722</v>
      </c>
      <c r="N102" s="2000">
        <v>1.3005750155123672</v>
      </c>
      <c r="O102" s="1998">
        <v>1.3620877030057905</v>
      </c>
      <c r="P102" s="1998">
        <v>1.3005750155123672</v>
      </c>
      <c r="Q102" s="1998">
        <v>1.3620877030057905</v>
      </c>
      <c r="R102" s="1998">
        <v>1.3005750155123672</v>
      </c>
      <c r="S102" s="1998">
        <v>1.3620877030057905</v>
      </c>
      <c r="T102" s="1998">
        <v>1.3005750155123672</v>
      </c>
      <c r="U102" s="1998">
        <v>1.3620877030057905</v>
      </c>
      <c r="V102" s="1998">
        <v>1.3005750155123672</v>
      </c>
      <c r="W102" s="1998">
        <v>1.3620877030057905</v>
      </c>
      <c r="X102" s="1999">
        <v>1.0716278462989133</v>
      </c>
      <c r="Y102" s="1979">
        <v>1.0823101507117705</v>
      </c>
      <c r="Z102" s="1979">
        <v>1.0716278462989133</v>
      </c>
      <c r="AA102" s="1979">
        <v>1.0823101507117705</v>
      </c>
      <c r="AB102" s="1979">
        <v>1.0716278462989133</v>
      </c>
      <c r="AC102" s="1979">
        <v>1.0823101507117705</v>
      </c>
      <c r="AD102" s="1979">
        <v>1.0716278462989133</v>
      </c>
      <c r="AE102" s="1979">
        <v>1.0823101507117705</v>
      </c>
      <c r="AF102" s="1979">
        <v>1.0716278462989133</v>
      </c>
      <c r="AG102" s="1979">
        <v>1.0823101507117705</v>
      </c>
      <c r="AH102" s="2000">
        <v>1.206388800524594</v>
      </c>
      <c r="AI102" s="1998">
        <v>1.2557207570577924</v>
      </c>
      <c r="AJ102" s="1998">
        <v>1.206388800524594</v>
      </c>
      <c r="AK102" s="1998">
        <v>1.2557207570577924</v>
      </c>
      <c r="AL102" s="1998">
        <v>1.206388800524594</v>
      </c>
      <c r="AM102" s="1998">
        <v>1.2557207570577924</v>
      </c>
      <c r="AN102" s="1998">
        <v>1.206388800524594</v>
      </c>
      <c r="AO102" s="1998">
        <v>1.2557207570577924</v>
      </c>
      <c r="AP102" s="1998">
        <v>1.206388800524594</v>
      </c>
      <c r="AQ102" s="1998">
        <v>1.2557207570577924</v>
      </c>
      <c r="AR102" s="1999">
        <v>1.0512793325222012</v>
      </c>
      <c r="AS102" s="1979">
        <v>1.0630560521699974</v>
      </c>
      <c r="AT102" s="1979">
        <v>1.0512793325222012</v>
      </c>
      <c r="AU102" s="1979">
        <v>1.0630560521699974</v>
      </c>
      <c r="AV102" s="1979">
        <v>1.0512793325222012</v>
      </c>
      <c r="AW102" s="1979">
        <v>1.0630560521699974</v>
      </c>
      <c r="AX102" s="1979">
        <v>1.0512793325222012</v>
      </c>
      <c r="AY102" s="1979">
        <v>1.0630560521699974</v>
      </c>
      <c r="AZ102" s="1979">
        <v>1.0512793325222012</v>
      </c>
      <c r="BA102" s="1979">
        <v>1.0630560521699974</v>
      </c>
      <c r="BB102" s="2000">
        <v>1.3180265000109936</v>
      </c>
      <c r="BC102" s="1998">
        <v>1.3308586370188196</v>
      </c>
      <c r="BD102" s="1998">
        <v>1.3180265000109936</v>
      </c>
      <c r="BE102" s="1998">
        <v>1.3308586370188196</v>
      </c>
      <c r="BF102" s="1998">
        <v>1.3180265000109936</v>
      </c>
      <c r="BG102" s="1998">
        <v>1.3308586370188196</v>
      </c>
      <c r="BH102" s="1998">
        <v>1.3180265000109936</v>
      </c>
      <c r="BI102" s="1998">
        <v>1.3308586370188196</v>
      </c>
      <c r="BJ102" s="1998">
        <v>1.3180265000109936</v>
      </c>
      <c r="BK102" s="1998">
        <v>1.3308586370188196</v>
      </c>
      <c r="BL102" s="1999">
        <v>1.1170137448642214</v>
      </c>
      <c r="BM102" s="1979">
        <v>1.1385153231561622</v>
      </c>
      <c r="BN102" s="1979">
        <v>1.1170137448642214</v>
      </c>
      <c r="BO102" s="1979">
        <v>1.1385153231561622</v>
      </c>
      <c r="BP102" s="1979">
        <v>1.1170137448642214</v>
      </c>
      <c r="BQ102" s="1979">
        <v>1.1385153231561622</v>
      </c>
      <c r="BR102" s="1979">
        <v>1.1170137448642214</v>
      </c>
      <c r="BS102" s="1979">
        <v>1.1385153231561622</v>
      </c>
      <c r="BT102" s="1979">
        <v>1.1170137448642214</v>
      </c>
      <c r="BU102" s="1979">
        <v>1.1385153231561622</v>
      </c>
      <c r="BV102" s="2000">
        <v>1.1720905657817644</v>
      </c>
      <c r="BW102" s="1998">
        <v>1.2170960699359263</v>
      </c>
      <c r="BX102" s="1998">
        <v>1.1720905657817644</v>
      </c>
      <c r="BY102" s="1998">
        <v>1.2170960699359263</v>
      </c>
      <c r="BZ102" s="1998">
        <v>1.1720905657817644</v>
      </c>
      <c r="CA102" s="1998">
        <v>1.2170960699359263</v>
      </c>
      <c r="CB102" s="1998">
        <v>1.1720905657817644</v>
      </c>
      <c r="CC102" s="1998">
        <v>1.2170960699359263</v>
      </c>
      <c r="CD102" s="1998">
        <v>1.1720905657817644</v>
      </c>
      <c r="CE102" s="1998">
        <v>1.2170960699359263</v>
      </c>
      <c r="CF102" s="1999">
        <v>1.0229462900654527</v>
      </c>
      <c r="CG102" s="1979">
        <v>1.029032677919284</v>
      </c>
      <c r="CH102" s="1979">
        <v>1.0229462900654527</v>
      </c>
      <c r="CI102" s="1979">
        <v>1.029032677919284</v>
      </c>
      <c r="CJ102" s="1979">
        <v>1.0229462900654527</v>
      </c>
      <c r="CK102" s="1979">
        <v>1.029032677919284</v>
      </c>
      <c r="CL102" s="1979">
        <v>1.0229462900654527</v>
      </c>
      <c r="CM102" s="1979">
        <v>1.029032677919284</v>
      </c>
      <c r="CN102" s="1979">
        <v>1.0229462900654527</v>
      </c>
      <c r="CO102" s="1979">
        <v>1.029032677919284</v>
      </c>
      <c r="CP102" s="2000">
        <v>1.0275227666553484</v>
      </c>
      <c r="CQ102" s="1998">
        <v>1.0347429251585825</v>
      </c>
      <c r="CR102" s="1998">
        <v>1.0275227666553484</v>
      </c>
      <c r="CS102" s="1998">
        <v>1.0347429251585825</v>
      </c>
      <c r="CT102" s="1998">
        <v>1.0275227666553484</v>
      </c>
      <c r="CU102" s="1998">
        <v>1.0347429251585825</v>
      </c>
      <c r="CV102" s="1998">
        <v>1.0275227666553484</v>
      </c>
      <c r="CW102" s="1998">
        <v>1.0347429251585825</v>
      </c>
      <c r="CX102" s="1998">
        <v>1.0275227666553484</v>
      </c>
      <c r="CY102" s="1998">
        <v>1.0347429251585825</v>
      </c>
      <c r="CZ102" s="1999">
        <v>1</v>
      </c>
      <c r="DA102" s="1979">
        <v>1</v>
      </c>
      <c r="DB102" s="1979">
        <v>1</v>
      </c>
      <c r="DC102" s="1979">
        <v>1</v>
      </c>
      <c r="DD102" s="1979">
        <v>1</v>
      </c>
      <c r="DE102" s="1979">
        <v>1</v>
      </c>
      <c r="DF102" s="1979">
        <v>1</v>
      </c>
      <c r="DG102" s="1979">
        <v>1</v>
      </c>
      <c r="DH102" s="1979">
        <v>1</v>
      </c>
      <c r="DI102" s="1979">
        <v>1</v>
      </c>
      <c r="DJ102" s="2000">
        <v>1.0056299445065071</v>
      </c>
      <c r="DK102" s="1998">
        <v>1.0069907332011339</v>
      </c>
      <c r="DL102" s="1998">
        <v>1.0056299445065071</v>
      </c>
      <c r="DM102" s="1998">
        <v>1.0069907332011339</v>
      </c>
      <c r="DN102" s="1998">
        <v>1.0056299445065071</v>
      </c>
      <c r="DO102" s="1998">
        <v>1.0069907332011339</v>
      </c>
      <c r="DP102" s="1998">
        <v>1.0056299445065071</v>
      </c>
      <c r="DQ102" s="1998">
        <v>1.0069907332011339</v>
      </c>
      <c r="DR102" s="1998">
        <v>1.0056299445065071</v>
      </c>
      <c r="DS102" s="1998">
        <v>1.0069907332011339</v>
      </c>
      <c r="GT102" s="1980"/>
      <c r="GU102" s="1980"/>
      <c r="GV102" s="1980"/>
      <c r="GW102" s="1980"/>
      <c r="GX102" s="1980"/>
      <c r="GY102" s="1980"/>
      <c r="GZ102" s="1980"/>
      <c r="HA102" s="1980"/>
      <c r="HB102" s="1980"/>
      <c r="HC102" s="1980"/>
      <c r="HD102" s="1980"/>
      <c r="HE102" s="1980"/>
      <c r="HF102" s="1980"/>
      <c r="HG102" s="1980"/>
      <c r="HH102" s="1980"/>
      <c r="HI102" s="1980"/>
      <c r="HJ102" s="1980"/>
      <c r="HK102" s="1980"/>
      <c r="HL102" s="1980"/>
      <c r="HM102" s="1980"/>
      <c r="HN102" s="1980"/>
      <c r="HO102" s="1980"/>
      <c r="HP102" s="1980"/>
      <c r="HQ102" s="1980"/>
      <c r="HR102" s="1980"/>
      <c r="HS102" s="1980"/>
      <c r="HT102" s="1980"/>
      <c r="HU102" s="1980"/>
      <c r="HV102" s="1980"/>
      <c r="HW102" s="1980"/>
      <c r="HX102" s="1980"/>
      <c r="HY102" s="1980"/>
      <c r="HZ102" s="1980"/>
      <c r="IA102" s="1980"/>
      <c r="IB102" s="1980"/>
      <c r="IC102" s="1980"/>
      <c r="ID102" s="1980"/>
      <c r="IE102" s="1980"/>
      <c r="IF102" s="1980"/>
      <c r="IG102" s="1980"/>
      <c r="IH102" s="1980"/>
      <c r="II102" s="1980"/>
      <c r="IJ102" s="1980"/>
      <c r="IK102" s="1980"/>
      <c r="IL102" s="1980"/>
      <c r="IM102" s="1980"/>
      <c r="IN102" s="1980"/>
      <c r="IO102" s="1980"/>
      <c r="IP102" s="1980"/>
      <c r="IQ102" s="1980"/>
      <c r="IR102" s="1980"/>
      <c r="IS102" s="1980"/>
      <c r="IT102" s="1980"/>
      <c r="IU102" s="1980"/>
      <c r="IV102" s="1980"/>
      <c r="IW102" s="1980"/>
      <c r="IX102" s="1980"/>
      <c r="IY102" s="1980"/>
      <c r="IZ102" s="1980"/>
      <c r="JA102" s="1980"/>
      <c r="JB102" s="1980"/>
      <c r="JC102" s="1980"/>
      <c r="JD102" s="1980"/>
      <c r="JE102" s="1980"/>
      <c r="JF102" s="1980"/>
      <c r="JG102" s="1980"/>
      <c r="JH102" s="1980"/>
      <c r="JI102" s="1980"/>
      <c r="JJ102" s="1980"/>
      <c r="JK102" s="1980"/>
      <c r="JL102" s="1980"/>
      <c r="JM102" s="1980"/>
      <c r="JN102" s="1980"/>
      <c r="JO102" s="1980"/>
      <c r="JP102" s="1980"/>
      <c r="JQ102" s="1980"/>
      <c r="JR102" s="1980"/>
      <c r="JS102" s="1980"/>
      <c r="JT102" s="1980"/>
      <c r="JU102" s="1980"/>
      <c r="JV102" s="1980"/>
      <c r="JW102" s="1980"/>
      <c r="JX102" s="1980"/>
      <c r="JY102" s="1980"/>
      <c r="JZ102" s="1980"/>
      <c r="KA102" s="1980"/>
      <c r="KB102" s="1980"/>
      <c r="KC102" s="1980"/>
      <c r="KD102" s="1980"/>
      <c r="KE102" s="1980"/>
      <c r="KF102" s="1980"/>
      <c r="KG102" s="1980"/>
      <c r="KH102" s="1980"/>
      <c r="KI102" s="1980"/>
      <c r="KJ102" s="1980"/>
      <c r="KK102" s="1980"/>
    </row>
    <row r="103" spans="1:297">
      <c r="A103" s="1997"/>
      <c r="B103" s="2">
        <v>39</v>
      </c>
      <c r="C103" s="2" t="str">
        <f>AF$18</f>
        <v/>
      </c>
      <c r="D103" s="1979">
        <v>1.0227769495140195</v>
      </c>
      <c r="E103" s="1979">
        <v>1.0059727025741969</v>
      </c>
      <c r="F103" s="1979">
        <v>1.0227769495140195</v>
      </c>
      <c r="G103" s="1979">
        <v>1.0059727025741969</v>
      </c>
      <c r="H103" s="1979">
        <v>1.0227769495140195</v>
      </c>
      <c r="I103" s="1979">
        <v>1.0059727025741969</v>
      </c>
      <c r="J103" s="1979">
        <v>1.0227769495140195</v>
      </c>
      <c r="K103" s="1979">
        <v>1.0059727025741969</v>
      </c>
      <c r="L103" s="1979">
        <v>1.0227769495140195</v>
      </c>
      <c r="M103" s="1979">
        <v>1.0059727025741969</v>
      </c>
      <c r="N103" s="2000">
        <v>1.1822842050055484</v>
      </c>
      <c r="O103" s="1998">
        <v>1.1383735895895952</v>
      </c>
      <c r="P103" s="1998">
        <v>1.1822842050055484</v>
      </c>
      <c r="Q103" s="1998">
        <v>1.1383735895895952</v>
      </c>
      <c r="R103" s="1998">
        <v>1.1822842050055484</v>
      </c>
      <c r="S103" s="1998">
        <v>1.1383735895895952</v>
      </c>
      <c r="T103" s="1998">
        <v>1.1822842050055484</v>
      </c>
      <c r="U103" s="1998">
        <v>1.1383735895895952</v>
      </c>
      <c r="V103" s="1998">
        <v>1.1822842050055484</v>
      </c>
      <c r="W103" s="1998">
        <v>1.1383735895895952</v>
      </c>
      <c r="X103" s="1999">
        <v>1.0434388234052001</v>
      </c>
      <c r="Y103" s="1979">
        <v>1.0280974034669013</v>
      </c>
      <c r="Z103" s="1979">
        <v>1.0434388234052001</v>
      </c>
      <c r="AA103" s="1979">
        <v>1.0280974034669013</v>
      </c>
      <c r="AB103" s="1979">
        <v>1.0434388234052001</v>
      </c>
      <c r="AC103" s="1979">
        <v>1.0280974034669013</v>
      </c>
      <c r="AD103" s="1979">
        <v>1.0434388234052001</v>
      </c>
      <c r="AE103" s="1979">
        <v>1.0280974034669013</v>
      </c>
      <c r="AF103" s="1979">
        <v>1.0434388234052001</v>
      </c>
      <c r="AG103" s="1979">
        <v>1.0280974034669013</v>
      </c>
      <c r="AH103" s="2000">
        <v>1.1251648223706952</v>
      </c>
      <c r="AI103" s="1998">
        <v>1.0977249400985309</v>
      </c>
      <c r="AJ103" s="1998">
        <v>1.1251648223706952</v>
      </c>
      <c r="AK103" s="1998">
        <v>1.0977249400985309</v>
      </c>
      <c r="AL103" s="1998">
        <v>1.1251648223706952</v>
      </c>
      <c r="AM103" s="1998">
        <v>1.0977249400985309</v>
      </c>
      <c r="AN103" s="1998">
        <v>1.1251648223706952</v>
      </c>
      <c r="AO103" s="1998">
        <v>1.0977249400985309</v>
      </c>
      <c r="AP103" s="1998">
        <v>1.1251648223706952</v>
      </c>
      <c r="AQ103" s="1998">
        <v>1.0977249400985309</v>
      </c>
      <c r="AR103" s="1999">
        <v>1.0310984342663703</v>
      </c>
      <c r="AS103" s="1979">
        <v>1.0240971792515468</v>
      </c>
      <c r="AT103" s="1979">
        <v>1.0310984342663703</v>
      </c>
      <c r="AU103" s="1979">
        <v>1.0240971792515468</v>
      </c>
      <c r="AV103" s="1979">
        <v>1.0310984342663703</v>
      </c>
      <c r="AW103" s="1979">
        <v>1.0240971792515468</v>
      </c>
      <c r="AX103" s="1979">
        <v>1.0310984342663703</v>
      </c>
      <c r="AY103" s="1979">
        <v>1.0240971792515468</v>
      </c>
      <c r="AZ103" s="1979">
        <v>1.0310984342663703</v>
      </c>
      <c r="BA103" s="1979">
        <v>1.0240971792515468</v>
      </c>
      <c r="BB103" s="2000">
        <v>1.3180265000109936</v>
      </c>
      <c r="BC103" s="1998">
        <v>1.3308586370188196</v>
      </c>
      <c r="BD103" s="1998">
        <v>1.3180265000109936</v>
      </c>
      <c r="BE103" s="1998">
        <v>1.3308586370188196</v>
      </c>
      <c r="BF103" s="1998">
        <v>1.3180265000109936</v>
      </c>
      <c r="BG103" s="1998">
        <v>1.3308586370188196</v>
      </c>
      <c r="BH103" s="1998">
        <v>1.3180265000109936</v>
      </c>
      <c r="BI103" s="1998">
        <v>1.3308586370188196</v>
      </c>
      <c r="BJ103" s="1998">
        <v>1.3180265000109936</v>
      </c>
      <c r="BK103" s="1998">
        <v>1.3308586370188196</v>
      </c>
      <c r="BL103" s="1999">
        <v>1.0991807094920885</v>
      </c>
      <c r="BM103" s="1979">
        <v>1.0810384024859852</v>
      </c>
      <c r="BN103" s="1979">
        <v>1.0991807094920885</v>
      </c>
      <c r="BO103" s="1979">
        <v>1.0810384024859852</v>
      </c>
      <c r="BP103" s="1979">
        <v>1.0991807094920885</v>
      </c>
      <c r="BQ103" s="1979">
        <v>1.0810384024859852</v>
      </c>
      <c r="BR103" s="1979">
        <v>1.0991807094920885</v>
      </c>
      <c r="BS103" s="1979">
        <v>1.0810384024859852</v>
      </c>
      <c r="BT103" s="1979">
        <v>1.0991807094920885</v>
      </c>
      <c r="BU103" s="1979">
        <v>1.0810384024859852</v>
      </c>
      <c r="BV103" s="2000">
        <v>1.1043646023572886</v>
      </c>
      <c r="BW103" s="1998">
        <v>1.0829643266906182</v>
      </c>
      <c r="BX103" s="1998">
        <v>1.1043646023572886</v>
      </c>
      <c r="BY103" s="1998">
        <v>1.0829643266906182</v>
      </c>
      <c r="BZ103" s="1998">
        <v>1.1043646023572886</v>
      </c>
      <c r="CA103" s="1998">
        <v>1.0829643266906182</v>
      </c>
      <c r="CB103" s="1998">
        <v>1.1043646023572886</v>
      </c>
      <c r="CC103" s="1998">
        <v>1.0829643266906182</v>
      </c>
      <c r="CD103" s="1998">
        <v>1.1043646023572886</v>
      </c>
      <c r="CE103" s="1998">
        <v>1.0829643266906182</v>
      </c>
      <c r="CF103" s="1999">
        <v>1.013915814776813</v>
      </c>
      <c r="CG103" s="1979">
        <v>1.0110949800994089</v>
      </c>
      <c r="CH103" s="1979">
        <v>1.013915814776813</v>
      </c>
      <c r="CI103" s="1979">
        <v>1.0110949800994089</v>
      </c>
      <c r="CJ103" s="1979">
        <v>1.013915814776813</v>
      </c>
      <c r="CK103" s="1979">
        <v>1.0110949800994089</v>
      </c>
      <c r="CL103" s="1979">
        <v>1.013915814776813</v>
      </c>
      <c r="CM103" s="1979">
        <v>1.0110949800994089</v>
      </c>
      <c r="CN103" s="1979">
        <v>1.013915814776813</v>
      </c>
      <c r="CO103" s="1979">
        <v>1.0110949800994089</v>
      </c>
      <c r="CP103" s="2000">
        <v>1.0166912264173766</v>
      </c>
      <c r="CQ103" s="1998">
        <v>1.0132771790566961</v>
      </c>
      <c r="CR103" s="1998">
        <v>1.0166912264173766</v>
      </c>
      <c r="CS103" s="1998">
        <v>1.0132771790566961</v>
      </c>
      <c r="CT103" s="1998">
        <v>1.0166912264173766</v>
      </c>
      <c r="CU103" s="1998">
        <v>1.0132771790566961</v>
      </c>
      <c r="CV103" s="1998">
        <v>1.0166912264173766</v>
      </c>
      <c r="CW103" s="1998">
        <v>1.0132771790566961</v>
      </c>
      <c r="CX103" s="1998">
        <v>1.0166912264173766</v>
      </c>
      <c r="CY103" s="1998">
        <v>1.0132771790566961</v>
      </c>
      <c r="CZ103" s="1999">
        <v>1</v>
      </c>
      <c r="DA103" s="1979">
        <v>1</v>
      </c>
      <c r="DB103" s="1979">
        <v>1</v>
      </c>
      <c r="DC103" s="1979">
        <v>1</v>
      </c>
      <c r="DD103" s="1979">
        <v>1</v>
      </c>
      <c r="DE103" s="1979">
        <v>1</v>
      </c>
      <c r="DF103" s="1979">
        <v>1</v>
      </c>
      <c r="DG103" s="1979">
        <v>1</v>
      </c>
      <c r="DH103" s="1979">
        <v>1</v>
      </c>
      <c r="DI103" s="1979">
        <v>1</v>
      </c>
      <c r="DJ103" s="2000">
        <v>1.0035107351701431</v>
      </c>
      <c r="DK103" s="1998">
        <v>1.0027735639769348</v>
      </c>
      <c r="DL103" s="1998">
        <v>1.0035107351701431</v>
      </c>
      <c r="DM103" s="1998">
        <v>1.0027735639769348</v>
      </c>
      <c r="DN103" s="1998">
        <v>1.0035107351701431</v>
      </c>
      <c r="DO103" s="1998">
        <v>1.0027735639769348</v>
      </c>
      <c r="DP103" s="1998">
        <v>1.0035107351701431</v>
      </c>
      <c r="DQ103" s="1998">
        <v>1.0027735639769348</v>
      </c>
      <c r="DR103" s="1998">
        <v>1.0035107351701431</v>
      </c>
      <c r="DS103" s="1998">
        <v>1.0027735639769348</v>
      </c>
      <c r="GT103" s="1980"/>
      <c r="GU103" s="1980"/>
      <c r="GV103" s="1980"/>
      <c r="GW103" s="1980"/>
      <c r="GX103" s="1980"/>
      <c r="GY103" s="1980"/>
      <c r="GZ103" s="1980"/>
      <c r="HA103" s="1980"/>
      <c r="HB103" s="1980"/>
      <c r="HC103" s="1980"/>
      <c r="HD103" s="1980"/>
      <c r="HE103" s="1980"/>
      <c r="HF103" s="1980"/>
      <c r="HG103" s="1980"/>
      <c r="HH103" s="1980"/>
      <c r="HI103" s="1980"/>
      <c r="HJ103" s="1980"/>
      <c r="HK103" s="1980"/>
      <c r="HL103" s="1980"/>
      <c r="HM103" s="1980"/>
      <c r="HN103" s="1980"/>
      <c r="HO103" s="1980"/>
      <c r="HP103" s="1980"/>
      <c r="HQ103" s="1980"/>
      <c r="HR103" s="1980"/>
      <c r="HS103" s="1980"/>
      <c r="HT103" s="1980"/>
      <c r="HU103" s="1980"/>
      <c r="HV103" s="1980"/>
      <c r="HW103" s="1980"/>
      <c r="HX103" s="1980"/>
      <c r="HY103" s="1980"/>
      <c r="HZ103" s="1980"/>
      <c r="IA103" s="1980"/>
      <c r="IB103" s="1980"/>
      <c r="IC103" s="1980"/>
      <c r="ID103" s="1980"/>
      <c r="IE103" s="1980"/>
      <c r="IF103" s="1980"/>
      <c r="IG103" s="1980"/>
      <c r="IH103" s="1980"/>
      <c r="II103" s="1980"/>
      <c r="IJ103" s="1980"/>
      <c r="IK103" s="1980"/>
      <c r="IL103" s="1980"/>
      <c r="IM103" s="1980"/>
      <c r="IN103" s="1980"/>
      <c r="IO103" s="1980"/>
      <c r="IP103" s="1980"/>
      <c r="IQ103" s="1980"/>
      <c r="IR103" s="1980"/>
      <c r="IS103" s="1980"/>
      <c r="IT103" s="1980"/>
      <c r="IU103" s="1980"/>
      <c r="IV103" s="1980"/>
      <c r="IW103" s="1980"/>
      <c r="IX103" s="1980"/>
      <c r="IY103" s="1980"/>
      <c r="IZ103" s="1980"/>
      <c r="JA103" s="1980"/>
      <c r="JB103" s="1980"/>
      <c r="JC103" s="1980"/>
      <c r="JD103" s="1980"/>
      <c r="JE103" s="1980"/>
      <c r="JF103" s="1980"/>
      <c r="JG103" s="1980"/>
      <c r="JH103" s="1980"/>
      <c r="JI103" s="1980"/>
      <c r="JJ103" s="1980"/>
      <c r="JK103" s="1980"/>
      <c r="JL103" s="1980"/>
      <c r="JM103" s="1980"/>
      <c r="JN103" s="1980"/>
      <c r="JO103" s="1980"/>
      <c r="JP103" s="1980"/>
      <c r="JQ103" s="1980"/>
      <c r="JR103" s="1980"/>
      <c r="JS103" s="1980"/>
      <c r="JT103" s="1980"/>
      <c r="JU103" s="1980"/>
      <c r="JV103" s="1980"/>
      <c r="JW103" s="1980"/>
      <c r="JX103" s="1980"/>
      <c r="JY103" s="1980"/>
      <c r="JZ103" s="1980"/>
      <c r="KA103" s="1980"/>
      <c r="KB103" s="1980"/>
      <c r="KC103" s="1980"/>
      <c r="KD103" s="1980"/>
      <c r="KE103" s="1980"/>
      <c r="KF103" s="1980"/>
      <c r="KG103" s="1980"/>
      <c r="KH103" s="1980"/>
      <c r="KI103" s="1980"/>
      <c r="KJ103" s="1980"/>
      <c r="KK103" s="1980"/>
    </row>
    <row r="104" spans="1:297" s="1962" customFormat="1">
      <c r="A104" s="2001" t="str">
        <f>Uebersetzung!$D634</f>
        <v>Construction hybride</v>
      </c>
      <c r="B104" s="2">
        <v>1</v>
      </c>
      <c r="C104" s="2" t="s">
        <v>4327</v>
      </c>
      <c r="D104" s="2004">
        <v>0.9014728259003244</v>
      </c>
      <c r="E104" s="2004">
        <v>0.83541459058767431</v>
      </c>
      <c r="F104" s="2004">
        <v>0.91353036679205124</v>
      </c>
      <c r="G104" s="2004">
        <v>0.85147178226506071</v>
      </c>
      <c r="H104" s="2004">
        <v>0.94434427717869662</v>
      </c>
      <c r="I104" s="2004">
        <v>0.88947024958195198</v>
      </c>
      <c r="J104" s="2004">
        <v>0.97308516079765017</v>
      </c>
      <c r="K104" s="2004">
        <v>0.92737796755037749</v>
      </c>
      <c r="L104" s="2004">
        <v>1.0047285435859754</v>
      </c>
      <c r="M104" s="2004">
        <v>0.96712059176432341</v>
      </c>
      <c r="N104" s="2005">
        <v>0.73946117437934744</v>
      </c>
      <c r="O104" s="2002">
        <v>0.70018092484467276</v>
      </c>
      <c r="P104" s="2002">
        <v>0.74975694180552144</v>
      </c>
      <c r="Q104" s="2002">
        <v>0.71379666791749063</v>
      </c>
      <c r="R104" s="2002">
        <v>0.77242090846768663</v>
      </c>
      <c r="S104" s="2002">
        <v>0.74164931061900641</v>
      </c>
      <c r="T104" s="2002">
        <v>0.79300344869394468</v>
      </c>
      <c r="U104" s="2002">
        <v>0.76864974460735769</v>
      </c>
      <c r="V104" s="2002">
        <v>0.81993260653039535</v>
      </c>
      <c r="W104" s="2002">
        <v>0.79964140000874118</v>
      </c>
      <c r="X104" s="2003">
        <v>0.86517455117174324</v>
      </c>
      <c r="Y104" s="2004">
        <v>0.84879170578718866</v>
      </c>
      <c r="Z104" s="2004">
        <v>0.89549442803632551</v>
      </c>
      <c r="AA104" s="2004">
        <v>0.88703902895797637</v>
      </c>
      <c r="AB104" s="2004">
        <v>0.89685468285673098</v>
      </c>
      <c r="AC104" s="2004">
        <v>0.88872779022548709</v>
      </c>
      <c r="AD104" s="2004">
        <v>0.89821493767713634</v>
      </c>
      <c r="AE104" s="2004">
        <v>0.89041655149299792</v>
      </c>
      <c r="AF104" s="2004">
        <v>0.89957519249754181</v>
      </c>
      <c r="AG104" s="2004">
        <v>0.89210531276050886</v>
      </c>
      <c r="AH104" s="2005">
        <v>0.65452319841128304</v>
      </c>
      <c r="AI104" s="2002">
        <v>0.64811308647156363</v>
      </c>
      <c r="AJ104" s="2002">
        <v>0.67528604521890379</v>
      </c>
      <c r="AK104" s="2002">
        <v>0.67445090348114634</v>
      </c>
      <c r="AL104" s="2002">
        <v>0.67629874781633958</v>
      </c>
      <c r="AM104" s="2002">
        <v>0.67572256007922293</v>
      </c>
      <c r="AN104" s="2002">
        <v>0.67731145041377572</v>
      </c>
      <c r="AO104" s="2002">
        <v>0.67699421667729942</v>
      </c>
      <c r="AP104" s="2002">
        <v>0.67832415301121174</v>
      </c>
      <c r="AQ104" s="2002">
        <v>0.67826587327537602</v>
      </c>
      <c r="AR104" s="2003">
        <v>0.96108794212191451</v>
      </c>
      <c r="AS104" s="2004">
        <v>0.94764398772055891</v>
      </c>
      <c r="AT104" s="2004">
        <v>0.9933297233812467</v>
      </c>
      <c r="AU104" s="2004">
        <v>0.98719020447753203</v>
      </c>
      <c r="AV104" s="2004">
        <v>0.99545928542225592</v>
      </c>
      <c r="AW104" s="2004">
        <v>0.98984409363992309</v>
      </c>
      <c r="AX104" s="2004">
        <v>0.99758884746326515</v>
      </c>
      <c r="AY104" s="2004">
        <v>0.99249798280231394</v>
      </c>
      <c r="AZ104" s="2004">
        <v>0.99971840950427449</v>
      </c>
      <c r="BA104" s="2004">
        <v>0.995151871964705</v>
      </c>
      <c r="BB104" s="2005">
        <v>0.88302333057096427</v>
      </c>
      <c r="BC104" s="2002">
        <v>0.84635690310366918</v>
      </c>
      <c r="BD104" s="2002">
        <v>0.91231319798837507</v>
      </c>
      <c r="BE104" s="2002">
        <v>0.88057905312529783</v>
      </c>
      <c r="BF104" s="2002">
        <v>0.91450675819312699</v>
      </c>
      <c r="BG104" s="2002">
        <v>0.88321873432633868</v>
      </c>
      <c r="BH104" s="2002">
        <v>0.9167003183978788</v>
      </c>
      <c r="BI104" s="2002">
        <v>0.88585841552738009</v>
      </c>
      <c r="BJ104" s="2002">
        <v>0.91889387860263061</v>
      </c>
      <c r="BK104" s="2002">
        <v>0.88849809672842128</v>
      </c>
      <c r="BL104" s="2003">
        <v>0.82523726782317564</v>
      </c>
      <c r="BM104" s="2004">
        <v>0.80732965938376211</v>
      </c>
      <c r="BN104" s="2003">
        <v>0.82646722377849169</v>
      </c>
      <c r="BO104" s="2004">
        <v>0.80880522515152531</v>
      </c>
      <c r="BP104" s="2003">
        <v>0.82769717973380763</v>
      </c>
      <c r="BQ104" s="2004">
        <v>0.81028079091928851</v>
      </c>
      <c r="BR104" s="2003">
        <v>0.82892713568912357</v>
      </c>
      <c r="BS104" s="2004">
        <v>0.81175635668705193</v>
      </c>
      <c r="BT104" s="2003">
        <v>0.83015709164443974</v>
      </c>
      <c r="BU104" s="2004">
        <v>0.81323192245481524</v>
      </c>
      <c r="BV104" s="2005">
        <v>0.84680648194690977</v>
      </c>
      <c r="BW104" s="2002">
        <v>0.84327074796519952</v>
      </c>
      <c r="BX104" s="2002">
        <v>0.85732019257074343</v>
      </c>
      <c r="BY104" s="2002">
        <v>0.85793611674610837</v>
      </c>
      <c r="BZ104" s="2002">
        <v>0.88360356783739868</v>
      </c>
      <c r="CA104" s="2002">
        <v>0.89185891228230352</v>
      </c>
      <c r="CB104" s="2002">
        <v>0.90801262048505682</v>
      </c>
      <c r="CC104" s="2002">
        <v>0.92555076583744722</v>
      </c>
      <c r="CD104" s="2002">
        <v>0.93559489366698612</v>
      </c>
      <c r="CE104" s="2002">
        <v>0.96133275509234217</v>
      </c>
      <c r="CF104" s="2003">
        <v>0.70360461044096567</v>
      </c>
      <c r="CG104" s="2004">
        <v>0.74495326502909176</v>
      </c>
      <c r="CH104" s="2003">
        <v>0.70439218025641626</v>
      </c>
      <c r="CI104" s="2004">
        <v>0.74596314963133392</v>
      </c>
      <c r="CJ104" s="2003">
        <v>0.70517975007186662</v>
      </c>
      <c r="CK104" s="2004">
        <v>0.74697303423357608</v>
      </c>
      <c r="CL104" s="2003">
        <v>0.70596731988731687</v>
      </c>
      <c r="CM104" s="2004">
        <v>0.74798291883581847</v>
      </c>
      <c r="CN104" s="2003">
        <v>0.70675488970276745</v>
      </c>
      <c r="CO104" s="2004">
        <v>0.74899280343806063</v>
      </c>
      <c r="CP104" s="2005">
        <v>0.65287625754754552</v>
      </c>
      <c r="CQ104" s="2002">
        <v>0.69620223142384763</v>
      </c>
      <c r="CR104" s="2005">
        <v>0.65370282200173002</v>
      </c>
      <c r="CS104" s="2002">
        <v>0.69725967958951629</v>
      </c>
      <c r="CT104" s="2005">
        <v>0.6545293864559143</v>
      </c>
      <c r="CU104" s="2002">
        <v>0.69831712775518484</v>
      </c>
      <c r="CV104" s="2005">
        <v>0.65535595091009879</v>
      </c>
      <c r="CW104" s="2002">
        <v>0.69937457592085339</v>
      </c>
      <c r="CX104" s="2005">
        <v>0.65618251536428318</v>
      </c>
      <c r="CY104" s="2002">
        <v>0.70043202408652194</v>
      </c>
      <c r="CZ104" s="2003">
        <v>0.60460045099075455</v>
      </c>
      <c r="DA104" s="2004">
        <v>0.63277113033220855</v>
      </c>
      <c r="DB104" s="2003">
        <v>0.60538933259317929</v>
      </c>
      <c r="DC104" s="2004">
        <v>0.63377097310014274</v>
      </c>
      <c r="DD104" s="2003">
        <v>0.60617821419560414</v>
      </c>
      <c r="DE104" s="2004">
        <v>0.63477081586807671</v>
      </c>
      <c r="DF104" s="2003">
        <v>0.60696709579802899</v>
      </c>
      <c r="DG104" s="2004">
        <v>0.6357706586360109</v>
      </c>
      <c r="DH104" s="2003">
        <v>0.6085448590028788</v>
      </c>
      <c r="DI104" s="2004">
        <v>0.63777034417187928</v>
      </c>
      <c r="DJ104" s="2005">
        <v>0.54849949589422908</v>
      </c>
      <c r="DK104" s="2002">
        <v>0.58556055630380766</v>
      </c>
      <c r="DL104" s="2005">
        <v>0.54954308717932232</v>
      </c>
      <c r="DM104" s="2002">
        <v>0.58690117171063216</v>
      </c>
      <c r="DN104" s="2005">
        <v>0.55058667846441567</v>
      </c>
      <c r="DO104" s="2002">
        <v>0.58824178711745667</v>
      </c>
      <c r="DP104" s="2005">
        <v>0.55163026974950902</v>
      </c>
      <c r="DQ104" s="2002">
        <v>0.58958240252428118</v>
      </c>
      <c r="DR104" s="2005">
        <v>0.55371745231969549</v>
      </c>
      <c r="DS104" s="2002">
        <v>0.59226363333793031</v>
      </c>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1980"/>
      <c r="GU104" s="1980"/>
      <c r="GV104" s="1980"/>
      <c r="GW104" s="1980"/>
      <c r="GX104" s="1980"/>
      <c r="GY104" s="1980"/>
      <c r="GZ104" s="1980"/>
      <c r="HA104" s="1980"/>
      <c r="HB104" s="1980"/>
      <c r="HC104" s="1980"/>
      <c r="HD104" s="1980"/>
      <c r="HE104" s="1980"/>
      <c r="HF104" s="1980"/>
      <c r="HG104" s="1980"/>
      <c r="HH104" s="1980"/>
      <c r="HI104" s="1980"/>
      <c r="HJ104" s="1980"/>
      <c r="HK104" s="1980"/>
      <c r="HL104" s="1980"/>
      <c r="HM104" s="1980"/>
      <c r="HN104" s="1980"/>
      <c r="HO104" s="1980"/>
      <c r="HP104" s="1980"/>
      <c r="HQ104" s="1980"/>
      <c r="HR104" s="1980"/>
      <c r="HS104" s="1980"/>
      <c r="HT104" s="1980"/>
      <c r="HU104" s="1980"/>
      <c r="HV104" s="1980"/>
      <c r="HW104" s="1980"/>
      <c r="HX104" s="1980"/>
      <c r="HY104" s="1980"/>
      <c r="HZ104" s="1980"/>
      <c r="IA104" s="1980"/>
      <c r="IB104" s="1980"/>
      <c r="IC104" s="1980"/>
      <c r="ID104" s="1980"/>
      <c r="IE104" s="1980"/>
      <c r="IF104" s="1980"/>
      <c r="IG104" s="1980"/>
      <c r="IH104" s="1980"/>
      <c r="II104" s="1980"/>
      <c r="IJ104" s="1980"/>
      <c r="IK104" s="1980"/>
      <c r="IL104" s="1980"/>
      <c r="IM104" s="1980"/>
      <c r="IN104" s="1980"/>
      <c r="IO104" s="1980"/>
      <c r="IP104" s="1980"/>
      <c r="IQ104" s="1980"/>
      <c r="IR104" s="1980"/>
      <c r="IS104" s="1980"/>
      <c r="IT104" s="1980"/>
      <c r="IU104" s="1980"/>
      <c r="IV104" s="1980"/>
      <c r="IW104" s="1980"/>
      <c r="IX104" s="1980"/>
      <c r="IY104" s="1980"/>
      <c r="IZ104" s="1980"/>
      <c r="JA104" s="1980"/>
      <c r="JB104" s="1980"/>
      <c r="JC104" s="1980"/>
      <c r="JD104" s="1980"/>
      <c r="JE104" s="1980"/>
      <c r="JF104" s="1980"/>
      <c r="JG104" s="1980"/>
      <c r="JH104" s="1980"/>
      <c r="JI104" s="1980"/>
      <c r="JJ104" s="1980"/>
      <c r="JK104" s="1980"/>
      <c r="JL104" s="1980"/>
      <c r="JM104" s="1980"/>
      <c r="JN104" s="1980"/>
      <c r="JO104" s="1980"/>
      <c r="JP104" s="1980"/>
      <c r="JQ104" s="1980"/>
      <c r="JR104" s="1980"/>
      <c r="JS104" s="1980"/>
      <c r="JT104" s="1980"/>
      <c r="JU104" s="1980"/>
      <c r="JV104" s="1980"/>
      <c r="JW104" s="1980"/>
      <c r="JX104" s="1980"/>
      <c r="JY104" s="1980"/>
      <c r="JZ104" s="1980"/>
      <c r="KA104" s="1980"/>
      <c r="KB104" s="1980"/>
      <c r="KC104" s="1980"/>
      <c r="KD104" s="1980"/>
      <c r="KE104" s="1980"/>
      <c r="KF104" s="1980"/>
      <c r="KG104" s="1980"/>
      <c r="KH104" s="1980"/>
      <c r="KI104" s="1980"/>
      <c r="KJ104" s="1980"/>
      <c r="KK104" s="1980"/>
    </row>
    <row r="105" spans="1:297">
      <c r="A105" s="1997"/>
      <c r="B105" s="2">
        <v>2</v>
      </c>
      <c r="C105" s="2" t="s">
        <v>4328</v>
      </c>
      <c r="D105" s="1998">
        <v>0.92450046040521405</v>
      </c>
      <c r="E105" s="1998">
        <v>0.85800419589686139</v>
      </c>
      <c r="F105" s="1998">
        <v>0.93690663499620919</v>
      </c>
      <c r="G105" s="1998">
        <v>0.87452304045199514</v>
      </c>
      <c r="H105" s="1998">
        <v>0.96786318828987949</v>
      </c>
      <c r="I105" s="1998">
        <v>0.91269858444240703</v>
      </c>
      <c r="J105" s="1998">
        <v>0.99661632534357747</v>
      </c>
      <c r="K105" s="1998">
        <v>0.95061483000424152</v>
      </c>
      <c r="L105" s="1998">
        <v>1.0291580119882338</v>
      </c>
      <c r="M105" s="1998">
        <v>0.99092093381175861</v>
      </c>
      <c r="N105" s="1999">
        <v>0.76285267343955876</v>
      </c>
      <c r="O105" s="1979">
        <v>0.72138155308815366</v>
      </c>
      <c r="P105" s="1979">
        <v>0.77318786250973959</v>
      </c>
      <c r="Q105" s="1979">
        <v>0.73502469509810509</v>
      </c>
      <c r="R105" s="1979">
        <v>0.79589812668405291</v>
      </c>
      <c r="S105" s="1979">
        <v>0.76290951562113785</v>
      </c>
      <c r="T105" s="1979">
        <v>0.81652742281366797</v>
      </c>
      <c r="U105" s="1979">
        <v>0.78994244602329844</v>
      </c>
      <c r="V105" s="1979">
        <v>0.84355513476013655</v>
      </c>
      <c r="W105" s="1979">
        <v>0.82100259876751525</v>
      </c>
      <c r="X105" s="2000">
        <v>0.88121886075750211</v>
      </c>
      <c r="Y105" s="1998">
        <v>0.8630621582212451</v>
      </c>
      <c r="Z105" s="1998">
        <v>0.91153873762208437</v>
      </c>
      <c r="AA105" s="1998">
        <v>0.9013094813920326</v>
      </c>
      <c r="AB105" s="1998">
        <v>0.91289899244248984</v>
      </c>
      <c r="AC105" s="1998">
        <v>0.90299824265954343</v>
      </c>
      <c r="AD105" s="1998">
        <v>0.91425924726289531</v>
      </c>
      <c r="AE105" s="1998">
        <v>0.90468700392705437</v>
      </c>
      <c r="AF105" s="1998">
        <v>0.91561950208330056</v>
      </c>
      <c r="AG105" s="1998">
        <v>0.90637576519456498</v>
      </c>
      <c r="AH105" s="1999">
        <v>0.65928657454207718</v>
      </c>
      <c r="AI105" s="1979">
        <v>0.6530889217272019</v>
      </c>
      <c r="AJ105" s="1979">
        <v>0.68034513444437572</v>
      </c>
      <c r="AK105" s="1979">
        <v>0.67961665630594048</v>
      </c>
      <c r="AL105" s="1979">
        <v>0.68147035955263791</v>
      </c>
      <c r="AM105" s="1979">
        <v>0.68102960808158119</v>
      </c>
      <c r="AN105" s="1979">
        <v>0.6825955846609002</v>
      </c>
      <c r="AO105" s="1979">
        <v>0.6824425598572218</v>
      </c>
      <c r="AP105" s="1979">
        <v>0.68372080976916227</v>
      </c>
      <c r="AQ105" s="1979">
        <v>0.6838555116328624</v>
      </c>
      <c r="AR105" s="2000">
        <v>0.99102711460133242</v>
      </c>
      <c r="AS105" s="1998">
        <v>0.97436358384198773</v>
      </c>
      <c r="AT105" s="1998">
        <v>1.0232688958606646</v>
      </c>
      <c r="AU105" s="1998">
        <v>1.0139098005989613</v>
      </c>
      <c r="AV105" s="1998">
        <v>1.0253984579016739</v>
      </c>
      <c r="AW105" s="1998">
        <v>1.0165636897613521</v>
      </c>
      <c r="AX105" s="1998">
        <v>1.0275280199426831</v>
      </c>
      <c r="AY105" s="1998">
        <v>1.0192175789237432</v>
      </c>
      <c r="AZ105" s="1998">
        <v>1.0296575819836922</v>
      </c>
      <c r="BA105" s="1998">
        <v>1.021871468086134</v>
      </c>
      <c r="BB105" s="1999">
        <v>0.91834273192874238</v>
      </c>
      <c r="BC105" s="1979">
        <v>0.87541302404480159</v>
      </c>
      <c r="BD105" s="1979">
        <v>0.94763259934615296</v>
      </c>
      <c r="BE105" s="1979">
        <v>0.90963517406643024</v>
      </c>
      <c r="BF105" s="1979">
        <v>0.94982615955090488</v>
      </c>
      <c r="BG105" s="1979">
        <v>0.91227485526747143</v>
      </c>
      <c r="BH105" s="1979">
        <v>0.95201971975565658</v>
      </c>
      <c r="BI105" s="1979">
        <v>0.9149145364685124</v>
      </c>
      <c r="BJ105" s="1979">
        <v>0.9542132799604085</v>
      </c>
      <c r="BK105" s="1979">
        <v>0.91755421766955358</v>
      </c>
      <c r="BL105" s="2000">
        <v>0.84283099789422511</v>
      </c>
      <c r="BM105" s="1998">
        <v>0.82227979721358702</v>
      </c>
      <c r="BN105" s="2000">
        <v>0.84406095384954116</v>
      </c>
      <c r="BO105" s="1998">
        <v>0.82375536298135021</v>
      </c>
      <c r="BP105" s="2000">
        <v>0.84529090980485733</v>
      </c>
      <c r="BQ105" s="1998">
        <v>0.82523092874911363</v>
      </c>
      <c r="BR105" s="2000">
        <v>0.84652086576017327</v>
      </c>
      <c r="BS105" s="1998">
        <v>0.82670649451687694</v>
      </c>
      <c r="BT105" s="2000">
        <v>0.84775082171548932</v>
      </c>
      <c r="BU105" s="1998">
        <v>0.82818206028464003</v>
      </c>
      <c r="BV105" s="1999">
        <v>0.86406065621593398</v>
      </c>
      <c r="BW105" s="1979">
        <v>0.86038570344061538</v>
      </c>
      <c r="BX105" s="1979">
        <v>0.87480578334045678</v>
      </c>
      <c r="BY105" s="1979">
        <v>0.87537535241031883</v>
      </c>
      <c r="BZ105" s="1979">
        <v>0.90117941948238256</v>
      </c>
      <c r="CA105" s="1979">
        <v>0.90941920577124014</v>
      </c>
      <c r="CB105" s="1979">
        <v>0.92558995421513779</v>
      </c>
      <c r="CC105" s="1979">
        <v>0.94311213803991345</v>
      </c>
      <c r="CD105" s="1979">
        <v>0.95376894756172936</v>
      </c>
      <c r="CE105" s="1979">
        <v>0.97928455205914322</v>
      </c>
      <c r="CF105" s="2000">
        <v>0.71596177337957134</v>
      </c>
      <c r="CG105" s="1998">
        <v>0.75780553140016915</v>
      </c>
      <c r="CH105" s="2000">
        <v>0.7168806048309303</v>
      </c>
      <c r="CI105" s="1998">
        <v>0.75898373010278508</v>
      </c>
      <c r="CJ105" s="2000">
        <v>0.71779943628228915</v>
      </c>
      <c r="CK105" s="1998">
        <v>0.76016192880540079</v>
      </c>
      <c r="CL105" s="2000">
        <v>0.71871826773364789</v>
      </c>
      <c r="CM105" s="1998">
        <v>0.76134012750801672</v>
      </c>
      <c r="CN105" s="2000">
        <v>0.71963709918500696</v>
      </c>
      <c r="CO105" s="1998">
        <v>0.76251832621063287</v>
      </c>
      <c r="CP105" s="1999">
        <v>0.68397135811682785</v>
      </c>
      <c r="CQ105" s="1979">
        <v>0.72835628146969311</v>
      </c>
      <c r="CR105" s="1999">
        <v>0.68512854835268611</v>
      </c>
      <c r="CS105" s="1979">
        <v>0.72983670890162911</v>
      </c>
      <c r="CT105" s="1999">
        <v>0.68628573858854436</v>
      </c>
      <c r="CU105" s="1979">
        <v>0.7313171363335651</v>
      </c>
      <c r="CV105" s="1999">
        <v>0.68744292882440261</v>
      </c>
      <c r="CW105" s="1979">
        <v>0.73279756376550109</v>
      </c>
      <c r="CX105" s="1999">
        <v>0.68860011906026064</v>
      </c>
      <c r="CY105" s="1979">
        <v>0.7342779911974372</v>
      </c>
      <c r="CZ105" s="2000">
        <v>0.61807892025385014</v>
      </c>
      <c r="DA105" s="1998">
        <v>0.64827802258119538</v>
      </c>
      <c r="DB105" s="2000">
        <v>0.61902557817675985</v>
      </c>
      <c r="DC105" s="1998">
        <v>0.64947783390271641</v>
      </c>
      <c r="DD105" s="2000">
        <v>0.61997223609966967</v>
      </c>
      <c r="DE105" s="1998">
        <v>0.65067764522423732</v>
      </c>
      <c r="DF105" s="2000">
        <v>0.6209188940225796</v>
      </c>
      <c r="DG105" s="1998">
        <v>0.65187745654575835</v>
      </c>
      <c r="DH105" s="2000">
        <v>0.62281220986839925</v>
      </c>
      <c r="DI105" s="1998">
        <v>0.65427707918880018</v>
      </c>
      <c r="DJ105" s="1999">
        <v>0.5515392927222964</v>
      </c>
      <c r="DK105" s="1979">
        <v>0.58824627360143933</v>
      </c>
      <c r="DL105" s="1999">
        <v>0.55258288400738964</v>
      </c>
      <c r="DM105" s="1979">
        <v>0.58958688900826384</v>
      </c>
      <c r="DN105" s="1999">
        <v>0.55362647529248299</v>
      </c>
      <c r="DO105" s="1979">
        <v>0.59092750441508834</v>
      </c>
      <c r="DP105" s="1999">
        <v>0.55467006657757623</v>
      </c>
      <c r="DQ105" s="1979">
        <v>0.59226811982191285</v>
      </c>
      <c r="DR105" s="1999">
        <v>0.55675724914776281</v>
      </c>
      <c r="DS105" s="1979">
        <v>0.59494935063556198</v>
      </c>
      <c r="GT105" s="1980"/>
      <c r="GU105" s="1980"/>
      <c r="GV105" s="1980"/>
      <c r="GW105" s="1980"/>
      <c r="GX105" s="1980"/>
      <c r="GY105" s="1980"/>
      <c r="GZ105" s="1980"/>
      <c r="HA105" s="1980"/>
      <c r="HB105" s="1980"/>
      <c r="HC105" s="1980"/>
      <c r="HD105" s="1980"/>
      <c r="HE105" s="1980"/>
      <c r="HF105" s="1980"/>
      <c r="HG105" s="1980"/>
      <c r="HH105" s="1980"/>
      <c r="HI105" s="1980"/>
      <c r="HJ105" s="1980"/>
      <c r="HK105" s="1980"/>
      <c r="HL105" s="1980"/>
      <c r="HM105" s="1980"/>
      <c r="HN105" s="1980"/>
      <c r="HO105" s="1980"/>
      <c r="HP105" s="1980"/>
      <c r="HQ105" s="1980"/>
      <c r="HR105" s="1980"/>
      <c r="HS105" s="1980"/>
      <c r="HT105" s="1980"/>
      <c r="HU105" s="1980"/>
      <c r="HV105" s="1980"/>
      <c r="HW105" s="1980"/>
      <c r="HX105" s="1980"/>
      <c r="HY105" s="1980"/>
      <c r="HZ105" s="1980"/>
      <c r="IA105" s="1980"/>
      <c r="IB105" s="1980"/>
      <c r="IC105" s="1980"/>
      <c r="ID105" s="1980"/>
      <c r="IE105" s="1980"/>
      <c r="IF105" s="1980"/>
      <c r="IG105" s="1980"/>
      <c r="IH105" s="1980"/>
      <c r="II105" s="1980"/>
      <c r="IJ105" s="1980"/>
      <c r="IK105" s="1980"/>
      <c r="IL105" s="1980"/>
      <c r="IM105" s="1980"/>
      <c r="IN105" s="1980"/>
      <c r="IO105" s="1980"/>
      <c r="IP105" s="1980"/>
      <c r="IQ105" s="1980"/>
      <c r="IR105" s="1980"/>
      <c r="IS105" s="1980"/>
      <c r="IT105" s="1980"/>
      <c r="IU105" s="1980"/>
      <c r="IV105" s="1980"/>
      <c r="IW105" s="1980"/>
      <c r="IX105" s="1980"/>
      <c r="IY105" s="1980"/>
      <c r="IZ105" s="1980"/>
      <c r="JA105" s="1980"/>
      <c r="JB105" s="1980"/>
      <c r="JC105" s="1980"/>
      <c r="JD105" s="1980"/>
      <c r="JE105" s="1980"/>
      <c r="JF105" s="1980"/>
      <c r="JG105" s="1980"/>
      <c r="JH105" s="1980"/>
      <c r="JI105" s="1980"/>
      <c r="JJ105" s="1980"/>
      <c r="JK105" s="1980"/>
      <c r="JL105" s="1980"/>
      <c r="JM105" s="1980"/>
      <c r="JN105" s="1980"/>
      <c r="JO105" s="1980"/>
      <c r="JP105" s="1980"/>
      <c r="JQ105" s="1980"/>
      <c r="JR105" s="1980"/>
      <c r="JS105" s="1980"/>
      <c r="JT105" s="1980"/>
      <c r="JU105" s="1980"/>
      <c r="JV105" s="1980"/>
      <c r="JW105" s="1980"/>
      <c r="JX105" s="1980"/>
      <c r="JY105" s="1980"/>
      <c r="JZ105" s="1980"/>
      <c r="KA105" s="1980"/>
      <c r="KB105" s="1980"/>
      <c r="KC105" s="1980"/>
      <c r="KD105" s="1980"/>
      <c r="KE105" s="1980"/>
      <c r="KF105" s="1980"/>
      <c r="KG105" s="1980"/>
      <c r="KH105" s="1980"/>
      <c r="KI105" s="1980"/>
      <c r="KJ105" s="1980"/>
      <c r="KK105" s="1980"/>
    </row>
    <row r="106" spans="1:297">
      <c r="A106" s="1997"/>
      <c r="B106" s="2">
        <v>3</v>
      </c>
      <c r="C106" s="2" t="s">
        <v>4329</v>
      </c>
      <c r="D106" s="1998">
        <v>0.94502000259727137</v>
      </c>
      <c r="E106" s="1998">
        <v>0.877260010312372</v>
      </c>
      <c r="F106" s="1998">
        <v>0.95757236345147601</v>
      </c>
      <c r="G106" s="1998">
        <v>0.89396023699775462</v>
      </c>
      <c r="H106" s="1998">
        <v>0.98860358279582017</v>
      </c>
      <c r="I106" s="1998">
        <v>0.93221603697102906</v>
      </c>
      <c r="J106" s="1998">
        <v>1.0173841972486426</v>
      </c>
      <c r="K106" s="1998">
        <v>0.97015140501505281</v>
      </c>
      <c r="L106" s="1998">
        <v>1.0503010657724712</v>
      </c>
      <c r="M106" s="1998">
        <v>1.0106961813842661</v>
      </c>
      <c r="N106" s="1999">
        <v>0.79635293914734795</v>
      </c>
      <c r="O106" s="1979">
        <v>0.75642599562036072</v>
      </c>
      <c r="P106" s="1979">
        <v>0.80724301554731892</v>
      </c>
      <c r="Q106" s="1979">
        <v>0.7708274864014153</v>
      </c>
      <c r="R106" s="1979">
        <v>0.83015037601205166</v>
      </c>
      <c r="S106" s="1979">
        <v>0.79898168670604075</v>
      </c>
      <c r="T106" s="1979">
        <v>0.85075415522791453</v>
      </c>
      <c r="U106" s="1979">
        <v>0.82599688227411849</v>
      </c>
      <c r="V106" s="1979">
        <v>0.87921461052592198</v>
      </c>
      <c r="W106" s="1979">
        <v>0.85794786869862194</v>
      </c>
      <c r="X106" s="2000">
        <v>0.90198643998767991</v>
      </c>
      <c r="Y106" s="1998">
        <v>0.88250407707132683</v>
      </c>
      <c r="Z106" s="1998">
        <v>0.93266379657746479</v>
      </c>
      <c r="AA106" s="1998">
        <v>0.92097838989621295</v>
      </c>
      <c r="AB106" s="1998">
        <v>0.93416007687991043</v>
      </c>
      <c r="AC106" s="1998">
        <v>0.92283602729047476</v>
      </c>
      <c r="AD106" s="1998">
        <v>0.93565635718235651</v>
      </c>
      <c r="AE106" s="1998">
        <v>0.92469366468473657</v>
      </c>
      <c r="AF106" s="1998">
        <v>0.93715263748480238</v>
      </c>
      <c r="AG106" s="1998">
        <v>0.92655130207899838</v>
      </c>
      <c r="AH106" s="1999">
        <v>0.73551770689707119</v>
      </c>
      <c r="AI106" s="1979">
        <v>0.71795138401129588</v>
      </c>
      <c r="AJ106" s="1979">
        <v>0.75694590816771723</v>
      </c>
      <c r="AK106" s="1979">
        <v>0.74471651555147966</v>
      </c>
      <c r="AL106" s="1979">
        <v>0.75821178641451226</v>
      </c>
      <c r="AM106" s="1979">
        <v>0.74630608629907536</v>
      </c>
      <c r="AN106" s="1979">
        <v>0.75947766466130706</v>
      </c>
      <c r="AO106" s="1979">
        <v>0.74789565704667105</v>
      </c>
      <c r="AP106" s="1979">
        <v>0.76074354290810209</v>
      </c>
      <c r="AQ106" s="1979">
        <v>0.74948522779426674</v>
      </c>
      <c r="AR106" s="2000">
        <v>1.0050983070197936</v>
      </c>
      <c r="AS106" s="1998">
        <v>0.98890795252332553</v>
      </c>
      <c r="AT106" s="1998">
        <v>1.0382728488690314</v>
      </c>
      <c r="AU106" s="1998">
        <v>1.02904869320204</v>
      </c>
      <c r="AV106" s="1998">
        <v>1.0407573379168751</v>
      </c>
      <c r="AW106" s="1998">
        <v>1.0321448972248293</v>
      </c>
      <c r="AX106" s="1998">
        <v>1.0432418269647195</v>
      </c>
      <c r="AY106" s="1998">
        <v>1.0352411012476186</v>
      </c>
      <c r="AZ106" s="1998">
        <v>1.0457263160125634</v>
      </c>
      <c r="BA106" s="1998">
        <v>1.0383373052704081</v>
      </c>
      <c r="BB106" s="1999">
        <v>0.96305199144045406</v>
      </c>
      <c r="BC106" s="1979">
        <v>0.91140215901124977</v>
      </c>
      <c r="BD106" s="1979">
        <v>0.99234185885786474</v>
      </c>
      <c r="BE106" s="1979">
        <v>0.94562430903287842</v>
      </c>
      <c r="BF106" s="1979">
        <v>0.99453541906261678</v>
      </c>
      <c r="BG106" s="1979">
        <v>0.9482639902339195</v>
      </c>
      <c r="BH106" s="1979">
        <v>0.99672897926736859</v>
      </c>
      <c r="BI106" s="1979">
        <v>0.95090367143496068</v>
      </c>
      <c r="BJ106" s="1979">
        <v>0.99892253947212062</v>
      </c>
      <c r="BK106" s="1979">
        <v>0.95354335263600198</v>
      </c>
      <c r="BL106" s="2000">
        <v>0.8632130665030836</v>
      </c>
      <c r="BM106" s="1998">
        <v>0.83981645871640476</v>
      </c>
      <c r="BN106" s="2000">
        <v>0.86444302245839977</v>
      </c>
      <c r="BO106" s="1998">
        <v>0.84129202448416807</v>
      </c>
      <c r="BP106" s="2000">
        <v>0.86567297841371571</v>
      </c>
      <c r="BQ106" s="1998">
        <v>0.84276759025193126</v>
      </c>
      <c r="BR106" s="2000">
        <v>0.86690293436903187</v>
      </c>
      <c r="BS106" s="1998">
        <v>0.84424315601969457</v>
      </c>
      <c r="BT106" s="2000">
        <v>0.86813289032434782</v>
      </c>
      <c r="BU106" s="1998">
        <v>0.84571872178745777</v>
      </c>
      <c r="BV106" s="1999">
        <v>0.89630345719785565</v>
      </c>
      <c r="BW106" s="1979">
        <v>0.89300089761910051</v>
      </c>
      <c r="BX106" s="1979">
        <v>0.9076235724483589</v>
      </c>
      <c r="BY106" s="1979">
        <v>0.90880979290984898</v>
      </c>
      <c r="BZ106" s="1979">
        <v>0.93420572228087284</v>
      </c>
      <c r="CA106" s="1979">
        <v>0.9431477713179891</v>
      </c>
      <c r="CB106" s="1979">
        <v>0.95859624886481665</v>
      </c>
      <c r="CC106" s="1979">
        <v>0.97682614095400999</v>
      </c>
      <c r="CD106" s="1979">
        <v>0.98825945830249062</v>
      </c>
      <c r="CE106" s="1979">
        <v>1.0139659618133181</v>
      </c>
      <c r="CF106" s="2000">
        <v>0.74374423988159821</v>
      </c>
      <c r="CG106" s="1998">
        <v>0.78585506276292039</v>
      </c>
      <c r="CH106" s="2000">
        <v>0.74484683762322867</v>
      </c>
      <c r="CI106" s="1998">
        <v>0.78726890120605952</v>
      </c>
      <c r="CJ106" s="2000">
        <v>0.74594943536485947</v>
      </c>
      <c r="CK106" s="1998">
        <v>0.78868273964919866</v>
      </c>
      <c r="CL106" s="2000">
        <v>0.74705203310649015</v>
      </c>
      <c r="CM106" s="1998">
        <v>0.79009657809233769</v>
      </c>
      <c r="CN106" s="2000">
        <v>0.74815463084812073</v>
      </c>
      <c r="CO106" s="1998">
        <v>0.79151041653547693</v>
      </c>
      <c r="CP106" s="1999">
        <v>0.72072898406586627</v>
      </c>
      <c r="CQ106" s="1979">
        <v>0.76558264808472321</v>
      </c>
      <c r="CR106" s="1999">
        <v>0.72188617430172441</v>
      </c>
      <c r="CS106" s="1979">
        <v>0.7670630755166592</v>
      </c>
      <c r="CT106" s="1999">
        <v>0.72304336453758256</v>
      </c>
      <c r="CU106" s="1979">
        <v>0.7685435029485953</v>
      </c>
      <c r="CV106" s="1999">
        <v>0.72420055477344092</v>
      </c>
      <c r="CW106" s="1979">
        <v>0.7700239303805313</v>
      </c>
      <c r="CX106" s="1999">
        <v>0.72535774500929906</v>
      </c>
      <c r="CY106" s="1979">
        <v>0.77150435781246729</v>
      </c>
      <c r="CZ106" s="2000">
        <v>0.63829662414849364</v>
      </c>
      <c r="DA106" s="1998">
        <v>0.67153836095467578</v>
      </c>
      <c r="DB106" s="2000">
        <v>0.63947994655213081</v>
      </c>
      <c r="DC106" s="1998">
        <v>0.6730381251065769</v>
      </c>
      <c r="DD106" s="2000">
        <v>0.64066326895576819</v>
      </c>
      <c r="DE106" s="1998">
        <v>0.67453788925847813</v>
      </c>
      <c r="DF106" s="2000">
        <v>0.64184659135940547</v>
      </c>
      <c r="DG106" s="1998">
        <v>0.67603765341037936</v>
      </c>
      <c r="DH106" s="2000">
        <v>0.64421323616668014</v>
      </c>
      <c r="DI106" s="1998">
        <v>0.6790371817141817</v>
      </c>
      <c r="DJ106" s="1999">
        <v>0.5812654309790698</v>
      </c>
      <c r="DK106" s="1979">
        <v>0.6229057068088516</v>
      </c>
      <c r="DL106" s="1999">
        <v>0.58265688602586063</v>
      </c>
      <c r="DM106" s="1979">
        <v>0.62469319401795087</v>
      </c>
      <c r="DN106" s="1999">
        <v>0.5840483410726518</v>
      </c>
      <c r="DO106" s="1979">
        <v>0.62648068122705025</v>
      </c>
      <c r="DP106" s="1999">
        <v>0.58543979611944286</v>
      </c>
      <c r="DQ106" s="1979">
        <v>0.62826816843614963</v>
      </c>
      <c r="DR106" s="1999">
        <v>0.58822270621302486</v>
      </c>
      <c r="DS106" s="1979">
        <v>0.63184314285434839</v>
      </c>
      <c r="GT106" s="1980"/>
      <c r="GU106" s="1980"/>
      <c r="GV106" s="1980"/>
      <c r="GW106" s="1980"/>
      <c r="GX106" s="1980"/>
      <c r="GY106" s="1980"/>
      <c r="GZ106" s="1980"/>
      <c r="HA106" s="1980"/>
      <c r="HB106" s="1980"/>
      <c r="HC106" s="1980"/>
      <c r="HD106" s="1980"/>
      <c r="HE106" s="1980"/>
      <c r="HF106" s="1980"/>
      <c r="HG106" s="1980"/>
      <c r="HH106" s="1980"/>
      <c r="HI106" s="1980"/>
      <c r="HJ106" s="1980"/>
      <c r="HK106" s="1980"/>
      <c r="HL106" s="1980"/>
      <c r="HM106" s="1980"/>
      <c r="HN106" s="1980"/>
      <c r="HO106" s="1980"/>
      <c r="HP106" s="1980"/>
      <c r="HQ106" s="1980"/>
      <c r="HR106" s="1980"/>
      <c r="HS106" s="1980"/>
      <c r="HT106" s="1980"/>
      <c r="HU106" s="1980"/>
      <c r="HV106" s="1980"/>
      <c r="HW106" s="1980"/>
      <c r="HX106" s="1980"/>
      <c r="HY106" s="1980"/>
      <c r="HZ106" s="1980"/>
      <c r="IA106" s="1980"/>
      <c r="IB106" s="1980"/>
      <c r="IC106" s="1980"/>
      <c r="ID106" s="1980"/>
      <c r="IE106" s="1980"/>
      <c r="IF106" s="1980"/>
      <c r="IG106" s="1980"/>
      <c r="IH106" s="1980"/>
      <c r="II106" s="1980"/>
      <c r="IJ106" s="1980"/>
      <c r="IK106" s="1980"/>
      <c r="IL106" s="1980"/>
      <c r="IM106" s="1980"/>
      <c r="IN106" s="1980"/>
      <c r="IO106" s="1980"/>
      <c r="IP106" s="1980"/>
      <c r="IQ106" s="1980"/>
      <c r="IR106" s="1980"/>
      <c r="IS106" s="1980"/>
      <c r="IT106" s="1980"/>
      <c r="IU106" s="1980"/>
      <c r="IV106" s="1980"/>
      <c r="IW106" s="1980"/>
      <c r="IX106" s="1980"/>
      <c r="IY106" s="1980"/>
      <c r="IZ106" s="1980"/>
      <c r="JA106" s="1980"/>
      <c r="JB106" s="1980"/>
      <c r="JC106" s="1980"/>
      <c r="JD106" s="1980"/>
      <c r="JE106" s="1980"/>
      <c r="JF106" s="1980"/>
      <c r="JG106" s="1980"/>
      <c r="JH106" s="1980"/>
      <c r="JI106" s="1980"/>
      <c r="JJ106" s="1980"/>
      <c r="JK106" s="1980"/>
      <c r="JL106" s="1980"/>
      <c r="JM106" s="1980"/>
      <c r="JN106" s="1980"/>
      <c r="JO106" s="1980"/>
      <c r="JP106" s="1980"/>
      <c r="JQ106" s="1980"/>
      <c r="JR106" s="1980"/>
      <c r="JS106" s="1980"/>
      <c r="JT106" s="1980"/>
      <c r="JU106" s="1980"/>
      <c r="JV106" s="1980"/>
      <c r="JW106" s="1980"/>
      <c r="JX106" s="1980"/>
      <c r="JY106" s="1980"/>
      <c r="JZ106" s="1980"/>
      <c r="KA106" s="1980"/>
      <c r="KB106" s="1980"/>
      <c r="KC106" s="1980"/>
      <c r="KD106" s="1980"/>
      <c r="KE106" s="1980"/>
      <c r="KF106" s="1980"/>
      <c r="KG106" s="1980"/>
      <c r="KH106" s="1980"/>
      <c r="KI106" s="1980"/>
      <c r="KJ106" s="1980"/>
      <c r="KK106" s="1980"/>
    </row>
    <row r="107" spans="1:297">
      <c r="A107" s="1997"/>
      <c r="B107" s="2">
        <v>4</v>
      </c>
      <c r="C107" s="2" t="s">
        <v>4330</v>
      </c>
      <c r="D107" s="1998">
        <v>0.96968031387191234</v>
      </c>
      <c r="E107" s="1998">
        <v>0.90061961932964119</v>
      </c>
      <c r="F107" s="1998">
        <v>0.98229027970276528</v>
      </c>
      <c r="G107" s="1998">
        <v>0.91735993533115545</v>
      </c>
      <c r="H107" s="1998">
        <v>1.0133891514034059</v>
      </c>
      <c r="I107" s="1998">
        <v>0.95566281694314292</v>
      </c>
      <c r="J107" s="1998">
        <v>1.0422380880378344</v>
      </c>
      <c r="K107" s="1998">
        <v>0.99364573278071777</v>
      </c>
      <c r="L107" s="1998">
        <v>1.0752989690032841</v>
      </c>
      <c r="M107" s="1998">
        <v>1.0342907324402608</v>
      </c>
      <c r="N107" s="1999">
        <v>0.82023543115986519</v>
      </c>
      <c r="O107" s="1979">
        <v>0.77842714192733864</v>
      </c>
      <c r="P107" s="1979">
        <v>0.83115484518794702</v>
      </c>
      <c r="Q107" s="1979">
        <v>0.79284902302565441</v>
      </c>
      <c r="R107" s="1979">
        <v>0.85409666030894971</v>
      </c>
      <c r="S107" s="1979">
        <v>0.82102717009822568</v>
      </c>
      <c r="T107" s="1979">
        <v>0.87473523531629305</v>
      </c>
      <c r="U107" s="1979">
        <v>0.84806654953096172</v>
      </c>
      <c r="V107" s="1979">
        <v>0.90326903468457764</v>
      </c>
      <c r="W107" s="1979">
        <v>0.88006851174861755</v>
      </c>
      <c r="X107" s="2000">
        <v>0.93630332270409755</v>
      </c>
      <c r="Y107" s="1998">
        <v>0.91439283398996785</v>
      </c>
      <c r="Z107" s="1998">
        <v>0.96741759895801882</v>
      </c>
      <c r="AA107" s="1998">
        <v>0.95314457861430757</v>
      </c>
      <c r="AB107" s="1998">
        <v>0.96908013262740311</v>
      </c>
      <c r="AC107" s="1998">
        <v>0.95520862016348751</v>
      </c>
      <c r="AD107" s="1998">
        <v>0.97074266629678774</v>
      </c>
      <c r="AE107" s="1998">
        <v>0.95727266171266712</v>
      </c>
      <c r="AF107" s="1998">
        <v>0.97240519996617181</v>
      </c>
      <c r="AG107" s="1998">
        <v>0.95933670326184706</v>
      </c>
      <c r="AH107" s="1999">
        <v>0.75228176204186836</v>
      </c>
      <c r="AI107" s="1979">
        <v>0.73566073570016244</v>
      </c>
      <c r="AJ107" s="1979">
        <v>0.77481888741755656</v>
      </c>
      <c r="AK107" s="1979">
        <v>0.76313805812468138</v>
      </c>
      <c r="AL107" s="1979">
        <v>0.77650672507995</v>
      </c>
      <c r="AM107" s="1979">
        <v>0.76525748578814234</v>
      </c>
      <c r="AN107" s="1979">
        <v>0.77819456274234333</v>
      </c>
      <c r="AO107" s="1979">
        <v>0.76737691345160308</v>
      </c>
      <c r="AP107" s="1979">
        <v>0.77988240040473644</v>
      </c>
      <c r="AQ107" s="1979">
        <v>0.76949634111506415</v>
      </c>
      <c r="AR107" s="2000">
        <v>1.0349019706112728</v>
      </c>
      <c r="AS107" s="1998">
        <v>1.0156768788516815</v>
      </c>
      <c r="AT107" s="1998">
        <v>1.0680765124605103</v>
      </c>
      <c r="AU107" s="1998">
        <v>1.0558176195303961</v>
      </c>
      <c r="AV107" s="1998">
        <v>1.0705610015083544</v>
      </c>
      <c r="AW107" s="1998">
        <v>1.0589138235531852</v>
      </c>
      <c r="AX107" s="1998">
        <v>1.0730454905561986</v>
      </c>
      <c r="AY107" s="1998">
        <v>1.0620100275759747</v>
      </c>
      <c r="AZ107" s="1998">
        <v>1.0755299796040427</v>
      </c>
      <c r="BA107" s="1998">
        <v>1.0651062315987643</v>
      </c>
      <c r="BB107" s="1999">
        <v>0.99874801530232071</v>
      </c>
      <c r="BC107" s="1979">
        <v>0.94491335515131547</v>
      </c>
      <c r="BD107" s="1979">
        <v>1.029190833310234</v>
      </c>
      <c r="BE107" s="1979">
        <v>0.979845114440141</v>
      </c>
      <c r="BF107" s="1979">
        <v>1.0318231055559361</v>
      </c>
      <c r="BG107" s="1979">
        <v>0.9830127318813906</v>
      </c>
      <c r="BH107" s="1979">
        <v>1.0344553778016383</v>
      </c>
      <c r="BI107" s="1979">
        <v>0.98618034932264009</v>
      </c>
      <c r="BJ107" s="1979">
        <v>1.0370876500473407</v>
      </c>
      <c r="BK107" s="1979">
        <v>0.98934796676388925</v>
      </c>
      <c r="BL107" s="2000">
        <v>0.89415078668141079</v>
      </c>
      <c r="BM107" s="1998">
        <v>0.87161885816789053</v>
      </c>
      <c r="BN107" s="2000">
        <v>0.89579072795516568</v>
      </c>
      <c r="BO107" s="1998">
        <v>0.87358627919157505</v>
      </c>
      <c r="BP107" s="2000">
        <v>0.89743066922892034</v>
      </c>
      <c r="BQ107" s="1998">
        <v>0.87555370021525947</v>
      </c>
      <c r="BR107" s="2000">
        <v>0.89907061050267501</v>
      </c>
      <c r="BS107" s="1998">
        <v>0.87752112123894366</v>
      </c>
      <c r="BT107" s="2000">
        <v>0.90071055177642978</v>
      </c>
      <c r="BU107" s="1998">
        <v>0.87948854226262818</v>
      </c>
      <c r="BV107" s="1999">
        <v>0.91565869546416823</v>
      </c>
      <c r="BW107" s="1979">
        <v>0.91194610258514297</v>
      </c>
      <c r="BX107" s="1979">
        <v>0.92700558788239329</v>
      </c>
      <c r="BY107" s="1979">
        <v>0.92777448723798472</v>
      </c>
      <c r="BZ107" s="1979">
        <v>0.95361918531885947</v>
      </c>
      <c r="CA107" s="1979">
        <v>0.96213535431555997</v>
      </c>
      <c r="CB107" s="1979">
        <v>0.97804147086917093</v>
      </c>
      <c r="CC107" s="1979">
        <v>0.99583683924150557</v>
      </c>
      <c r="CD107" s="1979">
        <v>1.0077716232261489</v>
      </c>
      <c r="CE107" s="1979">
        <v>1.0330253835060463</v>
      </c>
      <c r="CF107" s="2000">
        <v>0.76973665655317347</v>
      </c>
      <c r="CG107" s="1998">
        <v>0.81304558298587415</v>
      </c>
      <c r="CH107" s="2000">
        <v>0.77111490373021163</v>
      </c>
      <c r="CI107" s="1998">
        <v>0.81481288103979799</v>
      </c>
      <c r="CJ107" s="2000">
        <v>0.77249315090725001</v>
      </c>
      <c r="CK107" s="1998">
        <v>0.81658017909372205</v>
      </c>
      <c r="CL107" s="2000">
        <v>0.77387139808428829</v>
      </c>
      <c r="CM107" s="1998">
        <v>0.81834747714764577</v>
      </c>
      <c r="CN107" s="2000">
        <v>0.77524964526132645</v>
      </c>
      <c r="CO107" s="1998">
        <v>0.82011477520156983</v>
      </c>
      <c r="CP107" s="1999">
        <v>0.75426048724952321</v>
      </c>
      <c r="CQ107" s="1979">
        <v>0.79981473521200352</v>
      </c>
      <c r="CR107" s="1999">
        <v>0.75570697504434614</v>
      </c>
      <c r="CS107" s="1979">
        <v>0.80166526950192352</v>
      </c>
      <c r="CT107" s="1999">
        <v>0.75715346283916896</v>
      </c>
      <c r="CU107" s="1979">
        <v>0.80351580379184362</v>
      </c>
      <c r="CV107" s="1999">
        <v>0.75859995063399155</v>
      </c>
      <c r="CW107" s="1979">
        <v>0.80536633808176339</v>
      </c>
      <c r="CX107" s="1999">
        <v>0.76004643842881436</v>
      </c>
      <c r="CY107" s="1979">
        <v>0.8072168723716836</v>
      </c>
      <c r="CZ107" s="2000">
        <v>0.64632499462278725</v>
      </c>
      <c r="DA107" s="1998">
        <v>0.67853954279597439</v>
      </c>
      <c r="DB107" s="2000">
        <v>0.64750831702642464</v>
      </c>
      <c r="DC107" s="1998">
        <v>0.6800393069478754</v>
      </c>
      <c r="DD107" s="2000">
        <v>0.64869163943006181</v>
      </c>
      <c r="DE107" s="1998">
        <v>0.68153907109977674</v>
      </c>
      <c r="DF107" s="2000">
        <v>0.64987496183369919</v>
      </c>
      <c r="DG107" s="1998">
        <v>0.68303883525167797</v>
      </c>
      <c r="DH107" s="2000">
        <v>0.65224160664097386</v>
      </c>
      <c r="DI107" s="1998">
        <v>0.68603836355548031</v>
      </c>
      <c r="DJ107" s="1999">
        <v>0.64397957939188333</v>
      </c>
      <c r="DK107" s="1979">
        <v>0.67365877587757994</v>
      </c>
      <c r="DL107" s="1999">
        <v>0.64502317067697645</v>
      </c>
      <c r="DM107" s="1979">
        <v>0.67499939128440445</v>
      </c>
      <c r="DN107" s="1999">
        <v>0.64606676196206969</v>
      </c>
      <c r="DO107" s="1979">
        <v>0.67634000669122896</v>
      </c>
      <c r="DP107" s="1999">
        <v>0.64711035324716315</v>
      </c>
      <c r="DQ107" s="1979">
        <v>0.67768062209805346</v>
      </c>
      <c r="DR107" s="1999">
        <v>0.64919753581734985</v>
      </c>
      <c r="DS107" s="1979">
        <v>0.68036185291170259</v>
      </c>
      <c r="GT107" s="1980"/>
      <c r="GU107" s="1980"/>
      <c r="GV107" s="1980"/>
      <c r="GW107" s="1980"/>
      <c r="GX107" s="1980"/>
      <c r="GY107" s="1980"/>
      <c r="GZ107" s="1980"/>
      <c r="HA107" s="1980"/>
      <c r="HB107" s="1980"/>
      <c r="HC107" s="1980"/>
      <c r="HD107" s="1980"/>
      <c r="HE107" s="1980"/>
      <c r="HF107" s="1980"/>
      <c r="HG107" s="1980"/>
      <c r="HH107" s="1980"/>
      <c r="HI107" s="1980"/>
      <c r="HJ107" s="1980"/>
      <c r="HK107" s="1980"/>
      <c r="HL107" s="1980"/>
      <c r="HM107" s="1980"/>
      <c r="HN107" s="1980"/>
      <c r="HO107" s="1980"/>
      <c r="HP107" s="1980"/>
      <c r="HQ107" s="1980"/>
      <c r="HR107" s="1980"/>
      <c r="HS107" s="1980"/>
      <c r="HT107" s="1980"/>
      <c r="HU107" s="1980"/>
      <c r="HV107" s="1980"/>
      <c r="HW107" s="1980"/>
      <c r="HX107" s="1980"/>
      <c r="HY107" s="1980"/>
      <c r="HZ107" s="1980"/>
      <c r="IA107" s="1980"/>
      <c r="IB107" s="1980"/>
      <c r="IC107" s="1980"/>
      <c r="ID107" s="1980"/>
      <c r="IE107" s="1980"/>
      <c r="IF107" s="1980"/>
      <c r="IG107" s="1980"/>
      <c r="IH107" s="1980"/>
      <c r="II107" s="1980"/>
      <c r="IJ107" s="1980"/>
      <c r="IK107" s="1980"/>
      <c r="IL107" s="1980"/>
      <c r="IM107" s="1980"/>
      <c r="IN107" s="1980"/>
      <c r="IO107" s="1980"/>
      <c r="IP107" s="1980"/>
      <c r="IQ107" s="1980"/>
      <c r="IR107" s="1980"/>
      <c r="IS107" s="1980"/>
      <c r="IT107" s="1980"/>
      <c r="IU107" s="1980"/>
      <c r="IV107" s="1980"/>
      <c r="IW107" s="1980"/>
      <c r="IX107" s="1980"/>
      <c r="IY107" s="1980"/>
      <c r="IZ107" s="1980"/>
      <c r="JA107" s="1980"/>
      <c r="JB107" s="1980"/>
      <c r="JC107" s="1980"/>
      <c r="JD107" s="1980"/>
      <c r="JE107" s="1980"/>
      <c r="JF107" s="1980"/>
      <c r="JG107" s="1980"/>
      <c r="JH107" s="1980"/>
      <c r="JI107" s="1980"/>
      <c r="JJ107" s="1980"/>
      <c r="JK107" s="1980"/>
      <c r="JL107" s="1980"/>
      <c r="JM107" s="1980"/>
      <c r="JN107" s="1980"/>
      <c r="JO107" s="1980"/>
      <c r="JP107" s="1980"/>
      <c r="JQ107" s="1980"/>
      <c r="JR107" s="1980"/>
      <c r="JS107" s="1980"/>
      <c r="JT107" s="1980"/>
      <c r="JU107" s="1980"/>
      <c r="JV107" s="1980"/>
      <c r="JW107" s="1980"/>
      <c r="JX107" s="1980"/>
      <c r="JY107" s="1980"/>
      <c r="JZ107" s="1980"/>
      <c r="KA107" s="1980"/>
      <c r="KB107" s="1980"/>
      <c r="KC107" s="1980"/>
      <c r="KD107" s="1980"/>
      <c r="KE107" s="1980"/>
      <c r="KF107" s="1980"/>
      <c r="KG107" s="1980"/>
      <c r="KH107" s="1980"/>
      <c r="KI107" s="1980"/>
      <c r="KJ107" s="1980"/>
      <c r="KK107" s="1980"/>
    </row>
    <row r="108" spans="1:297">
      <c r="A108" s="1997"/>
      <c r="B108" s="2">
        <v>5</v>
      </c>
      <c r="C108" s="2" t="s">
        <v>4331</v>
      </c>
      <c r="D108" s="1998">
        <v>0.96301733572884241</v>
      </c>
      <c r="E108" s="1998">
        <v>0.89509797332952312</v>
      </c>
      <c r="F108" s="1998">
        <v>0.97568991566474828</v>
      </c>
      <c r="G108" s="1998">
        <v>0.91188186467465893</v>
      </c>
      <c r="H108" s="1998">
        <v>1.006862322535276</v>
      </c>
      <c r="I108" s="1998">
        <v>0.95023592198089946</v>
      </c>
      <c r="J108" s="1998">
        <v>1.035785522410581</v>
      </c>
      <c r="K108" s="1998">
        <v>0.98827052020276995</v>
      </c>
      <c r="L108" s="1998">
        <v>1.0690029386386621</v>
      </c>
      <c r="M108" s="1998">
        <v>1.0290244582213666</v>
      </c>
      <c r="N108" s="1999">
        <v>0.83615709250154335</v>
      </c>
      <c r="O108" s="1979">
        <v>0.79309457279865725</v>
      </c>
      <c r="P108" s="1979">
        <v>0.84709606494836576</v>
      </c>
      <c r="Q108" s="1979">
        <v>0.80753004744181367</v>
      </c>
      <c r="R108" s="1979">
        <v>0.87006084984021514</v>
      </c>
      <c r="S108" s="1979">
        <v>0.835724159026349</v>
      </c>
      <c r="T108" s="1979">
        <v>0.89072262204187869</v>
      </c>
      <c r="U108" s="1979">
        <v>0.86277966103552384</v>
      </c>
      <c r="V108" s="1979">
        <v>0.91930531745701494</v>
      </c>
      <c r="W108" s="1979">
        <v>0.89481560711528141</v>
      </c>
      <c r="X108" s="2000">
        <v>0.97390269432283549</v>
      </c>
      <c r="Y108" s="1998">
        <v>0.94817406076333821</v>
      </c>
      <c r="Z108" s="1998">
        <v>1.0050169705767569</v>
      </c>
      <c r="AA108" s="1998">
        <v>0.98692580538767816</v>
      </c>
      <c r="AB108" s="1998">
        <v>1.0066795042461414</v>
      </c>
      <c r="AC108" s="1998">
        <v>0.98898984693685799</v>
      </c>
      <c r="AD108" s="1998">
        <v>1.0083420379155257</v>
      </c>
      <c r="AE108" s="1998">
        <v>0.99105388848603793</v>
      </c>
      <c r="AF108" s="1998">
        <v>1.01000457158491</v>
      </c>
      <c r="AG108" s="1998">
        <v>0.99311793003521764</v>
      </c>
      <c r="AH108" s="1999">
        <v>0.766573272791362</v>
      </c>
      <c r="AI108" s="1979">
        <v>0.74862631022314863</v>
      </c>
      <c r="AJ108" s="1979">
        <v>0.78911039816705009</v>
      </c>
      <c r="AK108" s="1979">
        <v>0.77610363264766757</v>
      </c>
      <c r="AL108" s="1979">
        <v>0.79079823582944342</v>
      </c>
      <c r="AM108" s="1979">
        <v>0.77822306031112853</v>
      </c>
      <c r="AN108" s="1979">
        <v>0.79248607349183664</v>
      </c>
      <c r="AO108" s="1979">
        <v>0.78034248797458949</v>
      </c>
      <c r="AP108" s="1979">
        <v>0.79417391115423008</v>
      </c>
      <c r="AQ108" s="1979">
        <v>0.78246191563805034</v>
      </c>
      <c r="AR108" s="2000">
        <v>1.0615351750238182</v>
      </c>
      <c r="AS108" s="1998">
        <v>1.039592602817514</v>
      </c>
      <c r="AT108" s="1998">
        <v>1.094709716873056</v>
      </c>
      <c r="AU108" s="1998">
        <v>1.0797333434962286</v>
      </c>
      <c r="AV108" s="1998">
        <v>1.0971942059209003</v>
      </c>
      <c r="AW108" s="1998">
        <v>1.0828295475190179</v>
      </c>
      <c r="AX108" s="1998">
        <v>1.0996786949687443</v>
      </c>
      <c r="AY108" s="1998">
        <v>1.0859257515418075</v>
      </c>
      <c r="AZ108" s="1998">
        <v>1.1021631840165884</v>
      </c>
      <c r="BA108" s="1998">
        <v>1.089021955564597</v>
      </c>
      <c r="BB108" s="1999">
        <v>1.0283084104619411</v>
      </c>
      <c r="BC108" s="1979">
        <v>0.97604337679473152</v>
      </c>
      <c r="BD108" s="1979">
        <v>1.0604806543556076</v>
      </c>
      <c r="BE108" s="1979">
        <v>1.0120395499843533</v>
      </c>
      <c r="BF108" s="1979">
        <v>1.0637709946627356</v>
      </c>
      <c r="BG108" s="1979">
        <v>1.0159990717859146</v>
      </c>
      <c r="BH108" s="1979">
        <v>1.0670613349698632</v>
      </c>
      <c r="BI108" s="1979">
        <v>1.0199585935874766</v>
      </c>
      <c r="BJ108" s="1979">
        <v>1.070351675276991</v>
      </c>
      <c r="BK108" s="1979">
        <v>1.023918115389038</v>
      </c>
      <c r="BL108" s="2000">
        <v>0.90569923936248131</v>
      </c>
      <c r="BM108" s="1998">
        <v>0.88171912999461288</v>
      </c>
      <c r="BN108" s="2000">
        <v>0.9073391806362362</v>
      </c>
      <c r="BO108" s="1998">
        <v>0.88368655101829729</v>
      </c>
      <c r="BP108" s="2000">
        <v>0.90897912190999086</v>
      </c>
      <c r="BQ108" s="1998">
        <v>0.88565397204198171</v>
      </c>
      <c r="BR108" s="2000">
        <v>0.91061906318374575</v>
      </c>
      <c r="BS108" s="1998">
        <v>0.88762139306566612</v>
      </c>
      <c r="BT108" s="2000">
        <v>0.91225900445750041</v>
      </c>
      <c r="BU108" s="1998">
        <v>0.88958881408935042</v>
      </c>
      <c r="BV108" s="1999">
        <v>0.95912334578234071</v>
      </c>
      <c r="BW108" s="1979">
        <v>0.95660435253813036</v>
      </c>
      <c r="BX108" s="1979">
        <v>0.97123260468837092</v>
      </c>
      <c r="BY108" s="1979">
        <v>0.97352194732109709</v>
      </c>
      <c r="BZ108" s="1979">
        <v>0.99811918876232275</v>
      </c>
      <c r="CA108" s="1979">
        <v>1.0082713189411878</v>
      </c>
      <c r="CB108" s="1979">
        <v>1.0225097153462666</v>
      </c>
      <c r="CC108" s="1979">
        <v>1.0419496885772088</v>
      </c>
      <c r="CD108" s="1979">
        <v>1.0542081116242656</v>
      </c>
      <c r="CE108" s="1979">
        <v>1.0804203128836833</v>
      </c>
      <c r="CF108" s="2000">
        <v>0.78239947190425896</v>
      </c>
      <c r="CG108" s="1998">
        <v>0.82537634748626376</v>
      </c>
      <c r="CH108" s="2000">
        <v>0.78377771908129712</v>
      </c>
      <c r="CI108" s="1998">
        <v>0.82714364554018771</v>
      </c>
      <c r="CJ108" s="2000">
        <v>0.7851559662583355</v>
      </c>
      <c r="CK108" s="1998">
        <v>0.82891094359411155</v>
      </c>
      <c r="CL108" s="2000">
        <v>0.786534213435374</v>
      </c>
      <c r="CM108" s="1998">
        <v>0.8306782416480355</v>
      </c>
      <c r="CN108" s="2000">
        <v>0.78791246061241216</v>
      </c>
      <c r="CO108" s="1998">
        <v>0.83244553970195956</v>
      </c>
      <c r="CP108" s="1999">
        <v>0.79858748406754998</v>
      </c>
      <c r="CQ108" s="1979">
        <v>0.84593852909066258</v>
      </c>
      <c r="CR108" s="1999">
        <v>0.80051613446064718</v>
      </c>
      <c r="CS108" s="1979">
        <v>0.84840590814388916</v>
      </c>
      <c r="CT108" s="1999">
        <v>0.80244478485374415</v>
      </c>
      <c r="CU108" s="1979">
        <v>0.85087328719711575</v>
      </c>
      <c r="CV108" s="1999">
        <v>0.80437343524684113</v>
      </c>
      <c r="CW108" s="1979">
        <v>0.85334066625034255</v>
      </c>
      <c r="CX108" s="1999">
        <v>0.8063020856399381</v>
      </c>
      <c r="CY108" s="1979">
        <v>0.85580804530356913</v>
      </c>
      <c r="CZ108" s="2000">
        <v>0.68002116778052635</v>
      </c>
      <c r="DA108" s="1998">
        <v>0.71730677341844151</v>
      </c>
      <c r="DB108" s="2000">
        <v>0.68159893098537605</v>
      </c>
      <c r="DC108" s="1998">
        <v>0.71930645895430978</v>
      </c>
      <c r="DD108" s="2000">
        <v>0.68317669419022586</v>
      </c>
      <c r="DE108" s="1998">
        <v>0.72130614449017805</v>
      </c>
      <c r="DF108" s="2000">
        <v>0.68475445739507557</v>
      </c>
      <c r="DG108" s="1998">
        <v>0.7233058300260462</v>
      </c>
      <c r="DH108" s="2000">
        <v>0.68790998380477497</v>
      </c>
      <c r="DI108" s="1998">
        <v>0.72730520109778296</v>
      </c>
      <c r="DJ108" s="1999">
        <v>0.76230233651548385</v>
      </c>
      <c r="DK108" s="1979">
        <v>0.78318369127825183</v>
      </c>
      <c r="DL108" s="1999">
        <v>0.7633459278005772</v>
      </c>
      <c r="DM108" s="1979">
        <v>0.78452430668507633</v>
      </c>
      <c r="DN108" s="1999">
        <v>0.76438951908567032</v>
      </c>
      <c r="DO108" s="1979">
        <v>0.78586492209190095</v>
      </c>
      <c r="DP108" s="1999">
        <v>0.76543311037076367</v>
      </c>
      <c r="DQ108" s="1979">
        <v>0.78720553749872535</v>
      </c>
      <c r="DR108" s="1999">
        <v>0.76752029294095026</v>
      </c>
      <c r="DS108" s="1979">
        <v>0.78988676831237448</v>
      </c>
      <c r="GT108" s="1980"/>
      <c r="GU108" s="1980"/>
      <c r="GV108" s="1980"/>
      <c r="GW108" s="1980"/>
      <c r="GX108" s="1980"/>
      <c r="GY108" s="1980"/>
      <c r="GZ108" s="1980"/>
      <c r="HA108" s="1980"/>
      <c r="HB108" s="1980"/>
      <c r="HC108" s="1980"/>
      <c r="HD108" s="1980"/>
      <c r="HE108" s="1980"/>
      <c r="HF108" s="1980"/>
      <c r="HG108" s="1980"/>
      <c r="HH108" s="1980"/>
      <c r="HI108" s="1980"/>
      <c r="HJ108" s="1980"/>
      <c r="HK108" s="1980"/>
      <c r="HL108" s="1980"/>
      <c r="HM108" s="1980"/>
      <c r="HN108" s="1980"/>
      <c r="HO108" s="1980"/>
      <c r="HP108" s="1980"/>
      <c r="HQ108" s="1980"/>
      <c r="HR108" s="1980"/>
      <c r="HS108" s="1980"/>
      <c r="HT108" s="1980"/>
      <c r="HU108" s="1980"/>
      <c r="HV108" s="1980"/>
      <c r="HW108" s="1980"/>
      <c r="HX108" s="1980"/>
      <c r="HY108" s="1980"/>
      <c r="HZ108" s="1980"/>
      <c r="IA108" s="1980"/>
      <c r="IB108" s="1980"/>
      <c r="IC108" s="1980"/>
      <c r="ID108" s="1980"/>
      <c r="IE108" s="1980"/>
      <c r="IF108" s="1980"/>
      <c r="IG108" s="1980"/>
      <c r="IH108" s="1980"/>
      <c r="II108" s="1980"/>
      <c r="IJ108" s="1980"/>
      <c r="IK108" s="1980"/>
      <c r="IL108" s="1980"/>
      <c r="IM108" s="1980"/>
      <c r="IN108" s="1980"/>
      <c r="IO108" s="1980"/>
      <c r="IP108" s="1980"/>
      <c r="IQ108" s="1980"/>
      <c r="IR108" s="1980"/>
      <c r="IS108" s="1980"/>
      <c r="IT108" s="1980"/>
      <c r="IU108" s="1980"/>
      <c r="IV108" s="1980"/>
      <c r="IW108" s="1980"/>
      <c r="IX108" s="1980"/>
      <c r="IY108" s="1980"/>
      <c r="IZ108" s="1980"/>
      <c r="JA108" s="1980"/>
      <c r="JB108" s="1980"/>
      <c r="JC108" s="1980"/>
      <c r="JD108" s="1980"/>
      <c r="JE108" s="1980"/>
      <c r="JF108" s="1980"/>
      <c r="JG108" s="1980"/>
      <c r="JH108" s="1980"/>
      <c r="JI108" s="1980"/>
      <c r="JJ108" s="1980"/>
      <c r="JK108" s="1980"/>
      <c r="JL108" s="1980"/>
      <c r="JM108" s="1980"/>
      <c r="JN108" s="1980"/>
      <c r="JO108" s="1980"/>
      <c r="JP108" s="1980"/>
      <c r="JQ108" s="1980"/>
      <c r="JR108" s="1980"/>
      <c r="JS108" s="1980"/>
      <c r="JT108" s="1980"/>
      <c r="JU108" s="1980"/>
      <c r="JV108" s="1980"/>
      <c r="JW108" s="1980"/>
      <c r="JX108" s="1980"/>
      <c r="JY108" s="1980"/>
      <c r="JZ108" s="1980"/>
      <c r="KA108" s="1980"/>
      <c r="KB108" s="1980"/>
      <c r="KC108" s="1980"/>
      <c r="KD108" s="1980"/>
      <c r="KE108" s="1980"/>
      <c r="KF108" s="1980"/>
      <c r="KG108" s="1980"/>
      <c r="KH108" s="1980"/>
      <c r="KI108" s="1980"/>
      <c r="KJ108" s="1980"/>
      <c r="KK108" s="1980"/>
    </row>
    <row r="109" spans="1:297">
      <c r="A109" s="1997"/>
      <c r="B109" s="2">
        <v>6</v>
      </c>
      <c r="C109" s="2" t="s">
        <v>4332</v>
      </c>
      <c r="D109" s="1998">
        <v>1.037728614399223</v>
      </c>
      <c r="E109" s="1998">
        <v>0.97052010984377157</v>
      </c>
      <c r="F109" s="1998">
        <v>1.0512235720390648</v>
      </c>
      <c r="G109" s="1998">
        <v>0.98842246657969823</v>
      </c>
      <c r="H109" s="1998">
        <v>1.0826965295571445</v>
      </c>
      <c r="I109" s="1998">
        <v>1.0271796985721484</v>
      </c>
      <c r="J109" s="1998">
        <v>1.1115946072389644</v>
      </c>
      <c r="K109" s="1998">
        <v>1.0651968133817316</v>
      </c>
      <c r="L109" s="1998">
        <v>1.1469345932433357</v>
      </c>
      <c r="M109" s="1998">
        <v>1.107274118781812</v>
      </c>
      <c r="N109" s="1999">
        <v>0.87221758982035813</v>
      </c>
      <c r="O109" s="1979">
        <v>0.83389077807108203</v>
      </c>
      <c r="P109" s="1979">
        <v>0.88406171728486371</v>
      </c>
      <c r="Q109" s="1979">
        <v>0.84957650513363681</v>
      </c>
      <c r="R109" s="1979">
        <v>0.90733191021428905</v>
      </c>
      <c r="S109" s="1979">
        <v>0.87820353788001393</v>
      </c>
      <c r="T109" s="1979">
        <v>0.92792783987449801</v>
      </c>
      <c r="U109" s="1979">
        <v>0.90521327782879168</v>
      </c>
      <c r="V109" s="1979">
        <v>0.95884929787894957</v>
      </c>
      <c r="W109" s="1979">
        <v>0.93869979121125779</v>
      </c>
      <c r="X109" s="2000">
        <v>0.99324884288674964</v>
      </c>
      <c r="Y109" s="1998">
        <v>0.96723693767340524</v>
      </c>
      <c r="Z109" s="1998">
        <v>1.0249092687208416</v>
      </c>
      <c r="AA109" s="1998">
        <v>1.0063354720470625</v>
      </c>
      <c r="AB109" s="1998">
        <v>1.0267796190988989</v>
      </c>
      <c r="AC109" s="1998">
        <v>1.0086575187898899</v>
      </c>
      <c r="AD109" s="1998">
        <v>1.0286499694769564</v>
      </c>
      <c r="AE109" s="1998">
        <v>1.0109795655327172</v>
      </c>
      <c r="AF109" s="1998">
        <v>1.0305203198550139</v>
      </c>
      <c r="AG109" s="1998">
        <v>1.0133016122755445</v>
      </c>
      <c r="AH109" s="1999">
        <v>0.79490896394265609</v>
      </c>
      <c r="AI109" s="1979">
        <v>0.77659287537445609</v>
      </c>
      <c r="AJ109" s="1979">
        <v>0.81833322860237823</v>
      </c>
      <c r="AK109" s="1979">
        <v>0.80463995050644321</v>
      </c>
      <c r="AL109" s="1979">
        <v>0.82035863379725016</v>
      </c>
      <c r="AM109" s="1979">
        <v>0.80718326370259652</v>
      </c>
      <c r="AN109" s="1979">
        <v>0.8223840389921222</v>
      </c>
      <c r="AO109" s="1979">
        <v>0.80972657689874949</v>
      </c>
      <c r="AP109" s="1979">
        <v>0.82440944418699413</v>
      </c>
      <c r="AQ109" s="1979">
        <v>0.81226989009490247</v>
      </c>
      <c r="AR109" s="2000">
        <v>1.0808223249443576</v>
      </c>
      <c r="AS109" s="1998">
        <v>1.0600505257167481</v>
      </c>
      <c r="AT109" s="1998">
        <v>1.115302731619463</v>
      </c>
      <c r="AU109" s="1998">
        <v>1.1010235998858999</v>
      </c>
      <c r="AV109" s="1998">
        <v>1.1182841184768759</v>
      </c>
      <c r="AW109" s="1998">
        <v>1.1047390447132472</v>
      </c>
      <c r="AX109" s="1998">
        <v>1.1212655053342888</v>
      </c>
      <c r="AY109" s="1998">
        <v>1.1084544895405943</v>
      </c>
      <c r="AZ109" s="1998">
        <v>1.1242468921917019</v>
      </c>
      <c r="BA109" s="1998">
        <v>1.1121699343679419</v>
      </c>
      <c r="BB109" s="1999">
        <v>1.0944375130172805</v>
      </c>
      <c r="BC109" s="1979">
        <v>1.0417983810913325</v>
      </c>
      <c r="BD109" s="1979">
        <v>1.1294921333872032</v>
      </c>
      <c r="BE109" s="1979">
        <v>1.079568577448947</v>
      </c>
      <c r="BF109" s="1979">
        <v>1.1338792537967068</v>
      </c>
      <c r="BG109" s="1979">
        <v>1.0848479398510293</v>
      </c>
      <c r="BH109" s="1979">
        <v>1.1382663742062105</v>
      </c>
      <c r="BI109" s="1979">
        <v>1.0901273022531115</v>
      </c>
      <c r="BJ109" s="1979">
        <v>1.1426534946157141</v>
      </c>
      <c r="BK109" s="1979">
        <v>1.0954066646551939</v>
      </c>
      <c r="BL109" s="2000">
        <v>0.92108781595652656</v>
      </c>
      <c r="BM109" s="1998">
        <v>0.89518026918530857</v>
      </c>
      <c r="BN109" s="2000">
        <v>0.92272775723028133</v>
      </c>
      <c r="BO109" s="1998">
        <v>0.89714769020899288</v>
      </c>
      <c r="BP109" s="2000">
        <v>0.92436769850403611</v>
      </c>
      <c r="BQ109" s="1998">
        <v>0.89911511123267729</v>
      </c>
      <c r="BR109" s="2000">
        <v>0.92600763977779099</v>
      </c>
      <c r="BS109" s="1998">
        <v>0.90108253225636159</v>
      </c>
      <c r="BT109" s="2000">
        <v>0.92764758105154554</v>
      </c>
      <c r="BU109" s="1998">
        <v>0.903049953280046</v>
      </c>
      <c r="BV109" s="1999">
        <v>0.99715491481074137</v>
      </c>
      <c r="BW109" s="1979">
        <v>0.99568032124699402</v>
      </c>
      <c r="BX109" s="1979">
        <v>1.009931244393601</v>
      </c>
      <c r="BY109" s="1979">
        <v>1.0135509748938203</v>
      </c>
      <c r="BZ109" s="1979">
        <v>1.037056691775353</v>
      </c>
      <c r="CA109" s="1979">
        <v>1.0486402879886123</v>
      </c>
      <c r="CB109" s="1979">
        <v>1.0614194292637251</v>
      </c>
      <c r="CC109" s="1979">
        <v>1.0822984317459494</v>
      </c>
      <c r="CD109" s="1979">
        <v>1.0948400389726176</v>
      </c>
      <c r="CE109" s="1979">
        <v>1.1218908760891164</v>
      </c>
      <c r="CF109" s="2000">
        <v>0.82581592865285958</v>
      </c>
      <c r="CG109" s="1998">
        <v>0.87110280999725909</v>
      </c>
      <c r="CH109" s="2000">
        <v>0.82765359155557738</v>
      </c>
      <c r="CI109" s="1998">
        <v>0.87345920740249083</v>
      </c>
      <c r="CJ109" s="2000">
        <v>0.82949125445829486</v>
      </c>
      <c r="CK109" s="1998">
        <v>0.8758156048077228</v>
      </c>
      <c r="CL109" s="2000">
        <v>0.83132891736101289</v>
      </c>
      <c r="CM109" s="1998">
        <v>0.87817200221295477</v>
      </c>
      <c r="CN109" s="2000">
        <v>0.83316658026373047</v>
      </c>
      <c r="CO109" s="1998">
        <v>0.88052839961818641</v>
      </c>
      <c r="CP109" s="1999">
        <v>0.8349210031364952</v>
      </c>
      <c r="CQ109" s="1979">
        <v>0.88278524008301418</v>
      </c>
      <c r="CR109" s="1999">
        <v>0.83684965352959217</v>
      </c>
      <c r="CS109" s="1979">
        <v>0.88525261913624076</v>
      </c>
      <c r="CT109" s="1999">
        <v>0.83877830392268915</v>
      </c>
      <c r="CU109" s="1979">
        <v>0.88771999818946745</v>
      </c>
      <c r="CV109" s="1999">
        <v>0.84070695431578601</v>
      </c>
      <c r="CW109" s="1979">
        <v>0.89018737724269426</v>
      </c>
      <c r="CX109" s="1999">
        <v>0.84263560470888299</v>
      </c>
      <c r="CY109" s="1979">
        <v>0.89265475629592084</v>
      </c>
      <c r="CZ109" s="2000">
        <v>0.71639398247323993</v>
      </c>
      <c r="DA109" s="1998">
        <v>0.75040768237878019</v>
      </c>
      <c r="DB109" s="2000">
        <v>0.71797174567808963</v>
      </c>
      <c r="DC109" s="1998">
        <v>0.75240736791464835</v>
      </c>
      <c r="DD109" s="2000">
        <v>0.71954950888293945</v>
      </c>
      <c r="DE109" s="1998">
        <v>0.75440705345051662</v>
      </c>
      <c r="DF109" s="2000">
        <v>0.72112727208778915</v>
      </c>
      <c r="DG109" s="1998">
        <v>0.756406738986385</v>
      </c>
      <c r="DH109" s="2000">
        <v>0.72428279849748867</v>
      </c>
      <c r="DI109" s="1998">
        <v>0.76040611005812142</v>
      </c>
      <c r="DJ109" s="1999">
        <v>0.79152665219399332</v>
      </c>
      <c r="DK109" s="1979">
        <v>0.80901099422150746</v>
      </c>
      <c r="DL109" s="1999">
        <v>0.79257024347908667</v>
      </c>
      <c r="DM109" s="1979">
        <v>0.81035160962833197</v>
      </c>
      <c r="DN109" s="1999">
        <v>0.7936138347641799</v>
      </c>
      <c r="DO109" s="1979">
        <v>0.81169222503515648</v>
      </c>
      <c r="DP109" s="1999">
        <v>0.79465742604927314</v>
      </c>
      <c r="DQ109" s="1979">
        <v>0.81303284044198099</v>
      </c>
      <c r="DR109" s="1999">
        <v>0.79674460861945984</v>
      </c>
      <c r="DS109" s="1979">
        <v>0.81571407125563</v>
      </c>
      <c r="GT109" s="1980"/>
      <c r="GU109" s="1980"/>
      <c r="GV109" s="1980"/>
      <c r="GW109" s="1980"/>
      <c r="GX109" s="1980"/>
      <c r="GY109" s="1980"/>
      <c r="GZ109" s="1980"/>
      <c r="HA109" s="1980"/>
      <c r="HB109" s="1980"/>
      <c r="HC109" s="1980"/>
      <c r="HD109" s="1980"/>
      <c r="HE109" s="1980"/>
      <c r="HF109" s="1980"/>
      <c r="HG109" s="1980"/>
      <c r="HH109" s="1980"/>
      <c r="HI109" s="1980"/>
      <c r="HJ109" s="1980"/>
      <c r="HK109" s="1980"/>
      <c r="HL109" s="1980"/>
      <c r="HM109" s="1980"/>
      <c r="HN109" s="1980"/>
      <c r="HO109" s="1980"/>
      <c r="HP109" s="1980"/>
      <c r="HQ109" s="1980"/>
      <c r="HR109" s="1980"/>
      <c r="HS109" s="1980"/>
      <c r="HT109" s="1980"/>
      <c r="HU109" s="1980"/>
      <c r="HV109" s="1980"/>
      <c r="HW109" s="1980"/>
      <c r="HX109" s="1980"/>
      <c r="HY109" s="1980"/>
      <c r="HZ109" s="1980"/>
      <c r="IA109" s="1980"/>
      <c r="IB109" s="1980"/>
      <c r="IC109" s="1980"/>
      <c r="ID109" s="1980"/>
      <c r="IE109" s="1980"/>
      <c r="IF109" s="1980"/>
      <c r="IG109" s="1980"/>
      <c r="IH109" s="1980"/>
      <c r="II109" s="1980"/>
      <c r="IJ109" s="1980"/>
      <c r="IK109" s="1980"/>
      <c r="IL109" s="1980"/>
      <c r="IM109" s="1980"/>
      <c r="IN109" s="1980"/>
      <c r="IO109" s="1980"/>
      <c r="IP109" s="1980"/>
      <c r="IQ109" s="1980"/>
      <c r="IR109" s="1980"/>
      <c r="IS109" s="1980"/>
      <c r="IT109" s="1980"/>
      <c r="IU109" s="1980"/>
      <c r="IV109" s="1980"/>
      <c r="IW109" s="1980"/>
      <c r="IX109" s="1980"/>
      <c r="IY109" s="1980"/>
      <c r="IZ109" s="1980"/>
      <c r="JA109" s="1980"/>
      <c r="JB109" s="1980"/>
      <c r="JC109" s="1980"/>
      <c r="JD109" s="1980"/>
      <c r="JE109" s="1980"/>
      <c r="JF109" s="1980"/>
      <c r="JG109" s="1980"/>
      <c r="JH109" s="1980"/>
      <c r="JI109" s="1980"/>
      <c r="JJ109" s="1980"/>
      <c r="JK109" s="1980"/>
      <c r="JL109" s="1980"/>
      <c r="JM109" s="1980"/>
      <c r="JN109" s="1980"/>
      <c r="JO109" s="1980"/>
      <c r="JP109" s="1980"/>
      <c r="JQ109" s="1980"/>
      <c r="JR109" s="1980"/>
      <c r="JS109" s="1980"/>
      <c r="JT109" s="1980"/>
      <c r="JU109" s="1980"/>
      <c r="JV109" s="1980"/>
      <c r="JW109" s="1980"/>
      <c r="JX109" s="1980"/>
      <c r="JY109" s="1980"/>
      <c r="JZ109" s="1980"/>
      <c r="KA109" s="1980"/>
      <c r="KB109" s="1980"/>
      <c r="KC109" s="1980"/>
      <c r="KD109" s="1980"/>
      <c r="KE109" s="1980"/>
      <c r="KF109" s="1980"/>
      <c r="KG109" s="1980"/>
      <c r="KH109" s="1980"/>
      <c r="KI109" s="1980"/>
      <c r="KJ109" s="1980"/>
      <c r="KK109" s="1980"/>
    </row>
    <row r="110" spans="1:297">
      <c r="A110" s="1997"/>
      <c r="B110" s="2">
        <v>7</v>
      </c>
      <c r="C110" s="2" t="s">
        <v>4333</v>
      </c>
      <c r="D110" s="1998">
        <v>1.0324978644205749</v>
      </c>
      <c r="E110" s="1998">
        <v>0.96766270093064388</v>
      </c>
      <c r="F110" s="1998">
        <v>1.0460026785317116</v>
      </c>
      <c r="G110" s="1998">
        <v>0.98557191712935788</v>
      </c>
      <c r="H110" s="1998">
        <v>1.0774872116730558</v>
      </c>
      <c r="I110" s="1998">
        <v>1.0243372050025232</v>
      </c>
      <c r="J110" s="1998">
        <v>1.1063969795882715</v>
      </c>
      <c r="K110" s="1998">
        <v>1.0623624554540168</v>
      </c>
      <c r="L110" s="1998">
        <v>1.1417616067708798</v>
      </c>
      <c r="M110" s="1998">
        <v>1.1044569095110652</v>
      </c>
      <c r="N110" s="1999">
        <v>0.89532987196999836</v>
      </c>
      <c r="O110" s="1979">
        <v>0.85592000407149804</v>
      </c>
      <c r="P110" s="1979">
        <v>0.90720995531542103</v>
      </c>
      <c r="Q110" s="1979">
        <v>0.87163072128719432</v>
      </c>
      <c r="R110" s="1979">
        <v>0.93052237550034211</v>
      </c>
      <c r="S110" s="1979">
        <v>0.90028710293435377</v>
      </c>
      <c r="T110" s="1979">
        <v>0.95116095050768523</v>
      </c>
      <c r="U110" s="1979">
        <v>0.92732648236708981</v>
      </c>
      <c r="V110" s="1979">
        <v>0.98217229821442953</v>
      </c>
      <c r="W110" s="1979">
        <v>0.96087547113240912</v>
      </c>
      <c r="X110" s="2000">
        <v>1.0598351275348934</v>
      </c>
      <c r="Y110" s="1998">
        <v>1.0327064692334542</v>
      </c>
      <c r="Z110" s="1998">
        <v>1.0931340021094971</v>
      </c>
      <c r="AA110" s="1998">
        <v>1.0728453728550627</v>
      </c>
      <c r="AB110" s="1998">
        <v>1.0956278026135737</v>
      </c>
      <c r="AC110" s="1998">
        <v>1.0759414351788326</v>
      </c>
      <c r="AD110" s="1998">
        <v>1.0981216031176504</v>
      </c>
      <c r="AE110" s="1998">
        <v>1.0790374975026022</v>
      </c>
      <c r="AF110" s="1998">
        <v>1.1006154036217271</v>
      </c>
      <c r="AG110" s="1998">
        <v>1.0821335598263719</v>
      </c>
      <c r="AH110" s="1999">
        <v>0.82458061402711647</v>
      </c>
      <c r="AI110" s="1979">
        <v>0.80711843991664933</v>
      </c>
      <c r="AJ110" s="1979">
        <v>0.84933558761288919</v>
      </c>
      <c r="AK110" s="1979">
        <v>0.83602014410983838</v>
      </c>
      <c r="AL110" s="1979">
        <v>0.85186734410647913</v>
      </c>
      <c r="AM110" s="1979">
        <v>0.83919928560502977</v>
      </c>
      <c r="AN110" s="1979">
        <v>0.85439910060006918</v>
      </c>
      <c r="AO110" s="1979">
        <v>0.84237842710022137</v>
      </c>
      <c r="AP110" s="1979">
        <v>0.85693085709365913</v>
      </c>
      <c r="AQ110" s="1979">
        <v>0.84555756859541265</v>
      </c>
      <c r="AR110" s="2000">
        <v>1.1421697131567694</v>
      </c>
      <c r="AS110" s="1998">
        <v>1.1205295397288604</v>
      </c>
      <c r="AT110" s="1998">
        <v>1.1786089170706764</v>
      </c>
      <c r="AU110" s="1998">
        <v>1.1627511141336684</v>
      </c>
      <c r="AV110" s="1998">
        <v>1.1823356506424423</v>
      </c>
      <c r="AW110" s="1998">
        <v>1.1673954201678522</v>
      </c>
      <c r="AX110" s="1998">
        <v>1.1860623842142084</v>
      </c>
      <c r="AY110" s="1998">
        <v>1.1720397262020366</v>
      </c>
      <c r="AZ110" s="1998">
        <v>1.189789117785975</v>
      </c>
      <c r="BA110" s="1998">
        <v>1.1766840322362206</v>
      </c>
      <c r="BB110" s="1999">
        <v>1.1377210931125965</v>
      </c>
      <c r="BC110" s="1979">
        <v>1.0774063724407594</v>
      </c>
      <c r="BD110" s="1979">
        <v>1.172775713482519</v>
      </c>
      <c r="BE110" s="1979">
        <v>1.1151765687983739</v>
      </c>
      <c r="BF110" s="1979">
        <v>1.1771628338920228</v>
      </c>
      <c r="BG110" s="1979">
        <v>1.1204559312004563</v>
      </c>
      <c r="BH110" s="1979">
        <v>1.1815499543015264</v>
      </c>
      <c r="BI110" s="1979">
        <v>1.1257352936025387</v>
      </c>
      <c r="BJ110" s="1979">
        <v>1.1859370747110303</v>
      </c>
      <c r="BK110" s="1979">
        <v>1.131014656004621</v>
      </c>
      <c r="BL110" s="2000">
        <v>0.93737163785216648</v>
      </c>
      <c r="BM110" s="1998">
        <v>0.90942179336425033</v>
      </c>
      <c r="BN110" s="2000">
        <v>0.93901157912592126</v>
      </c>
      <c r="BO110" s="1998">
        <v>0.91138921438793463</v>
      </c>
      <c r="BP110" s="2000">
        <v>0.94065152039967603</v>
      </c>
      <c r="BQ110" s="1998">
        <v>0.91335663541161904</v>
      </c>
      <c r="BR110" s="2000">
        <v>0.94229146167343081</v>
      </c>
      <c r="BS110" s="1998">
        <v>0.91532405643530346</v>
      </c>
      <c r="BT110" s="2000">
        <v>0.94393140294718547</v>
      </c>
      <c r="BU110" s="1998">
        <v>0.91729147745898776</v>
      </c>
      <c r="BV110" s="1999">
        <v>1.0414396604690457</v>
      </c>
      <c r="BW110" s="1979">
        <v>1.0419272172694212</v>
      </c>
      <c r="BX110" s="1979">
        <v>1.0542569925899792</v>
      </c>
      <c r="BY110" s="1979">
        <v>1.0598277140019525</v>
      </c>
      <c r="BZ110" s="1979">
        <v>1.0814305941152829</v>
      </c>
      <c r="CA110" s="1979">
        <v>1.0949520753718169</v>
      </c>
      <c r="CB110" s="1979">
        <v>1.1058419625209053</v>
      </c>
      <c r="CC110" s="1979">
        <v>1.1286456144168506</v>
      </c>
      <c r="CD110" s="1979">
        <v>1.1393650785749823</v>
      </c>
      <c r="CE110" s="1979">
        <v>1.1683126664742807</v>
      </c>
      <c r="CF110" s="2000">
        <v>0.86409166159404238</v>
      </c>
      <c r="CG110" s="1998">
        <v>0.90932188991664398</v>
      </c>
      <c r="CH110" s="2000">
        <v>0.86592932449676019</v>
      </c>
      <c r="CI110" s="1998">
        <v>0.91167828732187584</v>
      </c>
      <c r="CJ110" s="2000">
        <v>0.86776698739947777</v>
      </c>
      <c r="CK110" s="1998">
        <v>0.91403468472710769</v>
      </c>
      <c r="CL110" s="2000">
        <v>0.86960465030219558</v>
      </c>
      <c r="CM110" s="1998">
        <v>0.91639108213233966</v>
      </c>
      <c r="CN110" s="2000">
        <v>0.87144231320491317</v>
      </c>
      <c r="CO110" s="1998">
        <v>0.91874747953757163</v>
      </c>
      <c r="CP110" s="1999">
        <v>0.85302849303512518</v>
      </c>
      <c r="CQ110" s="1979">
        <v>0.90323768396902149</v>
      </c>
      <c r="CR110" s="1999">
        <v>0.85592146862477059</v>
      </c>
      <c r="CS110" s="1979">
        <v>0.90693875254886147</v>
      </c>
      <c r="CT110" s="1999">
        <v>0.85881444421441611</v>
      </c>
      <c r="CU110" s="1979">
        <v>0.91063982112870157</v>
      </c>
      <c r="CV110" s="1999">
        <v>0.86170741980406185</v>
      </c>
      <c r="CW110" s="1979">
        <v>0.91434088970854166</v>
      </c>
      <c r="CX110" s="1999">
        <v>0.86460039539370726</v>
      </c>
      <c r="CY110" s="1979">
        <v>0.91804195828838153</v>
      </c>
      <c r="CZ110" s="2000">
        <v>0.8255124265513808</v>
      </c>
      <c r="DA110" s="1998">
        <v>0.84971040925979613</v>
      </c>
      <c r="DB110" s="2000">
        <v>0.82709018975623028</v>
      </c>
      <c r="DC110" s="1998">
        <v>0.85171009479566429</v>
      </c>
      <c r="DD110" s="2000">
        <v>0.82866795296108009</v>
      </c>
      <c r="DE110" s="1998">
        <v>0.85370978033153266</v>
      </c>
      <c r="DF110" s="2000">
        <v>0.83024571616592979</v>
      </c>
      <c r="DG110" s="1998">
        <v>0.85570946586740082</v>
      </c>
      <c r="DH110" s="2000">
        <v>0.83340124257562931</v>
      </c>
      <c r="DI110" s="1998">
        <v>0.85970883693913724</v>
      </c>
      <c r="DJ110" s="1999">
        <v>0.83189118587107824</v>
      </c>
      <c r="DK110" s="1979">
        <v>0.85306983595615493</v>
      </c>
      <c r="DL110" s="1999">
        <v>0.83328264091786919</v>
      </c>
      <c r="DM110" s="1979">
        <v>0.85485732316525431</v>
      </c>
      <c r="DN110" s="1999">
        <v>0.83467409596466025</v>
      </c>
      <c r="DO110" s="1979">
        <v>0.85664481037435369</v>
      </c>
      <c r="DP110" s="1999">
        <v>0.83606555101145141</v>
      </c>
      <c r="DQ110" s="1979">
        <v>0.85843229758345319</v>
      </c>
      <c r="DR110" s="1999">
        <v>0.83884846110503342</v>
      </c>
      <c r="DS110" s="1979">
        <v>0.86200727200165161</v>
      </c>
      <c r="GT110" s="1980"/>
      <c r="GU110" s="1980"/>
      <c r="GV110" s="1980"/>
      <c r="GW110" s="1980"/>
      <c r="GX110" s="1980"/>
      <c r="GY110" s="1980"/>
      <c r="GZ110" s="1980"/>
      <c r="HA110" s="1980"/>
      <c r="HB110" s="1980"/>
      <c r="HC110" s="1980"/>
      <c r="HD110" s="1980"/>
      <c r="HE110" s="1980"/>
      <c r="HF110" s="1980"/>
      <c r="HG110" s="1980"/>
      <c r="HH110" s="1980"/>
      <c r="HI110" s="1980"/>
      <c r="HJ110" s="1980"/>
      <c r="HK110" s="1980"/>
      <c r="HL110" s="1980"/>
      <c r="HM110" s="1980"/>
      <c r="HN110" s="1980"/>
      <c r="HO110" s="1980"/>
      <c r="HP110" s="1980"/>
      <c r="HQ110" s="1980"/>
      <c r="HR110" s="1980"/>
      <c r="HS110" s="1980"/>
      <c r="HT110" s="1980"/>
      <c r="HU110" s="1980"/>
      <c r="HV110" s="1980"/>
      <c r="HW110" s="1980"/>
      <c r="HX110" s="1980"/>
      <c r="HY110" s="1980"/>
      <c r="HZ110" s="1980"/>
      <c r="IA110" s="1980"/>
      <c r="IB110" s="1980"/>
      <c r="IC110" s="1980"/>
      <c r="ID110" s="1980"/>
      <c r="IE110" s="1980"/>
      <c r="IF110" s="1980"/>
      <c r="IG110" s="1980"/>
      <c r="IH110" s="1980"/>
      <c r="II110" s="1980"/>
      <c r="IJ110" s="1980"/>
      <c r="IK110" s="1980"/>
      <c r="IL110" s="1980"/>
      <c r="IM110" s="1980"/>
      <c r="IN110" s="1980"/>
      <c r="IO110" s="1980"/>
      <c r="IP110" s="1980"/>
      <c r="IQ110" s="1980"/>
      <c r="IR110" s="1980"/>
      <c r="IS110" s="1980"/>
      <c r="IT110" s="1980"/>
      <c r="IU110" s="1980"/>
      <c r="IV110" s="1980"/>
      <c r="IW110" s="1980"/>
      <c r="IX110" s="1980"/>
      <c r="IY110" s="1980"/>
      <c r="IZ110" s="1980"/>
      <c r="JA110" s="1980"/>
      <c r="JB110" s="1980"/>
      <c r="JC110" s="1980"/>
      <c r="JD110" s="1980"/>
      <c r="JE110" s="1980"/>
      <c r="JF110" s="1980"/>
      <c r="JG110" s="1980"/>
      <c r="JH110" s="1980"/>
      <c r="JI110" s="1980"/>
      <c r="JJ110" s="1980"/>
      <c r="JK110" s="1980"/>
      <c r="JL110" s="1980"/>
      <c r="JM110" s="1980"/>
      <c r="JN110" s="1980"/>
      <c r="JO110" s="1980"/>
      <c r="JP110" s="1980"/>
      <c r="JQ110" s="1980"/>
      <c r="JR110" s="1980"/>
      <c r="JS110" s="1980"/>
      <c r="JT110" s="1980"/>
      <c r="JU110" s="1980"/>
      <c r="JV110" s="1980"/>
      <c r="JW110" s="1980"/>
      <c r="JX110" s="1980"/>
      <c r="JY110" s="1980"/>
      <c r="JZ110" s="1980"/>
      <c r="KA110" s="1980"/>
      <c r="KB110" s="1980"/>
      <c r="KC110" s="1980"/>
      <c r="KD110" s="1980"/>
      <c r="KE110" s="1980"/>
      <c r="KF110" s="1980"/>
      <c r="KG110" s="1980"/>
      <c r="KH110" s="1980"/>
      <c r="KI110" s="1980"/>
      <c r="KJ110" s="1980"/>
      <c r="KK110" s="1980"/>
    </row>
    <row r="111" spans="1:297">
      <c r="A111" s="1997"/>
      <c r="B111" s="2">
        <v>8</v>
      </c>
      <c r="C111" s="2" t="s">
        <v>4334</v>
      </c>
      <c r="D111" s="1998">
        <v>1.1075061989212214</v>
      </c>
      <c r="E111" s="1998">
        <v>1.0377624513739205</v>
      </c>
      <c r="F111" s="1998">
        <v>1.1210649156097512</v>
      </c>
      <c r="G111" s="1998">
        <v>1.055709180259752</v>
      </c>
      <c r="H111" s="1998">
        <v>1.1526127529408243</v>
      </c>
      <c r="I111" s="1998">
        <v>1.094518523730579</v>
      </c>
      <c r="J111" s="1998">
        <v>1.1815864518199253</v>
      </c>
      <c r="K111" s="1998">
        <v>1.13258826597377</v>
      </c>
      <c r="L111" s="1998">
        <v>1.2170858354460161</v>
      </c>
      <c r="M111" s="1998">
        <v>1.1747765017486125</v>
      </c>
      <c r="N111" s="1999">
        <v>0.91563173818605392</v>
      </c>
      <c r="O111" s="1979">
        <v>0.87421702738701235</v>
      </c>
      <c r="P111" s="1979">
        <v>0.92749759722693814</v>
      </c>
      <c r="Q111" s="1979">
        <v>0.88991785838827919</v>
      </c>
      <c r="R111" s="1979">
        <v>0.95079331212397056</v>
      </c>
      <c r="S111" s="1979">
        <v>0.91856262948128276</v>
      </c>
      <c r="T111" s="1979">
        <v>0.97141501644453554</v>
      </c>
      <c r="U111" s="1979">
        <v>0.94559028340388174</v>
      </c>
      <c r="V111" s="1979">
        <v>1.0023908033899331</v>
      </c>
      <c r="W111" s="1979">
        <v>0.97911455663312708</v>
      </c>
      <c r="X111" s="2000">
        <v>1.1126803657231792</v>
      </c>
      <c r="Y111" s="1998">
        <v>1.0852153249102738</v>
      </c>
      <c r="Z111" s="1998">
        <v>1.1472899992901924</v>
      </c>
      <c r="AA111" s="1998">
        <v>1.1261865239302435</v>
      </c>
      <c r="AB111" s="1998">
        <v>1.1502825598950843</v>
      </c>
      <c r="AC111" s="1998">
        <v>1.1299017987187672</v>
      </c>
      <c r="AD111" s="1998">
        <v>1.153275120499976</v>
      </c>
      <c r="AE111" s="1998">
        <v>1.1336170735072908</v>
      </c>
      <c r="AF111" s="1998">
        <v>1.156267681104868</v>
      </c>
      <c r="AG111" s="1998">
        <v>1.1373323482958146</v>
      </c>
      <c r="AH111" s="1999">
        <v>0.87515031379382069</v>
      </c>
      <c r="AI111" s="1979">
        <v>0.85411144492485647</v>
      </c>
      <c r="AJ111" s="1979">
        <v>0.89990528737959319</v>
      </c>
      <c r="AK111" s="1979">
        <v>0.88301314911804563</v>
      </c>
      <c r="AL111" s="1979">
        <v>0.90243704387318324</v>
      </c>
      <c r="AM111" s="1979">
        <v>0.88619229061323712</v>
      </c>
      <c r="AN111" s="1979">
        <v>0.90496880036677319</v>
      </c>
      <c r="AO111" s="1979">
        <v>0.88937143210842851</v>
      </c>
      <c r="AP111" s="1979">
        <v>0.90750055686036324</v>
      </c>
      <c r="AQ111" s="1979">
        <v>0.89255057360361978</v>
      </c>
      <c r="AR111" s="2000">
        <v>1.2153549070504044</v>
      </c>
      <c r="AS111" s="1998">
        <v>1.1877931204129046</v>
      </c>
      <c r="AT111" s="1998">
        <v>1.2517941109643111</v>
      </c>
      <c r="AU111" s="1998">
        <v>1.2300146948177129</v>
      </c>
      <c r="AV111" s="1998">
        <v>1.2555208445360773</v>
      </c>
      <c r="AW111" s="1998">
        <v>1.2346590008518967</v>
      </c>
      <c r="AX111" s="1998">
        <v>1.2592475781078434</v>
      </c>
      <c r="AY111" s="1998">
        <v>1.239303306886081</v>
      </c>
      <c r="AZ111" s="1998">
        <v>1.2629743116796097</v>
      </c>
      <c r="BA111" s="1998">
        <v>1.2439476129202651</v>
      </c>
      <c r="BB111" s="1999">
        <v>1.1965867620422261</v>
      </c>
      <c r="BC111" s="1979">
        <v>1.1258332406759803</v>
      </c>
      <c r="BD111" s="1979">
        <v>1.231641382412149</v>
      </c>
      <c r="BE111" s="1979">
        <v>1.1636034370335948</v>
      </c>
      <c r="BF111" s="1979">
        <v>1.2360285028216529</v>
      </c>
      <c r="BG111" s="1979">
        <v>1.168882799435677</v>
      </c>
      <c r="BH111" s="1979">
        <v>1.2404156232311563</v>
      </c>
      <c r="BI111" s="1979">
        <v>1.1741621618377593</v>
      </c>
      <c r="BJ111" s="1979">
        <v>1.2448027436406601</v>
      </c>
      <c r="BK111" s="1979">
        <v>1.1794415242398417</v>
      </c>
      <c r="BL111" s="2000">
        <v>0.95242960452769698</v>
      </c>
      <c r="BM111" s="1998">
        <v>0.92259276846715454</v>
      </c>
      <c r="BN111" s="2000">
        <v>0.95406954580145187</v>
      </c>
      <c r="BO111" s="1998">
        <v>0.92456018949083907</v>
      </c>
      <c r="BP111" s="2000">
        <v>0.95570948707520653</v>
      </c>
      <c r="BQ111" s="1998">
        <v>0.92652761051452337</v>
      </c>
      <c r="BR111" s="2000">
        <v>0.95734942834896153</v>
      </c>
      <c r="BS111" s="1998">
        <v>0.92849503153820778</v>
      </c>
      <c r="BT111" s="2000">
        <v>0.95898936962271619</v>
      </c>
      <c r="BU111" s="1998">
        <v>0.93046245256189219</v>
      </c>
      <c r="BV111" s="1999">
        <v>1.0983771906011512</v>
      </c>
      <c r="BW111" s="1979">
        <v>1.1013875121553987</v>
      </c>
      <c r="BX111" s="1979">
        <v>1.1112472402710367</v>
      </c>
      <c r="BY111" s="1979">
        <v>1.1193263785695513</v>
      </c>
      <c r="BZ111" s="1979">
        <v>1.1384827542666212</v>
      </c>
      <c r="CA111" s="1979">
        <v>1.1544958020073659</v>
      </c>
      <c r="CB111" s="1979">
        <v>1.1629566481372797</v>
      </c>
      <c r="CC111" s="1979">
        <v>1.1882348492794386</v>
      </c>
      <c r="CD111" s="1979">
        <v>1.1966115580637371</v>
      </c>
      <c r="CE111" s="1979">
        <v>1.2279978255409212</v>
      </c>
      <c r="CF111" s="2000">
        <v>1.0229567668848454</v>
      </c>
      <c r="CG111" s="1998">
        <v>1.0744723483424954</v>
      </c>
      <c r="CH111" s="2000">
        <v>1.0257132612389219</v>
      </c>
      <c r="CI111" s="1998">
        <v>1.0780069444503433</v>
      </c>
      <c r="CJ111" s="2000">
        <v>1.0284697555929987</v>
      </c>
      <c r="CK111" s="1998">
        <v>1.081541540558191</v>
      </c>
      <c r="CL111" s="2000">
        <v>1.0312262499470752</v>
      </c>
      <c r="CM111" s="1998">
        <v>1.0850761366660389</v>
      </c>
      <c r="CN111" s="2000">
        <v>1.0339827443011518</v>
      </c>
      <c r="CO111" s="1998">
        <v>1.0886107327738865</v>
      </c>
      <c r="CP111" s="1999">
        <v>1.0240934163775171</v>
      </c>
      <c r="CQ111" s="1979">
        <v>1.0779798483638166</v>
      </c>
      <c r="CR111" s="1999">
        <v>1.0269863919671625</v>
      </c>
      <c r="CS111" s="1979">
        <v>1.0816809169436565</v>
      </c>
      <c r="CT111" s="1999">
        <v>1.0298793675568079</v>
      </c>
      <c r="CU111" s="1979">
        <v>1.0853819855234967</v>
      </c>
      <c r="CV111" s="1999">
        <v>1.0327723431464535</v>
      </c>
      <c r="CW111" s="1979">
        <v>1.0890830541033365</v>
      </c>
      <c r="CX111" s="1999">
        <v>1.0356653187360989</v>
      </c>
      <c r="CY111" s="1979">
        <v>1.0927841226831767</v>
      </c>
      <c r="CZ111" s="2000">
        <v>0.85991972858406795</v>
      </c>
      <c r="DA111" s="1998">
        <v>0.87971547429393282</v>
      </c>
      <c r="DB111" s="2000">
        <v>0.86149749178891766</v>
      </c>
      <c r="DC111" s="1998">
        <v>0.8817151598298012</v>
      </c>
      <c r="DD111" s="2000">
        <v>0.86307525499376725</v>
      </c>
      <c r="DE111" s="1998">
        <v>0.88371484536566947</v>
      </c>
      <c r="DF111" s="2000">
        <v>0.86465301819861717</v>
      </c>
      <c r="DG111" s="1998">
        <v>0.88571453090153751</v>
      </c>
      <c r="DH111" s="2000">
        <v>0.86780854460831658</v>
      </c>
      <c r="DI111" s="1998">
        <v>0.88971390197327427</v>
      </c>
      <c r="DJ111" s="1999">
        <v>0.85846632660362554</v>
      </c>
      <c r="DK111" s="1979">
        <v>0.87655431026981523</v>
      </c>
      <c r="DL111" s="1999">
        <v>0.85985778165041649</v>
      </c>
      <c r="DM111" s="1979">
        <v>0.87834179747891461</v>
      </c>
      <c r="DN111" s="1999">
        <v>0.86124923669720754</v>
      </c>
      <c r="DO111" s="1979">
        <v>0.88012928468801399</v>
      </c>
      <c r="DP111" s="1999">
        <v>0.86264069174399871</v>
      </c>
      <c r="DQ111" s="1979">
        <v>0.88191677189711337</v>
      </c>
      <c r="DR111" s="1999">
        <v>0.86542360183758082</v>
      </c>
      <c r="DS111" s="1979">
        <v>0.88549174631531202</v>
      </c>
      <c r="GT111" s="1980"/>
      <c r="GU111" s="1980"/>
      <c r="GV111" s="1980"/>
      <c r="GW111" s="1980"/>
      <c r="GX111" s="1980"/>
      <c r="GY111" s="1980"/>
      <c r="GZ111" s="1980"/>
      <c r="HA111" s="1980"/>
      <c r="HB111" s="1980"/>
      <c r="HC111" s="1980"/>
      <c r="HD111" s="1980"/>
      <c r="HE111" s="1980"/>
      <c r="HF111" s="1980"/>
      <c r="HG111" s="1980"/>
      <c r="HH111" s="1980"/>
      <c r="HI111" s="1980"/>
      <c r="HJ111" s="1980"/>
      <c r="HK111" s="1980"/>
      <c r="HL111" s="1980"/>
      <c r="HM111" s="1980"/>
      <c r="HN111" s="1980"/>
      <c r="HO111" s="1980"/>
      <c r="HP111" s="1980"/>
      <c r="HQ111" s="1980"/>
      <c r="HR111" s="1980"/>
      <c r="HS111" s="1980"/>
      <c r="HT111" s="1980"/>
      <c r="HU111" s="1980"/>
      <c r="HV111" s="1980"/>
      <c r="HW111" s="1980"/>
      <c r="HX111" s="1980"/>
      <c r="HY111" s="1980"/>
      <c r="HZ111" s="1980"/>
      <c r="IA111" s="1980"/>
      <c r="IB111" s="1980"/>
      <c r="IC111" s="1980"/>
      <c r="ID111" s="1980"/>
      <c r="IE111" s="1980"/>
      <c r="IF111" s="1980"/>
      <c r="IG111" s="1980"/>
      <c r="IH111" s="1980"/>
      <c r="II111" s="1980"/>
      <c r="IJ111" s="1980"/>
      <c r="IK111" s="1980"/>
      <c r="IL111" s="1980"/>
      <c r="IM111" s="1980"/>
      <c r="IN111" s="1980"/>
      <c r="IO111" s="1980"/>
      <c r="IP111" s="1980"/>
      <c r="IQ111" s="1980"/>
      <c r="IR111" s="1980"/>
      <c r="IS111" s="1980"/>
      <c r="IT111" s="1980"/>
      <c r="IU111" s="1980"/>
      <c r="IV111" s="1980"/>
      <c r="IW111" s="1980"/>
      <c r="IX111" s="1980"/>
      <c r="IY111" s="1980"/>
      <c r="IZ111" s="1980"/>
      <c r="JA111" s="1980"/>
      <c r="JB111" s="1980"/>
      <c r="JC111" s="1980"/>
      <c r="JD111" s="1980"/>
      <c r="JE111" s="1980"/>
      <c r="JF111" s="1980"/>
      <c r="JG111" s="1980"/>
      <c r="JH111" s="1980"/>
      <c r="JI111" s="1980"/>
      <c r="JJ111" s="1980"/>
      <c r="JK111" s="1980"/>
      <c r="JL111" s="1980"/>
      <c r="JM111" s="1980"/>
      <c r="JN111" s="1980"/>
      <c r="JO111" s="1980"/>
      <c r="JP111" s="1980"/>
      <c r="JQ111" s="1980"/>
      <c r="JR111" s="1980"/>
      <c r="JS111" s="1980"/>
      <c r="JT111" s="1980"/>
      <c r="JU111" s="1980"/>
      <c r="JV111" s="1980"/>
      <c r="JW111" s="1980"/>
      <c r="JX111" s="1980"/>
      <c r="JY111" s="1980"/>
      <c r="JZ111" s="1980"/>
      <c r="KA111" s="1980"/>
      <c r="KB111" s="1980"/>
      <c r="KC111" s="1980"/>
      <c r="KD111" s="1980"/>
      <c r="KE111" s="1980"/>
      <c r="KF111" s="1980"/>
      <c r="KG111" s="1980"/>
      <c r="KH111" s="1980"/>
      <c r="KI111" s="1980"/>
      <c r="KJ111" s="1980"/>
      <c r="KK111" s="1980"/>
    </row>
    <row r="112" spans="1:297">
      <c r="A112" s="1997"/>
      <c r="B112" s="2">
        <v>9</v>
      </c>
      <c r="C112" s="2" t="s">
        <v>4335</v>
      </c>
      <c r="D112" s="1998">
        <v>1.1595755032600572</v>
      </c>
      <c r="E112" s="1998">
        <v>1.0872667642239602</v>
      </c>
      <c r="F112" s="1998">
        <v>1.1731595211583834</v>
      </c>
      <c r="G112" s="1998">
        <v>1.1052311011057856</v>
      </c>
      <c r="H112" s="1998">
        <v>1.2047370727009623</v>
      </c>
      <c r="I112" s="1998">
        <v>1.1440611237346983</v>
      </c>
      <c r="J112" s="1998">
        <v>1.2337407799916824</v>
      </c>
      <c r="K112" s="1998">
        <v>1.1821517498801151</v>
      </c>
      <c r="L112" s="1998">
        <v>1.2693034166422652</v>
      </c>
      <c r="M112" s="1998">
        <v>1.2243840056449427</v>
      </c>
      <c r="N112" s="1999">
        <v>0.92562563536752007</v>
      </c>
      <c r="O112" s="1979">
        <v>0.884093207109787</v>
      </c>
      <c r="P112" s="1979">
        <v>0.93752310397404548</v>
      </c>
      <c r="Q112" s="1979">
        <v>0.89981600747645263</v>
      </c>
      <c r="R112" s="1979">
        <v>0.96085594173305233</v>
      </c>
      <c r="S112" s="1979">
        <v>0.92848657980091343</v>
      </c>
      <c r="T112" s="1979">
        <v>0.98151513646868049</v>
      </c>
      <c r="U112" s="1979">
        <v>0.95554029041270638</v>
      </c>
      <c r="V112" s="1979">
        <v>1.0125699473281813</v>
      </c>
      <c r="W112" s="1979">
        <v>0.98911948705544939</v>
      </c>
      <c r="X112" s="2000">
        <v>1.1962328419398547</v>
      </c>
      <c r="Y112" s="1998">
        <v>1.1686970794521592</v>
      </c>
      <c r="Z112" s="1998">
        <v>1.2328086139954828</v>
      </c>
      <c r="AA112" s="1998">
        <v>1.2109167215696706</v>
      </c>
      <c r="AB112" s="1998">
        <v>1.2365493147515971</v>
      </c>
      <c r="AC112" s="1998">
        <v>1.215560815055325</v>
      </c>
      <c r="AD112" s="1998">
        <v>1.2402900155077121</v>
      </c>
      <c r="AE112" s="1998">
        <v>1.2202049085409798</v>
      </c>
      <c r="AF112" s="1998">
        <v>1.2440307162638271</v>
      </c>
      <c r="AG112" s="1998">
        <v>1.2248490020266345</v>
      </c>
      <c r="AH112" s="1999">
        <v>0.91290119940545045</v>
      </c>
      <c r="AI112" s="1979">
        <v>0.88916045128077437</v>
      </c>
      <c r="AJ112" s="1979">
        <v>0.93765617299122295</v>
      </c>
      <c r="AK112" s="1979">
        <v>0.91806215547396364</v>
      </c>
      <c r="AL112" s="1979">
        <v>0.94018792948481289</v>
      </c>
      <c r="AM112" s="1979">
        <v>0.92124129696915502</v>
      </c>
      <c r="AN112" s="1979">
        <v>0.94271968597840294</v>
      </c>
      <c r="AO112" s="1979">
        <v>0.92442043846434629</v>
      </c>
      <c r="AP112" s="1979">
        <v>0.945251442471993</v>
      </c>
      <c r="AQ112" s="1979">
        <v>0.92759957995953779</v>
      </c>
      <c r="AR112" s="2000">
        <v>1.2521070374382974</v>
      </c>
      <c r="AS112" s="1998">
        <v>1.2215291889635309</v>
      </c>
      <c r="AT112" s="1998">
        <v>1.2885462413522044</v>
      </c>
      <c r="AU112" s="1998">
        <v>1.2637507633683385</v>
      </c>
      <c r="AV112" s="1998">
        <v>1.2922729749239705</v>
      </c>
      <c r="AW112" s="1998">
        <v>1.2683950694025228</v>
      </c>
      <c r="AX112" s="1998">
        <v>1.2959997084957366</v>
      </c>
      <c r="AY112" s="1998">
        <v>1.2730393754367069</v>
      </c>
      <c r="AZ112" s="1998">
        <v>1.299726442067503</v>
      </c>
      <c r="BA112" s="1998">
        <v>1.2776836814708912</v>
      </c>
      <c r="BB112" s="1999">
        <v>1.2260195965070413</v>
      </c>
      <c r="BC112" s="1979">
        <v>1.1500466747935907</v>
      </c>
      <c r="BD112" s="1979">
        <v>1.2610742168769637</v>
      </c>
      <c r="BE112" s="1979">
        <v>1.1878168711512052</v>
      </c>
      <c r="BF112" s="1979">
        <v>1.2654613372864674</v>
      </c>
      <c r="BG112" s="1979">
        <v>1.1930962335532875</v>
      </c>
      <c r="BH112" s="1979">
        <v>1.269848457695971</v>
      </c>
      <c r="BI112" s="1979">
        <v>1.1983755959553697</v>
      </c>
      <c r="BJ112" s="1979">
        <v>1.2742355781054748</v>
      </c>
      <c r="BK112" s="1979">
        <v>1.2036549583574521</v>
      </c>
      <c r="BL112" s="2000">
        <v>0.97885816030402617</v>
      </c>
      <c r="BM112" s="1998">
        <v>0.94569929805372344</v>
      </c>
      <c r="BN112" s="2000">
        <v>0.98049810157778106</v>
      </c>
      <c r="BO112" s="1998">
        <v>0.94766671907740785</v>
      </c>
      <c r="BP112" s="2000">
        <v>0.98213804285153561</v>
      </c>
      <c r="BQ112" s="1998">
        <v>0.94963414010109237</v>
      </c>
      <c r="BR112" s="2000">
        <v>0.98377798412529049</v>
      </c>
      <c r="BS112" s="1998">
        <v>0.95160156112477656</v>
      </c>
      <c r="BT112" s="2000">
        <v>0.98541792539904516</v>
      </c>
      <c r="BU112" s="1998">
        <v>0.95356898214846109</v>
      </c>
      <c r="BV112" s="1999">
        <v>1.1495684708597567</v>
      </c>
      <c r="BW112" s="1979">
        <v>1.1546301410148727</v>
      </c>
      <c r="BX112" s="1979">
        <v>1.1624853805731554</v>
      </c>
      <c r="BY112" s="1979">
        <v>1.1726031138126882</v>
      </c>
      <c r="BZ112" s="1979">
        <v>1.1897759278756561</v>
      </c>
      <c r="CA112" s="1979">
        <v>1.2078125924220142</v>
      </c>
      <c r="CB112" s="1979">
        <v>1.214305399937458</v>
      </c>
      <c r="CC112" s="1979">
        <v>1.2415920914514551</v>
      </c>
      <c r="CD112" s="1979">
        <v>1.2480774599726971</v>
      </c>
      <c r="CE112" s="1979">
        <v>1.2814403336720952</v>
      </c>
      <c r="CF112" s="2000">
        <v>1.0542603990722783</v>
      </c>
      <c r="CG112" s="1998">
        <v>1.1054790465633391</v>
      </c>
      <c r="CH112" s="2000">
        <v>1.0570168934263549</v>
      </c>
      <c r="CI112" s="1998">
        <v>1.1090136426711867</v>
      </c>
      <c r="CJ112" s="2000">
        <v>1.0597733877804314</v>
      </c>
      <c r="CK112" s="1998">
        <v>1.1125482387790349</v>
      </c>
      <c r="CL112" s="2000">
        <v>1.0625298821345082</v>
      </c>
      <c r="CM112" s="1998">
        <v>1.1160828348868823</v>
      </c>
      <c r="CN112" s="2000">
        <v>1.0652863764885845</v>
      </c>
      <c r="CO112" s="1998">
        <v>1.1196174309947304</v>
      </c>
      <c r="CP112" s="1999">
        <v>1.0675772338461385</v>
      </c>
      <c r="CQ112" s="1979">
        <v>1.1207883426804872</v>
      </c>
      <c r="CR112" s="1999">
        <v>1.0704702094357841</v>
      </c>
      <c r="CS112" s="1979">
        <v>1.124489411260327</v>
      </c>
      <c r="CT112" s="1999">
        <v>1.0733631850254295</v>
      </c>
      <c r="CU112" s="1979">
        <v>1.1281904798401672</v>
      </c>
      <c r="CV112" s="1999">
        <v>1.0762561606150751</v>
      </c>
      <c r="CW112" s="1979">
        <v>1.1318915484200074</v>
      </c>
      <c r="CX112" s="1999">
        <v>1.0791491362047207</v>
      </c>
      <c r="CY112" s="1979">
        <v>1.1355926169998474</v>
      </c>
      <c r="CZ112" s="2000">
        <v>0.89290477286685899</v>
      </c>
      <c r="DA112" s="1998">
        <v>0.92724487050473059</v>
      </c>
      <c r="DB112" s="2000">
        <v>0.89527141767413354</v>
      </c>
      <c r="DC112" s="1998">
        <v>0.93024439880853294</v>
      </c>
      <c r="DD112" s="2000">
        <v>0.89763806248140809</v>
      </c>
      <c r="DE112" s="1998">
        <v>0.93324392711233539</v>
      </c>
      <c r="DF112" s="2000">
        <v>0.90000470728868276</v>
      </c>
      <c r="DG112" s="1998">
        <v>0.93624345541613763</v>
      </c>
      <c r="DH112" s="2000">
        <v>0.90473799690323187</v>
      </c>
      <c r="DI112" s="1998">
        <v>0.94224251202374254</v>
      </c>
      <c r="DJ112" s="1999">
        <v>0.9027557835594815</v>
      </c>
      <c r="DK112" s="1979">
        <v>0.93246895744905989</v>
      </c>
      <c r="DL112" s="1999">
        <v>0.90484296612966797</v>
      </c>
      <c r="DM112" s="1979">
        <v>0.9351501882627089</v>
      </c>
      <c r="DN112" s="1999">
        <v>0.90693014869985455</v>
      </c>
      <c r="DO112" s="1979">
        <v>0.93783141907635803</v>
      </c>
      <c r="DP112" s="1999">
        <v>0.90901733127004103</v>
      </c>
      <c r="DQ112" s="1979">
        <v>0.94051264989000705</v>
      </c>
      <c r="DR112" s="1999">
        <v>0.91319169641041442</v>
      </c>
      <c r="DS112" s="1979">
        <v>0.94587511151730519</v>
      </c>
      <c r="GT112" s="1980"/>
      <c r="GU112" s="1980"/>
      <c r="GV112" s="1980"/>
      <c r="GW112" s="1980"/>
      <c r="GX112" s="1980"/>
      <c r="GY112" s="1980"/>
      <c r="GZ112" s="1980"/>
      <c r="HA112" s="1980"/>
      <c r="HB112" s="1980"/>
      <c r="HC112" s="1980"/>
      <c r="HD112" s="1980"/>
      <c r="HE112" s="1980"/>
      <c r="HF112" s="1980"/>
      <c r="HG112" s="1980"/>
      <c r="HH112" s="1980"/>
      <c r="HI112" s="1980"/>
      <c r="HJ112" s="1980"/>
      <c r="HK112" s="1980"/>
      <c r="HL112" s="1980"/>
      <c r="HM112" s="1980"/>
      <c r="HN112" s="1980"/>
      <c r="HO112" s="1980"/>
      <c r="HP112" s="1980"/>
      <c r="HQ112" s="1980"/>
      <c r="HR112" s="1980"/>
      <c r="HS112" s="1980"/>
      <c r="HT112" s="1980"/>
      <c r="HU112" s="1980"/>
      <c r="HV112" s="1980"/>
      <c r="HW112" s="1980"/>
      <c r="HX112" s="1980"/>
      <c r="HY112" s="1980"/>
      <c r="HZ112" s="1980"/>
      <c r="IA112" s="1980"/>
      <c r="IB112" s="1980"/>
      <c r="IC112" s="1980"/>
      <c r="ID112" s="1980"/>
      <c r="IE112" s="1980"/>
      <c r="IF112" s="1980"/>
      <c r="IG112" s="1980"/>
      <c r="IH112" s="1980"/>
      <c r="II112" s="1980"/>
      <c r="IJ112" s="1980"/>
      <c r="IK112" s="1980"/>
      <c r="IL112" s="1980"/>
      <c r="IM112" s="1980"/>
      <c r="IN112" s="1980"/>
      <c r="IO112" s="1980"/>
      <c r="IP112" s="1980"/>
      <c r="IQ112" s="1980"/>
      <c r="IR112" s="1980"/>
      <c r="IS112" s="1980"/>
      <c r="IT112" s="1980"/>
      <c r="IU112" s="1980"/>
      <c r="IV112" s="1980"/>
      <c r="IW112" s="1980"/>
      <c r="IX112" s="1980"/>
      <c r="IY112" s="1980"/>
      <c r="IZ112" s="1980"/>
      <c r="JA112" s="1980"/>
      <c r="JB112" s="1980"/>
      <c r="JC112" s="1980"/>
      <c r="JD112" s="1980"/>
      <c r="JE112" s="1980"/>
      <c r="JF112" s="1980"/>
      <c r="JG112" s="1980"/>
      <c r="JH112" s="1980"/>
      <c r="JI112" s="1980"/>
      <c r="JJ112" s="1980"/>
      <c r="JK112" s="1980"/>
      <c r="JL112" s="1980"/>
      <c r="JM112" s="1980"/>
      <c r="JN112" s="1980"/>
      <c r="JO112" s="1980"/>
      <c r="JP112" s="1980"/>
      <c r="JQ112" s="1980"/>
      <c r="JR112" s="1980"/>
      <c r="JS112" s="1980"/>
      <c r="JT112" s="1980"/>
      <c r="JU112" s="1980"/>
      <c r="JV112" s="1980"/>
      <c r="JW112" s="1980"/>
      <c r="JX112" s="1980"/>
      <c r="JY112" s="1980"/>
      <c r="JZ112" s="1980"/>
      <c r="KA112" s="1980"/>
      <c r="KB112" s="1980"/>
      <c r="KC112" s="1980"/>
      <c r="KD112" s="1980"/>
      <c r="KE112" s="1980"/>
      <c r="KF112" s="1980"/>
      <c r="KG112" s="1980"/>
      <c r="KH112" s="1980"/>
      <c r="KI112" s="1980"/>
      <c r="KJ112" s="1980"/>
      <c r="KK112" s="1980"/>
    </row>
    <row r="113" spans="1:297">
      <c r="A113" s="1997"/>
      <c r="B113" s="2">
        <v>10</v>
      </c>
      <c r="C113" s="2" t="s">
        <v>4336</v>
      </c>
      <c r="D113" s="1998">
        <v>1.2242848598311635</v>
      </c>
      <c r="E113" s="1998">
        <v>1.1478884826732882</v>
      </c>
      <c r="F113" s="1998">
        <v>1.2379240803690463</v>
      </c>
      <c r="G113" s="1998">
        <v>1.1658912370009187</v>
      </c>
      <c r="H113" s="1998">
        <v>1.2695664629185464</v>
      </c>
      <c r="I113" s="1998">
        <v>1.2047663777929283</v>
      </c>
      <c r="J113" s="1998">
        <v>1.2986356431073451</v>
      </c>
      <c r="K113" s="1998">
        <v>1.2429025688159274</v>
      </c>
      <c r="L113" s="1998">
        <v>1.3343362863568198</v>
      </c>
      <c r="M113" s="1998">
        <v>1.2852308681952678</v>
      </c>
      <c r="N113" s="1999">
        <v>0.96976711171881369</v>
      </c>
      <c r="O113" s="1979">
        <v>0.93544309749470556</v>
      </c>
      <c r="P113" s="1979">
        <v>0.98341206634899347</v>
      </c>
      <c r="Q113" s="1979">
        <v>0.95362273858643753</v>
      </c>
      <c r="R113" s="1979">
        <v>1.0072819384949785</v>
      </c>
      <c r="S113" s="1979">
        <v>0.98310787328706151</v>
      </c>
      <c r="T113" s="1979">
        <v>1.0277349359477599</v>
      </c>
      <c r="U113" s="1979">
        <v>1.0100182721082864</v>
      </c>
      <c r="V113" s="1979">
        <v>1.0633102119566107</v>
      </c>
      <c r="W113" s="1979">
        <v>1.046389443072121</v>
      </c>
      <c r="X113" s="2000">
        <v>1.2739170963290967</v>
      </c>
      <c r="Y113" s="1998">
        <v>1.2509099888789763</v>
      </c>
      <c r="Z113" s="1998">
        <v>1.3137697658657481</v>
      </c>
      <c r="AA113" s="1998">
        <v>1.2952103694923907</v>
      </c>
      <c r="AB113" s="1998">
        <v>1.3187573668739012</v>
      </c>
      <c r="AC113" s="1998">
        <v>1.30140249413993</v>
      </c>
      <c r="AD113" s="1998">
        <v>1.3237449678820543</v>
      </c>
      <c r="AE113" s="1998">
        <v>1.3075946187874696</v>
      </c>
      <c r="AF113" s="1998">
        <v>1.3287325688902076</v>
      </c>
      <c r="AG113" s="1998">
        <v>1.3137867434350095</v>
      </c>
      <c r="AH113" s="1999">
        <v>0.9364955029127191</v>
      </c>
      <c r="AI113" s="1979">
        <v>0.911066080253223</v>
      </c>
      <c r="AJ113" s="1979">
        <v>0.96125047649849171</v>
      </c>
      <c r="AK113" s="1979">
        <v>0.93996778444641238</v>
      </c>
      <c r="AL113" s="1979">
        <v>0.96378223299208177</v>
      </c>
      <c r="AM113" s="1979">
        <v>0.94314692594160365</v>
      </c>
      <c r="AN113" s="1979">
        <v>0.96631398948567171</v>
      </c>
      <c r="AO113" s="1979">
        <v>0.94632606743679504</v>
      </c>
      <c r="AP113" s="1979">
        <v>0.96884574597926165</v>
      </c>
      <c r="AQ113" s="1979">
        <v>0.94950520893198642</v>
      </c>
      <c r="AR113" s="2000">
        <v>1.3248331627131555</v>
      </c>
      <c r="AS113" s="1998">
        <v>1.2987754923945212</v>
      </c>
      <c r="AT113" s="1998">
        <v>1.3645370286917315</v>
      </c>
      <c r="AU113" s="1998">
        <v>1.3430779005254225</v>
      </c>
      <c r="AV113" s="1998">
        <v>1.3695060067874196</v>
      </c>
      <c r="AW113" s="1998">
        <v>1.3492703085710014</v>
      </c>
      <c r="AX113" s="1998">
        <v>1.3744749848831082</v>
      </c>
      <c r="AY113" s="1998">
        <v>1.3554627166165802</v>
      </c>
      <c r="AZ113" s="1998">
        <v>1.3794439629787962</v>
      </c>
      <c r="BA113" s="1998">
        <v>1.3616551246621591</v>
      </c>
      <c r="BB113" s="1999">
        <v>1.2996016826690784</v>
      </c>
      <c r="BC113" s="1979">
        <v>1.2105802600876168</v>
      </c>
      <c r="BD113" s="1979">
        <v>1.3346563030390008</v>
      </c>
      <c r="BE113" s="1979">
        <v>1.2483504564452315</v>
      </c>
      <c r="BF113" s="1979">
        <v>1.3390434234485049</v>
      </c>
      <c r="BG113" s="1979">
        <v>1.2536298188473136</v>
      </c>
      <c r="BH113" s="1979">
        <v>1.3434305438580088</v>
      </c>
      <c r="BI113" s="1979">
        <v>1.258909181249396</v>
      </c>
      <c r="BJ113" s="1979">
        <v>1.3478176642675124</v>
      </c>
      <c r="BK113" s="1979">
        <v>1.2641885436514781</v>
      </c>
      <c r="BL113" s="2000">
        <v>1.0073405919657259</v>
      </c>
      <c r="BM113" s="1998">
        <v>0.98188243119390162</v>
      </c>
      <c r="BN113" s="2000">
        <v>1.0098005038763578</v>
      </c>
      <c r="BO113" s="1998">
        <v>0.98483356272942812</v>
      </c>
      <c r="BP113" s="2000">
        <v>1.0122604157869899</v>
      </c>
      <c r="BQ113" s="1998">
        <v>0.98778469426495463</v>
      </c>
      <c r="BR113" s="2000">
        <v>1.0147203276976222</v>
      </c>
      <c r="BS113" s="1998">
        <v>0.99073582580048114</v>
      </c>
      <c r="BT113" s="2000">
        <v>1.0171802396082543</v>
      </c>
      <c r="BU113" s="1998">
        <v>0.99368695733600765</v>
      </c>
      <c r="BV113" s="1999">
        <v>1.2448917455093009</v>
      </c>
      <c r="BW113" s="1979">
        <v>1.2615191738240017</v>
      </c>
      <c r="BX113" s="1979">
        <v>1.2588891996550735</v>
      </c>
      <c r="BY113" s="1979">
        <v>1.2810578404724744</v>
      </c>
      <c r="BZ113" s="1979">
        <v>1.2865411635992965</v>
      </c>
      <c r="CA113" s="1979">
        <v>1.3168071847586282</v>
      </c>
      <c r="CB113" s="1979">
        <v>1.3109872683743835</v>
      </c>
      <c r="CC113" s="1979">
        <v>1.350526006152017</v>
      </c>
      <c r="CD113" s="1979">
        <v>1.347551584055257</v>
      </c>
      <c r="CE113" s="1979">
        <v>1.392187104461039</v>
      </c>
      <c r="CF113" s="2000">
        <v>1.1030405969913784</v>
      </c>
      <c r="CG113" s="1998">
        <v>1.1537692991633457</v>
      </c>
      <c r="CH113" s="2000">
        <v>1.1057970913454547</v>
      </c>
      <c r="CI113" s="1998">
        <v>1.1573038952711934</v>
      </c>
      <c r="CJ113" s="2000">
        <v>1.1085535856995314</v>
      </c>
      <c r="CK113" s="1998">
        <v>1.160838491379041</v>
      </c>
      <c r="CL113" s="2000">
        <v>1.1113100800536078</v>
      </c>
      <c r="CM113" s="1998">
        <v>1.1643730874868892</v>
      </c>
      <c r="CN113" s="2000">
        <v>1.1140665744076843</v>
      </c>
      <c r="CO113" s="1998">
        <v>1.1679076835947368</v>
      </c>
      <c r="CP113" s="1999">
        <v>1.1056255741311825</v>
      </c>
      <c r="CQ113" s="1979">
        <v>1.1582457752075734</v>
      </c>
      <c r="CR113" s="1999">
        <v>1.1085185497208279</v>
      </c>
      <c r="CS113" s="1979">
        <v>1.1619468437874136</v>
      </c>
      <c r="CT113" s="1999">
        <v>1.1114115253104735</v>
      </c>
      <c r="CU113" s="1979">
        <v>1.1656479123672534</v>
      </c>
      <c r="CV113" s="1999">
        <v>1.1143045009001189</v>
      </c>
      <c r="CW113" s="1979">
        <v>1.1693489809470936</v>
      </c>
      <c r="CX113" s="1999">
        <v>1.1171974764897645</v>
      </c>
      <c r="CY113" s="1979">
        <v>1.1730500495269336</v>
      </c>
      <c r="CZ113" s="2000">
        <v>0.92731207489954615</v>
      </c>
      <c r="DA113" s="1998">
        <v>0.95724993553886728</v>
      </c>
      <c r="DB113" s="2000">
        <v>0.9296787197068207</v>
      </c>
      <c r="DC113" s="1998">
        <v>0.96024946384266974</v>
      </c>
      <c r="DD113" s="2000">
        <v>0.93204536451409525</v>
      </c>
      <c r="DE113" s="1998">
        <v>0.96324899214647197</v>
      </c>
      <c r="DF113" s="2000">
        <v>0.93441200932136992</v>
      </c>
      <c r="DG113" s="1998">
        <v>0.96624852045027443</v>
      </c>
      <c r="DH113" s="2000">
        <v>0.93914529893591914</v>
      </c>
      <c r="DI113" s="1998">
        <v>0.97224757705787923</v>
      </c>
      <c r="DJ113" s="1999">
        <v>0.93011822182503157</v>
      </c>
      <c r="DK113" s="1979">
        <v>0.95664328805401444</v>
      </c>
      <c r="DL113" s="1999">
        <v>0.93220540439521815</v>
      </c>
      <c r="DM113" s="1979">
        <v>0.95932451886766357</v>
      </c>
      <c r="DN113" s="1999">
        <v>0.93429258696540463</v>
      </c>
      <c r="DO113" s="1979">
        <v>0.96200574968131281</v>
      </c>
      <c r="DP113" s="1999">
        <v>0.93637976953559121</v>
      </c>
      <c r="DQ113" s="1979">
        <v>0.9646869804949616</v>
      </c>
      <c r="DR113" s="1999">
        <v>0.94055413467596449</v>
      </c>
      <c r="DS113" s="1979">
        <v>0.97004944212225985</v>
      </c>
      <c r="GT113" s="1980"/>
      <c r="GU113" s="1980"/>
      <c r="GV113" s="1980"/>
      <c r="GW113" s="1980"/>
      <c r="GX113" s="1980"/>
      <c r="GY113" s="1980"/>
      <c r="GZ113" s="1980"/>
      <c r="HA113" s="1980"/>
      <c r="HB113" s="1980"/>
      <c r="HC113" s="1980"/>
      <c r="HD113" s="1980"/>
      <c r="HE113" s="1980"/>
      <c r="HF113" s="1980"/>
      <c r="HG113" s="1980"/>
      <c r="HH113" s="1980"/>
      <c r="HI113" s="1980"/>
      <c r="HJ113" s="1980"/>
      <c r="HK113" s="1980"/>
      <c r="HL113" s="1980"/>
      <c r="HM113" s="1980"/>
      <c r="HN113" s="1980"/>
      <c r="HO113" s="1980"/>
      <c r="HP113" s="1980"/>
      <c r="HQ113" s="1980"/>
      <c r="HR113" s="1980"/>
      <c r="HS113" s="1980"/>
      <c r="HT113" s="1980"/>
      <c r="HU113" s="1980"/>
      <c r="HV113" s="1980"/>
      <c r="HW113" s="1980"/>
      <c r="HX113" s="1980"/>
      <c r="HY113" s="1980"/>
      <c r="HZ113" s="1980"/>
      <c r="IA113" s="1980"/>
      <c r="IB113" s="1980"/>
      <c r="IC113" s="1980"/>
      <c r="ID113" s="1980"/>
      <c r="IE113" s="1980"/>
      <c r="IF113" s="1980"/>
      <c r="IG113" s="1980"/>
      <c r="IH113" s="1980"/>
      <c r="II113" s="1980"/>
      <c r="IJ113" s="1980"/>
      <c r="IK113" s="1980"/>
      <c r="IL113" s="1980"/>
      <c r="IM113" s="1980"/>
      <c r="IN113" s="1980"/>
      <c r="IO113" s="1980"/>
      <c r="IP113" s="1980"/>
      <c r="IQ113" s="1980"/>
      <c r="IR113" s="1980"/>
      <c r="IS113" s="1980"/>
      <c r="IT113" s="1980"/>
      <c r="IU113" s="1980"/>
      <c r="IV113" s="1980"/>
      <c r="IW113" s="1980"/>
      <c r="IX113" s="1980"/>
      <c r="IY113" s="1980"/>
      <c r="IZ113" s="1980"/>
      <c r="JA113" s="1980"/>
      <c r="JB113" s="1980"/>
      <c r="JC113" s="1980"/>
      <c r="JD113" s="1980"/>
      <c r="JE113" s="1980"/>
      <c r="JF113" s="1980"/>
      <c r="JG113" s="1980"/>
      <c r="JH113" s="1980"/>
      <c r="JI113" s="1980"/>
      <c r="JJ113" s="1980"/>
      <c r="JK113" s="1980"/>
      <c r="JL113" s="1980"/>
      <c r="JM113" s="1980"/>
      <c r="JN113" s="1980"/>
      <c r="JO113" s="1980"/>
      <c r="JP113" s="1980"/>
      <c r="JQ113" s="1980"/>
      <c r="JR113" s="1980"/>
      <c r="JS113" s="1980"/>
      <c r="JT113" s="1980"/>
      <c r="JU113" s="1980"/>
      <c r="JV113" s="1980"/>
      <c r="JW113" s="1980"/>
      <c r="JX113" s="1980"/>
      <c r="JY113" s="1980"/>
      <c r="JZ113" s="1980"/>
      <c r="KA113" s="1980"/>
      <c r="KB113" s="1980"/>
      <c r="KC113" s="1980"/>
      <c r="KD113" s="1980"/>
      <c r="KE113" s="1980"/>
      <c r="KF113" s="1980"/>
      <c r="KG113" s="1980"/>
      <c r="KH113" s="1980"/>
      <c r="KI113" s="1980"/>
      <c r="KJ113" s="1980"/>
      <c r="KK113" s="1980"/>
    </row>
    <row r="114" spans="1:297">
      <c r="A114" s="1997"/>
      <c r="B114" s="2">
        <v>11</v>
      </c>
      <c r="C114" s="2" t="s">
        <v>4337</v>
      </c>
      <c r="D114" s="1998">
        <v>1.2624472409206235</v>
      </c>
      <c r="E114" s="1998">
        <v>1.1878284026486394</v>
      </c>
      <c r="F114" s="1998">
        <v>1.276459377270087</v>
      </c>
      <c r="G114" s="1998">
        <v>1.2063409981250572</v>
      </c>
      <c r="H114" s="1998">
        <v>1.308234805948842</v>
      </c>
      <c r="I114" s="1998">
        <v>1.2453976520704808</v>
      </c>
      <c r="J114" s="1998">
        <v>1.3372877189515442</v>
      </c>
      <c r="K114" s="1998">
        <v>1.2835225221902535</v>
      </c>
      <c r="L114" s="1998">
        <v>1.37395118842501</v>
      </c>
      <c r="M114" s="1998">
        <v>1.3264503928977947</v>
      </c>
      <c r="N114" s="1999">
        <v>1.023483222029117</v>
      </c>
      <c r="O114" s="1979">
        <v>0.97906636104975331</v>
      </c>
      <c r="P114" s="1979">
        <v>1.0371707225701934</v>
      </c>
      <c r="Q114" s="1979">
        <v>0.99727557251500221</v>
      </c>
      <c r="R114" s="1979">
        <v>1.0610905614254877</v>
      </c>
      <c r="S114" s="1979">
        <v>1.0267954352124309</v>
      </c>
      <c r="T114" s="1979">
        <v>1.0815940203074721</v>
      </c>
      <c r="U114" s="1979">
        <v>1.0537409058720131</v>
      </c>
      <c r="V114" s="1979">
        <v>1.117275661093565</v>
      </c>
      <c r="W114" s="1979">
        <v>1.09018600276964</v>
      </c>
      <c r="X114" s="2000">
        <v>1.3186537563103673</v>
      </c>
      <c r="Y114" s="1998">
        <v>1.2934412783677485</v>
      </c>
      <c r="Z114" s="1998">
        <v>1.358506425847019</v>
      </c>
      <c r="AA114" s="1998">
        <v>1.3377416589811628</v>
      </c>
      <c r="AB114" s="1998">
        <v>1.3634940268551721</v>
      </c>
      <c r="AC114" s="1998">
        <v>1.3439337836287024</v>
      </c>
      <c r="AD114" s="1998">
        <v>1.3684816278633254</v>
      </c>
      <c r="AE114" s="1998">
        <v>1.3501259082762422</v>
      </c>
      <c r="AF114" s="1998">
        <v>1.3734692288714783</v>
      </c>
      <c r="AG114" s="1998">
        <v>1.3563180329237818</v>
      </c>
      <c r="AH114" s="1999">
        <v>0.99149137949438648</v>
      </c>
      <c r="AI114" s="1979">
        <v>0.97027875564267885</v>
      </c>
      <c r="AJ114" s="1979">
        <v>1.0184642012902436</v>
      </c>
      <c r="AK114" s="1979">
        <v>1.0006048416045383</v>
      </c>
      <c r="AL114" s="1979">
        <v>1.0218398766150303</v>
      </c>
      <c r="AM114" s="1979">
        <v>1.0048436969314603</v>
      </c>
      <c r="AN114" s="1979">
        <v>1.0252155519398169</v>
      </c>
      <c r="AO114" s="1979">
        <v>1.0090825522583819</v>
      </c>
      <c r="AP114" s="1979">
        <v>1.0285912272646036</v>
      </c>
      <c r="AQ114" s="1979">
        <v>1.0133214075853036</v>
      </c>
      <c r="AR114" s="2000">
        <v>1.3699901623646009</v>
      </c>
      <c r="AS114" s="1998">
        <v>1.3411878347913317</v>
      </c>
      <c r="AT114" s="1998">
        <v>1.4096940283431769</v>
      </c>
      <c r="AU114" s="1998">
        <v>1.3854902429222331</v>
      </c>
      <c r="AV114" s="1998">
        <v>1.4146630064388652</v>
      </c>
      <c r="AW114" s="1998">
        <v>1.3916826509678115</v>
      </c>
      <c r="AX114" s="1998">
        <v>1.4196319845345535</v>
      </c>
      <c r="AY114" s="1998">
        <v>1.3978750590133906</v>
      </c>
      <c r="AZ114" s="1998">
        <v>1.4246009626302418</v>
      </c>
      <c r="BA114" s="1998">
        <v>1.4040674670589695</v>
      </c>
      <c r="BB114" s="1999">
        <v>1.3335120662240525</v>
      </c>
      <c r="BC114" s="1979">
        <v>1.2611827196407728</v>
      </c>
      <c r="BD114" s="1979">
        <v>1.3743314395464867</v>
      </c>
      <c r="BE114" s="1979">
        <v>1.3025009623343731</v>
      </c>
      <c r="BF114" s="1979">
        <v>1.3809121201607424</v>
      </c>
      <c r="BG114" s="1979">
        <v>1.3104200059374964</v>
      </c>
      <c r="BH114" s="1979">
        <v>1.387492800774998</v>
      </c>
      <c r="BI114" s="1979">
        <v>1.3183390495406198</v>
      </c>
      <c r="BJ114" s="1979">
        <v>1.3940734813892537</v>
      </c>
      <c r="BK114" s="1979">
        <v>1.3262580931437431</v>
      </c>
      <c r="BL114" s="2000">
        <v>1.0306345070603622</v>
      </c>
      <c r="BM114" s="1998">
        <v>1.0030469389356305</v>
      </c>
      <c r="BN114" s="2000">
        <v>1.0330944189709943</v>
      </c>
      <c r="BO114" s="1998">
        <v>1.0059980704711571</v>
      </c>
      <c r="BP114" s="2000">
        <v>1.0355543308816264</v>
      </c>
      <c r="BQ114" s="1998">
        <v>1.0089492020066837</v>
      </c>
      <c r="BR114" s="2000">
        <v>1.0380142427922585</v>
      </c>
      <c r="BS114" s="1998">
        <v>1.0119003335422103</v>
      </c>
      <c r="BT114" s="2000">
        <v>1.0404741547028906</v>
      </c>
      <c r="BU114" s="1998">
        <v>1.0148514650777367</v>
      </c>
      <c r="BV114" s="1999">
        <v>1.3240198264529754</v>
      </c>
      <c r="BW114" s="1979">
        <v>1.3350005733575532</v>
      </c>
      <c r="BX114" s="1979">
        <v>1.3380641406422606</v>
      </c>
      <c r="BY114" s="1979">
        <v>1.354573346389689</v>
      </c>
      <c r="BZ114" s="1979">
        <v>1.3657711378934001</v>
      </c>
      <c r="CA114" s="1979">
        <v>1.3903627458473542</v>
      </c>
      <c r="CB114" s="1979">
        <v>1.3902728208596302</v>
      </c>
      <c r="CC114" s="1979">
        <v>1.4241220189981108</v>
      </c>
      <c r="CD114" s="1979">
        <v>1.4269542866492861</v>
      </c>
      <c r="CE114" s="1979">
        <v>1.4658683832662904</v>
      </c>
      <c r="CF114" s="2000">
        <v>1.1379150620620755</v>
      </c>
      <c r="CG114" s="1998">
        <v>1.1882834999310343</v>
      </c>
      <c r="CH114" s="2000">
        <v>1.140671556416152</v>
      </c>
      <c r="CI114" s="1998">
        <v>1.191818096038882</v>
      </c>
      <c r="CJ114" s="2000">
        <v>1.1434280507702286</v>
      </c>
      <c r="CK114" s="1998">
        <v>1.1953526921467301</v>
      </c>
      <c r="CL114" s="2000">
        <v>1.1461845451243051</v>
      </c>
      <c r="CM114" s="1998">
        <v>1.1988872882545778</v>
      </c>
      <c r="CN114" s="2000">
        <v>1.1489410394783817</v>
      </c>
      <c r="CO114" s="1998">
        <v>1.2024218843624257</v>
      </c>
      <c r="CP114" s="1999">
        <v>1.1361831347337688</v>
      </c>
      <c r="CQ114" s="1979">
        <v>1.1882914970163336</v>
      </c>
      <c r="CR114" s="1999">
        <v>1.1390761103234144</v>
      </c>
      <c r="CS114" s="1979">
        <v>1.1919925655961738</v>
      </c>
      <c r="CT114" s="1999">
        <v>1.1419690859130598</v>
      </c>
      <c r="CU114" s="1979">
        <v>1.1956936341760138</v>
      </c>
      <c r="CV114" s="1999">
        <v>1.1448620615027054</v>
      </c>
      <c r="CW114" s="1979">
        <v>1.199394702755854</v>
      </c>
      <c r="CX114" s="1999">
        <v>1.1477550370923508</v>
      </c>
      <c r="CY114" s="1979">
        <v>1.2030957713356938</v>
      </c>
      <c r="CZ114" s="2000">
        <v>0.97032120244040543</v>
      </c>
      <c r="DA114" s="1998">
        <v>0.99475626683153828</v>
      </c>
      <c r="DB114" s="2000">
        <v>0.97268784724767987</v>
      </c>
      <c r="DC114" s="1998">
        <v>0.99775579513534063</v>
      </c>
      <c r="DD114" s="2000">
        <v>0.97505449205495454</v>
      </c>
      <c r="DE114" s="1998">
        <v>1.0007553234391429</v>
      </c>
      <c r="DF114" s="2000">
        <v>0.9774211368622292</v>
      </c>
      <c r="DG114" s="1998">
        <v>1.0037548517429455</v>
      </c>
      <c r="DH114" s="2000">
        <v>0.98215442647677831</v>
      </c>
      <c r="DI114" s="1998">
        <v>1.00975390835055</v>
      </c>
      <c r="DJ114" s="1999">
        <v>0.95519170446497748</v>
      </c>
      <c r="DK114" s="1979">
        <v>0.97879719382389885</v>
      </c>
      <c r="DL114" s="1999">
        <v>0.95727888703516395</v>
      </c>
      <c r="DM114" s="1979">
        <v>0.98147842463754809</v>
      </c>
      <c r="DN114" s="1999">
        <v>0.95936606960535065</v>
      </c>
      <c r="DO114" s="1979">
        <v>0.98415965545119699</v>
      </c>
      <c r="DP114" s="1999">
        <v>0.96145325217553712</v>
      </c>
      <c r="DQ114" s="1979">
        <v>0.98684088626484623</v>
      </c>
      <c r="DR114" s="1999">
        <v>0.96562761731591029</v>
      </c>
      <c r="DS114" s="1979">
        <v>0.99220334789214415</v>
      </c>
      <c r="GT114" s="1980"/>
      <c r="GU114" s="1980"/>
      <c r="GV114" s="1980"/>
      <c r="GW114" s="1980"/>
      <c r="GX114" s="1980"/>
      <c r="GY114" s="1980"/>
      <c r="GZ114" s="1980"/>
      <c r="HA114" s="1980"/>
      <c r="HB114" s="1980"/>
      <c r="HC114" s="1980"/>
      <c r="HD114" s="1980"/>
      <c r="HE114" s="1980"/>
      <c r="HF114" s="1980"/>
      <c r="HG114" s="1980"/>
      <c r="HH114" s="1980"/>
      <c r="HI114" s="1980"/>
      <c r="HJ114" s="1980"/>
      <c r="HK114" s="1980"/>
      <c r="HL114" s="1980"/>
      <c r="HM114" s="1980"/>
      <c r="HN114" s="1980"/>
      <c r="HO114" s="1980"/>
      <c r="HP114" s="1980"/>
      <c r="HQ114" s="1980"/>
      <c r="HR114" s="1980"/>
      <c r="HS114" s="1980"/>
      <c r="HT114" s="1980"/>
      <c r="HU114" s="1980"/>
      <c r="HV114" s="1980"/>
      <c r="HW114" s="1980"/>
      <c r="HX114" s="1980"/>
      <c r="HY114" s="1980"/>
      <c r="HZ114" s="1980"/>
      <c r="IA114" s="1980"/>
      <c r="IB114" s="1980"/>
      <c r="IC114" s="1980"/>
      <c r="ID114" s="1980"/>
      <c r="IE114" s="1980"/>
      <c r="IF114" s="1980"/>
      <c r="IG114" s="1980"/>
      <c r="IH114" s="1980"/>
      <c r="II114" s="1980"/>
      <c r="IJ114" s="1980"/>
      <c r="IK114" s="1980"/>
      <c r="IL114" s="1980"/>
      <c r="IM114" s="1980"/>
      <c r="IN114" s="1980"/>
      <c r="IO114" s="1980"/>
      <c r="IP114" s="1980"/>
      <c r="IQ114" s="1980"/>
      <c r="IR114" s="1980"/>
      <c r="IS114" s="1980"/>
      <c r="IT114" s="1980"/>
      <c r="IU114" s="1980"/>
      <c r="IV114" s="1980"/>
      <c r="IW114" s="1980"/>
      <c r="IX114" s="1980"/>
      <c r="IY114" s="1980"/>
      <c r="IZ114" s="1980"/>
      <c r="JA114" s="1980"/>
      <c r="JB114" s="1980"/>
      <c r="JC114" s="1980"/>
      <c r="JD114" s="1980"/>
      <c r="JE114" s="1980"/>
      <c r="JF114" s="1980"/>
      <c r="JG114" s="1980"/>
      <c r="JH114" s="1980"/>
      <c r="JI114" s="1980"/>
      <c r="JJ114" s="1980"/>
      <c r="JK114" s="1980"/>
      <c r="JL114" s="1980"/>
      <c r="JM114" s="1980"/>
      <c r="JN114" s="1980"/>
      <c r="JO114" s="1980"/>
      <c r="JP114" s="1980"/>
      <c r="JQ114" s="1980"/>
      <c r="JR114" s="1980"/>
      <c r="JS114" s="1980"/>
      <c r="JT114" s="1980"/>
      <c r="JU114" s="1980"/>
      <c r="JV114" s="1980"/>
      <c r="JW114" s="1980"/>
      <c r="JX114" s="1980"/>
      <c r="JY114" s="1980"/>
      <c r="JZ114" s="1980"/>
      <c r="KA114" s="1980"/>
      <c r="KB114" s="1980"/>
      <c r="KC114" s="1980"/>
      <c r="KD114" s="1980"/>
      <c r="KE114" s="1980"/>
      <c r="KF114" s="1980"/>
      <c r="KG114" s="1980"/>
      <c r="KH114" s="1980"/>
      <c r="KI114" s="1980"/>
      <c r="KJ114" s="1980"/>
      <c r="KK114" s="1980"/>
    </row>
    <row r="115" spans="1:297">
      <c r="A115" s="1997"/>
      <c r="B115" s="2">
        <v>12</v>
      </c>
      <c r="C115" s="2" t="s">
        <v>4338</v>
      </c>
      <c r="D115" s="1998">
        <v>1.4673226928641112</v>
      </c>
      <c r="E115" s="1998">
        <v>1.3815249872633029</v>
      </c>
      <c r="F115" s="1998">
        <v>1.4819250354960849</v>
      </c>
      <c r="G115" s="1998">
        <v>1.4007987703218832</v>
      </c>
      <c r="H115" s="1998">
        <v>1.5139667350206345</v>
      </c>
      <c r="I115" s="1998">
        <v>1.4401652218374337</v>
      </c>
      <c r="J115" s="1998">
        <v>1.5430776723688746</v>
      </c>
      <c r="K115" s="1998">
        <v>1.4783304731268025</v>
      </c>
      <c r="L115" s="1998">
        <v>1.5812594089216714</v>
      </c>
      <c r="M115" s="1998">
        <v>1.5222162686284746</v>
      </c>
      <c r="N115" s="1999">
        <v>1.0620173044800258</v>
      </c>
      <c r="O115" s="1979">
        <v>1.0156918448720937</v>
      </c>
      <c r="P115" s="1979">
        <v>1.0757262000945498</v>
      </c>
      <c r="Q115" s="1979">
        <v>1.0339159263988817</v>
      </c>
      <c r="R115" s="1979">
        <v>1.0996711657221487</v>
      </c>
      <c r="S115" s="1979">
        <v>1.0634532527732339</v>
      </c>
      <c r="T115" s="1979">
        <v>1.1202000001563617</v>
      </c>
      <c r="U115" s="1979">
        <v>1.0904163600174321</v>
      </c>
      <c r="V115" s="1979">
        <v>1.1559351286260733</v>
      </c>
      <c r="W115" s="1979">
        <v>1.1268986320689063</v>
      </c>
      <c r="X115" s="2000">
        <v>1.4837656855865256</v>
      </c>
      <c r="Y115" s="1998">
        <v>1.4683386979751043</v>
      </c>
      <c r="Z115" s="1998">
        <v>1.5301721500852248</v>
      </c>
      <c r="AA115" s="1998">
        <v>1.516800555580325</v>
      </c>
      <c r="AB115" s="1998">
        <v>1.5376535515974543</v>
      </c>
      <c r="AC115" s="1998">
        <v>1.5260887425516343</v>
      </c>
      <c r="AD115" s="1998">
        <v>1.5451349531096839</v>
      </c>
      <c r="AE115" s="1998">
        <v>1.5353769295229438</v>
      </c>
      <c r="AF115" s="1998">
        <v>1.5526163546219138</v>
      </c>
      <c r="AG115" s="1998">
        <v>1.5446651164942529</v>
      </c>
      <c r="AH115" s="1999">
        <v>1.1169093859283659</v>
      </c>
      <c r="AI115" s="1979">
        <v>1.101061031554682</v>
      </c>
      <c r="AJ115" s="1979">
        <v>1.1483179041443918</v>
      </c>
      <c r="AK115" s="1979">
        <v>1.1342358810538824</v>
      </c>
      <c r="AL115" s="1979">
        <v>1.1533814171315719</v>
      </c>
      <c r="AM115" s="1979">
        <v>1.1405941640442652</v>
      </c>
      <c r="AN115" s="1979">
        <v>1.1584449301187518</v>
      </c>
      <c r="AO115" s="1979">
        <v>1.1469524470346477</v>
      </c>
      <c r="AP115" s="1979">
        <v>1.1635084431059319</v>
      </c>
      <c r="AQ115" s="1979">
        <v>1.1533107300250305</v>
      </c>
      <c r="AR115" s="2000">
        <v>1.5285993230683841</v>
      </c>
      <c r="AS115" s="1998">
        <v>1.5142653403523525</v>
      </c>
      <c r="AT115" s="1998">
        <v>1.5748325131762988</v>
      </c>
      <c r="AU115" s="1998">
        <v>1.5627294159354408</v>
      </c>
      <c r="AV115" s="1998">
        <v>1.582285980319831</v>
      </c>
      <c r="AW115" s="1998">
        <v>1.572018028003809</v>
      </c>
      <c r="AX115" s="1998">
        <v>1.589739447463363</v>
      </c>
      <c r="AY115" s="1998">
        <v>1.5813066400721769</v>
      </c>
      <c r="AZ115" s="1998">
        <v>1.5971929146068957</v>
      </c>
      <c r="BA115" s="1998">
        <v>1.5905952521405453</v>
      </c>
      <c r="BB115" s="1999">
        <v>1.728233705425086</v>
      </c>
      <c r="BC115" s="1979">
        <v>1.6540238288346343</v>
      </c>
      <c r="BD115" s="1979">
        <v>1.7863473376050567</v>
      </c>
      <c r="BE115" s="1979">
        <v>1.7059862105361927</v>
      </c>
      <c r="BF115" s="1979">
        <v>1.7995086988335676</v>
      </c>
      <c r="BG115" s="1979">
        <v>1.7218242977424396</v>
      </c>
      <c r="BH115" s="1979">
        <v>1.8126700600620786</v>
      </c>
      <c r="BI115" s="1979">
        <v>1.7376623849486865</v>
      </c>
      <c r="BJ115" s="1979">
        <v>1.82583142129059</v>
      </c>
      <c r="BK115" s="1979">
        <v>1.7535004721549334</v>
      </c>
      <c r="BL115" s="2000">
        <v>1.1324190213597345</v>
      </c>
      <c r="BM115" s="1998">
        <v>1.0955621464990832</v>
      </c>
      <c r="BN115" s="2000">
        <v>1.1348789332703668</v>
      </c>
      <c r="BO115" s="1998">
        <v>1.0985132780346099</v>
      </c>
      <c r="BP115" s="2000">
        <v>1.1373388451809987</v>
      </c>
      <c r="BQ115" s="1998">
        <v>1.1014644095701362</v>
      </c>
      <c r="BR115" s="2000">
        <v>1.139798757091631</v>
      </c>
      <c r="BS115" s="1998">
        <v>1.1044155411056629</v>
      </c>
      <c r="BT115" s="2000">
        <v>1.1422586690022631</v>
      </c>
      <c r="BU115" s="1998">
        <v>1.1073666726411895</v>
      </c>
      <c r="BV115" s="1999">
        <v>1.4923647316538269</v>
      </c>
      <c r="BW115" s="1979">
        <v>1.4993831194869687</v>
      </c>
      <c r="BX115" s="1979">
        <v>1.5064759887624166</v>
      </c>
      <c r="BY115" s="1979">
        <v>1.5190046159243373</v>
      </c>
      <c r="BZ115" s="1979">
        <v>1.5342616050234363</v>
      </c>
      <c r="CA115" s="1979">
        <v>1.55485123705559</v>
      </c>
      <c r="CB115" s="1979">
        <v>1.5588426854055857</v>
      </c>
      <c r="CC115" s="1979">
        <v>1.5886682984311582</v>
      </c>
      <c r="CD115" s="1979">
        <v>1.5956915084935017</v>
      </c>
      <c r="CE115" s="1979">
        <v>1.6305364712124202</v>
      </c>
      <c r="CF115" s="2000">
        <v>1.2287113908184011</v>
      </c>
      <c r="CG115" s="1998">
        <v>1.2781029583924199</v>
      </c>
      <c r="CH115" s="2000">
        <v>1.2314678851724776</v>
      </c>
      <c r="CI115" s="1998">
        <v>1.2816375545002676</v>
      </c>
      <c r="CJ115" s="2000">
        <v>1.2342243795265539</v>
      </c>
      <c r="CK115" s="1998">
        <v>1.2851721506081153</v>
      </c>
      <c r="CL115" s="2000">
        <v>1.2369808738806307</v>
      </c>
      <c r="CM115" s="1998">
        <v>1.2887067467159634</v>
      </c>
      <c r="CN115" s="2000">
        <v>1.2397373682347073</v>
      </c>
      <c r="CO115" s="1998">
        <v>1.2922413428238111</v>
      </c>
      <c r="CP115" s="1999">
        <v>1.2507739869934684</v>
      </c>
      <c r="CQ115" s="1979">
        <v>1.3009629537991845</v>
      </c>
      <c r="CR115" s="1999">
        <v>1.2536669625831143</v>
      </c>
      <c r="CS115" s="1979">
        <v>1.3046640223790247</v>
      </c>
      <c r="CT115" s="1999">
        <v>1.2565599381727597</v>
      </c>
      <c r="CU115" s="1979">
        <v>1.3083650909588647</v>
      </c>
      <c r="CV115" s="1999">
        <v>1.2594529137624051</v>
      </c>
      <c r="CW115" s="1979">
        <v>1.3120661595387046</v>
      </c>
      <c r="CX115" s="1999">
        <v>1.2623458893520505</v>
      </c>
      <c r="CY115" s="1979">
        <v>1.3157672281185444</v>
      </c>
      <c r="CZ115" s="2000">
        <v>0.98571822017676114</v>
      </c>
      <c r="DA115" s="1998">
        <v>1.0589499366840229</v>
      </c>
      <c r="DB115" s="2000">
        <v>0.99045150979131025</v>
      </c>
      <c r="DC115" s="1998">
        <v>1.0649489932916278</v>
      </c>
      <c r="DD115" s="2000">
        <v>0.99518479940585958</v>
      </c>
      <c r="DE115" s="1998">
        <v>1.0709480498992328</v>
      </c>
      <c r="DF115" s="2000">
        <v>0.99991808902040868</v>
      </c>
      <c r="DG115" s="1998">
        <v>1.0769471065068374</v>
      </c>
      <c r="DH115" s="2000">
        <v>1.0093846682495071</v>
      </c>
      <c r="DI115" s="1998">
        <v>1.0889452197220471</v>
      </c>
      <c r="DJ115" s="1999">
        <v>1.0811815385399879</v>
      </c>
      <c r="DK115" s="1979">
        <v>1.1404719978102114</v>
      </c>
      <c r="DL115" s="1999">
        <v>1.0853559036803608</v>
      </c>
      <c r="DM115" s="1979">
        <v>1.1458344594375096</v>
      </c>
      <c r="DN115" s="1999">
        <v>1.0895302688207344</v>
      </c>
      <c r="DO115" s="1979">
        <v>1.1511969210648074</v>
      </c>
      <c r="DP115" s="1999">
        <v>1.0937046339611074</v>
      </c>
      <c r="DQ115" s="1979">
        <v>1.1565593826921057</v>
      </c>
      <c r="DR115" s="1999">
        <v>1.1020533642418537</v>
      </c>
      <c r="DS115" s="1979">
        <v>1.167284305946702</v>
      </c>
      <c r="GT115" s="1980"/>
      <c r="GU115" s="1980"/>
      <c r="GV115" s="1980"/>
      <c r="GW115" s="1980"/>
      <c r="GX115" s="1980"/>
      <c r="GY115" s="1980"/>
      <c r="GZ115" s="1980"/>
      <c r="HA115" s="1980"/>
      <c r="HB115" s="1980"/>
      <c r="HC115" s="1980"/>
      <c r="HD115" s="1980"/>
      <c r="HE115" s="1980"/>
      <c r="HF115" s="1980"/>
      <c r="HG115" s="1980"/>
      <c r="HH115" s="1980"/>
      <c r="HI115" s="1980"/>
      <c r="HJ115" s="1980"/>
      <c r="HK115" s="1980"/>
      <c r="HL115" s="1980"/>
      <c r="HM115" s="1980"/>
      <c r="HN115" s="1980"/>
      <c r="HO115" s="1980"/>
      <c r="HP115" s="1980"/>
      <c r="HQ115" s="1980"/>
      <c r="HR115" s="1980"/>
      <c r="HS115" s="1980"/>
      <c r="HT115" s="1980"/>
      <c r="HU115" s="1980"/>
      <c r="HV115" s="1980"/>
      <c r="HW115" s="1980"/>
      <c r="HX115" s="1980"/>
      <c r="HY115" s="1980"/>
      <c r="HZ115" s="1980"/>
      <c r="IA115" s="1980"/>
      <c r="IB115" s="1980"/>
      <c r="IC115" s="1980"/>
      <c r="ID115" s="1980"/>
      <c r="IE115" s="1980"/>
      <c r="IF115" s="1980"/>
      <c r="IG115" s="1980"/>
      <c r="IH115" s="1980"/>
      <c r="II115" s="1980"/>
      <c r="IJ115" s="1980"/>
      <c r="IK115" s="1980"/>
      <c r="IL115" s="1980"/>
      <c r="IM115" s="1980"/>
      <c r="IN115" s="1980"/>
      <c r="IO115" s="1980"/>
      <c r="IP115" s="1980"/>
      <c r="IQ115" s="1980"/>
      <c r="IR115" s="1980"/>
      <c r="IS115" s="1980"/>
      <c r="IT115" s="1980"/>
      <c r="IU115" s="1980"/>
      <c r="IV115" s="1980"/>
      <c r="IW115" s="1980"/>
      <c r="IX115" s="1980"/>
      <c r="IY115" s="1980"/>
      <c r="IZ115" s="1980"/>
      <c r="JA115" s="1980"/>
      <c r="JB115" s="1980"/>
      <c r="JC115" s="1980"/>
      <c r="JD115" s="1980"/>
      <c r="JE115" s="1980"/>
      <c r="JF115" s="1980"/>
      <c r="JG115" s="1980"/>
      <c r="JH115" s="1980"/>
      <c r="JI115" s="1980"/>
      <c r="JJ115" s="1980"/>
      <c r="JK115" s="1980"/>
      <c r="JL115" s="1980"/>
      <c r="JM115" s="1980"/>
      <c r="JN115" s="1980"/>
      <c r="JO115" s="1980"/>
      <c r="JP115" s="1980"/>
      <c r="JQ115" s="1980"/>
      <c r="JR115" s="1980"/>
      <c r="JS115" s="1980"/>
      <c r="JT115" s="1980"/>
      <c r="JU115" s="1980"/>
      <c r="JV115" s="1980"/>
      <c r="JW115" s="1980"/>
      <c r="JX115" s="1980"/>
      <c r="JY115" s="1980"/>
      <c r="JZ115" s="1980"/>
      <c r="KA115" s="1980"/>
      <c r="KB115" s="1980"/>
      <c r="KC115" s="1980"/>
      <c r="KD115" s="1980"/>
      <c r="KE115" s="1980"/>
      <c r="KF115" s="1980"/>
      <c r="KG115" s="1980"/>
      <c r="KH115" s="1980"/>
      <c r="KI115" s="1980"/>
      <c r="KJ115" s="1980"/>
      <c r="KK115" s="1980"/>
    </row>
    <row r="116" spans="1:297">
      <c r="A116" s="1997"/>
      <c r="B116" s="2">
        <v>13</v>
      </c>
      <c r="C116" s="2" t="str">
        <f>CONCATENATE($U$8," ",V$10)</f>
        <v>Proportion de fenêtres 0</v>
      </c>
      <c r="D116" s="1998">
        <v>0</v>
      </c>
      <c r="E116" s="1998">
        <v>0</v>
      </c>
      <c r="F116" s="1998">
        <v>0</v>
      </c>
      <c r="G116" s="1998">
        <v>0</v>
      </c>
      <c r="H116" s="1998">
        <v>0</v>
      </c>
      <c r="I116" s="1998">
        <v>0</v>
      </c>
      <c r="J116" s="1998">
        <v>0</v>
      </c>
      <c r="K116" s="1998">
        <v>0</v>
      </c>
      <c r="L116" s="1998">
        <v>0</v>
      </c>
      <c r="M116" s="1998">
        <v>0</v>
      </c>
      <c r="N116" s="1999">
        <v>0</v>
      </c>
      <c r="O116" s="1979">
        <v>0</v>
      </c>
      <c r="P116" s="1979">
        <v>0</v>
      </c>
      <c r="Q116" s="1979">
        <v>0</v>
      </c>
      <c r="R116" s="1979">
        <v>0</v>
      </c>
      <c r="S116" s="1979">
        <v>0</v>
      </c>
      <c r="T116" s="1979">
        <v>0</v>
      </c>
      <c r="U116" s="1979">
        <v>0</v>
      </c>
      <c r="V116" s="1979">
        <v>0</v>
      </c>
      <c r="W116" s="1979">
        <v>0</v>
      </c>
      <c r="X116" s="2000">
        <v>0</v>
      </c>
      <c r="Y116" s="1998">
        <v>0</v>
      </c>
      <c r="Z116" s="1998">
        <v>0</v>
      </c>
      <c r="AA116" s="1998">
        <v>0</v>
      </c>
      <c r="AB116" s="1998">
        <v>0</v>
      </c>
      <c r="AC116" s="1998">
        <v>0</v>
      </c>
      <c r="AD116" s="1998">
        <v>0</v>
      </c>
      <c r="AE116" s="1998">
        <v>0</v>
      </c>
      <c r="AF116" s="1998">
        <v>0</v>
      </c>
      <c r="AG116" s="1998">
        <v>0</v>
      </c>
      <c r="AH116" s="1999">
        <v>0</v>
      </c>
      <c r="AI116" s="1979">
        <v>0</v>
      </c>
      <c r="AJ116" s="1979">
        <v>0</v>
      </c>
      <c r="AK116" s="1979">
        <v>0</v>
      </c>
      <c r="AL116" s="1979">
        <v>0</v>
      </c>
      <c r="AM116" s="1979">
        <v>0</v>
      </c>
      <c r="AN116" s="1979">
        <v>0</v>
      </c>
      <c r="AO116" s="1979">
        <v>0</v>
      </c>
      <c r="AP116" s="1979">
        <v>0</v>
      </c>
      <c r="AQ116" s="1979">
        <v>0</v>
      </c>
      <c r="AR116" s="2000">
        <v>1.0216863859439811</v>
      </c>
      <c r="AS116" s="1998">
        <v>1.0097970691360056</v>
      </c>
      <c r="AT116" s="1998">
        <v>1.0548609277932188</v>
      </c>
      <c r="AU116" s="1998">
        <v>1.0499378098147201</v>
      </c>
      <c r="AV116" s="1998">
        <v>1.057345416841063</v>
      </c>
      <c r="AW116" s="1998">
        <v>1.0530340138375096</v>
      </c>
      <c r="AX116" s="1998">
        <v>1.0598299058889069</v>
      </c>
      <c r="AY116" s="1998">
        <v>1.0561302178602989</v>
      </c>
      <c r="AZ116" s="1998">
        <v>1.0623143949367513</v>
      </c>
      <c r="BA116" s="1998">
        <v>1.0592264218830882</v>
      </c>
      <c r="BB116" s="1999">
        <v>0</v>
      </c>
      <c r="BC116" s="1979">
        <v>0</v>
      </c>
      <c r="BD116" s="1979">
        <v>0</v>
      </c>
      <c r="BE116" s="1979">
        <v>0</v>
      </c>
      <c r="BF116" s="1979">
        <v>0</v>
      </c>
      <c r="BG116" s="1979">
        <v>0</v>
      </c>
      <c r="BH116" s="1979">
        <v>0</v>
      </c>
      <c r="BI116" s="1979">
        <v>0</v>
      </c>
      <c r="BJ116" s="1979">
        <v>0</v>
      </c>
      <c r="BK116" s="1979">
        <v>0</v>
      </c>
      <c r="BL116" s="2000">
        <v>0.9742699724376167</v>
      </c>
      <c r="BM116" s="1998">
        <v>0.95805705898291271</v>
      </c>
      <c r="BN116" s="2000">
        <v>0.97672988434824892</v>
      </c>
      <c r="BO116" s="1998">
        <v>0.96100819051843944</v>
      </c>
      <c r="BP116" s="2000">
        <v>0.97918979625888114</v>
      </c>
      <c r="BQ116" s="1998">
        <v>0.96395932205396595</v>
      </c>
      <c r="BR116" s="2000">
        <v>0.98164970816951314</v>
      </c>
      <c r="BS116" s="1998">
        <v>0.96691045358949246</v>
      </c>
      <c r="BT116" s="2000">
        <v>0.98410962008014524</v>
      </c>
      <c r="BU116" s="1998">
        <v>0.96986158512501919</v>
      </c>
      <c r="BV116" s="1999">
        <v>0.97956020937274568</v>
      </c>
      <c r="BW116" s="1979">
        <v>0.98219904626487831</v>
      </c>
      <c r="BX116" s="1979">
        <v>0.99245368906438747</v>
      </c>
      <c r="BY116" s="1979">
        <v>1.0001549658708624</v>
      </c>
      <c r="BZ116" s="1979">
        <v>1.01971671971343</v>
      </c>
      <c r="CA116" s="1979">
        <v>1.0353444168944328</v>
      </c>
      <c r="CB116" s="1979">
        <v>1.0442184026796604</v>
      </c>
      <c r="CC116" s="1979">
        <v>1.0691036900451896</v>
      </c>
      <c r="CD116" s="1979">
        <v>1.0779318876605086</v>
      </c>
      <c r="CE116" s="1979">
        <v>1.1089092992862508</v>
      </c>
      <c r="CF116" s="2000">
        <v>1.013052221917351</v>
      </c>
      <c r="CG116" s="1998">
        <v>1.0668454919809041</v>
      </c>
      <c r="CH116" s="2000">
        <v>1.0158087162714275</v>
      </c>
      <c r="CI116" s="1998">
        <v>1.0703800880887517</v>
      </c>
      <c r="CJ116" s="2000">
        <v>1.0185652106255041</v>
      </c>
      <c r="CK116" s="1998">
        <v>1.0739146841965996</v>
      </c>
      <c r="CL116" s="2000">
        <v>1.0213217049795809</v>
      </c>
      <c r="CM116" s="1998">
        <v>1.0774492803044473</v>
      </c>
      <c r="CN116" s="2000">
        <v>1.0240781993336572</v>
      </c>
      <c r="CO116" s="1998">
        <v>1.0809838764122954</v>
      </c>
      <c r="CP116" s="1999">
        <v>1.0132741880538507</v>
      </c>
      <c r="CQ116" s="1979">
        <v>1.0696678202971532</v>
      </c>
      <c r="CR116" s="1999">
        <v>1.0161671636434964</v>
      </c>
      <c r="CS116" s="1979">
        <v>1.0733688888769932</v>
      </c>
      <c r="CT116" s="1999">
        <v>1.019060139233142</v>
      </c>
      <c r="CU116" s="1979">
        <v>1.0770699574568332</v>
      </c>
      <c r="CV116" s="1999">
        <v>1.0219531148227874</v>
      </c>
      <c r="CW116" s="1979">
        <v>1.0807710260366734</v>
      </c>
      <c r="CX116" s="1999">
        <v>1.024846090412433</v>
      </c>
      <c r="CY116" s="1979">
        <v>1.0844720946165132</v>
      </c>
      <c r="CZ116" s="2000">
        <v>1.0649071730491642</v>
      </c>
      <c r="DA116" s="1998">
        <v>1.1365149466915061</v>
      </c>
      <c r="DB116" s="2000">
        <v>1.069640462663713</v>
      </c>
      <c r="DC116" s="1998">
        <v>1.1425140032991108</v>
      </c>
      <c r="DD116" s="2000">
        <v>1.0743737522782624</v>
      </c>
      <c r="DE116" s="1998">
        <v>1.1485130599067157</v>
      </c>
      <c r="DF116" s="2000">
        <v>1.0791070418928115</v>
      </c>
      <c r="DG116" s="1998">
        <v>1.1545121165143206</v>
      </c>
      <c r="DH116" s="2000">
        <v>1.0885736211219101</v>
      </c>
      <c r="DI116" s="1998">
        <v>1.16651022972953</v>
      </c>
      <c r="DJ116" s="1999">
        <v>1.0356482780146368</v>
      </c>
      <c r="DK116" s="1979">
        <v>1.1053458225204711</v>
      </c>
      <c r="DL116" s="1999">
        <v>1.0398226431550099</v>
      </c>
      <c r="DM116" s="1979">
        <v>1.1107082841477691</v>
      </c>
      <c r="DN116" s="1999">
        <v>1.0439970082953831</v>
      </c>
      <c r="DO116" s="1979">
        <v>1.1160707457750672</v>
      </c>
      <c r="DP116" s="1999">
        <v>1.0481713734357563</v>
      </c>
      <c r="DQ116" s="1979">
        <v>1.1214332074023652</v>
      </c>
      <c r="DR116" s="1999">
        <v>1.0565201037165026</v>
      </c>
      <c r="DS116" s="1979">
        <v>1.1321581306569612</v>
      </c>
      <c r="GT116" s="1980"/>
      <c r="GU116" s="1980"/>
      <c r="GV116" s="1980"/>
      <c r="GW116" s="1980"/>
      <c r="GX116" s="1980"/>
      <c r="GY116" s="1980"/>
      <c r="GZ116" s="1980"/>
      <c r="HA116" s="1980"/>
      <c r="HB116" s="1980"/>
      <c r="HC116" s="1980"/>
      <c r="HD116" s="1980"/>
      <c r="HE116" s="1980"/>
      <c r="HF116" s="1980"/>
      <c r="HG116" s="1980"/>
      <c r="HH116" s="1980"/>
      <c r="HI116" s="1980"/>
      <c r="HJ116" s="1980"/>
      <c r="HK116" s="1980"/>
      <c r="HL116" s="1980"/>
      <c r="HM116" s="1980"/>
      <c r="HN116" s="1980"/>
      <c r="HO116" s="1980"/>
      <c r="HP116" s="1980"/>
      <c r="HQ116" s="1980"/>
      <c r="HR116" s="1980"/>
      <c r="HS116" s="1980"/>
      <c r="HT116" s="1980"/>
      <c r="HU116" s="1980"/>
      <c r="HV116" s="1980"/>
      <c r="HW116" s="1980"/>
      <c r="HX116" s="1980"/>
      <c r="HY116" s="1980"/>
      <c r="HZ116" s="1980"/>
      <c r="IA116" s="1980"/>
      <c r="IB116" s="1980"/>
      <c r="IC116" s="1980"/>
      <c r="ID116" s="1980"/>
      <c r="IE116" s="1980"/>
      <c r="IF116" s="1980"/>
      <c r="IG116" s="1980"/>
      <c r="IH116" s="1980"/>
      <c r="II116" s="1980"/>
      <c r="IJ116" s="1980"/>
      <c r="IK116" s="1980"/>
      <c r="IL116" s="1980"/>
      <c r="IM116" s="1980"/>
      <c r="IN116" s="1980"/>
      <c r="IO116" s="1980"/>
      <c r="IP116" s="1980"/>
      <c r="IQ116" s="1980"/>
      <c r="IR116" s="1980"/>
      <c r="IS116" s="1980"/>
      <c r="IT116" s="1980"/>
      <c r="IU116" s="1980"/>
      <c r="IV116" s="1980"/>
      <c r="IW116" s="1980"/>
      <c r="IX116" s="1980"/>
      <c r="IY116" s="1980"/>
      <c r="IZ116" s="1980"/>
      <c r="JA116" s="1980"/>
      <c r="JB116" s="1980"/>
      <c r="JC116" s="1980"/>
      <c r="JD116" s="1980"/>
      <c r="JE116" s="1980"/>
      <c r="JF116" s="1980"/>
      <c r="JG116" s="1980"/>
      <c r="JH116" s="1980"/>
      <c r="JI116" s="1980"/>
      <c r="JJ116" s="1980"/>
      <c r="JK116" s="1980"/>
      <c r="JL116" s="1980"/>
      <c r="JM116" s="1980"/>
      <c r="JN116" s="1980"/>
      <c r="JO116" s="1980"/>
      <c r="JP116" s="1980"/>
      <c r="JQ116" s="1980"/>
      <c r="JR116" s="1980"/>
      <c r="JS116" s="1980"/>
      <c r="JT116" s="1980"/>
      <c r="JU116" s="1980"/>
      <c r="JV116" s="1980"/>
      <c r="JW116" s="1980"/>
      <c r="JX116" s="1980"/>
      <c r="JY116" s="1980"/>
      <c r="JZ116" s="1980"/>
      <c r="KA116" s="1980"/>
      <c r="KB116" s="1980"/>
      <c r="KC116" s="1980"/>
      <c r="KD116" s="1980"/>
      <c r="KE116" s="1980"/>
      <c r="KF116" s="1980"/>
      <c r="KG116" s="1980"/>
      <c r="KH116" s="1980"/>
      <c r="KI116" s="1980"/>
      <c r="KJ116" s="1980"/>
      <c r="KK116" s="1980"/>
    </row>
    <row r="117" spans="1:297">
      <c r="A117" s="1997"/>
      <c r="B117" s="2">
        <v>14</v>
      </c>
      <c r="C117" s="2" t="str">
        <f>CONCATENATE($U$8," ",V$11)</f>
        <v>Proportion de fenêtres 10</v>
      </c>
      <c r="D117" s="1998">
        <v>0</v>
      </c>
      <c r="E117" s="1998">
        <v>0</v>
      </c>
      <c r="F117" s="1998">
        <v>0</v>
      </c>
      <c r="G117" s="1998">
        <v>0</v>
      </c>
      <c r="H117" s="1998">
        <v>0</v>
      </c>
      <c r="I117" s="1998">
        <v>0</v>
      </c>
      <c r="J117" s="1998">
        <v>0</v>
      </c>
      <c r="K117" s="1998">
        <v>0</v>
      </c>
      <c r="L117" s="1998">
        <v>0</v>
      </c>
      <c r="M117" s="1998">
        <v>0</v>
      </c>
      <c r="N117" s="1999">
        <v>0</v>
      </c>
      <c r="O117" s="1979">
        <v>0</v>
      </c>
      <c r="P117" s="1979">
        <v>0</v>
      </c>
      <c r="Q117" s="1979">
        <v>0</v>
      </c>
      <c r="R117" s="1979">
        <v>0</v>
      </c>
      <c r="S117" s="1979">
        <v>0</v>
      </c>
      <c r="T117" s="1979">
        <v>0</v>
      </c>
      <c r="U117" s="1979">
        <v>0</v>
      </c>
      <c r="V117" s="1979">
        <v>0</v>
      </c>
      <c r="W117" s="1979">
        <v>0</v>
      </c>
      <c r="X117" s="2000">
        <v>0</v>
      </c>
      <c r="Y117" s="1998">
        <v>0</v>
      </c>
      <c r="Z117" s="1998">
        <v>0</v>
      </c>
      <c r="AA117" s="1998">
        <v>0</v>
      </c>
      <c r="AB117" s="1998">
        <v>0</v>
      </c>
      <c r="AC117" s="1998">
        <v>0</v>
      </c>
      <c r="AD117" s="1998">
        <v>0</v>
      </c>
      <c r="AE117" s="1998">
        <v>0</v>
      </c>
      <c r="AF117" s="1998">
        <v>0</v>
      </c>
      <c r="AG117" s="1998">
        <v>0</v>
      </c>
      <c r="AH117" s="1999">
        <v>0</v>
      </c>
      <c r="AI117" s="1979">
        <v>0</v>
      </c>
      <c r="AJ117" s="1979">
        <v>0</v>
      </c>
      <c r="AK117" s="1979">
        <v>0</v>
      </c>
      <c r="AL117" s="1979">
        <v>0</v>
      </c>
      <c r="AM117" s="1979">
        <v>0</v>
      </c>
      <c r="AN117" s="1979">
        <v>0</v>
      </c>
      <c r="AO117" s="1979">
        <v>0</v>
      </c>
      <c r="AP117" s="1979">
        <v>0</v>
      </c>
      <c r="AQ117" s="1979">
        <v>0</v>
      </c>
      <c r="AR117" s="2000">
        <v>1.0296561437599487</v>
      </c>
      <c r="AS117" s="1998">
        <v>1.0157561758723073</v>
      </c>
      <c r="AT117" s="1998">
        <v>1.0628306856091863</v>
      </c>
      <c r="AU117" s="1998">
        <v>1.0558969165510217</v>
      </c>
      <c r="AV117" s="1998">
        <v>1.0653151746570304</v>
      </c>
      <c r="AW117" s="1998">
        <v>1.0589931205738112</v>
      </c>
      <c r="AX117" s="1998">
        <v>1.0677996637048748</v>
      </c>
      <c r="AY117" s="1998">
        <v>1.0620893245966008</v>
      </c>
      <c r="AZ117" s="1998">
        <v>1.0702841527527187</v>
      </c>
      <c r="BA117" s="1998">
        <v>1.0651855286193899</v>
      </c>
      <c r="BB117" s="1999">
        <v>0</v>
      </c>
      <c r="BC117" s="1979">
        <v>0</v>
      </c>
      <c r="BD117" s="1979">
        <v>0</v>
      </c>
      <c r="BE117" s="1979">
        <v>0</v>
      </c>
      <c r="BF117" s="1979">
        <v>0</v>
      </c>
      <c r="BG117" s="1979">
        <v>0</v>
      </c>
      <c r="BH117" s="1979">
        <v>0</v>
      </c>
      <c r="BI117" s="1979">
        <v>0</v>
      </c>
      <c r="BJ117" s="1979">
        <v>0</v>
      </c>
      <c r="BK117" s="1979">
        <v>0</v>
      </c>
      <c r="BL117" s="2000">
        <v>0.9808840963432387</v>
      </c>
      <c r="BM117" s="1998">
        <v>0.96282213342511047</v>
      </c>
      <c r="BN117" s="2000">
        <v>0.98334400825387069</v>
      </c>
      <c r="BO117" s="1998">
        <v>0.9657732649606372</v>
      </c>
      <c r="BP117" s="2000">
        <v>0.9858039201645028</v>
      </c>
      <c r="BQ117" s="1998">
        <v>0.96872439649616371</v>
      </c>
      <c r="BR117" s="2000">
        <v>0.98826383207513502</v>
      </c>
      <c r="BS117" s="1998">
        <v>0.97167552803169022</v>
      </c>
      <c r="BT117" s="2000">
        <v>0.99072374398576701</v>
      </c>
      <c r="BU117" s="1998">
        <v>0.97462665956721672</v>
      </c>
      <c r="BV117" s="1999">
        <v>0.98307915046034466</v>
      </c>
      <c r="BW117" s="1979">
        <v>0.98489530126130154</v>
      </c>
      <c r="BX117" s="1979">
        <v>0.99594920013023025</v>
      </c>
      <c r="BY117" s="1979">
        <v>1.002834167675454</v>
      </c>
      <c r="BZ117" s="1979">
        <v>1.0231847141258148</v>
      </c>
      <c r="CA117" s="1979">
        <v>1.0380035911132686</v>
      </c>
      <c r="CB117" s="1979">
        <v>1.0476586079964734</v>
      </c>
      <c r="CC117" s="1979">
        <v>1.0717426383853415</v>
      </c>
      <c r="CD117" s="1979">
        <v>1.0813135179229305</v>
      </c>
      <c r="CE117" s="1979">
        <v>1.1115056146468238</v>
      </c>
      <c r="CF117" s="2000">
        <v>1.0163537369065159</v>
      </c>
      <c r="CG117" s="1998">
        <v>1.0693877774347678</v>
      </c>
      <c r="CH117" s="2000">
        <v>1.0191102312605924</v>
      </c>
      <c r="CI117" s="1998">
        <v>1.0729223735426157</v>
      </c>
      <c r="CJ117" s="2000">
        <v>1.021866725614669</v>
      </c>
      <c r="CK117" s="1998">
        <v>1.0764569696504636</v>
      </c>
      <c r="CL117" s="2000">
        <v>1.0246232199687457</v>
      </c>
      <c r="CM117" s="1998">
        <v>1.0799915657583115</v>
      </c>
      <c r="CN117" s="2000">
        <v>1.027379714322822</v>
      </c>
      <c r="CO117" s="1998">
        <v>1.0835261618661591</v>
      </c>
      <c r="CP117" s="1999">
        <v>1.0168805974950728</v>
      </c>
      <c r="CQ117" s="1979">
        <v>1.0724384963193743</v>
      </c>
      <c r="CR117" s="1999">
        <v>1.0197735730847186</v>
      </c>
      <c r="CS117" s="1979">
        <v>1.0761395648992145</v>
      </c>
      <c r="CT117" s="1999">
        <v>1.022666548674364</v>
      </c>
      <c r="CU117" s="1979">
        <v>1.0798406334790545</v>
      </c>
      <c r="CV117" s="1999">
        <v>1.0255595242640094</v>
      </c>
      <c r="CW117" s="1979">
        <v>1.0835417020588944</v>
      </c>
      <c r="CX117" s="1999">
        <v>1.0284524998536548</v>
      </c>
      <c r="CY117" s="1979">
        <v>1.0872427706387344</v>
      </c>
      <c r="CZ117" s="2000">
        <v>1.0702804219167461</v>
      </c>
      <c r="DA117" s="1998">
        <v>1.140604587719686</v>
      </c>
      <c r="DB117" s="2000">
        <v>1.0750137115312952</v>
      </c>
      <c r="DC117" s="1998">
        <v>1.1466036443272909</v>
      </c>
      <c r="DD117" s="2000">
        <v>1.0797470011458443</v>
      </c>
      <c r="DE117" s="1998">
        <v>1.1526027009348956</v>
      </c>
      <c r="DF117" s="2000">
        <v>1.0844802907603937</v>
      </c>
      <c r="DG117" s="1998">
        <v>1.1586017575425003</v>
      </c>
      <c r="DH117" s="2000">
        <v>1.0939468699894921</v>
      </c>
      <c r="DI117" s="1998">
        <v>1.1705998707577099</v>
      </c>
      <c r="DJ117" s="1999">
        <v>1.044754930119707</v>
      </c>
      <c r="DK117" s="1979">
        <v>1.1123710575784191</v>
      </c>
      <c r="DL117" s="1999">
        <v>1.0489292952600802</v>
      </c>
      <c r="DM117" s="1979">
        <v>1.1177335192057174</v>
      </c>
      <c r="DN117" s="1999">
        <v>1.0531036604004531</v>
      </c>
      <c r="DO117" s="1979">
        <v>1.1230959808330152</v>
      </c>
      <c r="DP117" s="1999">
        <v>1.0572780255408265</v>
      </c>
      <c r="DQ117" s="1979">
        <v>1.1284584424603132</v>
      </c>
      <c r="DR117" s="1999">
        <v>1.0656267558215728</v>
      </c>
      <c r="DS117" s="1979">
        <v>1.1391833657149093</v>
      </c>
      <c r="GT117" s="1980"/>
      <c r="GU117" s="1980"/>
      <c r="GV117" s="1980"/>
      <c r="GW117" s="1980"/>
      <c r="GX117" s="1980"/>
      <c r="GY117" s="1980"/>
      <c r="GZ117" s="1980"/>
      <c r="HA117" s="1980"/>
      <c r="HB117" s="1980"/>
      <c r="HC117" s="1980"/>
      <c r="HD117" s="1980"/>
      <c r="HE117" s="1980"/>
      <c r="HF117" s="1980"/>
      <c r="HG117" s="1980"/>
      <c r="HH117" s="1980"/>
      <c r="HI117" s="1980"/>
      <c r="HJ117" s="1980"/>
      <c r="HK117" s="1980"/>
      <c r="HL117" s="1980"/>
      <c r="HM117" s="1980"/>
      <c r="HN117" s="1980"/>
      <c r="HO117" s="1980"/>
      <c r="HP117" s="1980"/>
      <c r="HQ117" s="1980"/>
      <c r="HR117" s="1980"/>
      <c r="HS117" s="1980"/>
      <c r="HT117" s="1980"/>
      <c r="HU117" s="1980"/>
      <c r="HV117" s="1980"/>
      <c r="HW117" s="1980"/>
      <c r="HX117" s="1980"/>
      <c r="HY117" s="1980"/>
      <c r="HZ117" s="1980"/>
      <c r="IA117" s="1980"/>
      <c r="IB117" s="1980"/>
      <c r="IC117" s="1980"/>
      <c r="ID117" s="1980"/>
      <c r="IE117" s="1980"/>
      <c r="IF117" s="1980"/>
      <c r="IG117" s="1980"/>
      <c r="IH117" s="1980"/>
      <c r="II117" s="1980"/>
      <c r="IJ117" s="1980"/>
      <c r="IK117" s="1980"/>
      <c r="IL117" s="1980"/>
      <c r="IM117" s="1980"/>
      <c r="IN117" s="1980"/>
      <c r="IO117" s="1980"/>
      <c r="IP117" s="1980"/>
      <c r="IQ117" s="1980"/>
      <c r="IR117" s="1980"/>
      <c r="IS117" s="1980"/>
      <c r="IT117" s="1980"/>
      <c r="IU117" s="1980"/>
      <c r="IV117" s="1980"/>
      <c r="IW117" s="1980"/>
      <c r="IX117" s="1980"/>
      <c r="IY117" s="1980"/>
      <c r="IZ117" s="1980"/>
      <c r="JA117" s="1980"/>
      <c r="JB117" s="1980"/>
      <c r="JC117" s="1980"/>
      <c r="JD117" s="1980"/>
      <c r="JE117" s="1980"/>
      <c r="JF117" s="1980"/>
      <c r="JG117" s="1980"/>
      <c r="JH117" s="1980"/>
      <c r="JI117" s="1980"/>
      <c r="JJ117" s="1980"/>
      <c r="JK117" s="1980"/>
      <c r="JL117" s="1980"/>
      <c r="JM117" s="1980"/>
      <c r="JN117" s="1980"/>
      <c r="JO117" s="1980"/>
      <c r="JP117" s="1980"/>
      <c r="JQ117" s="1980"/>
      <c r="JR117" s="1980"/>
      <c r="JS117" s="1980"/>
      <c r="JT117" s="1980"/>
      <c r="JU117" s="1980"/>
      <c r="JV117" s="1980"/>
      <c r="JW117" s="1980"/>
      <c r="JX117" s="1980"/>
      <c r="JY117" s="1980"/>
      <c r="JZ117" s="1980"/>
      <c r="KA117" s="1980"/>
      <c r="KB117" s="1980"/>
      <c r="KC117" s="1980"/>
      <c r="KD117" s="1980"/>
      <c r="KE117" s="1980"/>
      <c r="KF117" s="1980"/>
      <c r="KG117" s="1980"/>
      <c r="KH117" s="1980"/>
      <c r="KI117" s="1980"/>
      <c r="KJ117" s="1980"/>
      <c r="KK117" s="1980"/>
    </row>
    <row r="118" spans="1:297">
      <c r="A118" s="1997"/>
      <c r="B118" s="2">
        <v>15</v>
      </c>
      <c r="C118" s="2" t="str">
        <f>CONCATENATE($U$8," ",V$12)</f>
        <v>Proportion de fenêtres 20</v>
      </c>
      <c r="D118" s="1998">
        <v>0</v>
      </c>
      <c r="E118" s="1998">
        <v>0</v>
      </c>
      <c r="F118" s="1998">
        <v>0</v>
      </c>
      <c r="G118" s="1998">
        <v>0</v>
      </c>
      <c r="H118" s="1998">
        <v>0</v>
      </c>
      <c r="I118" s="1998">
        <v>0</v>
      </c>
      <c r="J118" s="1998">
        <v>0</v>
      </c>
      <c r="K118" s="1998">
        <v>0</v>
      </c>
      <c r="L118" s="1998">
        <v>0</v>
      </c>
      <c r="M118" s="1998">
        <v>0</v>
      </c>
      <c r="N118" s="1999">
        <v>0</v>
      </c>
      <c r="O118" s="1979">
        <v>0</v>
      </c>
      <c r="P118" s="1979">
        <v>0</v>
      </c>
      <c r="Q118" s="1979">
        <v>0</v>
      </c>
      <c r="R118" s="1979">
        <v>0</v>
      </c>
      <c r="S118" s="1979">
        <v>0</v>
      </c>
      <c r="T118" s="1979">
        <v>0</v>
      </c>
      <c r="U118" s="1979">
        <v>0</v>
      </c>
      <c r="V118" s="1979">
        <v>0</v>
      </c>
      <c r="W118" s="1979">
        <v>0</v>
      </c>
      <c r="X118" s="2000">
        <v>0</v>
      </c>
      <c r="Y118" s="1998">
        <v>0</v>
      </c>
      <c r="Z118" s="1998">
        <v>0</v>
      </c>
      <c r="AA118" s="1998">
        <v>0</v>
      </c>
      <c r="AB118" s="1998">
        <v>0</v>
      </c>
      <c r="AC118" s="1998">
        <v>0</v>
      </c>
      <c r="AD118" s="1998">
        <v>0</v>
      </c>
      <c r="AE118" s="1998">
        <v>0</v>
      </c>
      <c r="AF118" s="1998">
        <v>0</v>
      </c>
      <c r="AG118" s="1998">
        <v>0</v>
      </c>
      <c r="AH118" s="1999">
        <v>0</v>
      </c>
      <c r="AI118" s="1979">
        <v>0</v>
      </c>
      <c r="AJ118" s="1979">
        <v>0</v>
      </c>
      <c r="AK118" s="1979">
        <v>0</v>
      </c>
      <c r="AL118" s="1979">
        <v>0</v>
      </c>
      <c r="AM118" s="1979">
        <v>0</v>
      </c>
      <c r="AN118" s="1979">
        <v>0</v>
      </c>
      <c r="AO118" s="1979">
        <v>0</v>
      </c>
      <c r="AP118" s="1979">
        <v>0</v>
      </c>
      <c r="AQ118" s="1979">
        <v>0</v>
      </c>
      <c r="AR118" s="2000">
        <v>1.0376259015759162</v>
      </c>
      <c r="AS118" s="1998">
        <v>1.0217152826086091</v>
      </c>
      <c r="AT118" s="1998">
        <v>1.0708004434251537</v>
      </c>
      <c r="AU118" s="1998">
        <v>1.0618560232873233</v>
      </c>
      <c r="AV118" s="1998">
        <v>1.0732849324729978</v>
      </c>
      <c r="AW118" s="1998">
        <v>1.0649522273101129</v>
      </c>
      <c r="AX118" s="1998">
        <v>1.075769421520842</v>
      </c>
      <c r="AY118" s="1998">
        <v>1.0680484313329024</v>
      </c>
      <c r="AZ118" s="1998">
        <v>1.0782539105686861</v>
      </c>
      <c r="BA118" s="1998">
        <v>1.0711446353556915</v>
      </c>
      <c r="BB118" s="1999">
        <v>0</v>
      </c>
      <c r="BC118" s="1979">
        <v>0</v>
      </c>
      <c r="BD118" s="1979">
        <v>0</v>
      </c>
      <c r="BE118" s="1979">
        <v>0</v>
      </c>
      <c r="BF118" s="1979">
        <v>0</v>
      </c>
      <c r="BG118" s="1979">
        <v>0</v>
      </c>
      <c r="BH118" s="1979">
        <v>0</v>
      </c>
      <c r="BI118" s="1979">
        <v>0</v>
      </c>
      <c r="BJ118" s="1979">
        <v>0</v>
      </c>
      <c r="BK118" s="1979">
        <v>0</v>
      </c>
      <c r="BL118" s="2000">
        <v>0.98749822024886025</v>
      </c>
      <c r="BM118" s="1998">
        <v>0.96758720786730823</v>
      </c>
      <c r="BN118" s="2000">
        <v>0.98995813215949258</v>
      </c>
      <c r="BO118" s="1998">
        <v>0.97053833940283474</v>
      </c>
      <c r="BP118" s="2000">
        <v>0.99241804407012457</v>
      </c>
      <c r="BQ118" s="1998">
        <v>0.97348947093836136</v>
      </c>
      <c r="BR118" s="2000">
        <v>0.99487795598075668</v>
      </c>
      <c r="BS118" s="1998">
        <v>0.97644060247388798</v>
      </c>
      <c r="BT118" s="2000">
        <v>0.99733786789138867</v>
      </c>
      <c r="BU118" s="1998">
        <v>0.97939173400941448</v>
      </c>
      <c r="BV118" s="1999">
        <v>0.98659809154794398</v>
      </c>
      <c r="BW118" s="1979">
        <v>0.98759155625772455</v>
      </c>
      <c r="BX118" s="1979">
        <v>0.99944471119607303</v>
      </c>
      <c r="BY118" s="1979">
        <v>1.0055133694800455</v>
      </c>
      <c r="BZ118" s="1979">
        <v>1.0266527085381993</v>
      </c>
      <c r="CA118" s="1979">
        <v>1.0406627653321046</v>
      </c>
      <c r="CB118" s="1979">
        <v>1.0510988133132864</v>
      </c>
      <c r="CC118" s="1979">
        <v>1.0743815867254936</v>
      </c>
      <c r="CD118" s="1979">
        <v>1.0846951481853522</v>
      </c>
      <c r="CE118" s="1979">
        <v>1.1141019300073969</v>
      </c>
      <c r="CF118" s="2000">
        <v>1.0196552518956805</v>
      </c>
      <c r="CG118" s="1998">
        <v>1.0719300628886317</v>
      </c>
      <c r="CH118" s="2000">
        <v>1.0224117462497571</v>
      </c>
      <c r="CI118" s="1998">
        <v>1.0754646589964796</v>
      </c>
      <c r="CJ118" s="2000">
        <v>1.0251682406038338</v>
      </c>
      <c r="CK118" s="1998">
        <v>1.0789992551043273</v>
      </c>
      <c r="CL118" s="2000">
        <v>1.0279247349579104</v>
      </c>
      <c r="CM118" s="1998">
        <v>1.0825338512121752</v>
      </c>
      <c r="CN118" s="2000">
        <v>1.0306812293119867</v>
      </c>
      <c r="CO118" s="1998">
        <v>1.0860684473200228</v>
      </c>
      <c r="CP118" s="1999">
        <v>1.0204870069362948</v>
      </c>
      <c r="CQ118" s="1979">
        <v>1.0752091723415955</v>
      </c>
      <c r="CR118" s="1999">
        <v>1.0233799825259404</v>
      </c>
      <c r="CS118" s="1979">
        <v>1.0789102409214353</v>
      </c>
      <c r="CT118" s="1999">
        <v>1.0262729581155858</v>
      </c>
      <c r="CU118" s="1979">
        <v>1.0826113095012755</v>
      </c>
      <c r="CV118" s="1999">
        <v>1.0291659337052315</v>
      </c>
      <c r="CW118" s="1979">
        <v>1.0863123780811155</v>
      </c>
      <c r="CX118" s="1999">
        <v>1.0320589092948769</v>
      </c>
      <c r="CY118" s="1979">
        <v>1.0900134466609552</v>
      </c>
      <c r="CZ118" s="2000">
        <v>1.0756536707843281</v>
      </c>
      <c r="DA118" s="1998">
        <v>1.1446942287478659</v>
      </c>
      <c r="DB118" s="2000">
        <v>1.0803869603988772</v>
      </c>
      <c r="DC118" s="1998">
        <v>1.1506932853554708</v>
      </c>
      <c r="DD118" s="2000">
        <v>1.085120250013426</v>
      </c>
      <c r="DE118" s="1998">
        <v>1.1566923419630755</v>
      </c>
      <c r="DF118" s="2000">
        <v>1.0898535396279754</v>
      </c>
      <c r="DG118" s="1998">
        <v>1.1626913985706802</v>
      </c>
      <c r="DH118" s="2000">
        <v>1.0993201188570738</v>
      </c>
      <c r="DI118" s="1998">
        <v>1.1746895117858898</v>
      </c>
      <c r="DJ118" s="1999">
        <v>1.0538615822247774</v>
      </c>
      <c r="DK118" s="1979">
        <v>1.1193962926363672</v>
      </c>
      <c r="DL118" s="1999">
        <v>1.0580359473651504</v>
      </c>
      <c r="DM118" s="1979">
        <v>1.1247587542636652</v>
      </c>
      <c r="DN118" s="1999">
        <v>1.0622103125055236</v>
      </c>
      <c r="DO118" s="1979">
        <v>1.1301212158909633</v>
      </c>
      <c r="DP118" s="1999">
        <v>1.0663846776458967</v>
      </c>
      <c r="DQ118" s="1979">
        <v>1.1354836775182613</v>
      </c>
      <c r="DR118" s="1999">
        <v>1.0747334079266431</v>
      </c>
      <c r="DS118" s="1979">
        <v>1.1462086007728576</v>
      </c>
      <c r="GT118" s="1980"/>
      <c r="GU118" s="1980"/>
      <c r="GV118" s="1980"/>
      <c r="GW118" s="1980"/>
      <c r="GX118" s="1980"/>
      <c r="GY118" s="1980"/>
      <c r="GZ118" s="1980"/>
      <c r="HA118" s="1980"/>
      <c r="HB118" s="1980"/>
      <c r="HC118" s="1980"/>
      <c r="HD118" s="1980"/>
      <c r="HE118" s="1980"/>
      <c r="HF118" s="1980"/>
      <c r="HG118" s="1980"/>
      <c r="HH118" s="1980"/>
      <c r="HI118" s="1980"/>
      <c r="HJ118" s="1980"/>
      <c r="HK118" s="1980"/>
      <c r="HL118" s="1980"/>
      <c r="HM118" s="1980"/>
      <c r="HN118" s="1980"/>
      <c r="HO118" s="1980"/>
      <c r="HP118" s="1980"/>
      <c r="HQ118" s="1980"/>
      <c r="HR118" s="1980"/>
      <c r="HS118" s="1980"/>
      <c r="HT118" s="1980"/>
      <c r="HU118" s="1980"/>
      <c r="HV118" s="1980"/>
      <c r="HW118" s="1980"/>
      <c r="HX118" s="1980"/>
      <c r="HY118" s="1980"/>
      <c r="HZ118" s="1980"/>
      <c r="IA118" s="1980"/>
      <c r="IB118" s="1980"/>
      <c r="IC118" s="1980"/>
      <c r="ID118" s="1980"/>
      <c r="IE118" s="1980"/>
      <c r="IF118" s="1980"/>
      <c r="IG118" s="1980"/>
      <c r="IH118" s="1980"/>
      <c r="II118" s="1980"/>
      <c r="IJ118" s="1980"/>
      <c r="IK118" s="1980"/>
      <c r="IL118" s="1980"/>
      <c r="IM118" s="1980"/>
      <c r="IN118" s="1980"/>
      <c r="IO118" s="1980"/>
      <c r="IP118" s="1980"/>
      <c r="IQ118" s="1980"/>
      <c r="IR118" s="1980"/>
      <c r="IS118" s="1980"/>
      <c r="IT118" s="1980"/>
      <c r="IU118" s="1980"/>
      <c r="IV118" s="1980"/>
      <c r="IW118" s="1980"/>
      <c r="IX118" s="1980"/>
      <c r="IY118" s="1980"/>
      <c r="IZ118" s="1980"/>
      <c r="JA118" s="1980"/>
      <c r="JB118" s="1980"/>
      <c r="JC118" s="1980"/>
      <c r="JD118" s="1980"/>
      <c r="JE118" s="1980"/>
      <c r="JF118" s="1980"/>
      <c r="JG118" s="1980"/>
      <c r="JH118" s="1980"/>
      <c r="JI118" s="1980"/>
      <c r="JJ118" s="1980"/>
      <c r="JK118" s="1980"/>
      <c r="JL118" s="1980"/>
      <c r="JM118" s="1980"/>
      <c r="JN118" s="1980"/>
      <c r="JO118" s="1980"/>
      <c r="JP118" s="1980"/>
      <c r="JQ118" s="1980"/>
      <c r="JR118" s="1980"/>
      <c r="JS118" s="1980"/>
      <c r="JT118" s="1980"/>
      <c r="JU118" s="1980"/>
      <c r="JV118" s="1980"/>
      <c r="JW118" s="1980"/>
      <c r="JX118" s="1980"/>
      <c r="JY118" s="1980"/>
      <c r="JZ118" s="1980"/>
      <c r="KA118" s="1980"/>
      <c r="KB118" s="1980"/>
      <c r="KC118" s="1980"/>
      <c r="KD118" s="1980"/>
      <c r="KE118" s="1980"/>
      <c r="KF118" s="1980"/>
      <c r="KG118" s="1980"/>
      <c r="KH118" s="1980"/>
      <c r="KI118" s="1980"/>
      <c r="KJ118" s="1980"/>
      <c r="KK118" s="1980"/>
    </row>
    <row r="119" spans="1:297">
      <c r="A119" s="1997"/>
      <c r="B119" s="2">
        <v>16</v>
      </c>
      <c r="C119" s="2" t="str">
        <f>CONCATENATE($U$8," ",V$13)</f>
        <v>Proportion de fenêtres 30</v>
      </c>
      <c r="D119" s="1998">
        <v>0.97039244413286851</v>
      </c>
      <c r="E119" s="1998">
        <v>0.919909611061413</v>
      </c>
      <c r="F119" s="1998">
        <v>0.98404099845038662</v>
      </c>
      <c r="G119" s="1998">
        <v>0.9379188610924406</v>
      </c>
      <c r="H119" s="1998">
        <v>1.0156943427643419</v>
      </c>
      <c r="I119" s="1998">
        <v>0.97680163055936997</v>
      </c>
      <c r="J119" s="1998">
        <v>1.0447745932499173</v>
      </c>
      <c r="K119" s="1998">
        <v>1.0149455257887239</v>
      </c>
      <c r="L119" s="1998">
        <v>1.0804985709484793</v>
      </c>
      <c r="M119" s="1998">
        <v>1.0572900644265566</v>
      </c>
      <c r="N119" s="1999">
        <v>1.0091773746710115</v>
      </c>
      <c r="O119" s="1979">
        <v>0.96859920853764525</v>
      </c>
      <c r="P119" s="1979">
        <v>1.0229601272514091</v>
      </c>
      <c r="Q119" s="1979">
        <v>0.98687462233166356</v>
      </c>
      <c r="R119" s="1979">
        <v>1.046991831873813</v>
      </c>
      <c r="S119" s="1979">
        <v>1.01647223427567</v>
      </c>
      <c r="T119" s="1979">
        <v>1.0676082641047597</v>
      </c>
      <c r="U119" s="1979">
        <v>1.043496223976351</v>
      </c>
      <c r="V119" s="1979">
        <v>1.1035280349891556</v>
      </c>
      <c r="W119" s="1979">
        <v>1.0801068266959006</v>
      </c>
      <c r="X119" s="2000">
        <v>0.97387765270673954</v>
      </c>
      <c r="Y119" s="1998">
        <v>0.95280755181636967</v>
      </c>
      <c r="Z119" s="1998">
        <v>1.0055380785408317</v>
      </c>
      <c r="AA119" s="1998">
        <v>0.9919060861900264</v>
      </c>
      <c r="AB119" s="1998">
        <v>1.0074084289188889</v>
      </c>
      <c r="AC119" s="1998">
        <v>0.99422813293285384</v>
      </c>
      <c r="AD119" s="1998">
        <v>1.0092787792969464</v>
      </c>
      <c r="AE119" s="1998">
        <v>0.99655017967568116</v>
      </c>
      <c r="AF119" s="1998">
        <v>1.0111491296750039</v>
      </c>
      <c r="AG119" s="1998">
        <v>0.99887222641850892</v>
      </c>
      <c r="AH119" s="1999">
        <v>0.96994628183457887</v>
      </c>
      <c r="AI119" s="1979">
        <v>0.95404645984393299</v>
      </c>
      <c r="AJ119" s="1979">
        <v>0.9969191036304359</v>
      </c>
      <c r="AK119" s="1979">
        <v>0.98437254580579259</v>
      </c>
      <c r="AL119" s="1979">
        <v>1.0002947789552226</v>
      </c>
      <c r="AM119" s="1979">
        <v>0.9886114011327144</v>
      </c>
      <c r="AN119" s="1979">
        <v>1.003670454280009</v>
      </c>
      <c r="AO119" s="1979">
        <v>0.99285025645963609</v>
      </c>
      <c r="AP119" s="1979">
        <v>1.0070461296047957</v>
      </c>
      <c r="AQ119" s="1979">
        <v>0.9970891117865579</v>
      </c>
      <c r="AR119" s="2000">
        <v>1.0455956593918836</v>
      </c>
      <c r="AS119" s="1998">
        <v>1.0276743893449107</v>
      </c>
      <c r="AT119" s="1998">
        <v>1.0787702012411211</v>
      </c>
      <c r="AU119" s="1998">
        <v>1.0678151300236254</v>
      </c>
      <c r="AV119" s="1998">
        <v>1.0812546902889655</v>
      </c>
      <c r="AW119" s="1998">
        <v>1.0709113340464147</v>
      </c>
      <c r="AX119" s="1998">
        <v>1.0837391793368094</v>
      </c>
      <c r="AY119" s="1998">
        <v>1.074007538069204</v>
      </c>
      <c r="AZ119" s="1998">
        <v>1.0862236683846536</v>
      </c>
      <c r="BA119" s="1998">
        <v>1.0771037420919936</v>
      </c>
      <c r="BB119" s="1999">
        <v>1.3463723200828674</v>
      </c>
      <c r="BC119" s="1979">
        <v>1.3426027902829707</v>
      </c>
      <c r="BD119" s="1979">
        <v>1.4044859522628377</v>
      </c>
      <c r="BE119" s="1979">
        <v>1.3945651719845285</v>
      </c>
      <c r="BF119" s="1979">
        <v>1.4176473134913488</v>
      </c>
      <c r="BG119" s="1979">
        <v>1.4104032591907756</v>
      </c>
      <c r="BH119" s="1979">
        <v>1.4308086747198601</v>
      </c>
      <c r="BI119" s="1979">
        <v>1.4262413463970223</v>
      </c>
      <c r="BJ119" s="1979">
        <v>1.4439700359483711</v>
      </c>
      <c r="BK119" s="1979">
        <v>1.442079433603269</v>
      </c>
      <c r="BL119" s="2000">
        <v>0.99411234415448213</v>
      </c>
      <c r="BM119" s="1998">
        <v>0.9723522823095061</v>
      </c>
      <c r="BN119" s="2000">
        <v>0.99657225606511424</v>
      </c>
      <c r="BO119" s="1998">
        <v>0.97530341384503261</v>
      </c>
      <c r="BP119" s="2000">
        <v>0.99903216797574623</v>
      </c>
      <c r="BQ119" s="1998">
        <v>0.97825454538055912</v>
      </c>
      <c r="BR119" s="2000">
        <v>1.0014920798863787</v>
      </c>
      <c r="BS119" s="1998">
        <v>0.98120567691608562</v>
      </c>
      <c r="BT119" s="2000">
        <v>1.0039519917970108</v>
      </c>
      <c r="BU119" s="1998">
        <v>0.98415680845161213</v>
      </c>
      <c r="BV119" s="1999">
        <v>0.99011703263554307</v>
      </c>
      <c r="BW119" s="1979">
        <v>0.99028781125414778</v>
      </c>
      <c r="BX119" s="1979">
        <v>1.0029402222619157</v>
      </c>
      <c r="BY119" s="1979">
        <v>1.0081925712846371</v>
      </c>
      <c r="BZ119" s="1979">
        <v>1.0301207029505839</v>
      </c>
      <c r="CA119" s="1979">
        <v>1.0433219395509405</v>
      </c>
      <c r="CB119" s="1979">
        <v>1.0545390186300991</v>
      </c>
      <c r="CC119" s="1979">
        <v>1.0770205350656454</v>
      </c>
      <c r="CD119" s="1979">
        <v>1.0880767784477741</v>
      </c>
      <c r="CE119" s="1979">
        <v>1.1166982453679701</v>
      </c>
      <c r="CF119" s="2000">
        <v>1.0229567668848454</v>
      </c>
      <c r="CG119" s="1998">
        <v>1.0744723483424954</v>
      </c>
      <c r="CH119" s="2000">
        <v>1.0257132612389219</v>
      </c>
      <c r="CI119" s="1998">
        <v>1.0780069444503433</v>
      </c>
      <c r="CJ119" s="2000">
        <v>1.0284697555929987</v>
      </c>
      <c r="CK119" s="1998">
        <v>1.081541540558191</v>
      </c>
      <c r="CL119" s="2000">
        <v>1.0312262499470752</v>
      </c>
      <c r="CM119" s="1998">
        <v>1.0850761366660389</v>
      </c>
      <c r="CN119" s="2000">
        <v>1.0339827443011518</v>
      </c>
      <c r="CO119" s="1998">
        <v>1.0886107327738865</v>
      </c>
      <c r="CP119" s="1999">
        <v>1.0240934163775171</v>
      </c>
      <c r="CQ119" s="1979">
        <v>1.0779798483638166</v>
      </c>
      <c r="CR119" s="1999">
        <v>1.0269863919671625</v>
      </c>
      <c r="CS119" s="1979">
        <v>1.0816809169436565</v>
      </c>
      <c r="CT119" s="1999">
        <v>1.0298793675568079</v>
      </c>
      <c r="CU119" s="1979">
        <v>1.0853819855234967</v>
      </c>
      <c r="CV119" s="1999">
        <v>1.0327723431464535</v>
      </c>
      <c r="CW119" s="1979">
        <v>1.0890830541033365</v>
      </c>
      <c r="CX119" s="1999">
        <v>1.0356653187360989</v>
      </c>
      <c r="CY119" s="1979">
        <v>1.0927841226831767</v>
      </c>
      <c r="CZ119" s="2000">
        <v>1.0810269196519098</v>
      </c>
      <c r="DA119" s="1998">
        <v>1.1487838697760455</v>
      </c>
      <c r="DB119" s="2000">
        <v>1.0857602092664589</v>
      </c>
      <c r="DC119" s="1998">
        <v>1.1547829263836504</v>
      </c>
      <c r="DD119" s="2000">
        <v>1.0904934988810082</v>
      </c>
      <c r="DE119" s="1998">
        <v>1.1607819829912553</v>
      </c>
      <c r="DF119" s="2000">
        <v>1.0952267884955573</v>
      </c>
      <c r="DG119" s="1998">
        <v>1.16678103959886</v>
      </c>
      <c r="DH119" s="2000">
        <v>1.104693367724656</v>
      </c>
      <c r="DI119" s="1998">
        <v>1.1787791528140696</v>
      </c>
      <c r="DJ119" s="1999">
        <v>1.0629682343298474</v>
      </c>
      <c r="DK119" s="1979">
        <v>1.1264215276943155</v>
      </c>
      <c r="DL119" s="1999">
        <v>1.0671425994702204</v>
      </c>
      <c r="DM119" s="1979">
        <v>1.1317839893216133</v>
      </c>
      <c r="DN119" s="1999">
        <v>1.0713169646105938</v>
      </c>
      <c r="DO119" s="1979">
        <v>1.1371464509489113</v>
      </c>
      <c r="DP119" s="1999">
        <v>1.075491329750967</v>
      </c>
      <c r="DQ119" s="1979">
        <v>1.1425089125762096</v>
      </c>
      <c r="DR119" s="1999">
        <v>1.0838400600317133</v>
      </c>
      <c r="DS119" s="1979">
        <v>1.1532338358308056</v>
      </c>
      <c r="GT119" s="1980"/>
      <c r="GU119" s="1980"/>
      <c r="GV119" s="1980"/>
      <c r="GW119" s="1980"/>
      <c r="GX119" s="1980"/>
      <c r="GY119" s="1980"/>
      <c r="GZ119" s="1980"/>
      <c r="HA119" s="1980"/>
      <c r="HB119" s="1980"/>
      <c r="HC119" s="1980"/>
      <c r="HD119" s="1980"/>
      <c r="HE119" s="1980"/>
      <c r="HF119" s="1980"/>
      <c r="HG119" s="1980"/>
      <c r="HH119" s="1980"/>
      <c r="HI119" s="1980"/>
      <c r="HJ119" s="1980"/>
      <c r="HK119" s="1980"/>
      <c r="HL119" s="1980"/>
      <c r="HM119" s="1980"/>
      <c r="HN119" s="1980"/>
      <c r="HO119" s="1980"/>
      <c r="HP119" s="1980"/>
      <c r="HQ119" s="1980"/>
      <c r="HR119" s="1980"/>
      <c r="HS119" s="1980"/>
      <c r="HT119" s="1980"/>
      <c r="HU119" s="1980"/>
      <c r="HV119" s="1980"/>
      <c r="HW119" s="1980"/>
      <c r="HX119" s="1980"/>
      <c r="HY119" s="1980"/>
      <c r="HZ119" s="1980"/>
      <c r="IA119" s="1980"/>
      <c r="IB119" s="1980"/>
      <c r="IC119" s="1980"/>
      <c r="ID119" s="1980"/>
      <c r="IE119" s="1980"/>
      <c r="IF119" s="1980"/>
      <c r="IG119" s="1980"/>
      <c r="IH119" s="1980"/>
      <c r="II119" s="1980"/>
      <c r="IJ119" s="1980"/>
      <c r="IK119" s="1980"/>
      <c r="IL119" s="1980"/>
      <c r="IM119" s="1980"/>
      <c r="IN119" s="1980"/>
      <c r="IO119" s="1980"/>
      <c r="IP119" s="1980"/>
      <c r="IQ119" s="1980"/>
      <c r="IR119" s="1980"/>
      <c r="IS119" s="1980"/>
      <c r="IT119" s="1980"/>
      <c r="IU119" s="1980"/>
      <c r="IV119" s="1980"/>
      <c r="IW119" s="1980"/>
      <c r="IX119" s="1980"/>
      <c r="IY119" s="1980"/>
      <c r="IZ119" s="1980"/>
      <c r="JA119" s="1980"/>
      <c r="JB119" s="1980"/>
      <c r="JC119" s="1980"/>
      <c r="JD119" s="1980"/>
      <c r="JE119" s="1980"/>
      <c r="JF119" s="1980"/>
      <c r="JG119" s="1980"/>
      <c r="JH119" s="1980"/>
      <c r="JI119" s="1980"/>
      <c r="JJ119" s="1980"/>
      <c r="JK119" s="1980"/>
      <c r="JL119" s="1980"/>
      <c r="JM119" s="1980"/>
      <c r="JN119" s="1980"/>
      <c r="JO119" s="1980"/>
      <c r="JP119" s="1980"/>
      <c r="JQ119" s="1980"/>
      <c r="JR119" s="1980"/>
      <c r="JS119" s="1980"/>
      <c r="JT119" s="1980"/>
      <c r="JU119" s="1980"/>
      <c r="JV119" s="1980"/>
      <c r="JW119" s="1980"/>
      <c r="JX119" s="1980"/>
      <c r="JY119" s="1980"/>
      <c r="JZ119" s="1980"/>
      <c r="KA119" s="1980"/>
      <c r="KB119" s="1980"/>
      <c r="KC119" s="1980"/>
      <c r="KD119" s="1980"/>
      <c r="KE119" s="1980"/>
      <c r="KF119" s="1980"/>
      <c r="KG119" s="1980"/>
      <c r="KH119" s="1980"/>
      <c r="KI119" s="1980"/>
      <c r="KJ119" s="1980"/>
      <c r="KK119" s="1980"/>
    </row>
    <row r="120" spans="1:297">
      <c r="A120" s="1997"/>
      <c r="B120" s="2">
        <v>17</v>
      </c>
      <c r="C120" s="2" t="str">
        <f>CONCATENATE($U$8," ",V$14)</f>
        <v>Proportion de fenêtres 40</v>
      </c>
      <c r="D120" s="1998">
        <v>0.98118657235506634</v>
      </c>
      <c r="E120" s="1998">
        <v>0.92781771186891515</v>
      </c>
      <c r="F120" s="1998">
        <v>0.99476325656939379</v>
      </c>
      <c r="G120" s="1998">
        <v>0.94577694498378584</v>
      </c>
      <c r="H120" s="1998">
        <v>1.0263321952970434</v>
      </c>
      <c r="I120" s="1998">
        <v>0.98460097365383314</v>
      </c>
      <c r="J120" s="1998">
        <v>1.0553272044974391</v>
      </c>
      <c r="K120" s="1998">
        <v>1.0226855464942568</v>
      </c>
      <c r="L120" s="1998">
        <v>1.0908715069380246</v>
      </c>
      <c r="M120" s="1998">
        <v>1.0649050428416973</v>
      </c>
      <c r="N120" s="1999">
        <v>1.0163302983500642</v>
      </c>
      <c r="O120" s="1979">
        <v>0.97383278479369939</v>
      </c>
      <c r="P120" s="1979">
        <v>1.0300654249108012</v>
      </c>
      <c r="Q120" s="1979">
        <v>0.992075097423333</v>
      </c>
      <c r="R120" s="1979">
        <v>1.0540411966496503</v>
      </c>
      <c r="S120" s="1979">
        <v>1.0216338347440506</v>
      </c>
      <c r="T120" s="1979">
        <v>1.0746011422061157</v>
      </c>
      <c r="U120" s="1979">
        <v>1.0486185649241819</v>
      </c>
      <c r="V120" s="1979">
        <v>1.1104018480413602</v>
      </c>
      <c r="W120" s="1979">
        <v>1.0851464147327703</v>
      </c>
      <c r="X120" s="2000">
        <v>0.98356324779674453</v>
      </c>
      <c r="Y120" s="1998">
        <v>0.96002224474488751</v>
      </c>
      <c r="Z120" s="1998">
        <v>1.0152236736308367</v>
      </c>
      <c r="AA120" s="1998">
        <v>0.99912077911854458</v>
      </c>
      <c r="AB120" s="1998">
        <v>1.0170940240088939</v>
      </c>
      <c r="AC120" s="1998">
        <v>1.0014428258613721</v>
      </c>
      <c r="AD120" s="1998">
        <v>1.0189643743869514</v>
      </c>
      <c r="AE120" s="1998">
        <v>1.0037648726041992</v>
      </c>
      <c r="AF120" s="1998">
        <v>1.0208347247650089</v>
      </c>
      <c r="AG120" s="1998">
        <v>1.0060869193470268</v>
      </c>
      <c r="AH120" s="1999">
        <v>0.98071883066448273</v>
      </c>
      <c r="AI120" s="1979">
        <v>0.96216260774330598</v>
      </c>
      <c r="AJ120" s="1979">
        <v>1.0076916524603396</v>
      </c>
      <c r="AK120" s="1979">
        <v>0.99248869370516546</v>
      </c>
      <c r="AL120" s="1979">
        <v>1.0110673277851263</v>
      </c>
      <c r="AM120" s="1979">
        <v>0.99672754903208727</v>
      </c>
      <c r="AN120" s="1979">
        <v>1.014443003109913</v>
      </c>
      <c r="AO120" s="1979">
        <v>1.0009664043590092</v>
      </c>
      <c r="AP120" s="1979">
        <v>1.0178186784346999</v>
      </c>
      <c r="AQ120" s="1979">
        <v>1.0052052596859309</v>
      </c>
      <c r="AR120" s="2000">
        <v>1.053565417207851</v>
      </c>
      <c r="AS120" s="1998">
        <v>1.0336334960812124</v>
      </c>
      <c r="AT120" s="1998">
        <v>1.0867399590570885</v>
      </c>
      <c r="AU120" s="1998">
        <v>1.073774236759927</v>
      </c>
      <c r="AV120" s="1998">
        <v>1.0892244481049327</v>
      </c>
      <c r="AW120" s="1998">
        <v>1.0768704407827163</v>
      </c>
      <c r="AX120" s="1998">
        <v>1.0917089371527768</v>
      </c>
      <c r="AY120" s="1998">
        <v>1.0799666448055056</v>
      </c>
      <c r="AZ120" s="1998">
        <v>1.094193426200621</v>
      </c>
      <c r="BA120" s="1998">
        <v>1.0830628488282954</v>
      </c>
      <c r="BB120" s="1999">
        <v>1.3553929682261991</v>
      </c>
      <c r="BC120" s="1979">
        <v>1.3491158224063997</v>
      </c>
      <c r="BD120" s="1979">
        <v>1.4135066004061694</v>
      </c>
      <c r="BE120" s="1979">
        <v>1.4010782041079575</v>
      </c>
      <c r="BF120" s="1979">
        <v>1.4266679616346807</v>
      </c>
      <c r="BG120" s="1979">
        <v>1.4169162913142046</v>
      </c>
      <c r="BH120" s="1979">
        <v>1.4398293228631918</v>
      </c>
      <c r="BI120" s="1979">
        <v>1.4327543785204517</v>
      </c>
      <c r="BJ120" s="1979">
        <v>1.4529906840917031</v>
      </c>
      <c r="BK120" s="1979">
        <v>1.4485924657266982</v>
      </c>
      <c r="BL120" s="2000">
        <v>1.0007264680601038</v>
      </c>
      <c r="BM120" s="1998">
        <v>0.97711735675170386</v>
      </c>
      <c r="BN120" s="2000">
        <v>1.0031863799707361</v>
      </c>
      <c r="BO120" s="1998">
        <v>0.98006848828723037</v>
      </c>
      <c r="BP120" s="2000">
        <v>1.0056462918813682</v>
      </c>
      <c r="BQ120" s="1998">
        <v>0.98301961982275687</v>
      </c>
      <c r="BR120" s="2000">
        <v>1.0081062037920003</v>
      </c>
      <c r="BS120" s="1998">
        <v>0.98597075135828338</v>
      </c>
      <c r="BT120" s="2000">
        <v>1.0105661157026324</v>
      </c>
      <c r="BU120" s="1998">
        <v>0.98892188289380989</v>
      </c>
      <c r="BV120" s="1999">
        <v>0.99363597372314205</v>
      </c>
      <c r="BW120" s="1979">
        <v>0.99298406625057101</v>
      </c>
      <c r="BX120" s="1979">
        <v>1.0064357333277585</v>
      </c>
      <c r="BY120" s="1979">
        <v>1.0108717730892287</v>
      </c>
      <c r="BZ120" s="1979">
        <v>1.0335886973629684</v>
      </c>
      <c r="CA120" s="1979">
        <v>1.0459811137697763</v>
      </c>
      <c r="CB120" s="1979">
        <v>1.0579792239469121</v>
      </c>
      <c r="CC120" s="1979">
        <v>1.0796594834057975</v>
      </c>
      <c r="CD120" s="1979">
        <v>1.0914584087101959</v>
      </c>
      <c r="CE120" s="1979">
        <v>1.1192945607285432</v>
      </c>
      <c r="CF120" s="2000">
        <v>1.02625828187401</v>
      </c>
      <c r="CG120" s="1998">
        <v>1.0770146337963591</v>
      </c>
      <c r="CH120" s="2000">
        <v>1.0290147762280868</v>
      </c>
      <c r="CI120" s="1998">
        <v>1.080549229904207</v>
      </c>
      <c r="CJ120" s="2000">
        <v>1.0317712705821633</v>
      </c>
      <c r="CK120" s="1998">
        <v>1.0840838260120549</v>
      </c>
      <c r="CL120" s="2000">
        <v>1.0345277649362399</v>
      </c>
      <c r="CM120" s="1998">
        <v>1.0876184221199026</v>
      </c>
      <c r="CN120" s="2000">
        <v>1.0372842592903164</v>
      </c>
      <c r="CO120" s="1998">
        <v>1.0911530182277505</v>
      </c>
      <c r="CP120" s="1999">
        <v>1.0276998258187389</v>
      </c>
      <c r="CQ120" s="1979">
        <v>1.0807505243860376</v>
      </c>
      <c r="CR120" s="1999">
        <v>1.0305928014083845</v>
      </c>
      <c r="CS120" s="1979">
        <v>1.0844515929658778</v>
      </c>
      <c r="CT120" s="1999">
        <v>1.0334857769980299</v>
      </c>
      <c r="CU120" s="1979">
        <v>1.0881526615457175</v>
      </c>
      <c r="CV120" s="1999">
        <v>1.0363787525876753</v>
      </c>
      <c r="CW120" s="1979">
        <v>1.0918537301255578</v>
      </c>
      <c r="CX120" s="1999">
        <v>1.0392717281773212</v>
      </c>
      <c r="CY120" s="1979">
        <v>1.0955547987053977</v>
      </c>
      <c r="CZ120" s="2000">
        <v>1.0864001685194917</v>
      </c>
      <c r="DA120" s="1998">
        <v>1.1528735108042254</v>
      </c>
      <c r="DB120" s="2000">
        <v>1.0911334581340408</v>
      </c>
      <c r="DC120" s="1998">
        <v>1.1588725674118303</v>
      </c>
      <c r="DD120" s="2000">
        <v>1.0958667477485902</v>
      </c>
      <c r="DE120" s="1998">
        <v>1.1648716240194348</v>
      </c>
      <c r="DF120" s="2000">
        <v>1.1006000373631393</v>
      </c>
      <c r="DG120" s="1998">
        <v>1.1708706806270395</v>
      </c>
      <c r="DH120" s="2000">
        <v>1.1100666165922377</v>
      </c>
      <c r="DI120" s="1998">
        <v>1.1828687938422495</v>
      </c>
      <c r="DJ120" s="1999">
        <v>1.0720748864349177</v>
      </c>
      <c r="DK120" s="1979">
        <v>1.1334467627522633</v>
      </c>
      <c r="DL120" s="1999">
        <v>1.0762492515752908</v>
      </c>
      <c r="DM120" s="1979">
        <v>1.1388092243795613</v>
      </c>
      <c r="DN120" s="1999">
        <v>1.0804236167156638</v>
      </c>
      <c r="DO120" s="1979">
        <v>1.1441716860068594</v>
      </c>
      <c r="DP120" s="1999">
        <v>1.0845979818560372</v>
      </c>
      <c r="DQ120" s="1979">
        <v>1.1495341476341576</v>
      </c>
      <c r="DR120" s="1999">
        <v>1.0929467121367835</v>
      </c>
      <c r="DS120" s="1979">
        <v>1.1602590708887537</v>
      </c>
      <c r="GT120" s="1980"/>
      <c r="GU120" s="1980"/>
      <c r="GV120" s="1980"/>
      <c r="GW120" s="1980"/>
      <c r="GX120" s="1980"/>
      <c r="GY120" s="1980"/>
      <c r="GZ120" s="1980"/>
      <c r="HA120" s="1980"/>
      <c r="HB120" s="1980"/>
      <c r="HC120" s="1980"/>
      <c r="HD120" s="1980"/>
      <c r="HE120" s="1980"/>
      <c r="HF120" s="1980"/>
      <c r="HG120" s="1980"/>
      <c r="HH120" s="1980"/>
      <c r="HI120" s="1980"/>
      <c r="HJ120" s="1980"/>
      <c r="HK120" s="1980"/>
      <c r="HL120" s="1980"/>
      <c r="HM120" s="1980"/>
      <c r="HN120" s="1980"/>
      <c r="HO120" s="1980"/>
      <c r="HP120" s="1980"/>
      <c r="HQ120" s="1980"/>
      <c r="HR120" s="1980"/>
      <c r="HS120" s="1980"/>
      <c r="HT120" s="1980"/>
      <c r="HU120" s="1980"/>
      <c r="HV120" s="1980"/>
      <c r="HW120" s="1980"/>
      <c r="HX120" s="1980"/>
      <c r="HY120" s="1980"/>
      <c r="HZ120" s="1980"/>
      <c r="IA120" s="1980"/>
      <c r="IB120" s="1980"/>
      <c r="IC120" s="1980"/>
      <c r="ID120" s="1980"/>
      <c r="IE120" s="1980"/>
      <c r="IF120" s="1980"/>
      <c r="IG120" s="1980"/>
      <c r="IH120" s="1980"/>
      <c r="II120" s="1980"/>
      <c r="IJ120" s="1980"/>
      <c r="IK120" s="1980"/>
      <c r="IL120" s="1980"/>
      <c r="IM120" s="1980"/>
      <c r="IN120" s="1980"/>
      <c r="IO120" s="1980"/>
      <c r="IP120" s="1980"/>
      <c r="IQ120" s="1980"/>
      <c r="IR120" s="1980"/>
      <c r="IS120" s="1980"/>
      <c r="IT120" s="1980"/>
      <c r="IU120" s="1980"/>
      <c r="IV120" s="1980"/>
      <c r="IW120" s="1980"/>
      <c r="IX120" s="1980"/>
      <c r="IY120" s="1980"/>
      <c r="IZ120" s="1980"/>
      <c r="JA120" s="1980"/>
      <c r="JB120" s="1980"/>
      <c r="JC120" s="1980"/>
      <c r="JD120" s="1980"/>
      <c r="JE120" s="1980"/>
      <c r="JF120" s="1980"/>
      <c r="JG120" s="1980"/>
      <c r="JH120" s="1980"/>
      <c r="JI120" s="1980"/>
      <c r="JJ120" s="1980"/>
      <c r="JK120" s="1980"/>
      <c r="JL120" s="1980"/>
      <c r="JM120" s="1980"/>
      <c r="JN120" s="1980"/>
      <c r="JO120" s="1980"/>
      <c r="JP120" s="1980"/>
      <c r="JQ120" s="1980"/>
      <c r="JR120" s="1980"/>
      <c r="JS120" s="1980"/>
      <c r="JT120" s="1980"/>
      <c r="JU120" s="1980"/>
      <c r="JV120" s="1980"/>
      <c r="JW120" s="1980"/>
      <c r="JX120" s="1980"/>
      <c r="JY120" s="1980"/>
      <c r="JZ120" s="1980"/>
      <c r="KA120" s="1980"/>
      <c r="KB120" s="1980"/>
      <c r="KC120" s="1980"/>
      <c r="KD120" s="1980"/>
      <c r="KE120" s="1980"/>
      <c r="KF120" s="1980"/>
      <c r="KG120" s="1980"/>
      <c r="KH120" s="1980"/>
      <c r="KI120" s="1980"/>
      <c r="KJ120" s="1980"/>
      <c r="KK120" s="1980"/>
    </row>
    <row r="121" spans="1:297">
      <c r="A121" s="1997"/>
      <c r="B121" s="2">
        <v>18</v>
      </c>
      <c r="C121" s="2" t="str">
        <f>CONCATENATE($U$8," ",V$15)</f>
        <v>Proportion de fenêtres 50</v>
      </c>
      <c r="D121" s="1998">
        <v>0.9919807005772644</v>
      </c>
      <c r="E121" s="1998">
        <v>0.9357258126764173</v>
      </c>
      <c r="F121" s="1998">
        <v>1.0054855146884007</v>
      </c>
      <c r="G121" s="1998">
        <v>0.95363502887513119</v>
      </c>
      <c r="H121" s="1998">
        <v>1.0369700478297452</v>
      </c>
      <c r="I121" s="1998">
        <v>0.99240031674829665</v>
      </c>
      <c r="J121" s="1998">
        <v>1.0658798157449612</v>
      </c>
      <c r="K121" s="1998">
        <v>1.0304255671997899</v>
      </c>
      <c r="L121" s="1998">
        <v>1.1012444429275696</v>
      </c>
      <c r="M121" s="1998">
        <v>1.0725200212568384</v>
      </c>
      <c r="N121" s="1999">
        <v>1.023483222029117</v>
      </c>
      <c r="O121" s="1979">
        <v>0.97906636104975331</v>
      </c>
      <c r="P121" s="1979">
        <v>1.0371707225701934</v>
      </c>
      <c r="Q121" s="1979">
        <v>0.99727557251500221</v>
      </c>
      <c r="R121" s="1979">
        <v>1.0610905614254877</v>
      </c>
      <c r="S121" s="1979">
        <v>1.0267954352124309</v>
      </c>
      <c r="T121" s="1979">
        <v>1.0815940203074721</v>
      </c>
      <c r="U121" s="1979">
        <v>1.0537409058720131</v>
      </c>
      <c r="V121" s="1979">
        <v>1.117275661093565</v>
      </c>
      <c r="W121" s="1979">
        <v>1.09018600276964</v>
      </c>
      <c r="X121" s="2000">
        <v>0.99324884288674964</v>
      </c>
      <c r="Y121" s="1998">
        <v>0.96723693767340524</v>
      </c>
      <c r="Z121" s="1998">
        <v>1.0249092687208416</v>
      </c>
      <c r="AA121" s="1998">
        <v>1.0063354720470625</v>
      </c>
      <c r="AB121" s="1998">
        <v>1.0267796190988989</v>
      </c>
      <c r="AC121" s="1998">
        <v>1.0086575187898899</v>
      </c>
      <c r="AD121" s="1998">
        <v>1.0286499694769564</v>
      </c>
      <c r="AE121" s="1998">
        <v>1.0109795655327172</v>
      </c>
      <c r="AF121" s="1998">
        <v>1.0305203198550139</v>
      </c>
      <c r="AG121" s="1998">
        <v>1.0133016122755445</v>
      </c>
      <c r="AH121" s="1999">
        <v>0.99149137949438648</v>
      </c>
      <c r="AI121" s="1979">
        <v>0.97027875564267885</v>
      </c>
      <c r="AJ121" s="1979">
        <v>1.0184642012902436</v>
      </c>
      <c r="AK121" s="1979">
        <v>1.0006048416045383</v>
      </c>
      <c r="AL121" s="1979">
        <v>1.0218398766150303</v>
      </c>
      <c r="AM121" s="1979">
        <v>1.0048436969314603</v>
      </c>
      <c r="AN121" s="1979">
        <v>1.0252155519398169</v>
      </c>
      <c r="AO121" s="1979">
        <v>1.0090825522583819</v>
      </c>
      <c r="AP121" s="1979">
        <v>1.0285912272646036</v>
      </c>
      <c r="AQ121" s="1979">
        <v>1.0133214075853036</v>
      </c>
      <c r="AR121" s="2000">
        <v>1.0615351750238182</v>
      </c>
      <c r="AS121" s="1998">
        <v>1.039592602817514</v>
      </c>
      <c r="AT121" s="1998">
        <v>1.094709716873056</v>
      </c>
      <c r="AU121" s="1998">
        <v>1.0797333434962286</v>
      </c>
      <c r="AV121" s="1998">
        <v>1.0971942059209003</v>
      </c>
      <c r="AW121" s="1998">
        <v>1.0828295475190179</v>
      </c>
      <c r="AX121" s="1998">
        <v>1.0996786949687443</v>
      </c>
      <c r="AY121" s="1998">
        <v>1.0859257515418075</v>
      </c>
      <c r="AZ121" s="1998">
        <v>1.1021631840165884</v>
      </c>
      <c r="BA121" s="1998">
        <v>1.089021955564597</v>
      </c>
      <c r="BB121" s="1999">
        <v>1.3644136163695308</v>
      </c>
      <c r="BC121" s="1979">
        <v>1.3556288545298287</v>
      </c>
      <c r="BD121" s="1979">
        <v>1.4225272485495013</v>
      </c>
      <c r="BE121" s="1979">
        <v>1.4075912362313869</v>
      </c>
      <c r="BF121" s="1979">
        <v>1.4356886097780126</v>
      </c>
      <c r="BG121" s="1979">
        <v>1.4234293234376336</v>
      </c>
      <c r="BH121" s="1979">
        <v>1.4488499710065235</v>
      </c>
      <c r="BI121" s="1979">
        <v>1.4392674106438808</v>
      </c>
      <c r="BJ121" s="1979">
        <v>1.4620113322350348</v>
      </c>
      <c r="BK121" s="1979">
        <v>1.4551054978501279</v>
      </c>
      <c r="BL121" s="2000">
        <v>1.0073405919657259</v>
      </c>
      <c r="BM121" s="1998">
        <v>0.98188243119390162</v>
      </c>
      <c r="BN121" s="2000">
        <v>1.0098005038763578</v>
      </c>
      <c r="BO121" s="1998">
        <v>0.98483356272942812</v>
      </c>
      <c r="BP121" s="2000">
        <v>1.0122604157869899</v>
      </c>
      <c r="BQ121" s="1998">
        <v>0.98778469426495463</v>
      </c>
      <c r="BR121" s="2000">
        <v>1.0147203276976222</v>
      </c>
      <c r="BS121" s="1998">
        <v>0.99073582580048114</v>
      </c>
      <c r="BT121" s="2000">
        <v>1.0171802396082543</v>
      </c>
      <c r="BU121" s="1998">
        <v>0.99368695733600765</v>
      </c>
      <c r="BV121" s="1999">
        <v>0.99715491481074137</v>
      </c>
      <c r="BW121" s="1979">
        <v>0.99568032124699402</v>
      </c>
      <c r="BX121" s="1979">
        <v>1.009931244393601</v>
      </c>
      <c r="BY121" s="1979">
        <v>1.0135509748938203</v>
      </c>
      <c r="BZ121" s="1979">
        <v>1.037056691775353</v>
      </c>
      <c r="CA121" s="1979">
        <v>1.0486402879886123</v>
      </c>
      <c r="CB121" s="1979">
        <v>1.0614194292637251</v>
      </c>
      <c r="CC121" s="1979">
        <v>1.0822984317459494</v>
      </c>
      <c r="CD121" s="1979">
        <v>1.0948400389726176</v>
      </c>
      <c r="CE121" s="1979">
        <v>1.1218908760891164</v>
      </c>
      <c r="CF121" s="2000">
        <v>1.0295597968631749</v>
      </c>
      <c r="CG121" s="1998">
        <v>1.0795569192502228</v>
      </c>
      <c r="CH121" s="2000">
        <v>1.0323162912172517</v>
      </c>
      <c r="CI121" s="1998">
        <v>1.0830915153580707</v>
      </c>
      <c r="CJ121" s="2000">
        <v>1.035072785571328</v>
      </c>
      <c r="CK121" s="1998">
        <v>1.0866261114659186</v>
      </c>
      <c r="CL121" s="2000">
        <v>1.0378292799254047</v>
      </c>
      <c r="CM121" s="1998">
        <v>1.0901607075737663</v>
      </c>
      <c r="CN121" s="2000">
        <v>1.0405857742794813</v>
      </c>
      <c r="CO121" s="1998">
        <v>1.0936953036816144</v>
      </c>
      <c r="CP121" s="1999">
        <v>1.0313062352599609</v>
      </c>
      <c r="CQ121" s="1979">
        <v>1.0835212004082586</v>
      </c>
      <c r="CR121" s="1999">
        <v>1.0341992108496065</v>
      </c>
      <c r="CS121" s="1979">
        <v>1.0872222689880988</v>
      </c>
      <c r="CT121" s="1999">
        <v>1.0370921864392519</v>
      </c>
      <c r="CU121" s="1979">
        <v>1.0909233375679388</v>
      </c>
      <c r="CV121" s="1999">
        <v>1.0399851620288973</v>
      </c>
      <c r="CW121" s="1979">
        <v>1.0946244061477788</v>
      </c>
      <c r="CX121" s="1999">
        <v>1.042878137618543</v>
      </c>
      <c r="CY121" s="1979">
        <v>1.0983254747276188</v>
      </c>
      <c r="CZ121" s="2000">
        <v>1.0917734173870737</v>
      </c>
      <c r="DA121" s="1998">
        <v>1.1569631518324053</v>
      </c>
      <c r="DB121" s="2000">
        <v>1.0965067070016228</v>
      </c>
      <c r="DC121" s="1998">
        <v>1.16296220844001</v>
      </c>
      <c r="DD121" s="2000">
        <v>1.1012399966161721</v>
      </c>
      <c r="DE121" s="1998">
        <v>1.1689612650476147</v>
      </c>
      <c r="DF121" s="2000">
        <v>1.1059732862307212</v>
      </c>
      <c r="DG121" s="1998">
        <v>1.1749603216552196</v>
      </c>
      <c r="DH121" s="2000">
        <v>1.1154398654598199</v>
      </c>
      <c r="DI121" s="1998">
        <v>1.1869584348704292</v>
      </c>
      <c r="DJ121" s="1999">
        <v>1.0811815385399879</v>
      </c>
      <c r="DK121" s="1979">
        <v>1.1404719978102114</v>
      </c>
      <c r="DL121" s="1999">
        <v>1.0853559036803608</v>
      </c>
      <c r="DM121" s="1979">
        <v>1.1458344594375096</v>
      </c>
      <c r="DN121" s="1999">
        <v>1.0895302688207344</v>
      </c>
      <c r="DO121" s="1979">
        <v>1.1511969210648074</v>
      </c>
      <c r="DP121" s="1999">
        <v>1.0937046339611074</v>
      </c>
      <c r="DQ121" s="1979">
        <v>1.1565593826921057</v>
      </c>
      <c r="DR121" s="1999">
        <v>1.1020533642418537</v>
      </c>
      <c r="DS121" s="1979">
        <v>1.167284305946702</v>
      </c>
      <c r="GT121" s="1980"/>
      <c r="GU121" s="1980"/>
      <c r="GV121" s="1980"/>
      <c r="GW121" s="1980"/>
      <c r="GX121" s="1980"/>
      <c r="GY121" s="1980"/>
      <c r="GZ121" s="1980"/>
      <c r="HA121" s="1980"/>
      <c r="HB121" s="1980"/>
      <c r="HC121" s="1980"/>
      <c r="HD121" s="1980"/>
      <c r="HE121" s="1980"/>
      <c r="HF121" s="1980"/>
      <c r="HG121" s="1980"/>
      <c r="HH121" s="1980"/>
      <c r="HI121" s="1980"/>
      <c r="HJ121" s="1980"/>
      <c r="HK121" s="1980"/>
      <c r="HL121" s="1980"/>
      <c r="HM121" s="1980"/>
      <c r="HN121" s="1980"/>
      <c r="HO121" s="1980"/>
      <c r="HP121" s="1980"/>
      <c r="HQ121" s="1980"/>
      <c r="HR121" s="1980"/>
      <c r="HS121" s="1980"/>
      <c r="HT121" s="1980"/>
      <c r="HU121" s="1980"/>
      <c r="HV121" s="1980"/>
      <c r="HW121" s="1980"/>
      <c r="HX121" s="1980"/>
      <c r="HY121" s="1980"/>
      <c r="HZ121" s="1980"/>
      <c r="IA121" s="1980"/>
      <c r="IB121" s="1980"/>
      <c r="IC121" s="1980"/>
      <c r="ID121" s="1980"/>
      <c r="IE121" s="1980"/>
      <c r="IF121" s="1980"/>
      <c r="IG121" s="1980"/>
      <c r="IH121" s="1980"/>
      <c r="II121" s="1980"/>
      <c r="IJ121" s="1980"/>
      <c r="IK121" s="1980"/>
      <c r="IL121" s="1980"/>
      <c r="IM121" s="1980"/>
      <c r="IN121" s="1980"/>
      <c r="IO121" s="1980"/>
      <c r="IP121" s="1980"/>
      <c r="IQ121" s="1980"/>
      <c r="IR121" s="1980"/>
      <c r="IS121" s="1980"/>
      <c r="IT121" s="1980"/>
      <c r="IU121" s="1980"/>
      <c r="IV121" s="1980"/>
      <c r="IW121" s="1980"/>
      <c r="IX121" s="1980"/>
      <c r="IY121" s="1980"/>
      <c r="IZ121" s="1980"/>
      <c r="JA121" s="1980"/>
      <c r="JB121" s="1980"/>
      <c r="JC121" s="1980"/>
      <c r="JD121" s="1980"/>
      <c r="JE121" s="1980"/>
      <c r="JF121" s="1980"/>
      <c r="JG121" s="1980"/>
      <c r="JH121" s="1980"/>
      <c r="JI121" s="1980"/>
      <c r="JJ121" s="1980"/>
      <c r="JK121" s="1980"/>
      <c r="JL121" s="1980"/>
      <c r="JM121" s="1980"/>
      <c r="JN121" s="1980"/>
      <c r="JO121" s="1980"/>
      <c r="JP121" s="1980"/>
      <c r="JQ121" s="1980"/>
      <c r="JR121" s="1980"/>
      <c r="JS121" s="1980"/>
      <c r="JT121" s="1980"/>
      <c r="JU121" s="1980"/>
      <c r="JV121" s="1980"/>
      <c r="JW121" s="1980"/>
      <c r="JX121" s="1980"/>
      <c r="JY121" s="1980"/>
      <c r="JZ121" s="1980"/>
      <c r="KA121" s="1980"/>
      <c r="KB121" s="1980"/>
      <c r="KC121" s="1980"/>
      <c r="KD121" s="1980"/>
      <c r="KE121" s="1980"/>
      <c r="KF121" s="1980"/>
      <c r="KG121" s="1980"/>
      <c r="KH121" s="1980"/>
      <c r="KI121" s="1980"/>
      <c r="KJ121" s="1980"/>
      <c r="KK121" s="1980"/>
    </row>
    <row r="122" spans="1:297">
      <c r="A122" s="1997"/>
      <c r="B122" s="2">
        <v>19</v>
      </c>
      <c r="C122" s="2" t="str">
        <f>CONCATENATE($U$8," ",V$16)</f>
        <v>Proportion de fenêtres 60</v>
      </c>
      <c r="D122" s="1998">
        <v>1.0027748287994622</v>
      </c>
      <c r="E122" s="1998">
        <v>0.94363391348391901</v>
      </c>
      <c r="F122" s="1998">
        <v>1.0162077728074079</v>
      </c>
      <c r="G122" s="1998">
        <v>0.9614931127664762</v>
      </c>
      <c r="H122" s="1998">
        <v>1.047607900362447</v>
      </c>
      <c r="I122" s="1998">
        <v>1.0001996598427598</v>
      </c>
      <c r="J122" s="1998">
        <v>1.0764324269924828</v>
      </c>
      <c r="K122" s="1998">
        <v>1.0381655879053231</v>
      </c>
      <c r="L122" s="1998">
        <v>1.1116173789171144</v>
      </c>
      <c r="M122" s="1998">
        <v>1.0801349996719791</v>
      </c>
      <c r="N122" s="1999">
        <v>1.0306361457081699</v>
      </c>
      <c r="O122" s="1979">
        <v>0.98429993730580734</v>
      </c>
      <c r="P122" s="1979">
        <v>1.0442760202295858</v>
      </c>
      <c r="Q122" s="1979">
        <v>1.0024760476066716</v>
      </c>
      <c r="R122" s="1979">
        <v>1.0681399262013251</v>
      </c>
      <c r="S122" s="1979">
        <v>1.0319570356808112</v>
      </c>
      <c r="T122" s="1979">
        <v>1.0885868984088283</v>
      </c>
      <c r="U122" s="1979">
        <v>1.0588632468198442</v>
      </c>
      <c r="V122" s="1979">
        <v>1.1241494741457696</v>
      </c>
      <c r="W122" s="1979">
        <v>1.0952255908065096</v>
      </c>
      <c r="X122" s="2000">
        <v>1.0029344379767546</v>
      </c>
      <c r="Y122" s="1998">
        <v>0.97445163060192308</v>
      </c>
      <c r="Z122" s="1998">
        <v>1.0345948638108466</v>
      </c>
      <c r="AA122" s="1998">
        <v>1.0135501649755805</v>
      </c>
      <c r="AB122" s="1998">
        <v>1.0364652141889039</v>
      </c>
      <c r="AC122" s="1998">
        <v>1.0158722117184076</v>
      </c>
      <c r="AD122" s="1998">
        <v>1.0383355645669614</v>
      </c>
      <c r="AE122" s="1998">
        <v>1.0181942584612351</v>
      </c>
      <c r="AF122" s="1998">
        <v>1.0402059149450189</v>
      </c>
      <c r="AG122" s="1998">
        <v>1.0205163052040624</v>
      </c>
      <c r="AH122" s="1999">
        <v>1.0022639283242905</v>
      </c>
      <c r="AI122" s="1979">
        <v>0.97839490354205183</v>
      </c>
      <c r="AJ122" s="1979">
        <v>1.0292367501201476</v>
      </c>
      <c r="AK122" s="1979">
        <v>1.0087209895039113</v>
      </c>
      <c r="AL122" s="1979">
        <v>1.0326124254449343</v>
      </c>
      <c r="AM122" s="1979">
        <v>1.0129598448308332</v>
      </c>
      <c r="AN122" s="1979">
        <v>1.0359881007697209</v>
      </c>
      <c r="AO122" s="1979">
        <v>1.0171987001577549</v>
      </c>
      <c r="AP122" s="1979">
        <v>1.0393637760945074</v>
      </c>
      <c r="AQ122" s="1979">
        <v>1.0214375554846766</v>
      </c>
      <c r="AR122" s="2000">
        <v>1.0695049328397859</v>
      </c>
      <c r="AS122" s="1998">
        <v>1.0455517095538158</v>
      </c>
      <c r="AT122" s="1998">
        <v>1.1026794746890234</v>
      </c>
      <c r="AU122" s="1998">
        <v>1.0856924502325305</v>
      </c>
      <c r="AV122" s="1998">
        <v>1.1051639637368675</v>
      </c>
      <c r="AW122" s="1998">
        <v>1.0887886542553198</v>
      </c>
      <c r="AX122" s="1998">
        <v>1.1076484527847117</v>
      </c>
      <c r="AY122" s="1998">
        <v>1.0918848582781091</v>
      </c>
      <c r="AZ122" s="1998">
        <v>1.1101329418325556</v>
      </c>
      <c r="BA122" s="1998">
        <v>1.0949810623008986</v>
      </c>
      <c r="BB122" s="1999">
        <v>1.373434264512863</v>
      </c>
      <c r="BC122" s="1979">
        <v>1.3621418866532577</v>
      </c>
      <c r="BD122" s="1979">
        <v>1.431547896692833</v>
      </c>
      <c r="BE122" s="1979">
        <v>1.414104268354816</v>
      </c>
      <c r="BF122" s="1979">
        <v>1.4447092579213443</v>
      </c>
      <c r="BG122" s="1979">
        <v>1.4299423555610626</v>
      </c>
      <c r="BH122" s="1979">
        <v>1.4578706191498556</v>
      </c>
      <c r="BI122" s="1979">
        <v>1.4457804427673098</v>
      </c>
      <c r="BJ122" s="1979">
        <v>1.4710319803783667</v>
      </c>
      <c r="BK122" s="1979">
        <v>1.4616185299735569</v>
      </c>
      <c r="BL122" s="2000">
        <v>1.0139547158713476</v>
      </c>
      <c r="BM122" s="1998">
        <v>0.98664750563609882</v>
      </c>
      <c r="BN122" s="2000">
        <v>1.0164146277819799</v>
      </c>
      <c r="BO122" s="1998">
        <v>0.98959863717162577</v>
      </c>
      <c r="BP122" s="2000">
        <v>1.0188745396926118</v>
      </c>
      <c r="BQ122" s="1998">
        <v>0.99254976870715228</v>
      </c>
      <c r="BR122" s="2000">
        <v>1.0213344516032439</v>
      </c>
      <c r="BS122" s="1998">
        <v>0.99550090024267879</v>
      </c>
      <c r="BT122" s="2000">
        <v>1.023794363513876</v>
      </c>
      <c r="BU122" s="1998">
        <v>0.9984520317782053</v>
      </c>
      <c r="BV122" s="1999">
        <v>1.0006738558983406</v>
      </c>
      <c r="BW122" s="1979">
        <v>0.99837657624341725</v>
      </c>
      <c r="BX122" s="1979">
        <v>1.0134267554594438</v>
      </c>
      <c r="BY122" s="1979">
        <v>1.0162301766984119</v>
      </c>
      <c r="BZ122" s="1979">
        <v>1.0405246861877375</v>
      </c>
      <c r="CA122" s="1979">
        <v>1.0512994622074483</v>
      </c>
      <c r="CB122" s="1979">
        <v>1.0648596345805379</v>
      </c>
      <c r="CC122" s="1979">
        <v>1.0849373800861013</v>
      </c>
      <c r="CD122" s="1979">
        <v>1.0982216692350395</v>
      </c>
      <c r="CE122" s="1979">
        <v>1.1244871914496894</v>
      </c>
      <c r="CF122" s="2000">
        <v>1.0328613118523398</v>
      </c>
      <c r="CG122" s="1998">
        <v>1.0820992047040865</v>
      </c>
      <c r="CH122" s="2000">
        <v>1.0356178062064161</v>
      </c>
      <c r="CI122" s="1998">
        <v>1.0856338008119344</v>
      </c>
      <c r="CJ122" s="2000">
        <v>1.0383743005604928</v>
      </c>
      <c r="CK122" s="1998">
        <v>1.0891683969197825</v>
      </c>
      <c r="CL122" s="2000">
        <v>1.0411307949145694</v>
      </c>
      <c r="CM122" s="1998">
        <v>1.0927029930276302</v>
      </c>
      <c r="CN122" s="2000">
        <v>1.0438872892686459</v>
      </c>
      <c r="CO122" s="1998">
        <v>1.0962375891354779</v>
      </c>
      <c r="CP122" s="1999">
        <v>1.0349126447011829</v>
      </c>
      <c r="CQ122" s="1979">
        <v>1.0862918764304799</v>
      </c>
      <c r="CR122" s="1999">
        <v>1.0378056202908283</v>
      </c>
      <c r="CS122" s="1979">
        <v>1.0899929450103201</v>
      </c>
      <c r="CT122" s="1999">
        <v>1.0406985958804738</v>
      </c>
      <c r="CU122" s="1979">
        <v>1.0936940135901603</v>
      </c>
      <c r="CV122" s="1999">
        <v>1.0435915714701196</v>
      </c>
      <c r="CW122" s="1979">
        <v>1.0973950821699998</v>
      </c>
      <c r="CX122" s="1999">
        <v>1.046484547059765</v>
      </c>
      <c r="CY122" s="1979">
        <v>1.10109615074984</v>
      </c>
      <c r="CZ122" s="2000">
        <v>1.0971466662546556</v>
      </c>
      <c r="DA122" s="1998">
        <v>1.1610527928605852</v>
      </c>
      <c r="DB122" s="2000">
        <v>1.1018799558692047</v>
      </c>
      <c r="DC122" s="1998">
        <v>1.1670518494681899</v>
      </c>
      <c r="DD122" s="2000">
        <v>1.1066132454837541</v>
      </c>
      <c r="DE122" s="1998">
        <v>1.1730509060757948</v>
      </c>
      <c r="DF122" s="2000">
        <v>1.1113465350983032</v>
      </c>
      <c r="DG122" s="1998">
        <v>1.1790499626833995</v>
      </c>
      <c r="DH122" s="2000">
        <v>1.1208131143274016</v>
      </c>
      <c r="DI122" s="1998">
        <v>1.1910480758986091</v>
      </c>
      <c r="DJ122" s="1999">
        <v>1.0902881906450581</v>
      </c>
      <c r="DK122" s="1979">
        <v>1.1474972328681596</v>
      </c>
      <c r="DL122" s="1999">
        <v>1.0944625557854311</v>
      </c>
      <c r="DM122" s="1979">
        <v>1.1528596944954574</v>
      </c>
      <c r="DN122" s="1999">
        <v>1.0986369209258042</v>
      </c>
      <c r="DO122" s="1979">
        <v>1.1582221561227555</v>
      </c>
      <c r="DP122" s="1999">
        <v>1.1028112860661774</v>
      </c>
      <c r="DQ122" s="1979">
        <v>1.1635846177500537</v>
      </c>
      <c r="DR122" s="1999">
        <v>1.1111600163469237</v>
      </c>
      <c r="DS122" s="1979">
        <v>1.1743095410046498</v>
      </c>
      <c r="GT122" s="1980"/>
      <c r="GU122" s="1980"/>
      <c r="GV122" s="1980"/>
      <c r="GW122" s="1980"/>
      <c r="GX122" s="1980"/>
      <c r="GY122" s="1980"/>
      <c r="GZ122" s="1980"/>
      <c r="HA122" s="1980"/>
      <c r="HB122" s="1980"/>
      <c r="HC122" s="1980"/>
      <c r="HD122" s="1980"/>
      <c r="HE122" s="1980"/>
      <c r="HF122" s="1980"/>
      <c r="HG122" s="1980"/>
      <c r="HH122" s="1980"/>
      <c r="HI122" s="1980"/>
      <c r="HJ122" s="1980"/>
      <c r="HK122" s="1980"/>
      <c r="HL122" s="1980"/>
      <c r="HM122" s="1980"/>
      <c r="HN122" s="1980"/>
      <c r="HO122" s="1980"/>
      <c r="HP122" s="1980"/>
      <c r="HQ122" s="1980"/>
      <c r="HR122" s="1980"/>
      <c r="HS122" s="1980"/>
      <c r="HT122" s="1980"/>
      <c r="HU122" s="1980"/>
      <c r="HV122" s="1980"/>
      <c r="HW122" s="1980"/>
      <c r="HX122" s="1980"/>
      <c r="HY122" s="1980"/>
      <c r="HZ122" s="1980"/>
      <c r="IA122" s="1980"/>
      <c r="IB122" s="1980"/>
      <c r="IC122" s="1980"/>
      <c r="ID122" s="1980"/>
      <c r="IE122" s="1980"/>
      <c r="IF122" s="1980"/>
      <c r="IG122" s="1980"/>
      <c r="IH122" s="1980"/>
      <c r="II122" s="1980"/>
      <c r="IJ122" s="1980"/>
      <c r="IK122" s="1980"/>
      <c r="IL122" s="1980"/>
      <c r="IM122" s="1980"/>
      <c r="IN122" s="1980"/>
      <c r="IO122" s="1980"/>
      <c r="IP122" s="1980"/>
      <c r="IQ122" s="1980"/>
      <c r="IR122" s="1980"/>
      <c r="IS122" s="1980"/>
      <c r="IT122" s="1980"/>
      <c r="IU122" s="1980"/>
      <c r="IV122" s="1980"/>
      <c r="IW122" s="1980"/>
      <c r="IX122" s="1980"/>
      <c r="IY122" s="1980"/>
      <c r="IZ122" s="1980"/>
      <c r="JA122" s="1980"/>
      <c r="JB122" s="1980"/>
      <c r="JC122" s="1980"/>
      <c r="JD122" s="1980"/>
      <c r="JE122" s="1980"/>
      <c r="JF122" s="1980"/>
      <c r="JG122" s="1980"/>
      <c r="JH122" s="1980"/>
      <c r="JI122" s="1980"/>
      <c r="JJ122" s="1980"/>
      <c r="JK122" s="1980"/>
      <c r="JL122" s="1980"/>
      <c r="JM122" s="1980"/>
      <c r="JN122" s="1980"/>
      <c r="JO122" s="1980"/>
      <c r="JP122" s="1980"/>
      <c r="JQ122" s="1980"/>
      <c r="JR122" s="1980"/>
      <c r="JS122" s="1980"/>
      <c r="JT122" s="1980"/>
      <c r="JU122" s="1980"/>
      <c r="JV122" s="1980"/>
      <c r="JW122" s="1980"/>
      <c r="JX122" s="1980"/>
      <c r="JY122" s="1980"/>
      <c r="JZ122" s="1980"/>
      <c r="KA122" s="1980"/>
      <c r="KB122" s="1980"/>
      <c r="KC122" s="1980"/>
      <c r="KD122" s="1980"/>
      <c r="KE122" s="1980"/>
      <c r="KF122" s="1980"/>
      <c r="KG122" s="1980"/>
      <c r="KH122" s="1980"/>
      <c r="KI122" s="1980"/>
      <c r="KJ122" s="1980"/>
      <c r="KK122" s="1980"/>
    </row>
    <row r="123" spans="1:297">
      <c r="A123" s="1997"/>
      <c r="B123" s="2">
        <v>20</v>
      </c>
      <c r="C123" s="2" t="str">
        <f>CONCATENATE($U$8," ",V$17)</f>
        <v>Proportion de fenêtres 70</v>
      </c>
      <c r="D123" s="1998">
        <v>1.0135689570216602</v>
      </c>
      <c r="E123" s="1998">
        <v>0.95154201429142116</v>
      </c>
      <c r="F123" s="1998">
        <v>1.0269300309264151</v>
      </c>
      <c r="G123" s="1998">
        <v>0.96935119665782132</v>
      </c>
      <c r="H123" s="1998">
        <v>1.0582457528951486</v>
      </c>
      <c r="I123" s="1998">
        <v>1.0079990029372232</v>
      </c>
      <c r="J123" s="1998">
        <v>1.0869850382400048</v>
      </c>
      <c r="K123" s="1998">
        <v>1.045905608610856</v>
      </c>
      <c r="L123" s="1998">
        <v>1.1219903149066595</v>
      </c>
      <c r="M123" s="1998">
        <v>1.0877499780871203</v>
      </c>
      <c r="N123" s="1999">
        <v>1.0377890693872227</v>
      </c>
      <c r="O123" s="1979">
        <v>0.98953351356186137</v>
      </c>
      <c r="P123" s="1979">
        <v>1.0513813178889782</v>
      </c>
      <c r="Q123" s="1979">
        <v>1.0076765226983411</v>
      </c>
      <c r="R123" s="1979">
        <v>1.0751892909771625</v>
      </c>
      <c r="S123" s="1979">
        <v>1.0371186361491918</v>
      </c>
      <c r="T123" s="1979">
        <v>1.0955797765101847</v>
      </c>
      <c r="U123" s="1979">
        <v>1.0639855877676754</v>
      </c>
      <c r="V123" s="1979">
        <v>1.1310232871979746</v>
      </c>
      <c r="W123" s="1979">
        <v>1.1002651788433788</v>
      </c>
      <c r="X123" s="2000">
        <v>1.0126200330667596</v>
      </c>
      <c r="Y123" s="1998">
        <v>0.98166632353044103</v>
      </c>
      <c r="Z123" s="1998">
        <v>1.0442804589008519</v>
      </c>
      <c r="AA123" s="1998">
        <v>1.0207648579040982</v>
      </c>
      <c r="AB123" s="1998">
        <v>1.0461508092789091</v>
      </c>
      <c r="AC123" s="1998">
        <v>1.0230869046469255</v>
      </c>
      <c r="AD123" s="1998">
        <v>1.0480211596569664</v>
      </c>
      <c r="AE123" s="1998">
        <v>1.0254089513897529</v>
      </c>
      <c r="AF123" s="1998">
        <v>1.0498915100350241</v>
      </c>
      <c r="AG123" s="1998">
        <v>1.0277309981325802</v>
      </c>
      <c r="AH123" s="1999">
        <v>1.0130364771541946</v>
      </c>
      <c r="AI123" s="1979">
        <v>0.9865110514414247</v>
      </c>
      <c r="AJ123" s="1979">
        <v>1.0400092989500513</v>
      </c>
      <c r="AK123" s="1979">
        <v>1.0168371374032841</v>
      </c>
      <c r="AL123" s="1979">
        <v>1.043384974274838</v>
      </c>
      <c r="AM123" s="1979">
        <v>1.0210759927302062</v>
      </c>
      <c r="AN123" s="1979">
        <v>1.0467606495996247</v>
      </c>
      <c r="AO123" s="1979">
        <v>1.0253148480571279</v>
      </c>
      <c r="AP123" s="1979">
        <v>1.0501363249244113</v>
      </c>
      <c r="AQ123" s="1979">
        <v>1.0295537033840496</v>
      </c>
      <c r="AR123" s="2000">
        <v>1.0774746906557531</v>
      </c>
      <c r="AS123" s="1998">
        <v>1.0515108162901177</v>
      </c>
      <c r="AT123" s="1998">
        <v>1.110649232504991</v>
      </c>
      <c r="AU123" s="1998">
        <v>1.0916515569688321</v>
      </c>
      <c r="AV123" s="1998">
        <v>1.1131337215528352</v>
      </c>
      <c r="AW123" s="1998">
        <v>1.0947477609916216</v>
      </c>
      <c r="AX123" s="1998">
        <v>1.1156182106006791</v>
      </c>
      <c r="AY123" s="1998">
        <v>1.0978439650144107</v>
      </c>
      <c r="AZ123" s="1998">
        <v>1.1181026996485233</v>
      </c>
      <c r="BA123" s="1998">
        <v>1.1009401690372003</v>
      </c>
      <c r="BB123" s="1999">
        <v>1.3824549126561949</v>
      </c>
      <c r="BC123" s="1979">
        <v>1.3686549187766872</v>
      </c>
      <c r="BD123" s="1979">
        <v>1.4405685448361649</v>
      </c>
      <c r="BE123" s="1979">
        <v>1.420617300478245</v>
      </c>
      <c r="BF123" s="1979">
        <v>1.4537299060646762</v>
      </c>
      <c r="BG123" s="1979">
        <v>1.4364553876844921</v>
      </c>
      <c r="BH123" s="1979">
        <v>1.4668912672931875</v>
      </c>
      <c r="BI123" s="1979">
        <v>1.4522934748907392</v>
      </c>
      <c r="BJ123" s="1979">
        <v>1.4800526285216986</v>
      </c>
      <c r="BK123" s="1979">
        <v>1.4681315620969859</v>
      </c>
      <c r="BL123" s="2000">
        <v>1.0205688397769694</v>
      </c>
      <c r="BM123" s="1998">
        <v>0.99141258007829658</v>
      </c>
      <c r="BN123" s="2000">
        <v>1.0230287516876015</v>
      </c>
      <c r="BO123" s="1998">
        <v>0.99436371161382309</v>
      </c>
      <c r="BP123" s="2000">
        <v>1.0254886635982337</v>
      </c>
      <c r="BQ123" s="1998">
        <v>0.99731484314935004</v>
      </c>
      <c r="BR123" s="2000">
        <v>1.027948575508866</v>
      </c>
      <c r="BS123" s="1998">
        <v>1.0002659746848765</v>
      </c>
      <c r="BT123" s="2000">
        <v>1.0304084874194979</v>
      </c>
      <c r="BU123" s="1998">
        <v>1.0032171062204029</v>
      </c>
      <c r="BV123" s="1999">
        <v>1.0041927969859399</v>
      </c>
      <c r="BW123" s="1979">
        <v>1.0010728312398405</v>
      </c>
      <c r="BX123" s="1979">
        <v>1.0169222665252866</v>
      </c>
      <c r="BY123" s="1979">
        <v>1.0189093785030034</v>
      </c>
      <c r="BZ123" s="1979">
        <v>1.0439926806001221</v>
      </c>
      <c r="CA123" s="1979">
        <v>1.0539586364262843</v>
      </c>
      <c r="CB123" s="1979">
        <v>1.0682998398973511</v>
      </c>
      <c r="CC123" s="1979">
        <v>1.0875763284262534</v>
      </c>
      <c r="CD123" s="1979">
        <v>1.1016032994974614</v>
      </c>
      <c r="CE123" s="1979">
        <v>1.1270835068102625</v>
      </c>
      <c r="CF123" s="2000">
        <v>1.0361628268415042</v>
      </c>
      <c r="CG123" s="1998">
        <v>1.0846414901579506</v>
      </c>
      <c r="CH123" s="2000">
        <v>1.0389193211955807</v>
      </c>
      <c r="CI123" s="1998">
        <v>1.0881760862657981</v>
      </c>
      <c r="CJ123" s="2000">
        <v>1.0416758155496577</v>
      </c>
      <c r="CK123" s="1998">
        <v>1.091710682373646</v>
      </c>
      <c r="CL123" s="2000">
        <v>1.0444323099037343</v>
      </c>
      <c r="CM123" s="1998">
        <v>1.0952452784814941</v>
      </c>
      <c r="CN123" s="2000">
        <v>1.0471888042578104</v>
      </c>
      <c r="CO123" s="1998">
        <v>1.0987798745893418</v>
      </c>
      <c r="CP123" s="1999">
        <v>1.038519054142405</v>
      </c>
      <c r="CQ123" s="1979">
        <v>1.0890625524527011</v>
      </c>
      <c r="CR123" s="1999">
        <v>1.0414120297320504</v>
      </c>
      <c r="CS123" s="1979">
        <v>1.0927636210325411</v>
      </c>
      <c r="CT123" s="1999">
        <v>1.044305005321696</v>
      </c>
      <c r="CU123" s="1979">
        <v>1.0964646896123809</v>
      </c>
      <c r="CV123" s="1999">
        <v>1.0471979809113416</v>
      </c>
      <c r="CW123" s="1979">
        <v>1.1001657581922213</v>
      </c>
      <c r="CX123" s="1999">
        <v>1.050090956500987</v>
      </c>
      <c r="CY123" s="1979">
        <v>1.103866826772061</v>
      </c>
      <c r="CZ123" s="2000">
        <v>1.1025199151222373</v>
      </c>
      <c r="DA123" s="1998">
        <v>1.165142433888765</v>
      </c>
      <c r="DB123" s="2000">
        <v>1.1072532047367867</v>
      </c>
      <c r="DC123" s="1998">
        <v>1.1711414904963697</v>
      </c>
      <c r="DD123" s="2000">
        <v>1.1119864943513358</v>
      </c>
      <c r="DE123" s="1998">
        <v>1.1771405471039744</v>
      </c>
      <c r="DF123" s="2000">
        <v>1.1167197839658851</v>
      </c>
      <c r="DG123" s="1998">
        <v>1.1831396037115793</v>
      </c>
      <c r="DH123" s="2000">
        <v>1.1261863631949836</v>
      </c>
      <c r="DI123" s="1998">
        <v>1.1951377169267889</v>
      </c>
      <c r="DJ123" s="1999">
        <v>1.0993948427501281</v>
      </c>
      <c r="DK123" s="1979">
        <v>1.1545224679261077</v>
      </c>
      <c r="DL123" s="1999">
        <v>1.1035692078905015</v>
      </c>
      <c r="DM123" s="1979">
        <v>1.1598849295534055</v>
      </c>
      <c r="DN123" s="1999">
        <v>1.1077435730308747</v>
      </c>
      <c r="DO123" s="1979">
        <v>1.165247391180704</v>
      </c>
      <c r="DP123" s="1999">
        <v>1.1119179381712478</v>
      </c>
      <c r="DQ123" s="1979">
        <v>1.1706098528080018</v>
      </c>
      <c r="DR123" s="1999">
        <v>1.1202666684519942</v>
      </c>
      <c r="DS123" s="1979">
        <v>1.1813347760625978</v>
      </c>
      <c r="GT123" s="1980"/>
      <c r="GU123" s="1980"/>
      <c r="GV123" s="1980"/>
      <c r="GW123" s="1980"/>
      <c r="GX123" s="1980"/>
      <c r="GY123" s="1980"/>
      <c r="GZ123" s="1980"/>
      <c r="HA123" s="1980"/>
      <c r="HB123" s="1980"/>
      <c r="HC123" s="1980"/>
      <c r="HD123" s="1980"/>
      <c r="HE123" s="1980"/>
      <c r="HF123" s="1980"/>
      <c r="HG123" s="1980"/>
      <c r="HH123" s="1980"/>
      <c r="HI123" s="1980"/>
      <c r="HJ123" s="1980"/>
      <c r="HK123" s="1980"/>
      <c r="HL123" s="1980"/>
      <c r="HM123" s="1980"/>
      <c r="HN123" s="1980"/>
      <c r="HO123" s="1980"/>
      <c r="HP123" s="1980"/>
      <c r="HQ123" s="1980"/>
      <c r="HR123" s="1980"/>
      <c r="HS123" s="1980"/>
      <c r="HT123" s="1980"/>
      <c r="HU123" s="1980"/>
      <c r="HV123" s="1980"/>
      <c r="HW123" s="1980"/>
      <c r="HX123" s="1980"/>
      <c r="HY123" s="1980"/>
      <c r="HZ123" s="1980"/>
      <c r="IA123" s="1980"/>
      <c r="IB123" s="1980"/>
      <c r="IC123" s="1980"/>
      <c r="ID123" s="1980"/>
      <c r="IE123" s="1980"/>
      <c r="IF123" s="1980"/>
      <c r="IG123" s="1980"/>
      <c r="IH123" s="1980"/>
      <c r="II123" s="1980"/>
      <c r="IJ123" s="1980"/>
      <c r="IK123" s="1980"/>
      <c r="IL123" s="1980"/>
      <c r="IM123" s="1980"/>
      <c r="IN123" s="1980"/>
      <c r="IO123" s="1980"/>
      <c r="IP123" s="1980"/>
      <c r="IQ123" s="1980"/>
      <c r="IR123" s="1980"/>
      <c r="IS123" s="1980"/>
      <c r="IT123" s="1980"/>
      <c r="IU123" s="1980"/>
      <c r="IV123" s="1980"/>
      <c r="IW123" s="1980"/>
      <c r="IX123" s="1980"/>
      <c r="IY123" s="1980"/>
      <c r="IZ123" s="1980"/>
      <c r="JA123" s="1980"/>
      <c r="JB123" s="1980"/>
      <c r="JC123" s="1980"/>
      <c r="JD123" s="1980"/>
      <c r="JE123" s="1980"/>
      <c r="JF123" s="1980"/>
      <c r="JG123" s="1980"/>
      <c r="JH123" s="1980"/>
      <c r="JI123" s="1980"/>
      <c r="JJ123" s="1980"/>
      <c r="JK123" s="1980"/>
      <c r="JL123" s="1980"/>
      <c r="JM123" s="1980"/>
      <c r="JN123" s="1980"/>
      <c r="JO123" s="1980"/>
      <c r="JP123" s="1980"/>
      <c r="JQ123" s="1980"/>
      <c r="JR123" s="1980"/>
      <c r="JS123" s="1980"/>
      <c r="JT123" s="1980"/>
      <c r="JU123" s="1980"/>
      <c r="JV123" s="1980"/>
      <c r="JW123" s="1980"/>
      <c r="JX123" s="1980"/>
      <c r="JY123" s="1980"/>
      <c r="JZ123" s="1980"/>
      <c r="KA123" s="1980"/>
      <c r="KB123" s="1980"/>
      <c r="KC123" s="1980"/>
      <c r="KD123" s="1980"/>
      <c r="KE123" s="1980"/>
      <c r="KF123" s="1980"/>
      <c r="KG123" s="1980"/>
      <c r="KH123" s="1980"/>
      <c r="KI123" s="1980"/>
      <c r="KJ123" s="1980"/>
      <c r="KK123" s="1980"/>
    </row>
    <row r="124" spans="1:297">
      <c r="A124" s="1997"/>
      <c r="B124" s="2">
        <v>21</v>
      </c>
      <c r="C124" s="2" t="str">
        <f>CONCATENATE($U$8," ",V$18)</f>
        <v>Proportion de fenêtres 80</v>
      </c>
      <c r="D124" s="1998">
        <v>1.0243630852438581</v>
      </c>
      <c r="E124" s="1998">
        <v>0.9594501150989232</v>
      </c>
      <c r="F124" s="1998">
        <v>1.0376522890454223</v>
      </c>
      <c r="G124" s="1998">
        <v>0.97720928054916656</v>
      </c>
      <c r="H124" s="1998">
        <v>1.0688836054278501</v>
      </c>
      <c r="I124" s="1998">
        <v>1.0157983460316864</v>
      </c>
      <c r="J124" s="1998">
        <v>1.0975376494875266</v>
      </c>
      <c r="K124" s="1998">
        <v>1.0536456293163894</v>
      </c>
      <c r="L124" s="1998">
        <v>1.1323632508962043</v>
      </c>
      <c r="M124" s="1998">
        <v>1.0953649565022612</v>
      </c>
      <c r="N124" s="1999">
        <v>1.0449419930662756</v>
      </c>
      <c r="O124" s="1979">
        <v>0.99476708981791551</v>
      </c>
      <c r="P124" s="1979">
        <v>1.0584866155483703</v>
      </c>
      <c r="Q124" s="1979">
        <v>1.0128769977900105</v>
      </c>
      <c r="R124" s="1979">
        <v>1.0822386557529999</v>
      </c>
      <c r="S124" s="1979">
        <v>1.0422802366175721</v>
      </c>
      <c r="T124" s="1979">
        <v>1.1025726546115409</v>
      </c>
      <c r="U124" s="1979">
        <v>1.0691079287155068</v>
      </c>
      <c r="V124" s="1979">
        <v>1.1378971002501792</v>
      </c>
      <c r="W124" s="1979">
        <v>1.1053047668802485</v>
      </c>
      <c r="X124" s="2000">
        <v>1.0223056281567648</v>
      </c>
      <c r="Y124" s="1998">
        <v>0.98888101645895921</v>
      </c>
      <c r="Z124" s="1998">
        <v>1.0539660539908569</v>
      </c>
      <c r="AA124" s="1998">
        <v>1.0279795508326159</v>
      </c>
      <c r="AB124" s="1998">
        <v>1.0558364043689141</v>
      </c>
      <c r="AC124" s="1998">
        <v>1.0303015975754433</v>
      </c>
      <c r="AD124" s="1998">
        <v>1.0577067547469714</v>
      </c>
      <c r="AE124" s="1998">
        <v>1.0326236443182708</v>
      </c>
      <c r="AF124" s="1998">
        <v>1.0595771051250291</v>
      </c>
      <c r="AG124" s="1998">
        <v>1.0349456910610981</v>
      </c>
      <c r="AH124" s="1999">
        <v>1.0238090259840982</v>
      </c>
      <c r="AI124" s="1979">
        <v>0.99462719934079769</v>
      </c>
      <c r="AJ124" s="1979">
        <v>1.0507818477799553</v>
      </c>
      <c r="AK124" s="1979">
        <v>1.0249532853026571</v>
      </c>
      <c r="AL124" s="1979">
        <v>1.0541575231047422</v>
      </c>
      <c r="AM124" s="1979">
        <v>1.029192140629579</v>
      </c>
      <c r="AN124" s="1979">
        <v>1.0575331984295286</v>
      </c>
      <c r="AO124" s="1979">
        <v>1.0334309959565009</v>
      </c>
      <c r="AP124" s="1979">
        <v>1.0609088737543153</v>
      </c>
      <c r="AQ124" s="1979">
        <v>1.0376698512834226</v>
      </c>
      <c r="AR124" s="2000">
        <v>1.0854444484717207</v>
      </c>
      <c r="AS124" s="1998">
        <v>1.0574699230264195</v>
      </c>
      <c r="AT124" s="1998">
        <v>1.1186189903209585</v>
      </c>
      <c r="AU124" s="1998">
        <v>1.0976106637051337</v>
      </c>
      <c r="AV124" s="1998">
        <v>1.1211034793688024</v>
      </c>
      <c r="AW124" s="1998">
        <v>1.1007068677279233</v>
      </c>
      <c r="AX124" s="1998">
        <v>1.1235879684166465</v>
      </c>
      <c r="AY124" s="1998">
        <v>1.1038030717507128</v>
      </c>
      <c r="AZ124" s="1998">
        <v>1.1260724574644907</v>
      </c>
      <c r="BA124" s="1998">
        <v>1.1068992757735021</v>
      </c>
      <c r="BB124" s="1999">
        <v>1.3914755607995268</v>
      </c>
      <c r="BC124" s="1979">
        <v>1.3751679509001162</v>
      </c>
      <c r="BD124" s="1979">
        <v>1.4495891929794968</v>
      </c>
      <c r="BE124" s="1979">
        <v>1.4271303326016747</v>
      </c>
      <c r="BF124" s="1979">
        <v>1.4627505542080081</v>
      </c>
      <c r="BG124" s="1979">
        <v>1.4429684198079211</v>
      </c>
      <c r="BH124" s="1979">
        <v>1.4759119154365192</v>
      </c>
      <c r="BI124" s="1979">
        <v>1.4588065070141683</v>
      </c>
      <c r="BJ124" s="1979">
        <v>1.4890732766650305</v>
      </c>
      <c r="BK124" s="1979">
        <v>1.4746445942204154</v>
      </c>
      <c r="BL124" s="2000">
        <v>1.0271829636825911</v>
      </c>
      <c r="BM124" s="1998">
        <v>0.99617765452049434</v>
      </c>
      <c r="BN124" s="2000">
        <v>1.0296428755932234</v>
      </c>
      <c r="BO124" s="1998">
        <v>0.99912878605602085</v>
      </c>
      <c r="BP124" s="2000">
        <v>1.0321027875038555</v>
      </c>
      <c r="BQ124" s="1998">
        <v>1.0020799175915478</v>
      </c>
      <c r="BR124" s="2000">
        <v>1.0345626994144876</v>
      </c>
      <c r="BS124" s="1998">
        <v>1.0050310491270742</v>
      </c>
      <c r="BT124" s="2000">
        <v>1.0370226113251197</v>
      </c>
      <c r="BU124" s="1998">
        <v>1.0079821806626008</v>
      </c>
      <c r="BV124" s="1999">
        <v>1.0077117380735388</v>
      </c>
      <c r="BW124" s="1979">
        <v>1.0037690862362634</v>
      </c>
      <c r="BX124" s="1979">
        <v>1.0204177775911294</v>
      </c>
      <c r="BY124" s="1979">
        <v>1.021588580307595</v>
      </c>
      <c r="BZ124" s="1979">
        <v>1.0474606750125066</v>
      </c>
      <c r="CA124" s="1979">
        <v>1.0566178106451201</v>
      </c>
      <c r="CB124" s="1979">
        <v>1.0717400452141639</v>
      </c>
      <c r="CC124" s="1979">
        <v>1.0902152767664055</v>
      </c>
      <c r="CD124" s="1979">
        <v>1.104984929759883</v>
      </c>
      <c r="CE124" s="1979">
        <v>1.1296798221708357</v>
      </c>
      <c r="CF124" s="2000">
        <v>1.039464341830669</v>
      </c>
      <c r="CG124" s="1998">
        <v>1.0871837756118141</v>
      </c>
      <c r="CH124" s="2000">
        <v>1.0422208361847456</v>
      </c>
      <c r="CI124" s="1998">
        <v>1.0907183717196618</v>
      </c>
      <c r="CJ124" s="2000">
        <v>1.0449773305388224</v>
      </c>
      <c r="CK124" s="1998">
        <v>1.0942529678275099</v>
      </c>
      <c r="CL124" s="2000">
        <v>1.0477338248928989</v>
      </c>
      <c r="CM124" s="1998">
        <v>1.0977875639353578</v>
      </c>
      <c r="CN124" s="2000">
        <v>1.0504903192469752</v>
      </c>
      <c r="CO124" s="1998">
        <v>1.1013221600432055</v>
      </c>
      <c r="CP124" s="1999">
        <v>1.0421254635836268</v>
      </c>
      <c r="CQ124" s="1979">
        <v>1.0918332284749219</v>
      </c>
      <c r="CR124" s="1999">
        <v>1.0450184391732726</v>
      </c>
      <c r="CS124" s="1979">
        <v>1.0955342970547621</v>
      </c>
      <c r="CT124" s="1999">
        <v>1.047911414762918</v>
      </c>
      <c r="CU124" s="1979">
        <v>1.0992353656346023</v>
      </c>
      <c r="CV124" s="1999">
        <v>1.0508043903525635</v>
      </c>
      <c r="CW124" s="1979">
        <v>1.1029364342144421</v>
      </c>
      <c r="CX124" s="1999">
        <v>1.0536973659422091</v>
      </c>
      <c r="CY124" s="1979">
        <v>1.1066375027942821</v>
      </c>
      <c r="CZ124" s="2000">
        <v>1.1078931639898195</v>
      </c>
      <c r="DA124" s="1998">
        <v>1.1692320749169447</v>
      </c>
      <c r="DB124" s="2000">
        <v>1.1126264536043686</v>
      </c>
      <c r="DC124" s="1998">
        <v>1.1752311315245494</v>
      </c>
      <c r="DD124" s="2000">
        <v>1.1173597432189177</v>
      </c>
      <c r="DE124" s="1998">
        <v>1.1812301881321543</v>
      </c>
      <c r="DF124" s="2000">
        <v>1.1220930328334671</v>
      </c>
      <c r="DG124" s="1998">
        <v>1.1872292447397592</v>
      </c>
      <c r="DH124" s="2000">
        <v>1.1315596120625655</v>
      </c>
      <c r="DI124" s="1998">
        <v>1.1992273579549686</v>
      </c>
      <c r="DJ124" s="1999">
        <v>1.1085014948551986</v>
      </c>
      <c r="DK124" s="1979">
        <v>1.1615477029840555</v>
      </c>
      <c r="DL124" s="1999">
        <v>1.1126758599955715</v>
      </c>
      <c r="DM124" s="1979">
        <v>1.1669101646113536</v>
      </c>
      <c r="DN124" s="1999">
        <v>1.1168502251359449</v>
      </c>
      <c r="DO124" s="1979">
        <v>1.1722726262386516</v>
      </c>
      <c r="DP124" s="1999">
        <v>1.1210245902763178</v>
      </c>
      <c r="DQ124" s="1979">
        <v>1.1776350878659498</v>
      </c>
      <c r="DR124" s="1999">
        <v>1.1293733205570642</v>
      </c>
      <c r="DS124" s="1979">
        <v>1.1883600111205461</v>
      </c>
      <c r="GT124" s="1980"/>
      <c r="GU124" s="1980"/>
      <c r="GV124" s="1980"/>
      <c r="GW124" s="1980"/>
      <c r="GX124" s="1980"/>
      <c r="GY124" s="1980"/>
      <c r="GZ124" s="1980"/>
      <c r="HA124" s="1980"/>
      <c r="HB124" s="1980"/>
      <c r="HC124" s="1980"/>
      <c r="HD124" s="1980"/>
      <c r="HE124" s="1980"/>
      <c r="HF124" s="1980"/>
      <c r="HG124" s="1980"/>
      <c r="HH124" s="1980"/>
      <c r="HI124" s="1980"/>
      <c r="HJ124" s="1980"/>
      <c r="HK124" s="1980"/>
      <c r="HL124" s="1980"/>
      <c r="HM124" s="1980"/>
      <c r="HN124" s="1980"/>
      <c r="HO124" s="1980"/>
      <c r="HP124" s="1980"/>
      <c r="HQ124" s="1980"/>
      <c r="HR124" s="1980"/>
      <c r="HS124" s="1980"/>
      <c r="HT124" s="1980"/>
      <c r="HU124" s="1980"/>
      <c r="HV124" s="1980"/>
      <c r="HW124" s="1980"/>
      <c r="HX124" s="1980"/>
      <c r="HY124" s="1980"/>
      <c r="HZ124" s="1980"/>
      <c r="IA124" s="1980"/>
      <c r="IB124" s="1980"/>
      <c r="IC124" s="1980"/>
      <c r="ID124" s="1980"/>
      <c r="IE124" s="1980"/>
      <c r="IF124" s="1980"/>
      <c r="IG124" s="1980"/>
      <c r="IH124" s="1980"/>
      <c r="II124" s="1980"/>
      <c r="IJ124" s="1980"/>
      <c r="IK124" s="1980"/>
      <c r="IL124" s="1980"/>
      <c r="IM124" s="1980"/>
      <c r="IN124" s="1980"/>
      <c r="IO124" s="1980"/>
      <c r="IP124" s="1980"/>
      <c r="IQ124" s="1980"/>
      <c r="IR124" s="1980"/>
      <c r="IS124" s="1980"/>
      <c r="IT124" s="1980"/>
      <c r="IU124" s="1980"/>
      <c r="IV124" s="1980"/>
      <c r="IW124" s="1980"/>
      <c r="IX124" s="1980"/>
      <c r="IY124" s="1980"/>
      <c r="IZ124" s="1980"/>
      <c r="JA124" s="1980"/>
      <c r="JB124" s="1980"/>
      <c r="JC124" s="1980"/>
      <c r="JD124" s="1980"/>
      <c r="JE124" s="1980"/>
      <c r="JF124" s="1980"/>
      <c r="JG124" s="1980"/>
      <c r="JH124" s="1980"/>
      <c r="JI124" s="1980"/>
      <c r="JJ124" s="1980"/>
      <c r="JK124" s="1980"/>
      <c r="JL124" s="1980"/>
      <c r="JM124" s="1980"/>
      <c r="JN124" s="1980"/>
      <c r="JO124" s="1980"/>
      <c r="JP124" s="1980"/>
      <c r="JQ124" s="1980"/>
      <c r="JR124" s="1980"/>
      <c r="JS124" s="1980"/>
      <c r="JT124" s="1980"/>
      <c r="JU124" s="1980"/>
      <c r="JV124" s="1980"/>
      <c r="JW124" s="1980"/>
      <c r="JX124" s="1980"/>
      <c r="JY124" s="1980"/>
      <c r="JZ124" s="1980"/>
      <c r="KA124" s="1980"/>
      <c r="KB124" s="1980"/>
      <c r="KC124" s="1980"/>
      <c r="KD124" s="1980"/>
      <c r="KE124" s="1980"/>
      <c r="KF124" s="1980"/>
      <c r="KG124" s="1980"/>
      <c r="KH124" s="1980"/>
      <c r="KI124" s="1980"/>
      <c r="KJ124" s="1980"/>
      <c r="KK124" s="1980"/>
    </row>
    <row r="125" spans="1:297">
      <c r="A125" s="1997"/>
      <c r="B125" s="2">
        <v>22</v>
      </c>
      <c r="C125" s="2" t="str">
        <f>CONCATENATE($U$8," ",V$19)</f>
        <v>Proportion de fenêtres 90</v>
      </c>
      <c r="D125" s="1998">
        <v>1.035157213466056</v>
      </c>
      <c r="E125" s="1998">
        <v>0.96735821590642534</v>
      </c>
      <c r="F125" s="1998">
        <v>1.0483745471644295</v>
      </c>
      <c r="G125" s="1998">
        <v>0.98506736444051168</v>
      </c>
      <c r="H125" s="1998">
        <v>1.0795214579605519</v>
      </c>
      <c r="I125" s="1998">
        <v>1.0235976891261496</v>
      </c>
      <c r="J125" s="1998">
        <v>1.1080902607350487</v>
      </c>
      <c r="K125" s="1998">
        <v>1.0613856500219221</v>
      </c>
      <c r="L125" s="1998">
        <v>1.1427361868857493</v>
      </c>
      <c r="M125" s="1998">
        <v>1.1029799349174021</v>
      </c>
      <c r="N125" s="1999">
        <v>1.0520949167453284</v>
      </c>
      <c r="O125" s="1979">
        <v>1.0000006660739695</v>
      </c>
      <c r="P125" s="1979">
        <v>1.0655919132077627</v>
      </c>
      <c r="Q125" s="1979">
        <v>1.0180774728816797</v>
      </c>
      <c r="R125" s="1979">
        <v>1.0892880205288373</v>
      </c>
      <c r="S125" s="1979">
        <v>1.0474418370859526</v>
      </c>
      <c r="T125" s="1979">
        <v>1.109565532712897</v>
      </c>
      <c r="U125" s="1979">
        <v>1.0742302696633379</v>
      </c>
      <c r="V125" s="1979">
        <v>1.144770913302384</v>
      </c>
      <c r="W125" s="1979">
        <v>1.1103443549171181</v>
      </c>
      <c r="X125" s="2000">
        <v>1.0319912232467696</v>
      </c>
      <c r="Y125" s="1998">
        <v>0.99609570938747705</v>
      </c>
      <c r="Z125" s="1998">
        <v>1.0636516490808618</v>
      </c>
      <c r="AA125" s="1998">
        <v>1.0351942437611341</v>
      </c>
      <c r="AB125" s="1998">
        <v>1.0655219994589191</v>
      </c>
      <c r="AC125" s="1998">
        <v>1.0375162905039612</v>
      </c>
      <c r="AD125" s="1998">
        <v>1.0673923498369766</v>
      </c>
      <c r="AE125" s="1998">
        <v>1.0398383372467885</v>
      </c>
      <c r="AF125" s="1998">
        <v>1.0692627002150341</v>
      </c>
      <c r="AG125" s="1998">
        <v>1.0421603839896159</v>
      </c>
      <c r="AH125" s="1999">
        <v>1.0345815748140021</v>
      </c>
      <c r="AI125" s="1979">
        <v>1.0027433472401706</v>
      </c>
      <c r="AJ125" s="1979">
        <v>1.0615543966098591</v>
      </c>
      <c r="AK125" s="1979">
        <v>1.03306943320203</v>
      </c>
      <c r="AL125" s="1979">
        <v>1.0649300719346457</v>
      </c>
      <c r="AM125" s="1979">
        <v>1.0373082885289517</v>
      </c>
      <c r="AN125" s="1979">
        <v>1.0683057472594326</v>
      </c>
      <c r="AO125" s="1979">
        <v>1.0415471438558737</v>
      </c>
      <c r="AP125" s="1979">
        <v>1.0716814225842193</v>
      </c>
      <c r="AQ125" s="1979">
        <v>1.0457859991827956</v>
      </c>
      <c r="AR125" s="2000">
        <v>1.0934142062876882</v>
      </c>
      <c r="AS125" s="1998">
        <v>1.0634290297627211</v>
      </c>
      <c r="AT125" s="1998">
        <v>1.1265887481369259</v>
      </c>
      <c r="AU125" s="1998">
        <v>1.1035697704414353</v>
      </c>
      <c r="AV125" s="1998">
        <v>1.12907323718477</v>
      </c>
      <c r="AW125" s="1998">
        <v>1.1066659744642249</v>
      </c>
      <c r="AX125" s="1998">
        <v>1.131557726232614</v>
      </c>
      <c r="AY125" s="1998">
        <v>1.1097621784870144</v>
      </c>
      <c r="AZ125" s="1998">
        <v>1.1340422152804581</v>
      </c>
      <c r="BA125" s="1998">
        <v>1.1128583825098037</v>
      </c>
      <c r="BB125" s="1999">
        <v>1.4004962089428585</v>
      </c>
      <c r="BC125" s="1979">
        <v>1.3816809830235457</v>
      </c>
      <c r="BD125" s="1979">
        <v>1.4586098411228288</v>
      </c>
      <c r="BE125" s="1979">
        <v>1.4336433647251035</v>
      </c>
      <c r="BF125" s="1979">
        <v>1.4717712023513398</v>
      </c>
      <c r="BG125" s="1979">
        <v>1.4494814519313506</v>
      </c>
      <c r="BH125" s="1979">
        <v>1.4849325635798512</v>
      </c>
      <c r="BI125" s="1979">
        <v>1.4653195391375973</v>
      </c>
      <c r="BJ125" s="1979">
        <v>1.4980939248083625</v>
      </c>
      <c r="BK125" s="1979">
        <v>1.4811576263438444</v>
      </c>
      <c r="BL125" s="2000">
        <v>1.033797087588213</v>
      </c>
      <c r="BM125" s="1998">
        <v>1.000942728962692</v>
      </c>
      <c r="BN125" s="2000">
        <v>1.0362569994988451</v>
      </c>
      <c r="BO125" s="1998">
        <v>1.0038938604982186</v>
      </c>
      <c r="BP125" s="2000">
        <v>1.0387169114094772</v>
      </c>
      <c r="BQ125" s="1998">
        <v>1.0068449920337454</v>
      </c>
      <c r="BR125" s="2000">
        <v>1.0411768233201095</v>
      </c>
      <c r="BS125" s="1998">
        <v>1.0097961235692721</v>
      </c>
      <c r="BT125" s="2000">
        <v>1.0436367352307416</v>
      </c>
      <c r="BU125" s="1998">
        <v>1.0127472551047985</v>
      </c>
      <c r="BV125" s="1999">
        <v>1.0112306791611381</v>
      </c>
      <c r="BW125" s="1979">
        <v>1.0064653412326867</v>
      </c>
      <c r="BX125" s="1979">
        <v>1.023913288656972</v>
      </c>
      <c r="BY125" s="1979">
        <v>1.0242677821121868</v>
      </c>
      <c r="BZ125" s="1979">
        <v>1.0509286694248912</v>
      </c>
      <c r="CA125" s="1979">
        <v>1.0592769848639561</v>
      </c>
      <c r="CB125" s="1979">
        <v>1.0751802505309769</v>
      </c>
      <c r="CC125" s="1979">
        <v>1.0928542251065574</v>
      </c>
      <c r="CD125" s="1979">
        <v>1.1083665600223049</v>
      </c>
      <c r="CE125" s="1979">
        <v>1.1322761375314088</v>
      </c>
      <c r="CF125" s="2000">
        <v>1.0427658568198337</v>
      </c>
      <c r="CG125" s="1998">
        <v>1.089726061065678</v>
      </c>
      <c r="CH125" s="2000">
        <v>1.0455223511739105</v>
      </c>
      <c r="CI125" s="1998">
        <v>1.0932606571735259</v>
      </c>
      <c r="CJ125" s="2000">
        <v>1.048278845527987</v>
      </c>
      <c r="CK125" s="1998">
        <v>1.0967952532813736</v>
      </c>
      <c r="CL125" s="2000">
        <v>1.0510353398820638</v>
      </c>
      <c r="CM125" s="1998">
        <v>1.1003298493892215</v>
      </c>
      <c r="CN125" s="2000">
        <v>1.0537918342361401</v>
      </c>
      <c r="CO125" s="1998">
        <v>1.1038644454970694</v>
      </c>
      <c r="CP125" s="1999">
        <v>1.0457318730248488</v>
      </c>
      <c r="CQ125" s="1979">
        <v>1.0946039044971434</v>
      </c>
      <c r="CR125" s="1999">
        <v>1.0486248486144947</v>
      </c>
      <c r="CS125" s="1979">
        <v>1.0983049730769834</v>
      </c>
      <c r="CT125" s="1999">
        <v>1.0515178242041401</v>
      </c>
      <c r="CU125" s="1979">
        <v>1.1020060416568231</v>
      </c>
      <c r="CV125" s="1999">
        <v>1.0544107997937855</v>
      </c>
      <c r="CW125" s="1979">
        <v>1.1057071102366633</v>
      </c>
      <c r="CX125" s="1999">
        <v>1.0573037753834309</v>
      </c>
      <c r="CY125" s="1979">
        <v>1.1094081788165036</v>
      </c>
      <c r="CZ125" s="2000">
        <v>1.1132664128574015</v>
      </c>
      <c r="DA125" s="1998">
        <v>1.1733217159451246</v>
      </c>
      <c r="DB125" s="2000">
        <v>1.1179997024719506</v>
      </c>
      <c r="DC125" s="1998">
        <v>1.1793207725527295</v>
      </c>
      <c r="DD125" s="2000">
        <v>1.1227329920864997</v>
      </c>
      <c r="DE125" s="1998">
        <v>1.1853198291603342</v>
      </c>
      <c r="DF125" s="2000">
        <v>1.127466281701049</v>
      </c>
      <c r="DG125" s="1998">
        <v>1.1913188857679387</v>
      </c>
      <c r="DH125" s="2000">
        <v>1.1369328609301474</v>
      </c>
      <c r="DI125" s="1998">
        <v>1.2033169989831485</v>
      </c>
      <c r="DJ125" s="1999">
        <v>1.1176081469602686</v>
      </c>
      <c r="DK125" s="1979">
        <v>1.1685729380420038</v>
      </c>
      <c r="DL125" s="1999">
        <v>1.1217825121006417</v>
      </c>
      <c r="DM125" s="1979">
        <v>1.1739353996693018</v>
      </c>
      <c r="DN125" s="1999">
        <v>1.1259568772410151</v>
      </c>
      <c r="DO125" s="1979">
        <v>1.1792978612965999</v>
      </c>
      <c r="DP125" s="1999">
        <v>1.1301312423813881</v>
      </c>
      <c r="DQ125" s="1979">
        <v>1.1846603229238979</v>
      </c>
      <c r="DR125" s="1999">
        <v>1.1384799726621344</v>
      </c>
      <c r="DS125" s="1979">
        <v>1.1953852461784942</v>
      </c>
      <c r="GT125" s="1980"/>
      <c r="GU125" s="1980"/>
      <c r="GV125" s="1980"/>
      <c r="GW125" s="1980"/>
      <c r="GX125" s="1980"/>
      <c r="GY125" s="1980"/>
      <c r="GZ125" s="1980"/>
      <c r="HA125" s="1980"/>
      <c r="HB125" s="1980"/>
      <c r="HC125" s="1980"/>
      <c r="HD125" s="1980"/>
      <c r="HE125" s="1980"/>
      <c r="HF125" s="1980"/>
      <c r="HG125" s="1980"/>
      <c r="HH125" s="1980"/>
      <c r="HI125" s="1980"/>
      <c r="HJ125" s="1980"/>
      <c r="HK125" s="1980"/>
      <c r="HL125" s="1980"/>
      <c r="HM125" s="1980"/>
      <c r="HN125" s="1980"/>
      <c r="HO125" s="1980"/>
      <c r="HP125" s="1980"/>
      <c r="HQ125" s="1980"/>
      <c r="HR125" s="1980"/>
      <c r="HS125" s="1980"/>
      <c r="HT125" s="1980"/>
      <c r="HU125" s="1980"/>
      <c r="HV125" s="1980"/>
      <c r="HW125" s="1980"/>
      <c r="HX125" s="1980"/>
      <c r="HY125" s="1980"/>
      <c r="HZ125" s="1980"/>
      <c r="IA125" s="1980"/>
      <c r="IB125" s="1980"/>
      <c r="IC125" s="1980"/>
      <c r="ID125" s="1980"/>
      <c r="IE125" s="1980"/>
      <c r="IF125" s="1980"/>
      <c r="IG125" s="1980"/>
      <c r="IH125" s="1980"/>
      <c r="II125" s="1980"/>
      <c r="IJ125" s="1980"/>
      <c r="IK125" s="1980"/>
      <c r="IL125" s="1980"/>
      <c r="IM125" s="1980"/>
      <c r="IN125" s="1980"/>
      <c r="IO125" s="1980"/>
      <c r="IP125" s="1980"/>
      <c r="IQ125" s="1980"/>
      <c r="IR125" s="1980"/>
      <c r="IS125" s="1980"/>
      <c r="IT125" s="1980"/>
      <c r="IU125" s="1980"/>
      <c r="IV125" s="1980"/>
      <c r="IW125" s="1980"/>
      <c r="IX125" s="1980"/>
      <c r="IY125" s="1980"/>
      <c r="IZ125" s="1980"/>
      <c r="JA125" s="1980"/>
      <c r="JB125" s="1980"/>
      <c r="JC125" s="1980"/>
      <c r="JD125" s="1980"/>
      <c r="JE125" s="1980"/>
      <c r="JF125" s="1980"/>
      <c r="JG125" s="1980"/>
      <c r="JH125" s="1980"/>
      <c r="JI125" s="1980"/>
      <c r="JJ125" s="1980"/>
      <c r="JK125" s="1980"/>
      <c r="JL125" s="1980"/>
      <c r="JM125" s="1980"/>
      <c r="JN125" s="1980"/>
      <c r="JO125" s="1980"/>
      <c r="JP125" s="1980"/>
      <c r="JQ125" s="1980"/>
      <c r="JR125" s="1980"/>
      <c r="JS125" s="1980"/>
      <c r="JT125" s="1980"/>
      <c r="JU125" s="1980"/>
      <c r="JV125" s="1980"/>
      <c r="JW125" s="1980"/>
      <c r="JX125" s="1980"/>
      <c r="JY125" s="1980"/>
      <c r="JZ125" s="1980"/>
      <c r="KA125" s="1980"/>
      <c r="KB125" s="1980"/>
      <c r="KC125" s="1980"/>
      <c r="KD125" s="1980"/>
      <c r="KE125" s="1980"/>
      <c r="KF125" s="1980"/>
      <c r="KG125" s="1980"/>
      <c r="KH125" s="1980"/>
      <c r="KI125" s="1980"/>
      <c r="KJ125" s="1980"/>
      <c r="KK125" s="1980"/>
    </row>
    <row r="126" spans="1:297">
      <c r="A126" s="1997"/>
      <c r="B126" s="2">
        <v>23</v>
      </c>
      <c r="C126" s="2" t="str">
        <f>CONCATENATE($U$8," ",V$20)</f>
        <v>Proportion de fenêtres 100</v>
      </c>
      <c r="D126" s="1998">
        <v>1.045951341688254</v>
      </c>
      <c r="E126" s="1998">
        <v>0.97526631671392727</v>
      </c>
      <c r="F126" s="1998">
        <v>1.0590968052834366</v>
      </c>
      <c r="G126" s="1998">
        <v>0.99292544833185681</v>
      </c>
      <c r="H126" s="1998">
        <v>1.0901593104932537</v>
      </c>
      <c r="I126" s="1998">
        <v>1.031397032220613</v>
      </c>
      <c r="J126" s="1998">
        <v>1.1186428719825705</v>
      </c>
      <c r="K126" s="1998">
        <v>1.0691256707274555</v>
      </c>
      <c r="L126" s="1998">
        <v>1.1531091228752943</v>
      </c>
      <c r="M126" s="1998">
        <v>1.110594913332543</v>
      </c>
      <c r="N126" s="1999">
        <v>1.0592478404243812</v>
      </c>
      <c r="O126" s="1979">
        <v>1.0052342423300236</v>
      </c>
      <c r="P126" s="1979">
        <v>1.0726972108671549</v>
      </c>
      <c r="Q126" s="1979">
        <v>1.0232779479733491</v>
      </c>
      <c r="R126" s="1979">
        <v>1.0963373853046747</v>
      </c>
      <c r="S126" s="1979">
        <v>1.0526034375543332</v>
      </c>
      <c r="T126" s="1979">
        <v>1.1165584108142534</v>
      </c>
      <c r="U126" s="1979">
        <v>1.079352610611169</v>
      </c>
      <c r="V126" s="1979">
        <v>1.1516447263545886</v>
      </c>
      <c r="W126" s="1979">
        <v>1.1153839429539876</v>
      </c>
      <c r="X126" s="2000">
        <v>1.0416768183367748</v>
      </c>
      <c r="Y126" s="1998">
        <v>1.0033104023159949</v>
      </c>
      <c r="Z126" s="1998">
        <v>1.0733372441708668</v>
      </c>
      <c r="AA126" s="1998">
        <v>1.0424089366896521</v>
      </c>
      <c r="AB126" s="1998">
        <v>1.0752075945489241</v>
      </c>
      <c r="AC126" s="1998">
        <v>1.0447309834324792</v>
      </c>
      <c r="AD126" s="1998">
        <v>1.0770779449269816</v>
      </c>
      <c r="AE126" s="1998">
        <v>1.0470530301753067</v>
      </c>
      <c r="AF126" s="1998">
        <v>1.0789482953050389</v>
      </c>
      <c r="AG126" s="1998">
        <v>1.049375076918134</v>
      </c>
      <c r="AH126" s="1999">
        <v>1.0453541236439059</v>
      </c>
      <c r="AI126" s="1979">
        <v>1.0108594951395435</v>
      </c>
      <c r="AJ126" s="1979">
        <v>1.0723269454397633</v>
      </c>
      <c r="AK126" s="1979">
        <v>1.0411855811014028</v>
      </c>
      <c r="AL126" s="1979">
        <v>1.0757026207645497</v>
      </c>
      <c r="AM126" s="1979">
        <v>1.0454244364283247</v>
      </c>
      <c r="AN126" s="1979">
        <v>1.0790782960893366</v>
      </c>
      <c r="AO126" s="1979">
        <v>1.0496632917552466</v>
      </c>
      <c r="AP126" s="1979">
        <v>1.082453971414123</v>
      </c>
      <c r="AQ126" s="1979">
        <v>1.0539021470821686</v>
      </c>
      <c r="AR126" s="2000">
        <v>1.1013839641036558</v>
      </c>
      <c r="AS126" s="1998">
        <v>1.0693881364990228</v>
      </c>
      <c r="AT126" s="1998">
        <v>1.1345585059528933</v>
      </c>
      <c r="AU126" s="1998">
        <v>1.1095288771777372</v>
      </c>
      <c r="AV126" s="1998">
        <v>1.1370429950007372</v>
      </c>
      <c r="AW126" s="1998">
        <v>1.1126250812005265</v>
      </c>
      <c r="AX126" s="1998">
        <v>1.1395274840485816</v>
      </c>
      <c r="AY126" s="1998">
        <v>1.1157212852233163</v>
      </c>
      <c r="AZ126" s="1998">
        <v>1.1420119730964258</v>
      </c>
      <c r="BA126" s="1998">
        <v>1.1188174892461054</v>
      </c>
      <c r="BB126" s="1999">
        <v>1.4095168570861902</v>
      </c>
      <c r="BC126" s="1979">
        <v>1.3881940151469747</v>
      </c>
      <c r="BD126" s="1979">
        <v>1.4676304892661605</v>
      </c>
      <c r="BE126" s="1979">
        <v>1.4401563968485327</v>
      </c>
      <c r="BF126" s="1979">
        <v>1.4807918504946718</v>
      </c>
      <c r="BG126" s="1979">
        <v>1.4559944840547796</v>
      </c>
      <c r="BH126" s="1979">
        <v>1.4939532117231829</v>
      </c>
      <c r="BI126" s="1979">
        <v>1.4718325712610267</v>
      </c>
      <c r="BJ126" s="1979">
        <v>1.5071145729516942</v>
      </c>
      <c r="BK126" s="1979">
        <v>1.4876706584672734</v>
      </c>
      <c r="BL126" s="2000">
        <v>1.0404112114938349</v>
      </c>
      <c r="BM126" s="1998">
        <v>1.0057078034048899</v>
      </c>
      <c r="BN126" s="2000">
        <v>1.0428711234044672</v>
      </c>
      <c r="BO126" s="1998">
        <v>1.0086589349404163</v>
      </c>
      <c r="BP126" s="2000">
        <v>1.0453310353150991</v>
      </c>
      <c r="BQ126" s="1998">
        <v>1.0116100664759429</v>
      </c>
      <c r="BR126" s="2000">
        <v>1.0477909472257312</v>
      </c>
      <c r="BS126" s="1998">
        <v>1.0145611980114697</v>
      </c>
      <c r="BT126" s="2000">
        <v>1.0502508591363633</v>
      </c>
      <c r="BU126" s="1998">
        <v>1.0175123295469959</v>
      </c>
      <c r="BV126" s="1999">
        <v>1.0147496202487374</v>
      </c>
      <c r="BW126" s="1979">
        <v>1.0091615962291098</v>
      </c>
      <c r="BX126" s="1979">
        <v>1.0274087997228147</v>
      </c>
      <c r="BY126" s="1979">
        <v>1.0269469839167784</v>
      </c>
      <c r="BZ126" s="1979">
        <v>1.0543966638372757</v>
      </c>
      <c r="CA126" s="1979">
        <v>1.0619361590827918</v>
      </c>
      <c r="CB126" s="1979">
        <v>1.0786204558477896</v>
      </c>
      <c r="CC126" s="1979">
        <v>1.0954931734467093</v>
      </c>
      <c r="CD126" s="1979">
        <v>1.1117481902847266</v>
      </c>
      <c r="CE126" s="1979">
        <v>1.1348724528919818</v>
      </c>
      <c r="CF126" s="2000">
        <v>1.0460673718089986</v>
      </c>
      <c r="CG126" s="1998">
        <v>1.0922683465195417</v>
      </c>
      <c r="CH126" s="2000">
        <v>1.0488238661630753</v>
      </c>
      <c r="CI126" s="1998">
        <v>1.0958029426273896</v>
      </c>
      <c r="CJ126" s="2000">
        <v>1.0515803605171519</v>
      </c>
      <c r="CK126" s="1998">
        <v>1.0993375387352373</v>
      </c>
      <c r="CL126" s="2000">
        <v>1.0543368548712284</v>
      </c>
      <c r="CM126" s="1998">
        <v>1.1028721348430852</v>
      </c>
      <c r="CN126" s="2000">
        <v>1.057093349225305</v>
      </c>
      <c r="CO126" s="1998">
        <v>1.1064067309509333</v>
      </c>
      <c r="CP126" s="1999">
        <v>1.0493382824660711</v>
      </c>
      <c r="CQ126" s="1979">
        <v>1.0973745805193644</v>
      </c>
      <c r="CR126" s="1999">
        <v>1.0522312580557165</v>
      </c>
      <c r="CS126" s="1979">
        <v>1.1010756490992044</v>
      </c>
      <c r="CT126" s="1999">
        <v>1.0551242336453619</v>
      </c>
      <c r="CU126" s="1979">
        <v>1.1047767176790446</v>
      </c>
      <c r="CV126" s="1999">
        <v>1.0580172092350075</v>
      </c>
      <c r="CW126" s="1979">
        <v>1.1084777862588846</v>
      </c>
      <c r="CX126" s="1999">
        <v>1.0609101848246529</v>
      </c>
      <c r="CY126" s="1979">
        <v>1.1121788548387244</v>
      </c>
      <c r="CZ126" s="2000">
        <v>1.1186396617249832</v>
      </c>
      <c r="DA126" s="1998">
        <v>1.1774113569733045</v>
      </c>
      <c r="DB126" s="2000">
        <v>1.1233729513395325</v>
      </c>
      <c r="DC126" s="1998">
        <v>1.1834104135809091</v>
      </c>
      <c r="DD126" s="2000">
        <v>1.1281062409540819</v>
      </c>
      <c r="DE126" s="1998">
        <v>1.1894094701885138</v>
      </c>
      <c r="DF126" s="2000">
        <v>1.1328395305686307</v>
      </c>
      <c r="DG126" s="1998">
        <v>1.1954085267961185</v>
      </c>
      <c r="DH126" s="2000">
        <v>1.1423061097977294</v>
      </c>
      <c r="DI126" s="1998">
        <v>1.2074066400113284</v>
      </c>
      <c r="DJ126" s="1999">
        <v>1.1267147990653388</v>
      </c>
      <c r="DK126" s="1979">
        <v>1.1755981730999518</v>
      </c>
      <c r="DL126" s="1999">
        <v>1.1308891642057119</v>
      </c>
      <c r="DM126" s="1979">
        <v>1.1809606347272497</v>
      </c>
      <c r="DN126" s="1999">
        <v>1.1350635293460851</v>
      </c>
      <c r="DO126" s="1979">
        <v>1.1863230963545479</v>
      </c>
      <c r="DP126" s="1999">
        <v>1.1392378944864583</v>
      </c>
      <c r="DQ126" s="1979">
        <v>1.1916855579818459</v>
      </c>
      <c r="DR126" s="1999">
        <v>1.1475866247672049</v>
      </c>
      <c r="DS126" s="1979">
        <v>1.202410481236442</v>
      </c>
      <c r="GT126" s="1980"/>
      <c r="GU126" s="1980"/>
      <c r="GV126" s="1980"/>
      <c r="GW126" s="1980"/>
      <c r="GX126" s="1980"/>
      <c r="GY126" s="1980"/>
      <c r="GZ126" s="1980"/>
      <c r="HA126" s="1980"/>
      <c r="HB126" s="1980"/>
      <c r="HC126" s="1980"/>
      <c r="HD126" s="1980"/>
      <c r="HE126" s="1980"/>
      <c r="HF126" s="1980"/>
      <c r="HG126" s="1980"/>
      <c r="HH126" s="1980"/>
      <c r="HI126" s="1980"/>
      <c r="HJ126" s="1980"/>
      <c r="HK126" s="1980"/>
      <c r="HL126" s="1980"/>
      <c r="HM126" s="1980"/>
      <c r="HN126" s="1980"/>
      <c r="HO126" s="1980"/>
      <c r="HP126" s="1980"/>
      <c r="HQ126" s="1980"/>
      <c r="HR126" s="1980"/>
      <c r="HS126" s="1980"/>
      <c r="HT126" s="1980"/>
      <c r="HU126" s="1980"/>
      <c r="HV126" s="1980"/>
      <c r="HW126" s="1980"/>
      <c r="HX126" s="1980"/>
      <c r="HY126" s="1980"/>
      <c r="HZ126" s="1980"/>
      <c r="IA126" s="1980"/>
      <c r="IB126" s="1980"/>
      <c r="IC126" s="1980"/>
      <c r="ID126" s="1980"/>
      <c r="IE126" s="1980"/>
      <c r="IF126" s="1980"/>
      <c r="IG126" s="1980"/>
      <c r="IH126" s="1980"/>
      <c r="II126" s="1980"/>
      <c r="IJ126" s="1980"/>
      <c r="IK126" s="1980"/>
      <c r="IL126" s="1980"/>
      <c r="IM126" s="1980"/>
      <c r="IN126" s="1980"/>
      <c r="IO126" s="1980"/>
      <c r="IP126" s="1980"/>
      <c r="IQ126" s="1980"/>
      <c r="IR126" s="1980"/>
      <c r="IS126" s="1980"/>
      <c r="IT126" s="1980"/>
      <c r="IU126" s="1980"/>
      <c r="IV126" s="1980"/>
      <c r="IW126" s="1980"/>
      <c r="IX126" s="1980"/>
      <c r="IY126" s="1980"/>
      <c r="IZ126" s="1980"/>
      <c r="JA126" s="1980"/>
      <c r="JB126" s="1980"/>
      <c r="JC126" s="1980"/>
      <c r="JD126" s="1980"/>
      <c r="JE126" s="1980"/>
      <c r="JF126" s="1980"/>
      <c r="JG126" s="1980"/>
      <c r="JH126" s="1980"/>
      <c r="JI126" s="1980"/>
      <c r="JJ126" s="1980"/>
      <c r="JK126" s="1980"/>
      <c r="JL126" s="1980"/>
      <c r="JM126" s="1980"/>
      <c r="JN126" s="1980"/>
      <c r="JO126" s="1980"/>
      <c r="JP126" s="1980"/>
      <c r="JQ126" s="1980"/>
      <c r="JR126" s="1980"/>
      <c r="JS126" s="1980"/>
      <c r="JT126" s="1980"/>
      <c r="JU126" s="1980"/>
      <c r="JV126" s="1980"/>
      <c r="JW126" s="1980"/>
      <c r="JX126" s="1980"/>
      <c r="JY126" s="1980"/>
      <c r="JZ126" s="1980"/>
      <c r="KA126" s="1980"/>
      <c r="KB126" s="1980"/>
      <c r="KC126" s="1980"/>
      <c r="KD126" s="1980"/>
      <c r="KE126" s="1980"/>
      <c r="KF126" s="1980"/>
      <c r="KG126" s="1980"/>
      <c r="KH126" s="1980"/>
      <c r="KI126" s="1980"/>
      <c r="KJ126" s="1980"/>
      <c r="KK126" s="1980"/>
    </row>
    <row r="127" spans="1:297">
      <c r="A127" s="1997"/>
      <c r="B127" s="2">
        <v>24</v>
      </c>
      <c r="C127" s="2" t="s">
        <v>4211</v>
      </c>
      <c r="D127" s="1998">
        <v>0.8826013366689236</v>
      </c>
      <c r="E127" s="1998">
        <v>0.88191265901315286</v>
      </c>
      <c r="F127" s="1998">
        <v>0.8826013366689236</v>
      </c>
      <c r="G127" s="1998">
        <v>0.88191265901315286</v>
      </c>
      <c r="H127" s="1998">
        <v>0.8826013366689236</v>
      </c>
      <c r="I127" s="1998">
        <v>0.88191265901315286</v>
      </c>
      <c r="J127" s="1998">
        <v>0.8826013366689236</v>
      </c>
      <c r="K127" s="1998">
        <v>0.88191265901315286</v>
      </c>
      <c r="L127" s="1998">
        <v>0.8826013366689236</v>
      </c>
      <c r="M127" s="1998">
        <v>0.88191265901315286</v>
      </c>
      <c r="N127" s="1999">
        <v>0.76334582665060702</v>
      </c>
      <c r="O127" s="1979">
        <v>0.76788521867535808</v>
      </c>
      <c r="P127" s="1979">
        <v>0.76334582665060702</v>
      </c>
      <c r="Q127" s="1979">
        <v>0.76788521867535808</v>
      </c>
      <c r="R127" s="1979">
        <v>0.76334582665060702</v>
      </c>
      <c r="S127" s="1979">
        <v>0.76788521867535808</v>
      </c>
      <c r="T127" s="1979">
        <v>0.76334582665060702</v>
      </c>
      <c r="U127" s="1979">
        <v>0.76788521867535808</v>
      </c>
      <c r="V127" s="1979">
        <v>0.76334582665060702</v>
      </c>
      <c r="W127" s="1979">
        <v>0.76788521867535808</v>
      </c>
      <c r="X127" s="2000">
        <v>0.92312868655307501</v>
      </c>
      <c r="Y127" s="1998">
        <v>0.91669361180519193</v>
      </c>
      <c r="Z127" s="1998">
        <v>0.92312868655307501</v>
      </c>
      <c r="AA127" s="1998">
        <v>0.91669361180519193</v>
      </c>
      <c r="AB127" s="1998">
        <v>0.92312868655307501</v>
      </c>
      <c r="AC127" s="1998">
        <v>0.91669361180519193</v>
      </c>
      <c r="AD127" s="1998">
        <v>0.92312868655307501</v>
      </c>
      <c r="AE127" s="1998">
        <v>0.91669361180519193</v>
      </c>
      <c r="AF127" s="1998">
        <v>0.92312868655307501</v>
      </c>
      <c r="AG127" s="1998">
        <v>0.91669361180519193</v>
      </c>
      <c r="AH127" s="1999">
        <v>0.83515927062346285</v>
      </c>
      <c r="AI127" s="1979">
        <v>0.82782218967614762</v>
      </c>
      <c r="AJ127" s="1979">
        <v>0.83515927062346285</v>
      </c>
      <c r="AK127" s="1979">
        <v>0.82782218967614762</v>
      </c>
      <c r="AL127" s="1979">
        <v>0.83515927062346285</v>
      </c>
      <c r="AM127" s="1979">
        <v>0.82782218967614762</v>
      </c>
      <c r="AN127" s="1979">
        <v>0.83515927062346285</v>
      </c>
      <c r="AO127" s="1979">
        <v>0.82782218967614762</v>
      </c>
      <c r="AP127" s="1979">
        <v>0.83515927062346285</v>
      </c>
      <c r="AQ127" s="1979">
        <v>0.82782218967614762</v>
      </c>
      <c r="AR127" s="2000">
        <v>0.91408103122428785</v>
      </c>
      <c r="AS127" s="1998">
        <v>0.91475539883448376</v>
      </c>
      <c r="AT127" s="1998">
        <v>0.91408103122428785</v>
      </c>
      <c r="AU127" s="1998">
        <v>0.91475539883448376</v>
      </c>
      <c r="AV127" s="1998">
        <v>0.91408103122428785</v>
      </c>
      <c r="AW127" s="1998">
        <v>0.91475539883448376</v>
      </c>
      <c r="AX127" s="1998">
        <v>0.91408103122428785</v>
      </c>
      <c r="AY127" s="1998">
        <v>0.91475539883448376</v>
      </c>
      <c r="AZ127" s="1998">
        <v>0.91408103122428785</v>
      </c>
      <c r="BA127" s="1998">
        <v>0.91475539883448376</v>
      </c>
      <c r="BB127" s="1999">
        <v>1.3779240903170769</v>
      </c>
      <c r="BC127" s="1979">
        <v>1.3862499617484139</v>
      </c>
      <c r="BD127" s="1979">
        <v>1.3779240903170769</v>
      </c>
      <c r="BE127" s="1979">
        <v>1.3862499617484139</v>
      </c>
      <c r="BF127" s="1979">
        <v>1.3779240903170769</v>
      </c>
      <c r="BG127" s="1979">
        <v>1.3862499617484139</v>
      </c>
      <c r="BH127" s="1979">
        <v>1.3779240903170769</v>
      </c>
      <c r="BI127" s="1979">
        <v>1.3862499617484139</v>
      </c>
      <c r="BJ127" s="1979">
        <v>1.3779240903170769</v>
      </c>
      <c r="BK127" s="1979">
        <v>1.3862499617484139</v>
      </c>
      <c r="BL127" s="2000">
        <v>0.81504532796908635</v>
      </c>
      <c r="BM127" s="1998">
        <v>0.81939147790231492</v>
      </c>
      <c r="BN127" s="1998">
        <v>0.81504532796908635</v>
      </c>
      <c r="BO127" s="1998">
        <v>0.81939147790231492</v>
      </c>
      <c r="BP127" s="1998">
        <v>0.81504532796908635</v>
      </c>
      <c r="BQ127" s="1998">
        <v>0.81939147790231492</v>
      </c>
      <c r="BR127" s="1998">
        <v>0.81504532796908635</v>
      </c>
      <c r="BS127" s="1998">
        <v>0.81939147790231492</v>
      </c>
      <c r="BT127" s="1998">
        <v>0.81504532796908635</v>
      </c>
      <c r="BU127" s="1998">
        <v>0.81939147790231492</v>
      </c>
      <c r="BV127" s="1999">
        <v>0.75818607942942884</v>
      </c>
      <c r="BW127" s="1979">
        <v>0.75642464860108916</v>
      </c>
      <c r="BX127" s="1979">
        <v>0.75818607942942884</v>
      </c>
      <c r="BY127" s="1979">
        <v>0.75642464860108916</v>
      </c>
      <c r="BZ127" s="1979">
        <v>0.75818607942942884</v>
      </c>
      <c r="CA127" s="1979">
        <v>0.75642464860108916</v>
      </c>
      <c r="CB127" s="1979">
        <v>0.75818607942942884</v>
      </c>
      <c r="CC127" s="1979">
        <v>0.75642464860108916</v>
      </c>
      <c r="CD127" s="1979">
        <v>0.75818607942942884</v>
      </c>
      <c r="CE127" s="1979">
        <v>0.75642464860108916</v>
      </c>
      <c r="CF127" s="2000">
        <v>0.80719296136381258</v>
      </c>
      <c r="CG127" s="1998">
        <v>0.81872288984299058</v>
      </c>
      <c r="CH127" s="1998">
        <v>0.80719296136381258</v>
      </c>
      <c r="CI127" s="1998">
        <v>0.81872288984299058</v>
      </c>
      <c r="CJ127" s="1998">
        <v>0.80719296136381258</v>
      </c>
      <c r="CK127" s="1998">
        <v>0.81872288984299058</v>
      </c>
      <c r="CL127" s="1998">
        <v>0.80719296136381258</v>
      </c>
      <c r="CM127" s="1998">
        <v>0.81872288984299058</v>
      </c>
      <c r="CN127" s="1998">
        <v>0.80719296136381258</v>
      </c>
      <c r="CO127" s="1998">
        <v>0.81872288984299058</v>
      </c>
      <c r="CP127" s="1999">
        <v>0.79813582946748696</v>
      </c>
      <c r="CQ127" s="1979">
        <v>0.81077198351634028</v>
      </c>
      <c r="CR127" s="1979">
        <v>0.79813582946748696</v>
      </c>
      <c r="CS127" s="1979">
        <v>0.81077198351634028</v>
      </c>
      <c r="CT127" s="1979">
        <v>0.79813582946748696</v>
      </c>
      <c r="CU127" s="1979">
        <v>0.81077198351634028</v>
      </c>
      <c r="CV127" s="1979">
        <v>0.79813582946748696</v>
      </c>
      <c r="CW127" s="1979">
        <v>0.81077198351634028</v>
      </c>
      <c r="CX127" s="1979">
        <v>0.79813582946748696</v>
      </c>
      <c r="CY127" s="1979">
        <v>0.81077198351634028</v>
      </c>
      <c r="CZ127" s="2000">
        <v>1</v>
      </c>
      <c r="DA127" s="1998">
        <v>1</v>
      </c>
      <c r="DB127" s="1998">
        <v>1</v>
      </c>
      <c r="DC127" s="1998">
        <v>1</v>
      </c>
      <c r="DD127" s="1998">
        <v>1</v>
      </c>
      <c r="DE127" s="1998">
        <v>1</v>
      </c>
      <c r="DF127" s="1998">
        <v>1</v>
      </c>
      <c r="DG127" s="1998">
        <v>1</v>
      </c>
      <c r="DH127" s="1998">
        <v>1</v>
      </c>
      <c r="DI127" s="1998">
        <v>1</v>
      </c>
      <c r="DJ127" s="1999">
        <v>1.0002450682306379</v>
      </c>
      <c r="DK127" s="1979">
        <v>1.0001651239704095</v>
      </c>
      <c r="DL127" s="1979">
        <v>1.0002450682306379</v>
      </c>
      <c r="DM127" s="1979">
        <v>1.0001651239704095</v>
      </c>
      <c r="DN127" s="1979">
        <v>1.0002450682306379</v>
      </c>
      <c r="DO127" s="1979">
        <v>1.0001651239704095</v>
      </c>
      <c r="DP127" s="1979">
        <v>1.0002450682306379</v>
      </c>
      <c r="DQ127" s="1979">
        <v>1.0001651239704095</v>
      </c>
      <c r="DR127" s="1979">
        <v>1.0002450682306379</v>
      </c>
      <c r="DS127" s="1979">
        <v>1.0001651239704095</v>
      </c>
      <c r="GT127" s="1980"/>
      <c r="GU127" s="1980"/>
      <c r="GV127" s="1980"/>
      <c r="GW127" s="1980"/>
      <c r="GX127" s="1980"/>
      <c r="GY127" s="1980"/>
      <c r="GZ127" s="1980"/>
      <c r="HA127" s="1980"/>
      <c r="HB127" s="1980"/>
      <c r="HC127" s="1980"/>
      <c r="HD127" s="1980"/>
      <c r="HE127" s="1980"/>
      <c r="HF127" s="1980"/>
      <c r="HG127" s="1980"/>
      <c r="HH127" s="1980"/>
      <c r="HI127" s="1980"/>
      <c r="HJ127" s="1980"/>
      <c r="HK127" s="1980"/>
      <c r="HL127" s="1980"/>
      <c r="HM127" s="1980"/>
      <c r="HN127" s="1980"/>
      <c r="HO127" s="1980"/>
      <c r="HP127" s="1980"/>
      <c r="HQ127" s="1980"/>
      <c r="HR127" s="1980"/>
      <c r="HS127" s="1980"/>
      <c r="HT127" s="1980"/>
      <c r="HU127" s="1980"/>
      <c r="HV127" s="1980"/>
      <c r="HW127" s="1980"/>
      <c r="HX127" s="1980"/>
      <c r="HY127" s="1980"/>
      <c r="HZ127" s="1980"/>
      <c r="IA127" s="1980"/>
      <c r="IB127" s="1980"/>
      <c r="IC127" s="1980"/>
      <c r="ID127" s="1980"/>
      <c r="IE127" s="1980"/>
      <c r="IF127" s="1980"/>
      <c r="IG127" s="1980"/>
      <c r="IH127" s="1980"/>
      <c r="II127" s="1980"/>
      <c r="IJ127" s="1980"/>
      <c r="IK127" s="1980"/>
      <c r="IL127" s="1980"/>
      <c r="IM127" s="1980"/>
      <c r="IN127" s="1980"/>
      <c r="IO127" s="1980"/>
      <c r="IP127" s="1980"/>
      <c r="IQ127" s="1980"/>
      <c r="IR127" s="1980"/>
      <c r="IS127" s="1980"/>
      <c r="IT127" s="1980"/>
      <c r="IU127" s="1980"/>
      <c r="IV127" s="1980"/>
      <c r="IW127" s="1980"/>
      <c r="IX127" s="1980"/>
      <c r="IY127" s="1980"/>
      <c r="IZ127" s="1980"/>
      <c r="JA127" s="1980"/>
      <c r="JB127" s="1980"/>
      <c r="JC127" s="1980"/>
      <c r="JD127" s="1980"/>
      <c r="JE127" s="1980"/>
      <c r="JF127" s="1980"/>
      <c r="JG127" s="1980"/>
      <c r="JH127" s="1980"/>
      <c r="JI127" s="1980"/>
      <c r="JJ127" s="1980"/>
      <c r="JK127" s="1980"/>
      <c r="JL127" s="1980"/>
      <c r="JM127" s="1980"/>
      <c r="JN127" s="1980"/>
      <c r="JO127" s="1980"/>
      <c r="JP127" s="1980"/>
      <c r="JQ127" s="1980"/>
      <c r="JR127" s="1980"/>
      <c r="JS127" s="1980"/>
      <c r="JT127" s="1980"/>
      <c r="JU127" s="1980"/>
      <c r="JV127" s="1980"/>
      <c r="JW127" s="1980"/>
      <c r="JX127" s="1980"/>
      <c r="JY127" s="1980"/>
      <c r="JZ127" s="1980"/>
      <c r="KA127" s="1980"/>
      <c r="KB127" s="1980"/>
      <c r="KC127" s="1980"/>
      <c r="KD127" s="1980"/>
      <c r="KE127" s="1980"/>
      <c r="KF127" s="1980"/>
      <c r="KG127" s="1980"/>
      <c r="KH127" s="1980"/>
      <c r="KI127" s="1980"/>
      <c r="KJ127" s="1980"/>
      <c r="KK127" s="1980"/>
    </row>
    <row r="128" spans="1:297">
      <c r="A128" s="1997"/>
      <c r="B128" s="2">
        <v>25</v>
      </c>
      <c r="C128" s="2" t="s">
        <v>4229</v>
      </c>
      <c r="D128" s="1998">
        <v>0.91292982313176918</v>
      </c>
      <c r="E128" s="1998">
        <v>0.9125827720671047</v>
      </c>
      <c r="F128" s="1998">
        <v>0.91292982313176918</v>
      </c>
      <c r="G128" s="1998">
        <v>0.9125827720671047</v>
      </c>
      <c r="H128" s="1998">
        <v>0.91292982313176918</v>
      </c>
      <c r="I128" s="1998">
        <v>0.9125827720671047</v>
      </c>
      <c r="J128" s="1998">
        <v>0.91292982313176918</v>
      </c>
      <c r="K128" s="1998">
        <v>0.9125827720671047</v>
      </c>
      <c r="L128" s="1998">
        <v>0.91292982313176918</v>
      </c>
      <c r="M128" s="1998">
        <v>0.9125827720671047</v>
      </c>
      <c r="N128" s="1999">
        <v>0.85169000385791704</v>
      </c>
      <c r="O128" s="1979">
        <v>0.85830731292323603</v>
      </c>
      <c r="P128" s="1979">
        <v>0.85169000385791704</v>
      </c>
      <c r="Q128" s="1979">
        <v>0.85830731292323603</v>
      </c>
      <c r="R128" s="1979">
        <v>0.85169000385791704</v>
      </c>
      <c r="S128" s="1979">
        <v>0.85830731292323603</v>
      </c>
      <c r="T128" s="1979">
        <v>0.85169000385791704</v>
      </c>
      <c r="U128" s="1979">
        <v>0.85830731292323603</v>
      </c>
      <c r="V128" s="1979">
        <v>0.85169000385791704</v>
      </c>
      <c r="W128" s="1979">
        <v>0.85830731292323603</v>
      </c>
      <c r="X128" s="2000">
        <v>0.96981513216885551</v>
      </c>
      <c r="Y128" s="1998">
        <v>0.96505817916298342</v>
      </c>
      <c r="Z128" s="1998">
        <v>0.96981513216885551</v>
      </c>
      <c r="AA128" s="1998">
        <v>0.96505817916298342</v>
      </c>
      <c r="AB128" s="1998">
        <v>0.96981513216885551</v>
      </c>
      <c r="AC128" s="1998">
        <v>0.96505817916298342</v>
      </c>
      <c r="AD128" s="1998">
        <v>0.96981513216885551</v>
      </c>
      <c r="AE128" s="1998">
        <v>0.96505817916298342</v>
      </c>
      <c r="AF128" s="1998">
        <v>0.96981513216885551</v>
      </c>
      <c r="AG128" s="1998">
        <v>0.96505817916298342</v>
      </c>
      <c r="AH128" s="1999">
        <v>0.93871649296211201</v>
      </c>
      <c r="AI128" s="1979">
        <v>0.93819824274275199</v>
      </c>
      <c r="AJ128" s="1979">
        <v>0.93871649296211201</v>
      </c>
      <c r="AK128" s="1979">
        <v>0.93819824274275199</v>
      </c>
      <c r="AL128" s="1979">
        <v>0.93871649296211201</v>
      </c>
      <c r="AM128" s="1979">
        <v>0.93819824274275199</v>
      </c>
      <c r="AN128" s="1979">
        <v>0.93871649296211201</v>
      </c>
      <c r="AO128" s="1979">
        <v>0.93819824274275199</v>
      </c>
      <c r="AP128" s="1979">
        <v>0.93871649296211201</v>
      </c>
      <c r="AQ128" s="1979">
        <v>0.93819824274275199</v>
      </c>
      <c r="AR128" s="2000">
        <v>0.96312340480789194</v>
      </c>
      <c r="AS128" s="1998">
        <v>0.96438239521439473</v>
      </c>
      <c r="AT128" s="1998">
        <v>0.96312340480789194</v>
      </c>
      <c r="AU128" s="1998">
        <v>0.96438239521439473</v>
      </c>
      <c r="AV128" s="1998">
        <v>0.96312340480789194</v>
      </c>
      <c r="AW128" s="1998">
        <v>0.96438239521439473</v>
      </c>
      <c r="AX128" s="1998">
        <v>0.96312340480789194</v>
      </c>
      <c r="AY128" s="1998">
        <v>0.96438239521439473</v>
      </c>
      <c r="AZ128" s="1998">
        <v>0.96312340480789194</v>
      </c>
      <c r="BA128" s="1998">
        <v>0.96438239521439473</v>
      </c>
      <c r="BB128" s="1999">
        <v>1.6633162050082382</v>
      </c>
      <c r="BC128" s="1979">
        <v>1.6684354677572975</v>
      </c>
      <c r="BD128" s="1979">
        <v>1.6633162050082382</v>
      </c>
      <c r="BE128" s="1979">
        <v>1.6684354677572975</v>
      </c>
      <c r="BF128" s="1979">
        <v>1.6633162050082382</v>
      </c>
      <c r="BG128" s="1979">
        <v>1.6684354677572975</v>
      </c>
      <c r="BH128" s="1979">
        <v>1.6633162050082382</v>
      </c>
      <c r="BI128" s="1979">
        <v>1.6684354677572975</v>
      </c>
      <c r="BJ128" s="1979">
        <v>1.6633162050082382</v>
      </c>
      <c r="BK128" s="1979">
        <v>1.6684354677572975</v>
      </c>
      <c r="BL128" s="2000">
        <v>0.92257945362571736</v>
      </c>
      <c r="BM128" s="1998">
        <v>0.92638696675106547</v>
      </c>
      <c r="BN128" s="1998">
        <v>0.92257945362571736</v>
      </c>
      <c r="BO128" s="1998">
        <v>0.92638696675106547</v>
      </c>
      <c r="BP128" s="1998">
        <v>0.92257945362571736</v>
      </c>
      <c r="BQ128" s="1998">
        <v>0.92638696675106547</v>
      </c>
      <c r="BR128" s="1998">
        <v>0.92257945362571736</v>
      </c>
      <c r="BS128" s="1998">
        <v>0.92638696675106547</v>
      </c>
      <c r="BT128" s="1998">
        <v>0.92257945362571736</v>
      </c>
      <c r="BU128" s="1998">
        <v>0.92638696675106547</v>
      </c>
      <c r="BV128" s="1999">
        <v>0.82284332182257303</v>
      </c>
      <c r="BW128" s="1979">
        <v>0.82198011587613595</v>
      </c>
      <c r="BX128" s="1979">
        <v>0.82284332182257303</v>
      </c>
      <c r="BY128" s="1979">
        <v>0.82198011587613595</v>
      </c>
      <c r="BZ128" s="1979">
        <v>0.82284332182257303</v>
      </c>
      <c r="CA128" s="1979">
        <v>0.82198011587613595</v>
      </c>
      <c r="CB128" s="1979">
        <v>0.82284332182257303</v>
      </c>
      <c r="CC128" s="1979">
        <v>0.82198011587613595</v>
      </c>
      <c r="CD128" s="1979">
        <v>0.82284332182257303</v>
      </c>
      <c r="CE128" s="1979">
        <v>0.82198011587613595</v>
      </c>
      <c r="CF128" s="2000">
        <v>0.86128226688212361</v>
      </c>
      <c r="CG128" s="1998">
        <v>0.87102719352858338</v>
      </c>
      <c r="CH128" s="1998">
        <v>0.86128226688212361</v>
      </c>
      <c r="CI128" s="1998">
        <v>0.87102719352858338</v>
      </c>
      <c r="CJ128" s="1998">
        <v>0.86128226688212361</v>
      </c>
      <c r="CK128" s="1998">
        <v>0.87102719352858338</v>
      </c>
      <c r="CL128" s="1998">
        <v>0.86128226688212361</v>
      </c>
      <c r="CM128" s="1998">
        <v>0.87102719352858338</v>
      </c>
      <c r="CN128" s="1998">
        <v>0.86128226688212361</v>
      </c>
      <c r="CO128" s="1998">
        <v>0.87102719352858338</v>
      </c>
      <c r="CP128" s="1999">
        <v>0.85466392119864998</v>
      </c>
      <c r="CQ128" s="1979">
        <v>0.86524983451263915</v>
      </c>
      <c r="CR128" s="1979">
        <v>0.85466392119864998</v>
      </c>
      <c r="CS128" s="1979">
        <v>0.86524983451263915</v>
      </c>
      <c r="CT128" s="1979">
        <v>0.85466392119864998</v>
      </c>
      <c r="CU128" s="1979">
        <v>0.86524983451263915</v>
      </c>
      <c r="CV128" s="1979">
        <v>0.85466392119864998</v>
      </c>
      <c r="CW128" s="1979">
        <v>0.86524983451263915</v>
      </c>
      <c r="CX128" s="1979">
        <v>0.85466392119864998</v>
      </c>
      <c r="CY128" s="1979">
        <v>0.86524983451263915</v>
      </c>
      <c r="CZ128" s="2000">
        <v>1.0931272105979928</v>
      </c>
      <c r="DA128" s="1998">
        <v>1.0890508106235626</v>
      </c>
      <c r="DB128" s="1998">
        <v>1.0931272105979928</v>
      </c>
      <c r="DC128" s="1998">
        <v>1.0890508106235626</v>
      </c>
      <c r="DD128" s="1998">
        <v>1.0931272105979928</v>
      </c>
      <c r="DE128" s="1998">
        <v>1.0890508106235626</v>
      </c>
      <c r="DF128" s="1998">
        <v>1.0931272105979928</v>
      </c>
      <c r="DG128" s="1998">
        <v>1.0890508106235626</v>
      </c>
      <c r="DH128" s="1998">
        <v>1.0931272105979928</v>
      </c>
      <c r="DI128" s="1998">
        <v>1.0890508106235626</v>
      </c>
      <c r="DJ128" s="1999">
        <v>1.0889013725521897</v>
      </c>
      <c r="DK128" s="1979">
        <v>1.0876218473174644</v>
      </c>
      <c r="DL128" s="1979">
        <v>1.0889013725521897</v>
      </c>
      <c r="DM128" s="1979">
        <v>1.0876218473174644</v>
      </c>
      <c r="DN128" s="1979">
        <v>1.0889013725521897</v>
      </c>
      <c r="DO128" s="1979">
        <v>1.0876218473174644</v>
      </c>
      <c r="DP128" s="1979">
        <v>1.0889013725521897</v>
      </c>
      <c r="DQ128" s="1979">
        <v>1.0876218473174644</v>
      </c>
      <c r="DR128" s="1979">
        <v>1.0889013725521897</v>
      </c>
      <c r="DS128" s="1979">
        <v>1.0876218473174644</v>
      </c>
      <c r="GT128" s="1980"/>
      <c r="GU128" s="1980"/>
      <c r="GV128" s="1980"/>
      <c r="GW128" s="1980"/>
      <c r="GX128" s="1980"/>
      <c r="GY128" s="1980"/>
      <c r="GZ128" s="1980"/>
      <c r="HA128" s="1980"/>
      <c r="HB128" s="1980"/>
      <c r="HC128" s="1980"/>
      <c r="HD128" s="1980"/>
      <c r="HE128" s="1980"/>
      <c r="HF128" s="1980"/>
      <c r="HG128" s="1980"/>
      <c r="HH128" s="1980"/>
      <c r="HI128" s="1980"/>
      <c r="HJ128" s="1980"/>
      <c r="HK128" s="1980"/>
      <c r="HL128" s="1980"/>
      <c r="HM128" s="1980"/>
      <c r="HN128" s="1980"/>
      <c r="HO128" s="1980"/>
      <c r="HP128" s="1980"/>
      <c r="HQ128" s="1980"/>
      <c r="HR128" s="1980"/>
      <c r="HS128" s="1980"/>
      <c r="HT128" s="1980"/>
      <c r="HU128" s="1980"/>
      <c r="HV128" s="1980"/>
      <c r="HW128" s="1980"/>
      <c r="HX128" s="1980"/>
      <c r="HY128" s="1980"/>
      <c r="HZ128" s="1980"/>
      <c r="IA128" s="1980"/>
      <c r="IB128" s="1980"/>
      <c r="IC128" s="1980"/>
      <c r="ID128" s="1980"/>
      <c r="IE128" s="1980"/>
      <c r="IF128" s="1980"/>
      <c r="IG128" s="1980"/>
      <c r="IH128" s="1980"/>
      <c r="II128" s="1980"/>
      <c r="IJ128" s="1980"/>
      <c r="IK128" s="1980"/>
      <c r="IL128" s="1980"/>
      <c r="IM128" s="1980"/>
      <c r="IN128" s="1980"/>
      <c r="IO128" s="1980"/>
      <c r="IP128" s="1980"/>
      <c r="IQ128" s="1980"/>
      <c r="IR128" s="1980"/>
      <c r="IS128" s="1980"/>
      <c r="IT128" s="1980"/>
      <c r="IU128" s="1980"/>
      <c r="IV128" s="1980"/>
      <c r="IW128" s="1980"/>
      <c r="IX128" s="1980"/>
      <c r="IY128" s="1980"/>
      <c r="IZ128" s="1980"/>
      <c r="JA128" s="1980"/>
      <c r="JB128" s="1980"/>
      <c r="JC128" s="1980"/>
      <c r="JD128" s="1980"/>
      <c r="JE128" s="1980"/>
      <c r="JF128" s="1980"/>
      <c r="JG128" s="1980"/>
      <c r="JH128" s="1980"/>
      <c r="JI128" s="1980"/>
      <c r="JJ128" s="1980"/>
      <c r="JK128" s="1980"/>
      <c r="JL128" s="1980"/>
      <c r="JM128" s="1980"/>
      <c r="JN128" s="1980"/>
      <c r="JO128" s="1980"/>
      <c r="JP128" s="1980"/>
      <c r="JQ128" s="1980"/>
      <c r="JR128" s="1980"/>
      <c r="JS128" s="1980"/>
      <c r="JT128" s="1980"/>
      <c r="JU128" s="1980"/>
      <c r="JV128" s="1980"/>
      <c r="JW128" s="1980"/>
      <c r="JX128" s="1980"/>
      <c r="JY128" s="1980"/>
      <c r="JZ128" s="1980"/>
      <c r="KA128" s="1980"/>
      <c r="KB128" s="1980"/>
      <c r="KC128" s="1980"/>
      <c r="KD128" s="1980"/>
      <c r="KE128" s="1980"/>
      <c r="KF128" s="1980"/>
      <c r="KG128" s="1980"/>
      <c r="KH128" s="1980"/>
      <c r="KI128" s="1980"/>
      <c r="KJ128" s="1980"/>
      <c r="KK128" s="1980"/>
    </row>
    <row r="129" spans="1:297">
      <c r="A129" s="1997"/>
      <c r="B129" s="2">
        <v>26</v>
      </c>
      <c r="C129" s="2" t="s">
        <v>4244</v>
      </c>
      <c r="D129" s="1998">
        <v>0.96772783265384288</v>
      </c>
      <c r="E129" s="1998">
        <v>0.96412957065102256</v>
      </c>
      <c r="F129" s="1998">
        <v>0.96772783265384288</v>
      </c>
      <c r="G129" s="1998">
        <v>0.96412957065102256</v>
      </c>
      <c r="H129" s="1998">
        <v>0.96772783265384288</v>
      </c>
      <c r="I129" s="1998">
        <v>0.96412957065102256</v>
      </c>
      <c r="J129" s="1998">
        <v>0.96772783265384288</v>
      </c>
      <c r="K129" s="1998">
        <v>0.96412957065102256</v>
      </c>
      <c r="L129" s="1998">
        <v>0.96772783265384288</v>
      </c>
      <c r="M129" s="1998">
        <v>0.96412957065102256</v>
      </c>
      <c r="N129" s="1999">
        <v>1</v>
      </c>
      <c r="O129" s="1979">
        <v>1</v>
      </c>
      <c r="P129" s="1979">
        <v>1</v>
      </c>
      <c r="Q129" s="1979">
        <v>1</v>
      </c>
      <c r="R129" s="1979">
        <v>1</v>
      </c>
      <c r="S129" s="1979">
        <v>1</v>
      </c>
      <c r="T129" s="1979">
        <v>1</v>
      </c>
      <c r="U129" s="1979">
        <v>1</v>
      </c>
      <c r="V129" s="1979">
        <v>1</v>
      </c>
      <c r="W129" s="1979">
        <v>1</v>
      </c>
      <c r="X129" s="2000">
        <v>1</v>
      </c>
      <c r="Y129" s="1998">
        <v>0.99456526585057647</v>
      </c>
      <c r="Z129" s="1998">
        <v>1</v>
      </c>
      <c r="AA129" s="1998">
        <v>0.99456526585057647</v>
      </c>
      <c r="AB129" s="1998">
        <v>1</v>
      </c>
      <c r="AC129" s="1998">
        <v>0.99456526585057647</v>
      </c>
      <c r="AD129" s="1998">
        <v>1</v>
      </c>
      <c r="AE129" s="1998">
        <v>0.99456526585057647</v>
      </c>
      <c r="AF129" s="1998">
        <v>1</v>
      </c>
      <c r="AG129" s="1998">
        <v>0.99456526585057647</v>
      </c>
      <c r="AH129" s="1999">
        <v>1</v>
      </c>
      <c r="AI129" s="1979">
        <v>1</v>
      </c>
      <c r="AJ129" s="1979">
        <v>1</v>
      </c>
      <c r="AK129" s="1979">
        <v>1</v>
      </c>
      <c r="AL129" s="1979">
        <v>1</v>
      </c>
      <c r="AM129" s="1979">
        <v>1</v>
      </c>
      <c r="AN129" s="1979">
        <v>1</v>
      </c>
      <c r="AO129" s="1979">
        <v>1</v>
      </c>
      <c r="AP129" s="1979">
        <v>1</v>
      </c>
      <c r="AQ129" s="1979">
        <v>1</v>
      </c>
      <c r="AR129" s="2000">
        <v>1</v>
      </c>
      <c r="AS129" s="1998">
        <v>1</v>
      </c>
      <c r="AT129" s="1998">
        <v>1</v>
      </c>
      <c r="AU129" s="1998">
        <v>1</v>
      </c>
      <c r="AV129" s="1998">
        <v>1</v>
      </c>
      <c r="AW129" s="1998">
        <v>1</v>
      </c>
      <c r="AX129" s="1998">
        <v>1</v>
      </c>
      <c r="AY129" s="1998">
        <v>1</v>
      </c>
      <c r="AZ129" s="1998">
        <v>1</v>
      </c>
      <c r="BA129" s="1998">
        <v>1</v>
      </c>
      <c r="BB129" s="1999">
        <v>1.8677630614880787</v>
      </c>
      <c r="BC129" s="1979">
        <v>1.8607989021595341</v>
      </c>
      <c r="BD129" s="1979">
        <v>1.8677630614880787</v>
      </c>
      <c r="BE129" s="1979">
        <v>1.8607989021595341</v>
      </c>
      <c r="BF129" s="1979">
        <v>1.8677630614880787</v>
      </c>
      <c r="BG129" s="1979">
        <v>1.8607989021595341</v>
      </c>
      <c r="BH129" s="1979">
        <v>1.8677630614880787</v>
      </c>
      <c r="BI129" s="1979">
        <v>1.8607989021595341</v>
      </c>
      <c r="BJ129" s="1979">
        <v>1.8677630614880787</v>
      </c>
      <c r="BK129" s="1979">
        <v>1.8607989021595341</v>
      </c>
      <c r="BL129" s="2000">
        <v>1</v>
      </c>
      <c r="BM129" s="1998">
        <v>1</v>
      </c>
      <c r="BN129" s="1998">
        <v>1</v>
      </c>
      <c r="BO129" s="1998">
        <v>1</v>
      </c>
      <c r="BP129" s="1998">
        <v>1</v>
      </c>
      <c r="BQ129" s="1998">
        <v>1</v>
      </c>
      <c r="BR129" s="1998">
        <v>1</v>
      </c>
      <c r="BS129" s="1998">
        <v>1</v>
      </c>
      <c r="BT129" s="1998">
        <v>1</v>
      </c>
      <c r="BU129" s="1998">
        <v>1</v>
      </c>
      <c r="BV129" s="1999">
        <v>1</v>
      </c>
      <c r="BW129" s="1979">
        <v>1</v>
      </c>
      <c r="BX129" s="1979">
        <v>1</v>
      </c>
      <c r="BY129" s="1979">
        <v>1</v>
      </c>
      <c r="BZ129" s="1979">
        <v>1</v>
      </c>
      <c r="CA129" s="1979">
        <v>1</v>
      </c>
      <c r="CB129" s="1979">
        <v>1</v>
      </c>
      <c r="CC129" s="1979">
        <v>1</v>
      </c>
      <c r="CD129" s="1979">
        <v>1</v>
      </c>
      <c r="CE129" s="1979">
        <v>1</v>
      </c>
      <c r="CF129" s="2000">
        <v>1</v>
      </c>
      <c r="CG129" s="1998">
        <v>1</v>
      </c>
      <c r="CH129" s="1998">
        <v>1</v>
      </c>
      <c r="CI129" s="1998">
        <v>1</v>
      </c>
      <c r="CJ129" s="1998">
        <v>1</v>
      </c>
      <c r="CK129" s="1998">
        <v>1</v>
      </c>
      <c r="CL129" s="1998">
        <v>1</v>
      </c>
      <c r="CM129" s="1998">
        <v>1</v>
      </c>
      <c r="CN129" s="1998">
        <v>1</v>
      </c>
      <c r="CO129" s="1998">
        <v>1</v>
      </c>
      <c r="CP129" s="1999">
        <v>1</v>
      </c>
      <c r="CQ129" s="1979">
        <v>1</v>
      </c>
      <c r="CR129" s="1979">
        <v>1</v>
      </c>
      <c r="CS129" s="1979">
        <v>1</v>
      </c>
      <c r="CT129" s="1979">
        <v>1</v>
      </c>
      <c r="CU129" s="1979">
        <v>1</v>
      </c>
      <c r="CV129" s="1979">
        <v>1</v>
      </c>
      <c r="CW129" s="1979">
        <v>1</v>
      </c>
      <c r="CX129" s="1979">
        <v>1</v>
      </c>
      <c r="CY129" s="1979">
        <v>1</v>
      </c>
      <c r="CZ129" s="2000">
        <v>1.3315453130345394</v>
      </c>
      <c r="DA129" s="1998">
        <v>1.3082077926656719</v>
      </c>
      <c r="DB129" s="1998">
        <v>1.3315453130345394</v>
      </c>
      <c r="DC129" s="1998">
        <v>1.3082077926656719</v>
      </c>
      <c r="DD129" s="1998">
        <v>1.3315453130345394</v>
      </c>
      <c r="DE129" s="1998">
        <v>1.3082077926656719</v>
      </c>
      <c r="DF129" s="1998">
        <v>1.3315453130345394</v>
      </c>
      <c r="DG129" s="1998">
        <v>1.3082077926656719</v>
      </c>
      <c r="DH129" s="1998">
        <v>1.3315453130345394</v>
      </c>
      <c r="DI129" s="1998">
        <v>1.3082077926656719</v>
      </c>
      <c r="DJ129" s="1999">
        <v>1.3058240386588684</v>
      </c>
      <c r="DK129" s="1979">
        <v>1.291467328254273</v>
      </c>
      <c r="DL129" s="1979">
        <v>1.3058240386588684</v>
      </c>
      <c r="DM129" s="1979">
        <v>1.291467328254273</v>
      </c>
      <c r="DN129" s="1979">
        <v>1.3058240386588684</v>
      </c>
      <c r="DO129" s="1979">
        <v>1.291467328254273</v>
      </c>
      <c r="DP129" s="1979">
        <v>1.3058240386588684</v>
      </c>
      <c r="DQ129" s="1979">
        <v>1.291467328254273</v>
      </c>
      <c r="DR129" s="1979">
        <v>1.3058240386588684</v>
      </c>
      <c r="DS129" s="1979">
        <v>1.291467328254273</v>
      </c>
      <c r="GT129" s="1980"/>
      <c r="GU129" s="1980"/>
      <c r="GV129" s="1980"/>
      <c r="GW129" s="1980"/>
      <c r="GX129" s="1980"/>
      <c r="GY129" s="1980"/>
      <c r="GZ129" s="1980"/>
      <c r="HA129" s="1980"/>
      <c r="HB129" s="1980"/>
      <c r="HC129" s="1980"/>
      <c r="HD129" s="1980"/>
      <c r="HE129" s="1980"/>
      <c r="HF129" s="1980"/>
      <c r="HG129" s="1980"/>
      <c r="HH129" s="1980"/>
      <c r="HI129" s="1980"/>
      <c r="HJ129" s="1980"/>
      <c r="HK129" s="1980"/>
      <c r="HL129" s="1980"/>
      <c r="HM129" s="1980"/>
      <c r="HN129" s="1980"/>
      <c r="HO129" s="1980"/>
      <c r="HP129" s="1980"/>
      <c r="HQ129" s="1980"/>
      <c r="HR129" s="1980"/>
      <c r="HS129" s="1980"/>
      <c r="HT129" s="1980"/>
      <c r="HU129" s="1980"/>
      <c r="HV129" s="1980"/>
      <c r="HW129" s="1980"/>
      <c r="HX129" s="1980"/>
      <c r="HY129" s="1980"/>
      <c r="HZ129" s="1980"/>
      <c r="IA129" s="1980"/>
      <c r="IB129" s="1980"/>
      <c r="IC129" s="1980"/>
      <c r="ID129" s="1980"/>
      <c r="IE129" s="1980"/>
      <c r="IF129" s="1980"/>
      <c r="IG129" s="1980"/>
      <c r="IH129" s="1980"/>
      <c r="II129" s="1980"/>
      <c r="IJ129" s="1980"/>
      <c r="IK129" s="1980"/>
      <c r="IL129" s="1980"/>
      <c r="IM129" s="1980"/>
      <c r="IN129" s="1980"/>
      <c r="IO129" s="1980"/>
      <c r="IP129" s="1980"/>
      <c r="IQ129" s="1980"/>
      <c r="IR129" s="1980"/>
      <c r="IS129" s="1980"/>
      <c r="IT129" s="1980"/>
      <c r="IU129" s="1980"/>
      <c r="IV129" s="1980"/>
      <c r="IW129" s="1980"/>
      <c r="IX129" s="1980"/>
      <c r="IY129" s="1980"/>
      <c r="IZ129" s="1980"/>
      <c r="JA129" s="1980"/>
      <c r="JB129" s="1980"/>
      <c r="JC129" s="1980"/>
      <c r="JD129" s="1980"/>
      <c r="JE129" s="1980"/>
      <c r="JF129" s="1980"/>
      <c r="JG129" s="1980"/>
      <c r="JH129" s="1980"/>
      <c r="JI129" s="1980"/>
      <c r="JJ129" s="1980"/>
      <c r="JK129" s="1980"/>
      <c r="JL129" s="1980"/>
      <c r="JM129" s="1980"/>
      <c r="JN129" s="1980"/>
      <c r="JO129" s="1980"/>
      <c r="JP129" s="1980"/>
      <c r="JQ129" s="1980"/>
      <c r="JR129" s="1980"/>
      <c r="JS129" s="1980"/>
      <c r="JT129" s="1980"/>
      <c r="JU129" s="1980"/>
      <c r="JV129" s="1980"/>
      <c r="JW129" s="1980"/>
      <c r="JX129" s="1980"/>
      <c r="JY129" s="1980"/>
      <c r="JZ129" s="1980"/>
      <c r="KA129" s="1980"/>
      <c r="KB129" s="1980"/>
      <c r="KC129" s="1980"/>
      <c r="KD129" s="1980"/>
      <c r="KE129" s="1980"/>
      <c r="KF129" s="1980"/>
      <c r="KG129" s="1980"/>
      <c r="KH129" s="1980"/>
      <c r="KI129" s="1980"/>
      <c r="KJ129" s="1980"/>
      <c r="KK129" s="1980"/>
    </row>
    <row r="130" spans="1:297">
      <c r="A130" s="1997"/>
      <c r="B130" s="2">
        <v>27</v>
      </c>
      <c r="C130" s="2" t="s">
        <v>4259</v>
      </c>
      <c r="D130" s="1998">
        <v>1.0276667149414613</v>
      </c>
      <c r="E130" s="1998">
        <v>1.0319187461350141</v>
      </c>
      <c r="F130" s="1998">
        <v>1.0276667149414613</v>
      </c>
      <c r="G130" s="1998">
        <v>1.0319187461350141</v>
      </c>
      <c r="H130" s="1998">
        <v>1.0276667149414613</v>
      </c>
      <c r="I130" s="1998">
        <v>1.0319187461350141</v>
      </c>
      <c r="J130" s="1998">
        <v>1.0276667149414613</v>
      </c>
      <c r="K130" s="1998">
        <v>1.0319187461350141</v>
      </c>
      <c r="L130" s="1998">
        <v>1.0276667149414613</v>
      </c>
      <c r="M130" s="1998">
        <v>1.0319187461350141</v>
      </c>
      <c r="N130" s="1999">
        <v>1.1584921603271991</v>
      </c>
      <c r="O130" s="1979">
        <v>1.1790586861653303</v>
      </c>
      <c r="P130" s="1979">
        <v>1.1584921603271991</v>
      </c>
      <c r="Q130" s="1979">
        <v>1.1790586861653303</v>
      </c>
      <c r="R130" s="1979">
        <v>1.1584921603271991</v>
      </c>
      <c r="S130" s="1979">
        <v>1.1790586861653303</v>
      </c>
      <c r="T130" s="1979">
        <v>1.1584921603271991</v>
      </c>
      <c r="U130" s="1979">
        <v>1.1790586861653303</v>
      </c>
      <c r="V130" s="1979">
        <v>1.1584921603271991</v>
      </c>
      <c r="W130" s="1979">
        <v>1.1790586861653303</v>
      </c>
      <c r="X130" s="2000">
        <v>1.0499831390527208</v>
      </c>
      <c r="Y130" s="1998">
        <v>1.0519782901065435</v>
      </c>
      <c r="Z130" s="1998">
        <v>1.0499831390527208</v>
      </c>
      <c r="AA130" s="1998">
        <v>1.0519782901065435</v>
      </c>
      <c r="AB130" s="1998">
        <v>1.0499831390527208</v>
      </c>
      <c r="AC130" s="1998">
        <v>1.0519782901065435</v>
      </c>
      <c r="AD130" s="1998">
        <v>1.0499831390527208</v>
      </c>
      <c r="AE130" s="1998">
        <v>1.0519782901065435</v>
      </c>
      <c r="AF130" s="1998">
        <v>1.0499831390527208</v>
      </c>
      <c r="AG130" s="1998">
        <v>1.0519782901065435</v>
      </c>
      <c r="AH130" s="1999">
        <v>1.0970161357582471</v>
      </c>
      <c r="AI130" s="1979">
        <v>1.1127435535323817</v>
      </c>
      <c r="AJ130" s="1979">
        <v>1.0970161357582471</v>
      </c>
      <c r="AK130" s="1979">
        <v>1.1127435535323817</v>
      </c>
      <c r="AL130" s="1979">
        <v>1.0970161357582471</v>
      </c>
      <c r="AM130" s="1979">
        <v>1.1127435535323817</v>
      </c>
      <c r="AN130" s="1979">
        <v>1.0970161357582471</v>
      </c>
      <c r="AO130" s="1979">
        <v>1.1127435535323817</v>
      </c>
      <c r="AP130" s="1979">
        <v>1.0970161357582471</v>
      </c>
      <c r="AQ130" s="1979">
        <v>1.1127435535323817</v>
      </c>
      <c r="AR130" s="2000">
        <v>1.0631757253408356</v>
      </c>
      <c r="AS130" s="1998">
        <v>1.0728272244566142</v>
      </c>
      <c r="AT130" s="1998">
        <v>1.0631757253408356</v>
      </c>
      <c r="AU130" s="1998">
        <v>1.0728272244566142</v>
      </c>
      <c r="AV130" s="1998">
        <v>1.0631757253408356</v>
      </c>
      <c r="AW130" s="1998">
        <v>1.0728272244566142</v>
      </c>
      <c r="AX130" s="1998">
        <v>1.0631757253408356</v>
      </c>
      <c r="AY130" s="1998">
        <v>1.0728272244566142</v>
      </c>
      <c r="AZ130" s="1998">
        <v>1.0631757253408356</v>
      </c>
      <c r="BA130" s="1998">
        <v>1.0728272244566142</v>
      </c>
      <c r="BB130" s="1999">
        <v>2.2115272364255643</v>
      </c>
      <c r="BC130" s="1979">
        <v>2.2435016026188501</v>
      </c>
      <c r="BD130" s="1979">
        <v>2.2115272364255643</v>
      </c>
      <c r="BE130" s="1979">
        <v>2.2435016026188501</v>
      </c>
      <c r="BF130" s="1979">
        <v>2.2115272364255643</v>
      </c>
      <c r="BG130" s="1979">
        <v>2.2435016026188501</v>
      </c>
      <c r="BH130" s="1979">
        <v>2.2115272364255643</v>
      </c>
      <c r="BI130" s="1979">
        <v>2.2435016026188501</v>
      </c>
      <c r="BJ130" s="1979">
        <v>2.2115272364255643</v>
      </c>
      <c r="BK130" s="1979">
        <v>2.2435016026188501</v>
      </c>
      <c r="BL130" s="2000">
        <v>1.1251015530646817</v>
      </c>
      <c r="BM130" s="1998">
        <v>1.1388298168705033</v>
      </c>
      <c r="BN130" s="1998">
        <v>1.1251015530646817</v>
      </c>
      <c r="BO130" s="1998">
        <v>1.1388298168705033</v>
      </c>
      <c r="BP130" s="1998">
        <v>1.1251015530646817</v>
      </c>
      <c r="BQ130" s="1998">
        <v>1.1388298168705033</v>
      </c>
      <c r="BR130" s="1998">
        <v>1.1251015530646817</v>
      </c>
      <c r="BS130" s="1998">
        <v>1.1388298168705033</v>
      </c>
      <c r="BT130" s="1998">
        <v>1.1251015530646817</v>
      </c>
      <c r="BU130" s="1998">
        <v>1.1388298168705033</v>
      </c>
      <c r="BV130" s="1999">
        <v>1.143377194782732</v>
      </c>
      <c r="BW130" s="1979">
        <v>1.1592778053690169</v>
      </c>
      <c r="BX130" s="1979">
        <v>1.143377194782732</v>
      </c>
      <c r="BY130" s="1979">
        <v>1.1592778053690169</v>
      </c>
      <c r="BZ130" s="1979">
        <v>1.143377194782732</v>
      </c>
      <c r="CA130" s="1979">
        <v>1.1592778053690169</v>
      </c>
      <c r="CB130" s="1979">
        <v>1.143377194782732</v>
      </c>
      <c r="CC130" s="1979">
        <v>1.1592778053690169</v>
      </c>
      <c r="CD130" s="1979">
        <v>1.143377194782732</v>
      </c>
      <c r="CE130" s="1979">
        <v>1.1592778053690169</v>
      </c>
      <c r="CF130" s="2000">
        <v>1.1339929256890262</v>
      </c>
      <c r="CG130" s="1998">
        <v>1.1589029071489558</v>
      </c>
      <c r="CH130" s="1998">
        <v>1.1339929256890262</v>
      </c>
      <c r="CI130" s="1998">
        <v>1.1589029071489558</v>
      </c>
      <c r="CJ130" s="1998">
        <v>1.1339929256890262</v>
      </c>
      <c r="CK130" s="1998">
        <v>1.1589029071489558</v>
      </c>
      <c r="CL130" s="1998">
        <v>1.1339929256890262</v>
      </c>
      <c r="CM130" s="1998">
        <v>1.1589029071489558</v>
      </c>
      <c r="CN130" s="1998">
        <v>1.1339929256890262</v>
      </c>
      <c r="CO130" s="1998">
        <v>1.1589029071489558</v>
      </c>
      <c r="CP130" s="1999">
        <v>1.1421268551603387</v>
      </c>
      <c r="CQ130" s="1979">
        <v>1.1681689466314089</v>
      </c>
      <c r="CR130" s="1979">
        <v>1.1421268551603387</v>
      </c>
      <c r="CS130" s="1979">
        <v>1.1681689466314089</v>
      </c>
      <c r="CT130" s="1979">
        <v>1.1421268551603387</v>
      </c>
      <c r="CU130" s="1979">
        <v>1.1681689466314089</v>
      </c>
      <c r="CV130" s="1979">
        <v>1.1421268551603387</v>
      </c>
      <c r="CW130" s="1979">
        <v>1.1681689466314089</v>
      </c>
      <c r="CX130" s="1979">
        <v>1.1421268551603387</v>
      </c>
      <c r="CY130" s="1979">
        <v>1.1681689466314089</v>
      </c>
      <c r="CZ130" s="2000">
        <v>1.5647127023350567</v>
      </c>
      <c r="DA130" s="1998">
        <v>1.5815332278221961</v>
      </c>
      <c r="DB130" s="1998">
        <v>1.5647127023350567</v>
      </c>
      <c r="DC130" s="1998">
        <v>1.5815332278221961</v>
      </c>
      <c r="DD130" s="1998">
        <v>1.5647127023350567</v>
      </c>
      <c r="DE130" s="1998">
        <v>1.5815332278221961</v>
      </c>
      <c r="DF130" s="1998">
        <v>1.5647127023350567</v>
      </c>
      <c r="DG130" s="1998">
        <v>1.5815332278221961</v>
      </c>
      <c r="DH130" s="1998">
        <v>1.5647127023350567</v>
      </c>
      <c r="DI130" s="1998">
        <v>1.5815332278221961</v>
      </c>
      <c r="DJ130" s="1999">
        <v>1.5137884053841772</v>
      </c>
      <c r="DK130" s="1979">
        <v>1.5385691878013936</v>
      </c>
      <c r="DL130" s="1979">
        <v>1.5137884053841772</v>
      </c>
      <c r="DM130" s="1979">
        <v>1.5385691878013936</v>
      </c>
      <c r="DN130" s="1979">
        <v>1.5137884053841772</v>
      </c>
      <c r="DO130" s="1979">
        <v>1.5385691878013936</v>
      </c>
      <c r="DP130" s="1979">
        <v>1.5137884053841772</v>
      </c>
      <c r="DQ130" s="1979">
        <v>1.5385691878013936</v>
      </c>
      <c r="DR130" s="1979">
        <v>1.5137884053841772</v>
      </c>
      <c r="DS130" s="1979">
        <v>1.5385691878013936</v>
      </c>
      <c r="GT130" s="1980"/>
      <c r="GU130" s="1980"/>
      <c r="GV130" s="1980"/>
      <c r="GW130" s="1980"/>
      <c r="GX130" s="1980"/>
      <c r="GY130" s="1980"/>
      <c r="GZ130" s="1980"/>
      <c r="HA130" s="1980"/>
      <c r="HB130" s="1980"/>
      <c r="HC130" s="1980"/>
      <c r="HD130" s="1980"/>
      <c r="HE130" s="1980"/>
      <c r="HF130" s="1980"/>
      <c r="HG130" s="1980"/>
      <c r="HH130" s="1980"/>
      <c r="HI130" s="1980"/>
      <c r="HJ130" s="1980"/>
      <c r="HK130" s="1980"/>
      <c r="HL130" s="1980"/>
      <c r="HM130" s="1980"/>
      <c r="HN130" s="1980"/>
      <c r="HO130" s="1980"/>
      <c r="HP130" s="1980"/>
      <c r="HQ130" s="1980"/>
      <c r="HR130" s="1980"/>
      <c r="HS130" s="1980"/>
      <c r="HT130" s="1980"/>
      <c r="HU130" s="1980"/>
      <c r="HV130" s="1980"/>
      <c r="HW130" s="1980"/>
      <c r="HX130" s="1980"/>
      <c r="HY130" s="1980"/>
      <c r="HZ130" s="1980"/>
      <c r="IA130" s="1980"/>
      <c r="IB130" s="1980"/>
      <c r="IC130" s="1980"/>
      <c r="ID130" s="1980"/>
      <c r="IE130" s="1980"/>
      <c r="IF130" s="1980"/>
      <c r="IG130" s="1980"/>
      <c r="IH130" s="1980"/>
      <c r="II130" s="1980"/>
      <c r="IJ130" s="1980"/>
      <c r="IK130" s="1980"/>
      <c r="IL130" s="1980"/>
      <c r="IM130" s="1980"/>
      <c r="IN130" s="1980"/>
      <c r="IO130" s="1980"/>
      <c r="IP130" s="1980"/>
      <c r="IQ130" s="1980"/>
      <c r="IR130" s="1980"/>
      <c r="IS130" s="1980"/>
      <c r="IT130" s="1980"/>
      <c r="IU130" s="1980"/>
      <c r="IV130" s="1980"/>
      <c r="IW130" s="1980"/>
      <c r="IX130" s="1980"/>
      <c r="IY130" s="1980"/>
      <c r="IZ130" s="1980"/>
      <c r="JA130" s="1980"/>
      <c r="JB130" s="1980"/>
      <c r="JC130" s="1980"/>
      <c r="JD130" s="1980"/>
      <c r="JE130" s="1980"/>
      <c r="JF130" s="1980"/>
      <c r="JG130" s="1980"/>
      <c r="JH130" s="1980"/>
      <c r="JI130" s="1980"/>
      <c r="JJ130" s="1980"/>
      <c r="JK130" s="1980"/>
      <c r="JL130" s="1980"/>
      <c r="JM130" s="1980"/>
      <c r="JN130" s="1980"/>
      <c r="JO130" s="1980"/>
      <c r="JP130" s="1980"/>
      <c r="JQ130" s="1980"/>
      <c r="JR130" s="1980"/>
      <c r="JS130" s="1980"/>
      <c r="JT130" s="1980"/>
      <c r="JU130" s="1980"/>
      <c r="JV130" s="1980"/>
      <c r="JW130" s="1980"/>
      <c r="JX130" s="1980"/>
      <c r="JY130" s="1980"/>
      <c r="JZ130" s="1980"/>
      <c r="KA130" s="1980"/>
      <c r="KB130" s="1980"/>
      <c r="KC130" s="1980"/>
      <c r="KD130" s="1980"/>
      <c r="KE130" s="1980"/>
      <c r="KF130" s="1980"/>
      <c r="KG130" s="1980"/>
      <c r="KH130" s="1980"/>
      <c r="KI130" s="1980"/>
      <c r="KJ130" s="1980"/>
      <c r="KK130" s="1980"/>
    </row>
    <row r="131" spans="1:297">
      <c r="A131" s="1997"/>
      <c r="B131" s="2">
        <v>28</v>
      </c>
      <c r="C131" s="2" t="s">
        <v>4274</v>
      </c>
      <c r="D131" s="1998">
        <v>1.2677409788794161</v>
      </c>
      <c r="E131" s="1998">
        <v>1.2768871008274929</v>
      </c>
      <c r="F131" s="1998">
        <v>1.2677409788794161</v>
      </c>
      <c r="G131" s="1998">
        <v>1.2768871008274929</v>
      </c>
      <c r="H131" s="1998">
        <v>1.2677409788794161</v>
      </c>
      <c r="I131" s="1998">
        <v>1.2768871008274929</v>
      </c>
      <c r="J131" s="1998">
        <v>1.2677409788794161</v>
      </c>
      <c r="K131" s="1998">
        <v>1.2768871008274929</v>
      </c>
      <c r="L131" s="1998">
        <v>1.2677409788794161</v>
      </c>
      <c r="M131" s="1998">
        <v>1.2768871008274929</v>
      </c>
      <c r="N131" s="1999">
        <v>1.3169843206543983</v>
      </c>
      <c r="O131" s="1979">
        <v>1.3581173723306608</v>
      </c>
      <c r="P131" s="1979">
        <v>1.3169843206543983</v>
      </c>
      <c r="Q131" s="1979">
        <v>1.3581173723306608</v>
      </c>
      <c r="R131" s="1979">
        <v>1.3169843206543983</v>
      </c>
      <c r="S131" s="1979">
        <v>1.3581173723306608</v>
      </c>
      <c r="T131" s="1979">
        <v>1.3169843206543983</v>
      </c>
      <c r="U131" s="1979">
        <v>1.3581173723306608</v>
      </c>
      <c r="V131" s="1979">
        <v>1.3169843206543983</v>
      </c>
      <c r="W131" s="1979">
        <v>1.3581173723306608</v>
      </c>
      <c r="X131" s="2000">
        <v>1.099966278105442</v>
      </c>
      <c r="Y131" s="1998">
        <v>1.1093913143625103</v>
      </c>
      <c r="Z131" s="1998">
        <v>1.099966278105442</v>
      </c>
      <c r="AA131" s="1998">
        <v>1.1093913143625103</v>
      </c>
      <c r="AB131" s="1998">
        <v>1.099966278105442</v>
      </c>
      <c r="AC131" s="1998">
        <v>1.1093913143625103</v>
      </c>
      <c r="AD131" s="1998">
        <v>1.099966278105442</v>
      </c>
      <c r="AE131" s="1998">
        <v>1.1093913143625103</v>
      </c>
      <c r="AF131" s="1998">
        <v>1.099966278105442</v>
      </c>
      <c r="AG131" s="1998">
        <v>1.1093913143625103</v>
      </c>
      <c r="AH131" s="1999">
        <v>1.1940322715164942</v>
      </c>
      <c r="AI131" s="1979">
        <v>1.2254871070647639</v>
      </c>
      <c r="AJ131" s="1979">
        <v>1.1940322715164942</v>
      </c>
      <c r="AK131" s="1979">
        <v>1.2254871070647639</v>
      </c>
      <c r="AL131" s="1979">
        <v>1.1940322715164942</v>
      </c>
      <c r="AM131" s="1979">
        <v>1.2254871070647639</v>
      </c>
      <c r="AN131" s="1979">
        <v>1.1940322715164942</v>
      </c>
      <c r="AO131" s="1979">
        <v>1.2254871070647639</v>
      </c>
      <c r="AP131" s="1979">
        <v>1.1940322715164942</v>
      </c>
      <c r="AQ131" s="1979">
        <v>1.2254871070647639</v>
      </c>
      <c r="AR131" s="2000">
        <v>1.1263514506816714</v>
      </c>
      <c r="AS131" s="1998">
        <v>1.1456544489132279</v>
      </c>
      <c r="AT131" s="1998">
        <v>1.1263514506816714</v>
      </c>
      <c r="AU131" s="1998">
        <v>1.1456544489132279</v>
      </c>
      <c r="AV131" s="1998">
        <v>1.1263514506816714</v>
      </c>
      <c r="AW131" s="1998">
        <v>1.1456544489132279</v>
      </c>
      <c r="AX131" s="1998">
        <v>1.1263514506816714</v>
      </c>
      <c r="AY131" s="1998">
        <v>1.1456544489132279</v>
      </c>
      <c r="AZ131" s="1998">
        <v>1.1263514506816714</v>
      </c>
      <c r="BA131" s="1998">
        <v>1.1456544489132279</v>
      </c>
      <c r="BB131" s="1999">
        <v>2.5552914113630503</v>
      </c>
      <c r="BC131" s="1979">
        <v>2.6262043030781661</v>
      </c>
      <c r="BD131" s="1979">
        <v>2.5552914113630503</v>
      </c>
      <c r="BE131" s="1979">
        <v>2.6262043030781661</v>
      </c>
      <c r="BF131" s="1979">
        <v>2.5552914113630503</v>
      </c>
      <c r="BG131" s="1979">
        <v>2.6262043030781661</v>
      </c>
      <c r="BH131" s="1979">
        <v>2.5552914113630503</v>
      </c>
      <c r="BI131" s="1979">
        <v>2.6262043030781661</v>
      </c>
      <c r="BJ131" s="1979">
        <v>2.5552914113630503</v>
      </c>
      <c r="BK131" s="1979">
        <v>2.6262043030781661</v>
      </c>
      <c r="BL131" s="2000">
        <v>1.2502031061293635</v>
      </c>
      <c r="BM131" s="1998">
        <v>1.2776596337410064</v>
      </c>
      <c r="BN131" s="1998">
        <v>1.2502031061293635</v>
      </c>
      <c r="BO131" s="1998">
        <v>1.2776596337410064</v>
      </c>
      <c r="BP131" s="1998">
        <v>1.2502031061293635</v>
      </c>
      <c r="BQ131" s="1998">
        <v>1.2776596337410064</v>
      </c>
      <c r="BR131" s="1998">
        <v>1.2502031061293635</v>
      </c>
      <c r="BS131" s="1998">
        <v>1.2776596337410064</v>
      </c>
      <c r="BT131" s="1998">
        <v>1.2502031061293635</v>
      </c>
      <c r="BU131" s="1998">
        <v>1.2776596337410064</v>
      </c>
      <c r="BV131" s="1999">
        <v>1.2867543895654641</v>
      </c>
      <c r="BW131" s="1979">
        <v>1.3185556107380338</v>
      </c>
      <c r="BX131" s="1979">
        <v>1.2867543895654641</v>
      </c>
      <c r="BY131" s="1979">
        <v>1.3185556107380338</v>
      </c>
      <c r="BZ131" s="1979">
        <v>1.2867543895654641</v>
      </c>
      <c r="CA131" s="1979">
        <v>1.3185556107380338</v>
      </c>
      <c r="CB131" s="1979">
        <v>1.2867543895654641</v>
      </c>
      <c r="CC131" s="1979">
        <v>1.3185556107380338</v>
      </c>
      <c r="CD131" s="1979">
        <v>1.2867543895654641</v>
      </c>
      <c r="CE131" s="1979">
        <v>1.3185556107380338</v>
      </c>
      <c r="CF131" s="2000">
        <v>1.2679858513780522</v>
      </c>
      <c r="CG131" s="1998">
        <v>1.3178058142979114</v>
      </c>
      <c r="CH131" s="1998">
        <v>1.2679858513780522</v>
      </c>
      <c r="CI131" s="1998">
        <v>1.3178058142979114</v>
      </c>
      <c r="CJ131" s="1998">
        <v>1.2679858513780522</v>
      </c>
      <c r="CK131" s="1998">
        <v>1.3178058142979114</v>
      </c>
      <c r="CL131" s="1998">
        <v>1.2679858513780522</v>
      </c>
      <c r="CM131" s="1998">
        <v>1.3178058142979114</v>
      </c>
      <c r="CN131" s="1998">
        <v>1.2679858513780522</v>
      </c>
      <c r="CO131" s="1998">
        <v>1.3178058142979114</v>
      </c>
      <c r="CP131" s="1999">
        <v>1.284253710320677</v>
      </c>
      <c r="CQ131" s="1979">
        <v>1.3363378932628178</v>
      </c>
      <c r="CR131" s="1979">
        <v>1.284253710320677</v>
      </c>
      <c r="CS131" s="1979">
        <v>1.3363378932628178</v>
      </c>
      <c r="CT131" s="1979">
        <v>1.284253710320677</v>
      </c>
      <c r="CU131" s="1979">
        <v>1.3363378932628178</v>
      </c>
      <c r="CV131" s="1979">
        <v>1.284253710320677</v>
      </c>
      <c r="CW131" s="1979">
        <v>1.3363378932628178</v>
      </c>
      <c r="CX131" s="1979">
        <v>1.284253710320677</v>
      </c>
      <c r="CY131" s="1979">
        <v>1.3363378932628178</v>
      </c>
      <c r="CZ131" s="2000">
        <v>1.7978800916355735</v>
      </c>
      <c r="DA131" s="1998">
        <v>1.8548586629787203</v>
      </c>
      <c r="DB131" s="1998">
        <v>1.7978800916355735</v>
      </c>
      <c r="DC131" s="1998">
        <v>1.8548586629787203</v>
      </c>
      <c r="DD131" s="1998">
        <v>1.7978800916355735</v>
      </c>
      <c r="DE131" s="1998">
        <v>1.8548586629787203</v>
      </c>
      <c r="DF131" s="1998">
        <v>1.7978800916355735</v>
      </c>
      <c r="DG131" s="1998">
        <v>1.8548586629787203</v>
      </c>
      <c r="DH131" s="1998">
        <v>1.7978800916355735</v>
      </c>
      <c r="DI131" s="1998">
        <v>1.8548586629787203</v>
      </c>
      <c r="DJ131" s="1999">
        <v>1.7217527721094865</v>
      </c>
      <c r="DK131" s="1979">
        <v>1.7856710473485147</v>
      </c>
      <c r="DL131" s="1979">
        <v>1.7217527721094865</v>
      </c>
      <c r="DM131" s="1979">
        <v>1.7856710473485147</v>
      </c>
      <c r="DN131" s="1979">
        <v>1.7217527721094865</v>
      </c>
      <c r="DO131" s="1979">
        <v>1.7856710473485147</v>
      </c>
      <c r="DP131" s="1979">
        <v>1.7217527721094865</v>
      </c>
      <c r="DQ131" s="1979">
        <v>1.7856710473485147</v>
      </c>
      <c r="DR131" s="1979">
        <v>1.7217527721094865</v>
      </c>
      <c r="DS131" s="1979">
        <v>1.7856710473485147</v>
      </c>
      <c r="GT131" s="1980"/>
      <c r="GU131" s="1980"/>
      <c r="GV131" s="1980"/>
      <c r="GW131" s="1980"/>
      <c r="GX131" s="1980"/>
      <c r="GY131" s="1980"/>
      <c r="GZ131" s="1980"/>
      <c r="HA131" s="1980"/>
      <c r="HB131" s="1980"/>
      <c r="HC131" s="1980"/>
      <c r="HD131" s="1980"/>
      <c r="HE131" s="1980"/>
      <c r="HF131" s="1980"/>
      <c r="HG131" s="1980"/>
      <c r="HH131" s="1980"/>
      <c r="HI131" s="1980"/>
      <c r="HJ131" s="1980"/>
      <c r="HK131" s="1980"/>
      <c r="HL131" s="1980"/>
      <c r="HM131" s="1980"/>
      <c r="HN131" s="1980"/>
      <c r="HO131" s="1980"/>
      <c r="HP131" s="1980"/>
      <c r="HQ131" s="1980"/>
      <c r="HR131" s="1980"/>
      <c r="HS131" s="1980"/>
      <c r="HT131" s="1980"/>
      <c r="HU131" s="1980"/>
      <c r="HV131" s="1980"/>
      <c r="HW131" s="1980"/>
      <c r="HX131" s="1980"/>
      <c r="HY131" s="1980"/>
      <c r="HZ131" s="1980"/>
      <c r="IA131" s="1980"/>
      <c r="IB131" s="1980"/>
      <c r="IC131" s="1980"/>
      <c r="ID131" s="1980"/>
      <c r="IE131" s="1980"/>
      <c r="IF131" s="1980"/>
      <c r="IG131" s="1980"/>
      <c r="IH131" s="1980"/>
      <c r="II131" s="1980"/>
      <c r="IJ131" s="1980"/>
      <c r="IK131" s="1980"/>
      <c r="IL131" s="1980"/>
      <c r="IM131" s="1980"/>
      <c r="IN131" s="1980"/>
      <c r="IO131" s="1980"/>
      <c r="IP131" s="1980"/>
      <c r="IQ131" s="1980"/>
      <c r="IR131" s="1980"/>
      <c r="IS131" s="1980"/>
      <c r="IT131" s="1980"/>
      <c r="IU131" s="1980"/>
      <c r="IV131" s="1980"/>
      <c r="IW131" s="1980"/>
      <c r="IX131" s="1980"/>
      <c r="IY131" s="1980"/>
      <c r="IZ131" s="1980"/>
      <c r="JA131" s="1980"/>
      <c r="JB131" s="1980"/>
      <c r="JC131" s="1980"/>
      <c r="JD131" s="1980"/>
      <c r="JE131" s="1980"/>
      <c r="JF131" s="1980"/>
      <c r="JG131" s="1980"/>
      <c r="JH131" s="1980"/>
      <c r="JI131" s="1980"/>
      <c r="JJ131" s="1980"/>
      <c r="JK131" s="1980"/>
      <c r="JL131" s="1980"/>
      <c r="JM131" s="1980"/>
      <c r="JN131" s="1980"/>
      <c r="JO131" s="1980"/>
      <c r="JP131" s="1980"/>
      <c r="JQ131" s="1980"/>
      <c r="JR131" s="1980"/>
      <c r="JS131" s="1980"/>
      <c r="JT131" s="1980"/>
      <c r="JU131" s="1980"/>
      <c r="JV131" s="1980"/>
      <c r="JW131" s="1980"/>
      <c r="JX131" s="1980"/>
      <c r="JY131" s="1980"/>
      <c r="JZ131" s="1980"/>
      <c r="KA131" s="1980"/>
      <c r="KB131" s="1980"/>
      <c r="KC131" s="1980"/>
      <c r="KD131" s="1980"/>
      <c r="KE131" s="1980"/>
      <c r="KF131" s="1980"/>
      <c r="KG131" s="1980"/>
      <c r="KH131" s="1980"/>
      <c r="KI131" s="1980"/>
      <c r="KJ131" s="1980"/>
      <c r="KK131" s="1980"/>
    </row>
    <row r="132" spans="1:297">
      <c r="A132" s="1997"/>
      <c r="B132" s="2">
        <v>29</v>
      </c>
      <c r="C132" s="2" t="str">
        <f>AD$13</f>
        <v>Fondation superficielle</v>
      </c>
      <c r="D132" s="1998">
        <v>0.96772783265384288</v>
      </c>
      <c r="E132" s="1998">
        <v>0.96412957065102256</v>
      </c>
      <c r="F132" s="1998">
        <v>0.96772783265384288</v>
      </c>
      <c r="G132" s="1998">
        <v>0.96412957065102256</v>
      </c>
      <c r="H132" s="1998">
        <v>0.96772783265384288</v>
      </c>
      <c r="I132" s="1998">
        <v>0.96412957065102256</v>
      </c>
      <c r="J132" s="1998">
        <v>0.96772783265384288</v>
      </c>
      <c r="K132" s="1998">
        <v>0.96412957065102256</v>
      </c>
      <c r="L132" s="1998">
        <v>0.96772783265384288</v>
      </c>
      <c r="M132" s="1998">
        <v>0.96412957065102256</v>
      </c>
      <c r="N132" s="1999">
        <v>1</v>
      </c>
      <c r="O132" s="1979">
        <v>1</v>
      </c>
      <c r="P132" s="1979">
        <v>1</v>
      </c>
      <c r="Q132" s="1979">
        <v>1</v>
      </c>
      <c r="R132" s="1979">
        <v>1</v>
      </c>
      <c r="S132" s="1979">
        <v>1</v>
      </c>
      <c r="T132" s="1979">
        <v>1</v>
      </c>
      <c r="U132" s="1979">
        <v>1</v>
      </c>
      <c r="V132" s="1979">
        <v>1</v>
      </c>
      <c r="W132" s="1979">
        <v>1</v>
      </c>
      <c r="X132" s="2000">
        <v>1</v>
      </c>
      <c r="Y132" s="1998">
        <v>0.99456526585057647</v>
      </c>
      <c r="Z132" s="1998">
        <v>1</v>
      </c>
      <c r="AA132" s="1998">
        <v>0.99456526585057647</v>
      </c>
      <c r="AB132" s="1998">
        <v>1</v>
      </c>
      <c r="AC132" s="1998">
        <v>0.99456526585057647</v>
      </c>
      <c r="AD132" s="1998">
        <v>1</v>
      </c>
      <c r="AE132" s="1998">
        <v>0.99456526585057647</v>
      </c>
      <c r="AF132" s="1998">
        <v>1</v>
      </c>
      <c r="AG132" s="1998">
        <v>0.99456526585057647</v>
      </c>
      <c r="AH132" s="1999">
        <v>1</v>
      </c>
      <c r="AI132" s="1979">
        <v>1</v>
      </c>
      <c r="AJ132" s="1979">
        <v>1</v>
      </c>
      <c r="AK132" s="1979">
        <v>1</v>
      </c>
      <c r="AL132" s="1979">
        <v>1</v>
      </c>
      <c r="AM132" s="1979">
        <v>1</v>
      </c>
      <c r="AN132" s="1979">
        <v>1</v>
      </c>
      <c r="AO132" s="1979">
        <v>1</v>
      </c>
      <c r="AP132" s="1979">
        <v>1</v>
      </c>
      <c r="AQ132" s="1979">
        <v>1</v>
      </c>
      <c r="AR132" s="2000">
        <v>1</v>
      </c>
      <c r="AS132" s="1998">
        <v>1</v>
      </c>
      <c r="AT132" s="1998">
        <v>1</v>
      </c>
      <c r="AU132" s="1998">
        <v>1</v>
      </c>
      <c r="AV132" s="1998">
        <v>1</v>
      </c>
      <c r="AW132" s="1998">
        <v>1</v>
      </c>
      <c r="AX132" s="1998">
        <v>1</v>
      </c>
      <c r="AY132" s="1998">
        <v>1</v>
      </c>
      <c r="AZ132" s="1998">
        <v>1</v>
      </c>
      <c r="BA132" s="1998">
        <v>1</v>
      </c>
      <c r="BB132" s="1999">
        <v>1.3180265000109936</v>
      </c>
      <c r="BC132" s="1979">
        <v>1.3308586370188196</v>
      </c>
      <c r="BD132" s="1979">
        <v>1.3180265000109936</v>
      </c>
      <c r="BE132" s="1979">
        <v>1.3308586370188196</v>
      </c>
      <c r="BF132" s="1979">
        <v>1.3180265000109936</v>
      </c>
      <c r="BG132" s="1979">
        <v>1.3308586370188196</v>
      </c>
      <c r="BH132" s="1979">
        <v>1.3180265000109936</v>
      </c>
      <c r="BI132" s="1979">
        <v>1.3308586370188196</v>
      </c>
      <c r="BJ132" s="1979">
        <v>1.3180265000109936</v>
      </c>
      <c r="BK132" s="1979">
        <v>1.3308586370188196</v>
      </c>
      <c r="BL132" s="2000">
        <v>1</v>
      </c>
      <c r="BM132" s="1998">
        <v>1</v>
      </c>
      <c r="BN132" s="1998">
        <v>1</v>
      </c>
      <c r="BO132" s="1998">
        <v>1</v>
      </c>
      <c r="BP132" s="1998">
        <v>1</v>
      </c>
      <c r="BQ132" s="1998">
        <v>1</v>
      </c>
      <c r="BR132" s="1998">
        <v>1</v>
      </c>
      <c r="BS132" s="1998">
        <v>1</v>
      </c>
      <c r="BT132" s="1998">
        <v>1</v>
      </c>
      <c r="BU132" s="1998">
        <v>1</v>
      </c>
      <c r="BV132" s="1999">
        <v>1</v>
      </c>
      <c r="BW132" s="1979">
        <v>1</v>
      </c>
      <c r="BX132" s="1979">
        <v>1</v>
      </c>
      <c r="BY132" s="1979">
        <v>1</v>
      </c>
      <c r="BZ132" s="1979">
        <v>1</v>
      </c>
      <c r="CA132" s="1979">
        <v>1</v>
      </c>
      <c r="CB132" s="1979">
        <v>1</v>
      </c>
      <c r="CC132" s="1979">
        <v>1</v>
      </c>
      <c r="CD132" s="1979">
        <v>1</v>
      </c>
      <c r="CE132" s="1979">
        <v>1</v>
      </c>
      <c r="CF132" s="2000">
        <v>1</v>
      </c>
      <c r="CG132" s="1998">
        <v>1</v>
      </c>
      <c r="CH132" s="1998">
        <v>1</v>
      </c>
      <c r="CI132" s="1998">
        <v>1</v>
      </c>
      <c r="CJ132" s="1998">
        <v>1</v>
      </c>
      <c r="CK132" s="1998">
        <v>1</v>
      </c>
      <c r="CL132" s="1998">
        <v>1</v>
      </c>
      <c r="CM132" s="1998">
        <v>1</v>
      </c>
      <c r="CN132" s="1998">
        <v>1</v>
      </c>
      <c r="CO132" s="1998">
        <v>1</v>
      </c>
      <c r="CP132" s="1999">
        <v>1</v>
      </c>
      <c r="CQ132" s="1979">
        <v>1</v>
      </c>
      <c r="CR132" s="1979">
        <v>1</v>
      </c>
      <c r="CS132" s="1979">
        <v>1</v>
      </c>
      <c r="CT132" s="1979">
        <v>1</v>
      </c>
      <c r="CU132" s="1979">
        <v>1</v>
      </c>
      <c r="CV132" s="1979">
        <v>1</v>
      </c>
      <c r="CW132" s="1979">
        <v>1</v>
      </c>
      <c r="CX132" s="1979">
        <v>1</v>
      </c>
      <c r="CY132" s="1979">
        <v>1</v>
      </c>
      <c r="CZ132" s="2000">
        <v>1</v>
      </c>
      <c r="DA132" s="1998">
        <v>1</v>
      </c>
      <c r="DB132" s="1998">
        <v>1</v>
      </c>
      <c r="DC132" s="1998">
        <v>1</v>
      </c>
      <c r="DD132" s="1998">
        <v>1</v>
      </c>
      <c r="DE132" s="1998">
        <v>1</v>
      </c>
      <c r="DF132" s="1998">
        <v>1</v>
      </c>
      <c r="DG132" s="1998">
        <v>1</v>
      </c>
      <c r="DH132" s="1998">
        <v>1</v>
      </c>
      <c r="DI132" s="1998">
        <v>1</v>
      </c>
      <c r="DJ132" s="1999">
        <v>1.0002450682306379</v>
      </c>
      <c r="DK132" s="1979">
        <v>1.0001651239704095</v>
      </c>
      <c r="DL132" s="1979">
        <v>1.0002450682306379</v>
      </c>
      <c r="DM132" s="1979">
        <v>1.0001651239704095</v>
      </c>
      <c r="DN132" s="1979">
        <v>1.0002450682306379</v>
      </c>
      <c r="DO132" s="1979">
        <v>1.0001651239704095</v>
      </c>
      <c r="DP132" s="1979">
        <v>1.0002450682306379</v>
      </c>
      <c r="DQ132" s="1979">
        <v>1.0001651239704095</v>
      </c>
      <c r="DR132" s="1979">
        <v>1.0002450682306379</v>
      </c>
      <c r="DS132" s="1979">
        <v>1.0001651239704095</v>
      </c>
      <c r="GT132" s="1980"/>
      <c r="GU132" s="1980"/>
      <c r="GV132" s="1980"/>
      <c r="GW132" s="1980"/>
      <c r="GX132" s="1980"/>
      <c r="GY132" s="1980"/>
      <c r="GZ132" s="1980"/>
      <c r="HA132" s="1980"/>
      <c r="HB132" s="1980"/>
      <c r="HC132" s="1980"/>
      <c r="HD132" s="1980"/>
      <c r="HE132" s="1980"/>
      <c r="HF132" s="1980"/>
      <c r="HG132" s="1980"/>
      <c r="HH132" s="1980"/>
      <c r="HI132" s="1980"/>
      <c r="HJ132" s="1980"/>
      <c r="HK132" s="1980"/>
      <c r="HL132" s="1980"/>
      <c r="HM132" s="1980"/>
      <c r="HN132" s="1980"/>
      <c r="HO132" s="1980"/>
      <c r="HP132" s="1980"/>
      <c r="HQ132" s="1980"/>
      <c r="HR132" s="1980"/>
      <c r="HS132" s="1980"/>
      <c r="HT132" s="1980"/>
      <c r="HU132" s="1980"/>
      <c r="HV132" s="1980"/>
      <c r="HW132" s="1980"/>
      <c r="HX132" s="1980"/>
      <c r="HY132" s="1980"/>
      <c r="HZ132" s="1980"/>
      <c r="IA132" s="1980"/>
      <c r="IB132" s="1980"/>
      <c r="IC132" s="1980"/>
      <c r="ID132" s="1980"/>
      <c r="IE132" s="1980"/>
      <c r="IF132" s="1980"/>
      <c r="IG132" s="1980"/>
      <c r="IH132" s="1980"/>
      <c r="II132" s="1980"/>
      <c r="IJ132" s="1980"/>
      <c r="IK132" s="1980"/>
      <c r="IL132" s="1980"/>
      <c r="IM132" s="1980"/>
      <c r="IN132" s="1980"/>
      <c r="IO132" s="1980"/>
      <c r="IP132" s="1980"/>
      <c r="IQ132" s="1980"/>
      <c r="IR132" s="1980"/>
      <c r="IS132" s="1980"/>
      <c r="IT132" s="1980"/>
      <c r="IU132" s="1980"/>
      <c r="IV132" s="1980"/>
      <c r="IW132" s="1980"/>
      <c r="IX132" s="1980"/>
      <c r="IY132" s="1980"/>
      <c r="IZ132" s="1980"/>
      <c r="JA132" s="1980"/>
      <c r="JB132" s="1980"/>
      <c r="JC132" s="1980"/>
      <c r="JD132" s="1980"/>
      <c r="JE132" s="1980"/>
      <c r="JF132" s="1980"/>
      <c r="JG132" s="1980"/>
      <c r="JH132" s="1980"/>
      <c r="JI132" s="1980"/>
      <c r="JJ132" s="1980"/>
      <c r="JK132" s="1980"/>
      <c r="JL132" s="1980"/>
      <c r="JM132" s="1980"/>
      <c r="JN132" s="1980"/>
      <c r="JO132" s="1980"/>
      <c r="JP132" s="1980"/>
      <c r="JQ132" s="1980"/>
      <c r="JR132" s="1980"/>
      <c r="JS132" s="1980"/>
      <c r="JT132" s="1980"/>
      <c r="JU132" s="1980"/>
      <c r="JV132" s="1980"/>
      <c r="JW132" s="1980"/>
      <c r="JX132" s="1980"/>
      <c r="JY132" s="1980"/>
      <c r="JZ132" s="1980"/>
      <c r="KA132" s="1980"/>
      <c r="KB132" s="1980"/>
      <c r="KC132" s="1980"/>
      <c r="KD132" s="1980"/>
      <c r="KE132" s="1980"/>
      <c r="KF132" s="1980"/>
      <c r="KG132" s="1980"/>
      <c r="KH132" s="1980"/>
      <c r="KI132" s="1980"/>
      <c r="KJ132" s="1980"/>
      <c r="KK132" s="1980"/>
    </row>
    <row r="133" spans="1:297">
      <c r="A133" s="1997"/>
      <c r="B133" s="2">
        <v>30</v>
      </c>
      <c r="C133" s="2" t="str">
        <f>AD$14</f>
        <v>Micro-pieux</v>
      </c>
      <c r="D133" s="1998">
        <v>0.98215194558222918</v>
      </c>
      <c r="E133" s="1998">
        <v>0.97790342861972512</v>
      </c>
      <c r="F133" s="1998">
        <v>0.98215194558222918</v>
      </c>
      <c r="G133" s="1998">
        <v>0.97790342861972512</v>
      </c>
      <c r="H133" s="1998">
        <v>0.98215194558222918</v>
      </c>
      <c r="I133" s="1998">
        <v>0.97790342861972512</v>
      </c>
      <c r="J133" s="1998">
        <v>0.98215194558222918</v>
      </c>
      <c r="K133" s="1998">
        <v>0.97790342861972512</v>
      </c>
      <c r="L133" s="1998">
        <v>0.98215194558222918</v>
      </c>
      <c r="M133" s="1998">
        <v>0.97790342861972512</v>
      </c>
      <c r="N133" s="1999">
        <v>1.0358398385172327</v>
      </c>
      <c r="O133" s="1979">
        <v>1.034179277007147</v>
      </c>
      <c r="P133" s="1979">
        <v>1.0358398385172327</v>
      </c>
      <c r="Q133" s="1979">
        <v>1.034179277007147</v>
      </c>
      <c r="R133" s="1979">
        <v>1.0358398385172327</v>
      </c>
      <c r="S133" s="1979">
        <v>1.034179277007147</v>
      </c>
      <c r="T133" s="1979">
        <v>1.0358398385172327</v>
      </c>
      <c r="U133" s="1979">
        <v>1.034179277007147</v>
      </c>
      <c r="V133" s="1979">
        <v>1.0358398385172327</v>
      </c>
      <c r="W133" s="1979">
        <v>1.034179277007147</v>
      </c>
      <c r="X133" s="2000">
        <v>1.0118507754959125</v>
      </c>
      <c r="Y133" s="1998">
        <v>1.0060579802998373</v>
      </c>
      <c r="Z133" s="1998">
        <v>1.0118507754959125</v>
      </c>
      <c r="AA133" s="1998">
        <v>1.0060579802998373</v>
      </c>
      <c r="AB133" s="1998">
        <v>1.0118507754959125</v>
      </c>
      <c r="AC133" s="1998">
        <v>1.0060579802998373</v>
      </c>
      <c r="AD133" s="1998">
        <v>1.0118507754959125</v>
      </c>
      <c r="AE133" s="1998">
        <v>1.0060579802998373</v>
      </c>
      <c r="AF133" s="1998">
        <v>1.0118507754959125</v>
      </c>
      <c r="AG133" s="1998">
        <v>1.0060579802998373</v>
      </c>
      <c r="AH133" s="1999">
        <v>1.0213887038976559</v>
      </c>
      <c r="AI133" s="1979">
        <v>1.0209797472917035</v>
      </c>
      <c r="AJ133" s="1979">
        <v>1.0213887038976559</v>
      </c>
      <c r="AK133" s="1979">
        <v>1.0209797472917035</v>
      </c>
      <c r="AL133" s="1979">
        <v>1.0213887038976559</v>
      </c>
      <c r="AM133" s="1979">
        <v>1.0209797472917035</v>
      </c>
      <c r="AN133" s="1979">
        <v>1.0213887038976559</v>
      </c>
      <c r="AO133" s="1979">
        <v>1.0209797472917035</v>
      </c>
      <c r="AP133" s="1979">
        <v>1.0213887038976559</v>
      </c>
      <c r="AQ133" s="1979">
        <v>1.0209797472917035</v>
      </c>
      <c r="AR133" s="2000">
        <v>1.0157420354354325</v>
      </c>
      <c r="AS133" s="1998">
        <v>1.0153243205893627</v>
      </c>
      <c r="AT133" s="1998">
        <v>1.0157420354354325</v>
      </c>
      <c r="AU133" s="1998">
        <v>1.0153243205893627</v>
      </c>
      <c r="AV133" s="1998">
        <v>1.0157420354354325</v>
      </c>
      <c r="AW133" s="1998">
        <v>1.0153243205893627</v>
      </c>
      <c r="AX133" s="1998">
        <v>1.0157420354354325</v>
      </c>
      <c r="AY133" s="1998">
        <v>1.0153243205893627</v>
      </c>
      <c r="AZ133" s="1998">
        <v>1.0157420354354325</v>
      </c>
      <c r="BA133" s="1998">
        <v>1.0153243205893627</v>
      </c>
      <c r="BB133" s="1999">
        <v>1.40141854193508</v>
      </c>
      <c r="BC133" s="1979">
        <v>1.4092475041878993</v>
      </c>
      <c r="BD133" s="1979">
        <v>1.40141854193508</v>
      </c>
      <c r="BE133" s="1979">
        <v>1.4092475041878993</v>
      </c>
      <c r="BF133" s="1979">
        <v>1.40141854193508</v>
      </c>
      <c r="BG133" s="1979">
        <v>1.4092475041878993</v>
      </c>
      <c r="BH133" s="1979">
        <v>1.40141854193508</v>
      </c>
      <c r="BI133" s="1979">
        <v>1.4092475041878993</v>
      </c>
      <c r="BJ133" s="1979">
        <v>1.40141854193508</v>
      </c>
      <c r="BK133" s="1979">
        <v>1.4092475041878993</v>
      </c>
      <c r="BL133" s="2000">
        <v>1.0311726231989757</v>
      </c>
      <c r="BM133" s="1998">
        <v>1.0292126006031375</v>
      </c>
      <c r="BN133" s="1998">
        <v>1.0311726231989757</v>
      </c>
      <c r="BO133" s="1998">
        <v>1.0292126006031375</v>
      </c>
      <c r="BP133" s="1998">
        <v>1.0311726231989757</v>
      </c>
      <c r="BQ133" s="1998">
        <v>1.0292126006031375</v>
      </c>
      <c r="BR133" s="1998">
        <v>1.0311726231989757</v>
      </c>
      <c r="BS133" s="1998">
        <v>1.0292126006031375</v>
      </c>
      <c r="BT133" s="1998">
        <v>1.0311726231989757</v>
      </c>
      <c r="BU133" s="1998">
        <v>1.0292126006031375</v>
      </c>
      <c r="BV133" s="1999">
        <v>1.0214671801269579</v>
      </c>
      <c r="BW133" s="1979">
        <v>1.0214390644346296</v>
      </c>
      <c r="BX133" s="1979">
        <v>1.0214671801269579</v>
      </c>
      <c r="BY133" s="1979">
        <v>1.0214390644346296</v>
      </c>
      <c r="BZ133" s="1979">
        <v>1.0214671801269579</v>
      </c>
      <c r="CA133" s="1979">
        <v>1.0214390644346296</v>
      </c>
      <c r="CB133" s="1979">
        <v>1.0214671801269579</v>
      </c>
      <c r="CC133" s="1979">
        <v>1.0214390644346296</v>
      </c>
      <c r="CD133" s="1979">
        <v>1.0214671801269579</v>
      </c>
      <c r="CE133" s="1979">
        <v>1.0214390644346296</v>
      </c>
      <c r="CF133" s="2000">
        <v>1.0349309906091928</v>
      </c>
      <c r="CG133" s="1998">
        <v>1.0349881878015106</v>
      </c>
      <c r="CH133" s="1998">
        <v>1.0349309906091928</v>
      </c>
      <c r="CI133" s="1998">
        <v>1.0349881878015106</v>
      </c>
      <c r="CJ133" s="1998">
        <v>1.0349309906091928</v>
      </c>
      <c r="CK133" s="1998">
        <v>1.0349881878015106</v>
      </c>
      <c r="CL133" s="1998">
        <v>1.0349309906091928</v>
      </c>
      <c r="CM133" s="1998">
        <v>1.0349881878015106</v>
      </c>
      <c r="CN133" s="1998">
        <v>1.0349309906091928</v>
      </c>
      <c r="CO133" s="1998">
        <v>1.0349881878015106</v>
      </c>
      <c r="CP133" s="1999">
        <v>1.0366605151957169</v>
      </c>
      <c r="CQ133" s="1979">
        <v>1.0366360621091044</v>
      </c>
      <c r="CR133" s="1979">
        <v>1.0366605151957169</v>
      </c>
      <c r="CS133" s="1979">
        <v>1.0366360621091044</v>
      </c>
      <c r="CT133" s="1979">
        <v>1.0366605151957169</v>
      </c>
      <c r="CU133" s="1979">
        <v>1.0366360621091044</v>
      </c>
      <c r="CV133" s="1979">
        <v>1.0366605151957169</v>
      </c>
      <c r="CW133" s="1979">
        <v>1.0366360621091044</v>
      </c>
      <c r="CX133" s="1979">
        <v>1.0366605151957169</v>
      </c>
      <c r="CY133" s="1979">
        <v>1.0366360621091044</v>
      </c>
      <c r="CZ133" s="2000">
        <v>1.059981437956472</v>
      </c>
      <c r="DA133" s="1998">
        <v>1.0593833390900691</v>
      </c>
      <c r="DB133" s="1998">
        <v>1.059981437956472</v>
      </c>
      <c r="DC133" s="1998">
        <v>1.0593833390900691</v>
      </c>
      <c r="DD133" s="1998">
        <v>1.059981437956472</v>
      </c>
      <c r="DE133" s="1998">
        <v>1.0593833390900691</v>
      </c>
      <c r="DF133" s="1998">
        <v>1.059981437956472</v>
      </c>
      <c r="DG133" s="1998">
        <v>1.0593833390900691</v>
      </c>
      <c r="DH133" s="1998">
        <v>1.059981437956472</v>
      </c>
      <c r="DI133" s="1998">
        <v>1.0593833390900691</v>
      </c>
      <c r="DJ133" s="1999">
        <v>1.0531436744991662</v>
      </c>
      <c r="DK133" s="1979">
        <v>1.0532469496640777</v>
      </c>
      <c r="DL133" s="1979">
        <v>1.0531436744991662</v>
      </c>
      <c r="DM133" s="1979">
        <v>1.0532469496640777</v>
      </c>
      <c r="DN133" s="1979">
        <v>1.0531436744991662</v>
      </c>
      <c r="DO133" s="1979">
        <v>1.0532469496640777</v>
      </c>
      <c r="DP133" s="1979">
        <v>1.0531436744991662</v>
      </c>
      <c r="DQ133" s="1979">
        <v>1.0532469496640777</v>
      </c>
      <c r="DR133" s="1979">
        <v>1.0531436744991662</v>
      </c>
      <c r="DS133" s="1979">
        <v>1.0532469496640777</v>
      </c>
      <c r="GT133" s="1980"/>
      <c r="GU133" s="1980"/>
      <c r="GV133" s="1980"/>
      <c r="GW133" s="1980"/>
      <c r="GX133" s="1980"/>
      <c r="GY133" s="1980"/>
      <c r="GZ133" s="1980"/>
      <c r="HA133" s="1980"/>
      <c r="HB133" s="1980"/>
      <c r="HC133" s="1980"/>
      <c r="HD133" s="1980"/>
      <c r="HE133" s="1980"/>
      <c r="HF133" s="1980"/>
      <c r="HG133" s="1980"/>
      <c r="HH133" s="1980"/>
      <c r="HI133" s="1980"/>
      <c r="HJ133" s="1980"/>
      <c r="HK133" s="1980"/>
      <c r="HL133" s="1980"/>
      <c r="HM133" s="1980"/>
      <c r="HN133" s="1980"/>
      <c r="HO133" s="1980"/>
      <c r="HP133" s="1980"/>
      <c r="HQ133" s="1980"/>
      <c r="HR133" s="1980"/>
      <c r="HS133" s="1980"/>
      <c r="HT133" s="1980"/>
      <c r="HU133" s="1980"/>
      <c r="HV133" s="1980"/>
      <c r="HW133" s="1980"/>
      <c r="HX133" s="1980"/>
      <c r="HY133" s="1980"/>
      <c r="HZ133" s="1980"/>
      <c r="IA133" s="1980"/>
      <c r="IB133" s="1980"/>
      <c r="IC133" s="1980"/>
      <c r="ID133" s="1980"/>
      <c r="IE133" s="1980"/>
      <c r="IF133" s="1980"/>
      <c r="IG133" s="1980"/>
      <c r="IH133" s="1980"/>
      <c r="II133" s="1980"/>
      <c r="IJ133" s="1980"/>
      <c r="IK133" s="1980"/>
      <c r="IL133" s="1980"/>
      <c r="IM133" s="1980"/>
      <c r="IN133" s="1980"/>
      <c r="IO133" s="1980"/>
      <c r="IP133" s="1980"/>
      <c r="IQ133" s="1980"/>
      <c r="IR133" s="1980"/>
      <c r="IS133" s="1980"/>
      <c r="IT133" s="1980"/>
      <c r="IU133" s="1980"/>
      <c r="IV133" s="1980"/>
      <c r="IW133" s="1980"/>
      <c r="IX133" s="1980"/>
      <c r="IY133" s="1980"/>
      <c r="IZ133" s="1980"/>
      <c r="JA133" s="1980"/>
      <c r="JB133" s="1980"/>
      <c r="JC133" s="1980"/>
      <c r="JD133" s="1980"/>
      <c r="JE133" s="1980"/>
      <c r="JF133" s="1980"/>
      <c r="JG133" s="1980"/>
      <c r="JH133" s="1980"/>
      <c r="JI133" s="1980"/>
      <c r="JJ133" s="1980"/>
      <c r="JK133" s="1980"/>
      <c r="JL133" s="1980"/>
      <c r="JM133" s="1980"/>
      <c r="JN133" s="1980"/>
      <c r="JO133" s="1980"/>
      <c r="JP133" s="1980"/>
      <c r="JQ133" s="1980"/>
      <c r="JR133" s="1980"/>
      <c r="JS133" s="1980"/>
      <c r="JT133" s="1980"/>
      <c r="JU133" s="1980"/>
      <c r="JV133" s="1980"/>
      <c r="JW133" s="1980"/>
      <c r="JX133" s="1980"/>
      <c r="JY133" s="1980"/>
      <c r="JZ133" s="1980"/>
      <c r="KA133" s="1980"/>
      <c r="KB133" s="1980"/>
      <c r="KC133" s="1980"/>
      <c r="KD133" s="1980"/>
      <c r="KE133" s="1980"/>
      <c r="KF133" s="1980"/>
      <c r="KG133" s="1980"/>
      <c r="KH133" s="1980"/>
      <c r="KI133" s="1980"/>
      <c r="KJ133" s="1980"/>
      <c r="KK133" s="1980"/>
    </row>
    <row r="134" spans="1:297">
      <c r="A134" s="1997"/>
      <c r="B134" s="2">
        <v>31</v>
      </c>
      <c r="C134" s="2" t="str">
        <f>AD$15</f>
        <v>Pieux en béton coulé sur place</v>
      </c>
      <c r="D134" s="1998">
        <v>1.0037284271901226</v>
      </c>
      <c r="E134" s="1998">
        <v>1.0087568640961355</v>
      </c>
      <c r="F134" s="1998">
        <v>1.0037284271901226</v>
      </c>
      <c r="G134" s="1998">
        <v>1.0087568640961355</v>
      </c>
      <c r="H134" s="1998">
        <v>1.0037284271901226</v>
      </c>
      <c r="I134" s="1998">
        <v>1.0087568640961355</v>
      </c>
      <c r="J134" s="1998">
        <v>1.0037284271901226</v>
      </c>
      <c r="K134" s="1998">
        <v>1.0087568640961355</v>
      </c>
      <c r="L134" s="1998">
        <v>1.0037284271901226</v>
      </c>
      <c r="M134" s="1998">
        <v>1.0087568640961355</v>
      </c>
      <c r="N134" s="1999">
        <v>1.0894512890401353</v>
      </c>
      <c r="O134" s="1979">
        <v>1.1107408416876123</v>
      </c>
      <c r="P134" s="1979">
        <v>1.0894512890401353</v>
      </c>
      <c r="Q134" s="1979">
        <v>1.1107408416876123</v>
      </c>
      <c r="R134" s="1979">
        <v>1.0894512890401353</v>
      </c>
      <c r="S134" s="1979">
        <v>1.1107408416876123</v>
      </c>
      <c r="T134" s="1979">
        <v>1.0894512890401353</v>
      </c>
      <c r="U134" s="1979">
        <v>1.1107408416876123</v>
      </c>
      <c r="V134" s="1979">
        <v>1.0894512890401353</v>
      </c>
      <c r="W134" s="1979">
        <v>1.1107408416876123</v>
      </c>
      <c r="X134" s="2000">
        <v>1.0295778995690765</v>
      </c>
      <c r="Y134" s="1998">
        <v>1.0318016553482365</v>
      </c>
      <c r="Z134" s="1998">
        <v>1.0295778995690765</v>
      </c>
      <c r="AA134" s="1998">
        <v>1.0318016553482365</v>
      </c>
      <c r="AB134" s="1998">
        <v>1.0295778995690765</v>
      </c>
      <c r="AC134" s="1998">
        <v>1.0318016553482365</v>
      </c>
      <c r="AD134" s="1998">
        <v>1.0295778995690765</v>
      </c>
      <c r="AE134" s="1998">
        <v>1.0318016553482365</v>
      </c>
      <c r="AF134" s="1998">
        <v>1.0295778995690765</v>
      </c>
      <c r="AG134" s="1998">
        <v>1.0318016553482365</v>
      </c>
      <c r="AH134" s="1999">
        <v>1.0533832520931459</v>
      </c>
      <c r="AI134" s="1979">
        <v>1.067974371517304</v>
      </c>
      <c r="AJ134" s="1979">
        <v>1.0533832520931459</v>
      </c>
      <c r="AK134" s="1979">
        <v>1.067974371517304</v>
      </c>
      <c r="AL134" s="1979">
        <v>1.0533832520931459</v>
      </c>
      <c r="AM134" s="1979">
        <v>1.067974371517304</v>
      </c>
      <c r="AN134" s="1979">
        <v>1.0533832520931459</v>
      </c>
      <c r="AO134" s="1979">
        <v>1.067974371517304</v>
      </c>
      <c r="AP134" s="1979">
        <v>1.0533832520931459</v>
      </c>
      <c r="AQ134" s="1979">
        <v>1.067974371517304</v>
      </c>
      <c r="AR134" s="2000">
        <v>1.039289947166973</v>
      </c>
      <c r="AS134" s="1998">
        <v>1.0496507916186171</v>
      </c>
      <c r="AT134" s="1998">
        <v>1.039289947166973</v>
      </c>
      <c r="AU134" s="1998">
        <v>1.0496507916186171</v>
      </c>
      <c r="AV134" s="1998">
        <v>1.039289947166973</v>
      </c>
      <c r="AW134" s="1998">
        <v>1.0496507916186171</v>
      </c>
      <c r="AX134" s="1998">
        <v>1.039289947166973</v>
      </c>
      <c r="AY134" s="1998">
        <v>1.0496507916186171</v>
      </c>
      <c r="AZ134" s="1998">
        <v>1.039289947166973</v>
      </c>
      <c r="BA134" s="1998">
        <v>1.0496507916186171</v>
      </c>
      <c r="BB134" s="1999">
        <v>1.5261615238954289</v>
      </c>
      <c r="BC134" s="1979">
        <v>1.5848385303742931</v>
      </c>
      <c r="BD134" s="1979">
        <v>1.5261615238954289</v>
      </c>
      <c r="BE134" s="1979">
        <v>1.5848385303742931</v>
      </c>
      <c r="BF134" s="1979">
        <v>1.5261615238954289</v>
      </c>
      <c r="BG134" s="1979">
        <v>1.5848385303742931</v>
      </c>
      <c r="BH134" s="1979">
        <v>1.5261615238954289</v>
      </c>
      <c r="BI134" s="1979">
        <v>1.5848385303742931</v>
      </c>
      <c r="BJ134" s="1979">
        <v>1.5261615238954289</v>
      </c>
      <c r="BK134" s="1979">
        <v>1.5848385303742931</v>
      </c>
      <c r="BL134" s="2000">
        <v>1.0778025639420794</v>
      </c>
      <c r="BM134" s="1998">
        <v>1.0946488124368183</v>
      </c>
      <c r="BN134" s="1998">
        <v>1.0778025639420794</v>
      </c>
      <c r="BO134" s="1998">
        <v>1.0946488124368183</v>
      </c>
      <c r="BP134" s="1998">
        <v>1.0778025639420794</v>
      </c>
      <c r="BQ134" s="1998">
        <v>1.0946488124368183</v>
      </c>
      <c r="BR134" s="1998">
        <v>1.0778025639420794</v>
      </c>
      <c r="BS134" s="1998">
        <v>1.0946488124368183</v>
      </c>
      <c r="BT134" s="1998">
        <v>1.0778025639420794</v>
      </c>
      <c r="BU134" s="1998">
        <v>1.0946488124368183</v>
      </c>
      <c r="BV134" s="1999">
        <v>1.0535791179273823</v>
      </c>
      <c r="BW134" s="1979">
        <v>1.0694625588478481</v>
      </c>
      <c r="BX134" s="1979">
        <v>1.0535791179273823</v>
      </c>
      <c r="BY134" s="1979">
        <v>1.0694625588478481</v>
      </c>
      <c r="BZ134" s="1979">
        <v>1.0535791179273823</v>
      </c>
      <c r="CA134" s="1979">
        <v>1.0694625588478481</v>
      </c>
      <c r="CB134" s="1979">
        <v>1.0535791179273823</v>
      </c>
      <c r="CC134" s="1979">
        <v>1.0694625588478481</v>
      </c>
      <c r="CD134" s="1979">
        <v>1.0535791179273823</v>
      </c>
      <c r="CE134" s="1979">
        <v>1.0694625588478481</v>
      </c>
      <c r="CF134" s="2000">
        <v>1.0871829301334257</v>
      </c>
      <c r="CG134" s="1998">
        <v>1.1133617122870485</v>
      </c>
      <c r="CH134" s="1998">
        <v>1.0871829301334257</v>
      </c>
      <c r="CI134" s="1998">
        <v>1.1133617122870485</v>
      </c>
      <c r="CJ134" s="1998">
        <v>1.0871829301334257</v>
      </c>
      <c r="CK134" s="1998">
        <v>1.1133617122870485</v>
      </c>
      <c r="CL134" s="1998">
        <v>1.0871829301334257</v>
      </c>
      <c r="CM134" s="1998">
        <v>1.1133617122870485</v>
      </c>
      <c r="CN134" s="1998">
        <v>1.0871829301334257</v>
      </c>
      <c r="CO134" s="1998">
        <v>1.1133617122870485</v>
      </c>
      <c r="CP134" s="1999">
        <v>1.0914995847304267</v>
      </c>
      <c r="CQ134" s="1979">
        <v>1.1187008242811434</v>
      </c>
      <c r="CR134" s="1979">
        <v>1.0914995847304267</v>
      </c>
      <c r="CS134" s="1979">
        <v>1.1187008242811434</v>
      </c>
      <c r="CT134" s="1979">
        <v>1.0914995847304267</v>
      </c>
      <c r="CU134" s="1979">
        <v>1.1187008242811434</v>
      </c>
      <c r="CV134" s="1979">
        <v>1.0914995847304267</v>
      </c>
      <c r="CW134" s="1979">
        <v>1.1187008242811434</v>
      </c>
      <c r="CX134" s="1979">
        <v>1.0914995847304267</v>
      </c>
      <c r="CY134" s="1979">
        <v>1.1187008242811434</v>
      </c>
      <c r="CZ134" s="2000">
        <v>1.1497053883517772</v>
      </c>
      <c r="DA134" s="1998">
        <v>1.1924019911737775</v>
      </c>
      <c r="DB134" s="1998">
        <v>1.1497053883517772</v>
      </c>
      <c r="DC134" s="1998">
        <v>1.1924019911737775</v>
      </c>
      <c r="DD134" s="1998">
        <v>1.1497053883517772</v>
      </c>
      <c r="DE134" s="1998">
        <v>1.1924019911737775</v>
      </c>
      <c r="DF134" s="1998">
        <v>1.1497053883517772</v>
      </c>
      <c r="DG134" s="1998">
        <v>1.1924019911737775</v>
      </c>
      <c r="DH134" s="1998">
        <v>1.1497053883517772</v>
      </c>
      <c r="DI134" s="1998">
        <v>1.1924019911737775</v>
      </c>
      <c r="DJ134" s="1999">
        <v>1.1322726865155595</v>
      </c>
      <c r="DK134" s="1979">
        <v>1.1721502146557041</v>
      </c>
      <c r="DL134" s="1979">
        <v>1.1322726865155595</v>
      </c>
      <c r="DM134" s="1979">
        <v>1.1721502146557041</v>
      </c>
      <c r="DN134" s="1979">
        <v>1.1322726865155595</v>
      </c>
      <c r="DO134" s="1979">
        <v>1.1721502146557041</v>
      </c>
      <c r="DP134" s="1979">
        <v>1.1322726865155595</v>
      </c>
      <c r="DQ134" s="1979">
        <v>1.1721502146557041</v>
      </c>
      <c r="DR134" s="1979">
        <v>1.1322726865155595</v>
      </c>
      <c r="DS134" s="1979">
        <v>1.1721502146557041</v>
      </c>
      <c r="GT134" s="1980"/>
      <c r="GU134" s="1980"/>
      <c r="GV134" s="1980"/>
      <c r="GW134" s="1980"/>
      <c r="GX134" s="1980"/>
      <c r="GY134" s="1980"/>
      <c r="GZ134" s="1980"/>
      <c r="HA134" s="1980"/>
      <c r="HB134" s="1980"/>
      <c r="HC134" s="1980"/>
      <c r="HD134" s="1980"/>
      <c r="HE134" s="1980"/>
      <c r="HF134" s="1980"/>
      <c r="HG134" s="1980"/>
      <c r="HH134" s="1980"/>
      <c r="HI134" s="1980"/>
      <c r="HJ134" s="1980"/>
      <c r="HK134" s="1980"/>
      <c r="HL134" s="1980"/>
      <c r="HM134" s="1980"/>
      <c r="HN134" s="1980"/>
      <c r="HO134" s="1980"/>
      <c r="HP134" s="1980"/>
      <c r="HQ134" s="1980"/>
      <c r="HR134" s="1980"/>
      <c r="HS134" s="1980"/>
      <c r="HT134" s="1980"/>
      <c r="HU134" s="1980"/>
      <c r="HV134" s="1980"/>
      <c r="HW134" s="1980"/>
      <c r="HX134" s="1980"/>
      <c r="HY134" s="1980"/>
      <c r="HZ134" s="1980"/>
      <c r="IA134" s="1980"/>
      <c r="IB134" s="1980"/>
      <c r="IC134" s="1980"/>
      <c r="ID134" s="1980"/>
      <c r="IE134" s="1980"/>
      <c r="IF134" s="1980"/>
      <c r="IG134" s="1980"/>
      <c r="IH134" s="1980"/>
      <c r="II134" s="1980"/>
      <c r="IJ134" s="1980"/>
      <c r="IK134" s="1980"/>
      <c r="IL134" s="1980"/>
      <c r="IM134" s="1980"/>
      <c r="IN134" s="1980"/>
      <c r="IO134" s="1980"/>
      <c r="IP134" s="1980"/>
      <c r="IQ134" s="1980"/>
      <c r="IR134" s="1980"/>
      <c r="IS134" s="1980"/>
      <c r="IT134" s="1980"/>
      <c r="IU134" s="1980"/>
      <c r="IV134" s="1980"/>
      <c r="IW134" s="1980"/>
      <c r="IX134" s="1980"/>
      <c r="IY134" s="1980"/>
      <c r="IZ134" s="1980"/>
      <c r="JA134" s="1980"/>
      <c r="JB134" s="1980"/>
      <c r="JC134" s="1980"/>
      <c r="JD134" s="1980"/>
      <c r="JE134" s="1980"/>
      <c r="JF134" s="1980"/>
      <c r="JG134" s="1980"/>
      <c r="JH134" s="1980"/>
      <c r="JI134" s="1980"/>
      <c r="JJ134" s="1980"/>
      <c r="JK134" s="1980"/>
      <c r="JL134" s="1980"/>
      <c r="JM134" s="1980"/>
      <c r="JN134" s="1980"/>
      <c r="JO134" s="1980"/>
      <c r="JP134" s="1980"/>
      <c r="JQ134" s="1980"/>
      <c r="JR134" s="1980"/>
      <c r="JS134" s="1980"/>
      <c r="JT134" s="1980"/>
      <c r="JU134" s="1980"/>
      <c r="JV134" s="1980"/>
      <c r="JW134" s="1980"/>
      <c r="JX134" s="1980"/>
      <c r="JY134" s="1980"/>
      <c r="JZ134" s="1980"/>
      <c r="KA134" s="1980"/>
      <c r="KB134" s="1980"/>
      <c r="KC134" s="1980"/>
      <c r="KD134" s="1980"/>
      <c r="KE134" s="1980"/>
      <c r="KF134" s="1980"/>
      <c r="KG134" s="1980"/>
      <c r="KH134" s="1980"/>
      <c r="KI134" s="1980"/>
      <c r="KJ134" s="1980"/>
      <c r="KK134" s="1980"/>
    </row>
    <row r="135" spans="1:297">
      <c r="A135" s="1997"/>
      <c r="B135" s="2">
        <v>32</v>
      </c>
      <c r="C135" s="2" t="str">
        <f>AD$16</f>
        <v>Colonnes ballastées</v>
      </c>
      <c r="D135" s="1998">
        <v>0.97125110674546655</v>
      </c>
      <c r="E135" s="1998">
        <v>0.96679150843935979</v>
      </c>
      <c r="F135" s="1998">
        <v>0.97125110674546655</v>
      </c>
      <c r="G135" s="1998">
        <v>0.96679150843935979</v>
      </c>
      <c r="H135" s="1998">
        <v>0.97125110674546655</v>
      </c>
      <c r="I135" s="1998">
        <v>0.96679150843935979</v>
      </c>
      <c r="J135" s="1998">
        <v>0.97125110674546655</v>
      </c>
      <c r="K135" s="1998">
        <v>0.96679150843935979</v>
      </c>
      <c r="L135" s="1998">
        <v>0.97125110674546655</v>
      </c>
      <c r="M135" s="1998">
        <v>0.96679150843935979</v>
      </c>
      <c r="N135" s="1999">
        <v>1.0087543390101477</v>
      </c>
      <c r="O135" s="1979">
        <v>1.006605492030636</v>
      </c>
      <c r="P135" s="1979">
        <v>1.0087543390101477</v>
      </c>
      <c r="Q135" s="1979">
        <v>1.006605492030636</v>
      </c>
      <c r="R135" s="1979">
        <v>1.0087543390101477</v>
      </c>
      <c r="S135" s="1979">
        <v>1.006605492030636</v>
      </c>
      <c r="T135" s="1979">
        <v>1.0087543390101477</v>
      </c>
      <c r="U135" s="1979">
        <v>1.006605492030636</v>
      </c>
      <c r="V135" s="1979">
        <v>1.0087543390101477</v>
      </c>
      <c r="W135" s="1979">
        <v>1.006605492030636</v>
      </c>
      <c r="X135" s="2000">
        <v>1.0028947035063922</v>
      </c>
      <c r="Y135" s="1998">
        <v>0.99678634951156475</v>
      </c>
      <c r="Z135" s="1998">
        <v>1.0028947035063922</v>
      </c>
      <c r="AA135" s="1998">
        <v>0.99678634951156475</v>
      </c>
      <c r="AB135" s="1998">
        <v>1.0028947035063922</v>
      </c>
      <c r="AC135" s="1998">
        <v>0.99678634951156475</v>
      </c>
      <c r="AD135" s="1998">
        <v>1.0028947035063922</v>
      </c>
      <c r="AE135" s="1998">
        <v>0.99678634951156475</v>
      </c>
      <c r="AF135" s="1998">
        <v>1.0028947035063922</v>
      </c>
      <c r="AG135" s="1998">
        <v>0.99678634951156475</v>
      </c>
      <c r="AH135" s="1999">
        <v>1.0052244645247972</v>
      </c>
      <c r="AI135" s="1979">
        <v>1.0040545490038051</v>
      </c>
      <c r="AJ135" s="1979">
        <v>1.0052244645247972</v>
      </c>
      <c r="AK135" s="1979">
        <v>1.0040545490038051</v>
      </c>
      <c r="AL135" s="1979">
        <v>1.0052244645247972</v>
      </c>
      <c r="AM135" s="1979">
        <v>1.0040545490038051</v>
      </c>
      <c r="AN135" s="1979">
        <v>1.0052244645247972</v>
      </c>
      <c r="AO135" s="1979">
        <v>1.0040545490038051</v>
      </c>
      <c r="AP135" s="1979">
        <v>1.0052244645247972</v>
      </c>
      <c r="AQ135" s="1979">
        <v>1.0040545490038051</v>
      </c>
      <c r="AR135" s="2000">
        <v>1.0038451935224337</v>
      </c>
      <c r="AS135" s="1998">
        <v>1.002961580419234</v>
      </c>
      <c r="AT135" s="1998">
        <v>1.0038451935224337</v>
      </c>
      <c r="AU135" s="1998">
        <v>1.002961580419234</v>
      </c>
      <c r="AV135" s="1998">
        <v>1.0038451935224337</v>
      </c>
      <c r="AW135" s="1998">
        <v>1.002961580419234</v>
      </c>
      <c r="AX135" s="1998">
        <v>1.0038451935224337</v>
      </c>
      <c r="AY135" s="1998">
        <v>1.002961580419234</v>
      </c>
      <c r="AZ135" s="1998">
        <v>1.0038451935224337</v>
      </c>
      <c r="BA135" s="1998">
        <v>1.002961580419234</v>
      </c>
      <c r="BB135" s="1999">
        <v>1.338396072976588</v>
      </c>
      <c r="BC135" s="1979">
        <v>1.3460080808548507</v>
      </c>
      <c r="BD135" s="1979">
        <v>1.338396072976588</v>
      </c>
      <c r="BE135" s="1979">
        <v>1.3460080808548507</v>
      </c>
      <c r="BF135" s="1979">
        <v>1.338396072976588</v>
      </c>
      <c r="BG135" s="1979">
        <v>1.3460080808548507</v>
      </c>
      <c r="BH135" s="1979">
        <v>1.338396072976588</v>
      </c>
      <c r="BI135" s="1979">
        <v>1.3460080808548507</v>
      </c>
      <c r="BJ135" s="1979">
        <v>1.338396072976588</v>
      </c>
      <c r="BK135" s="1979">
        <v>1.3460080808548507</v>
      </c>
      <c r="BL135" s="2000">
        <v>1.0076143119670644</v>
      </c>
      <c r="BM135" s="1998">
        <v>1.0056456314285942</v>
      </c>
      <c r="BN135" s="1998">
        <v>1.0076143119670644</v>
      </c>
      <c r="BO135" s="1998">
        <v>1.0056456314285942</v>
      </c>
      <c r="BP135" s="1998">
        <v>1.0076143119670644</v>
      </c>
      <c r="BQ135" s="1998">
        <v>1.0056456314285942</v>
      </c>
      <c r="BR135" s="1998">
        <v>1.0076143119670644</v>
      </c>
      <c r="BS135" s="1998">
        <v>1.0056456314285942</v>
      </c>
      <c r="BT135" s="1998">
        <v>1.0076143119670644</v>
      </c>
      <c r="BU135" s="1998">
        <v>1.0056456314285942</v>
      </c>
      <c r="BV135" s="1999">
        <v>1.0052436333476482</v>
      </c>
      <c r="BW135" s="1979">
        <v>1.0041433167014511</v>
      </c>
      <c r="BX135" s="1979">
        <v>1.0052436333476482</v>
      </c>
      <c r="BY135" s="1979">
        <v>1.0041433167014511</v>
      </c>
      <c r="BZ135" s="1979">
        <v>1.0052436333476482</v>
      </c>
      <c r="CA135" s="1979">
        <v>1.0041433167014511</v>
      </c>
      <c r="CB135" s="1979">
        <v>1.0052436333476482</v>
      </c>
      <c r="CC135" s="1979">
        <v>1.0041433167014511</v>
      </c>
      <c r="CD135" s="1979">
        <v>1.0052436333476482</v>
      </c>
      <c r="CE135" s="1979">
        <v>1.0041433167014511</v>
      </c>
      <c r="CF135" s="2000">
        <v>1.0085323412829028</v>
      </c>
      <c r="CG135" s="1998">
        <v>1.0067618222480523</v>
      </c>
      <c r="CH135" s="1998">
        <v>1.0085323412829028</v>
      </c>
      <c r="CI135" s="1998">
        <v>1.0067618222480523</v>
      </c>
      <c r="CJ135" s="1998">
        <v>1.0085323412829028</v>
      </c>
      <c r="CK135" s="1998">
        <v>1.0067618222480523</v>
      </c>
      <c r="CL135" s="1998">
        <v>1.0085323412829028</v>
      </c>
      <c r="CM135" s="1998">
        <v>1.0067618222480523</v>
      </c>
      <c r="CN135" s="1998">
        <v>1.0085323412829028</v>
      </c>
      <c r="CO135" s="1998">
        <v>1.0067618222480523</v>
      </c>
      <c r="CP135" s="1999">
        <v>1.0089547997867139</v>
      </c>
      <c r="CQ135" s="1979">
        <v>1.0070802906756915</v>
      </c>
      <c r="CR135" s="1979">
        <v>1.0089547997867139</v>
      </c>
      <c r="CS135" s="1979">
        <v>1.0070802906756915</v>
      </c>
      <c r="CT135" s="1979">
        <v>1.0089547997867139</v>
      </c>
      <c r="CU135" s="1979">
        <v>1.0070802906756915</v>
      </c>
      <c r="CV135" s="1979">
        <v>1.0089547997867139</v>
      </c>
      <c r="CW135" s="1979">
        <v>1.0070802906756915</v>
      </c>
      <c r="CX135" s="1979">
        <v>1.0089547997867139</v>
      </c>
      <c r="CY135" s="1979">
        <v>1.0070802906756915</v>
      </c>
      <c r="CZ135" s="2000">
        <v>1.0146512334851789</v>
      </c>
      <c r="DA135" s="1998">
        <v>1.011476432723547</v>
      </c>
      <c r="DB135" s="1998">
        <v>1.0146512334851789</v>
      </c>
      <c r="DC135" s="1998">
        <v>1.011476432723547</v>
      </c>
      <c r="DD135" s="1998">
        <v>1.0146512334851789</v>
      </c>
      <c r="DE135" s="1998">
        <v>1.011476432723547</v>
      </c>
      <c r="DF135" s="1998">
        <v>1.0146512334851789</v>
      </c>
      <c r="DG135" s="1998">
        <v>1.011476432723547</v>
      </c>
      <c r="DH135" s="1998">
        <v>1.0146512334851789</v>
      </c>
      <c r="DI135" s="1998">
        <v>1.011476432723547</v>
      </c>
      <c r="DJ135" s="1999">
        <v>1.0131662294746078</v>
      </c>
      <c r="DK135" s="1979">
        <v>1.0104237253012045</v>
      </c>
      <c r="DL135" s="1979">
        <v>1.0131662294746078</v>
      </c>
      <c r="DM135" s="1979">
        <v>1.0104237253012045</v>
      </c>
      <c r="DN135" s="1979">
        <v>1.0131662294746078</v>
      </c>
      <c r="DO135" s="1979">
        <v>1.0104237253012045</v>
      </c>
      <c r="DP135" s="1979">
        <v>1.0131662294746078</v>
      </c>
      <c r="DQ135" s="1979">
        <v>1.0104237253012045</v>
      </c>
      <c r="DR135" s="1979">
        <v>1.0131662294746078</v>
      </c>
      <c r="DS135" s="1979">
        <v>1.0104237253012045</v>
      </c>
      <c r="GT135" s="1980"/>
      <c r="GU135" s="1980"/>
      <c r="GV135" s="1980"/>
      <c r="GW135" s="1980"/>
      <c r="GX135" s="1980"/>
      <c r="GY135" s="1980"/>
      <c r="GZ135" s="1980"/>
      <c r="HA135" s="1980"/>
      <c r="HB135" s="1980"/>
      <c r="HC135" s="1980"/>
      <c r="HD135" s="1980"/>
      <c r="HE135" s="1980"/>
      <c r="HF135" s="1980"/>
      <c r="HG135" s="1980"/>
      <c r="HH135" s="1980"/>
      <c r="HI135" s="1980"/>
      <c r="HJ135" s="1980"/>
      <c r="HK135" s="1980"/>
      <c r="HL135" s="1980"/>
      <c r="HM135" s="1980"/>
      <c r="HN135" s="1980"/>
      <c r="HO135" s="1980"/>
      <c r="HP135" s="1980"/>
      <c r="HQ135" s="1980"/>
      <c r="HR135" s="1980"/>
      <c r="HS135" s="1980"/>
      <c r="HT135" s="1980"/>
      <c r="HU135" s="1980"/>
      <c r="HV135" s="1980"/>
      <c r="HW135" s="1980"/>
      <c r="HX135" s="1980"/>
      <c r="HY135" s="1980"/>
      <c r="HZ135" s="1980"/>
      <c r="IA135" s="1980"/>
      <c r="IB135" s="1980"/>
      <c r="IC135" s="1980"/>
      <c r="ID135" s="1980"/>
      <c r="IE135" s="1980"/>
      <c r="IF135" s="1980"/>
      <c r="IG135" s="1980"/>
      <c r="IH135" s="1980"/>
      <c r="II135" s="1980"/>
      <c r="IJ135" s="1980"/>
      <c r="IK135" s="1980"/>
      <c r="IL135" s="1980"/>
      <c r="IM135" s="1980"/>
      <c r="IN135" s="1980"/>
      <c r="IO135" s="1980"/>
      <c r="IP135" s="1980"/>
      <c r="IQ135" s="1980"/>
      <c r="IR135" s="1980"/>
      <c r="IS135" s="1980"/>
      <c r="IT135" s="1980"/>
      <c r="IU135" s="1980"/>
      <c r="IV135" s="1980"/>
      <c r="IW135" s="1980"/>
      <c r="IX135" s="1980"/>
      <c r="IY135" s="1980"/>
      <c r="IZ135" s="1980"/>
      <c r="JA135" s="1980"/>
      <c r="JB135" s="1980"/>
      <c r="JC135" s="1980"/>
      <c r="JD135" s="1980"/>
      <c r="JE135" s="1980"/>
      <c r="JF135" s="1980"/>
      <c r="JG135" s="1980"/>
      <c r="JH135" s="1980"/>
      <c r="JI135" s="1980"/>
      <c r="JJ135" s="1980"/>
      <c r="JK135" s="1980"/>
      <c r="JL135" s="1980"/>
      <c r="JM135" s="1980"/>
      <c r="JN135" s="1980"/>
      <c r="JO135" s="1980"/>
      <c r="JP135" s="1980"/>
      <c r="JQ135" s="1980"/>
      <c r="JR135" s="1980"/>
      <c r="JS135" s="1980"/>
      <c r="JT135" s="1980"/>
      <c r="JU135" s="1980"/>
      <c r="JV135" s="1980"/>
      <c r="JW135" s="1980"/>
      <c r="JX135" s="1980"/>
      <c r="JY135" s="1980"/>
      <c r="JZ135" s="1980"/>
      <c r="KA135" s="1980"/>
      <c r="KB135" s="1980"/>
      <c r="KC135" s="1980"/>
      <c r="KD135" s="1980"/>
      <c r="KE135" s="1980"/>
      <c r="KF135" s="1980"/>
      <c r="KG135" s="1980"/>
      <c r="KH135" s="1980"/>
      <c r="KI135" s="1980"/>
      <c r="KJ135" s="1980"/>
      <c r="KK135" s="1980"/>
    </row>
    <row r="136" spans="1:297">
      <c r="A136" s="1997"/>
      <c r="B136" s="2">
        <v>33</v>
      </c>
      <c r="C136" s="2" t="str">
        <f>AD$17</f>
        <v>Pieu en béton préfabriqué (battus)</v>
      </c>
      <c r="D136" s="1998">
        <v>0.97582476936753082</v>
      </c>
      <c r="E136" s="1998">
        <v>0.97696278685316518</v>
      </c>
      <c r="F136" s="1998">
        <v>0.97582476936753082</v>
      </c>
      <c r="G136" s="1998">
        <v>0.97696278685316518</v>
      </c>
      <c r="H136" s="1998">
        <v>0.97582476936753082</v>
      </c>
      <c r="I136" s="1998">
        <v>0.97696278685316518</v>
      </c>
      <c r="J136" s="1998">
        <v>0.97582476936753082</v>
      </c>
      <c r="K136" s="1998">
        <v>0.97696278685316518</v>
      </c>
      <c r="L136" s="1998">
        <v>0.97582476936753082</v>
      </c>
      <c r="M136" s="1998">
        <v>0.97696278685316518</v>
      </c>
      <c r="N136" s="1999">
        <v>1.0201185962522339</v>
      </c>
      <c r="O136" s="1979">
        <v>1.031845112129246</v>
      </c>
      <c r="P136" s="1979">
        <v>1.0201185962522339</v>
      </c>
      <c r="Q136" s="1979">
        <v>1.031845112129246</v>
      </c>
      <c r="R136" s="1979">
        <v>1.0201185962522339</v>
      </c>
      <c r="S136" s="1979">
        <v>1.031845112129246</v>
      </c>
      <c r="T136" s="1979">
        <v>1.0201185962522339</v>
      </c>
      <c r="U136" s="1979">
        <v>1.031845112129246</v>
      </c>
      <c r="V136" s="1979">
        <v>1.0201185962522339</v>
      </c>
      <c r="W136" s="1979">
        <v>1.031845112129246</v>
      </c>
      <c r="X136" s="2000">
        <v>1.0066524007178073</v>
      </c>
      <c r="Y136" s="1998">
        <v>1.0052731219655431</v>
      </c>
      <c r="Z136" s="1998">
        <v>1.0066524007178073</v>
      </c>
      <c r="AA136" s="1998">
        <v>1.0052731219655431</v>
      </c>
      <c r="AB136" s="1998">
        <v>1.0066524007178073</v>
      </c>
      <c r="AC136" s="1998">
        <v>1.0052731219655431</v>
      </c>
      <c r="AD136" s="1998">
        <v>1.0066524007178073</v>
      </c>
      <c r="AE136" s="1998">
        <v>1.0052731219655431</v>
      </c>
      <c r="AF136" s="1998">
        <v>1.0066524007178073</v>
      </c>
      <c r="AG136" s="1998">
        <v>1.0052731219655431</v>
      </c>
      <c r="AH136" s="1999">
        <v>1.0120064909854047</v>
      </c>
      <c r="AI136" s="1979">
        <v>1.0195470022612778</v>
      </c>
      <c r="AJ136" s="1979">
        <v>1.0120064909854047</v>
      </c>
      <c r="AK136" s="1979">
        <v>1.0195470022612778</v>
      </c>
      <c r="AL136" s="1979">
        <v>1.0120064909854047</v>
      </c>
      <c r="AM136" s="1979">
        <v>1.0195470022612778</v>
      </c>
      <c r="AN136" s="1979">
        <v>1.0120064909854047</v>
      </c>
      <c r="AO136" s="1979">
        <v>1.0195470022612778</v>
      </c>
      <c r="AP136" s="1979">
        <v>1.0120064909854047</v>
      </c>
      <c r="AQ136" s="1979">
        <v>1.0195470022612778</v>
      </c>
      <c r="AR136" s="2000">
        <v>1.0088367489424246</v>
      </c>
      <c r="AS136" s="1998">
        <v>1.0142777949156363</v>
      </c>
      <c r="AT136" s="1998">
        <v>1.0088367489424246</v>
      </c>
      <c r="AU136" s="1998">
        <v>1.0142777949156363</v>
      </c>
      <c r="AV136" s="1998">
        <v>1.0088367489424246</v>
      </c>
      <c r="AW136" s="1998">
        <v>1.0142777949156363</v>
      </c>
      <c r="AX136" s="1998">
        <v>1.0088367489424246</v>
      </c>
      <c r="AY136" s="1998">
        <v>1.0142777949156363</v>
      </c>
      <c r="AZ136" s="1998">
        <v>1.0088367489424246</v>
      </c>
      <c r="BA136" s="1998">
        <v>1.0142777949156363</v>
      </c>
      <c r="BB136" s="1999">
        <v>1.3648383968144167</v>
      </c>
      <c r="BC136" s="1979">
        <v>1.4038941861371332</v>
      </c>
      <c r="BD136" s="1979">
        <v>1.3648383968144167</v>
      </c>
      <c r="BE136" s="1979">
        <v>1.4038941861371332</v>
      </c>
      <c r="BF136" s="1979">
        <v>1.3648383968144167</v>
      </c>
      <c r="BG136" s="1979">
        <v>1.4038941861371332</v>
      </c>
      <c r="BH136" s="1979">
        <v>1.3648383968144167</v>
      </c>
      <c r="BI136" s="1979">
        <v>1.4038941861371332</v>
      </c>
      <c r="BJ136" s="1979">
        <v>1.3648383968144167</v>
      </c>
      <c r="BK136" s="1979">
        <v>1.4038941861371332</v>
      </c>
      <c r="BL136" s="2000">
        <v>1.0174986675780264</v>
      </c>
      <c r="BM136" s="1998">
        <v>1.027217619073665</v>
      </c>
      <c r="BN136" s="1998">
        <v>1.0174986675780264</v>
      </c>
      <c r="BO136" s="1998">
        <v>1.027217619073665</v>
      </c>
      <c r="BP136" s="1998">
        <v>1.0174986675780264</v>
      </c>
      <c r="BQ136" s="1998">
        <v>1.027217619073665</v>
      </c>
      <c r="BR136" s="1998">
        <v>1.0174986675780264</v>
      </c>
      <c r="BS136" s="1998">
        <v>1.027217619073665</v>
      </c>
      <c r="BT136" s="1998">
        <v>1.0174986675780264</v>
      </c>
      <c r="BU136" s="1998">
        <v>1.027217619073665</v>
      </c>
      <c r="BV136" s="1999">
        <v>1.0120505434041112</v>
      </c>
      <c r="BW136" s="1979">
        <v>1.019974951802642</v>
      </c>
      <c r="BX136" s="1979">
        <v>1.0120505434041112</v>
      </c>
      <c r="BY136" s="1979">
        <v>1.019974951802642</v>
      </c>
      <c r="BZ136" s="1979">
        <v>1.0120505434041112</v>
      </c>
      <c r="CA136" s="1979">
        <v>1.019974951802642</v>
      </c>
      <c r="CB136" s="1979">
        <v>1.0120505434041112</v>
      </c>
      <c r="CC136" s="1979">
        <v>1.019974951802642</v>
      </c>
      <c r="CD136" s="1979">
        <v>1.0120505434041112</v>
      </c>
      <c r="CE136" s="1979">
        <v>1.019974951802642</v>
      </c>
      <c r="CF136" s="2000">
        <v>1.0196084169413604</v>
      </c>
      <c r="CG136" s="1998">
        <v>1.0325987809369181</v>
      </c>
      <c r="CH136" s="1998">
        <v>1.0196084169413604</v>
      </c>
      <c r="CI136" s="1998">
        <v>1.0325987809369181</v>
      </c>
      <c r="CJ136" s="1998">
        <v>1.0196084169413604</v>
      </c>
      <c r="CK136" s="1998">
        <v>1.0325987809369181</v>
      </c>
      <c r="CL136" s="1998">
        <v>1.0196084169413604</v>
      </c>
      <c r="CM136" s="1998">
        <v>1.0325987809369181</v>
      </c>
      <c r="CN136" s="1998">
        <v>1.0196084169413604</v>
      </c>
      <c r="CO136" s="1998">
        <v>1.0325987809369181</v>
      </c>
      <c r="CP136" s="1999">
        <v>1.0205792808822751</v>
      </c>
      <c r="CQ136" s="1979">
        <v>1.0341341189163979</v>
      </c>
      <c r="CR136" s="1979">
        <v>1.0205792808822751</v>
      </c>
      <c r="CS136" s="1979">
        <v>1.0341341189163979</v>
      </c>
      <c r="CT136" s="1979">
        <v>1.0205792808822751</v>
      </c>
      <c r="CU136" s="1979">
        <v>1.0341341189163979</v>
      </c>
      <c r="CV136" s="1979">
        <v>1.0205792808822751</v>
      </c>
      <c r="CW136" s="1979">
        <v>1.0341341189163979</v>
      </c>
      <c r="CX136" s="1979">
        <v>1.0205792808822751</v>
      </c>
      <c r="CY136" s="1979">
        <v>1.0341341189163979</v>
      </c>
      <c r="CZ136" s="2000">
        <v>1.0336704176915985</v>
      </c>
      <c r="DA136" s="1998">
        <v>1.0553279430555793</v>
      </c>
      <c r="DB136" s="1998">
        <v>1.0336704176915985</v>
      </c>
      <c r="DC136" s="1998">
        <v>1.0553279430555793</v>
      </c>
      <c r="DD136" s="1998">
        <v>1.0336704176915985</v>
      </c>
      <c r="DE136" s="1998">
        <v>1.0553279430555793</v>
      </c>
      <c r="DF136" s="1998">
        <v>1.0336704176915985</v>
      </c>
      <c r="DG136" s="1998">
        <v>1.0553279430555793</v>
      </c>
      <c r="DH136" s="1998">
        <v>1.0336704176915985</v>
      </c>
      <c r="DI136" s="1998">
        <v>1.0553279430555793</v>
      </c>
      <c r="DJ136" s="1999">
        <v>1.0299395575434369</v>
      </c>
      <c r="DK136" s="1979">
        <v>1.0496218954195684</v>
      </c>
      <c r="DL136" s="1979">
        <v>1.0299395575434369</v>
      </c>
      <c r="DM136" s="1979">
        <v>1.0496218954195684</v>
      </c>
      <c r="DN136" s="1979">
        <v>1.0299395575434369</v>
      </c>
      <c r="DO136" s="1979">
        <v>1.0496218954195684</v>
      </c>
      <c r="DP136" s="1979">
        <v>1.0299395575434369</v>
      </c>
      <c r="DQ136" s="1979">
        <v>1.0496218954195684</v>
      </c>
      <c r="DR136" s="1979">
        <v>1.0299395575434369</v>
      </c>
      <c r="DS136" s="1979">
        <v>1.0496218954195684</v>
      </c>
      <c r="GT136" s="1980"/>
      <c r="GU136" s="1980"/>
      <c r="GV136" s="1980"/>
      <c r="GW136" s="1980"/>
      <c r="GX136" s="1980"/>
      <c r="GY136" s="1980"/>
      <c r="GZ136" s="1980"/>
      <c r="HA136" s="1980"/>
      <c r="HB136" s="1980"/>
      <c r="HC136" s="1980"/>
      <c r="HD136" s="1980"/>
      <c r="HE136" s="1980"/>
      <c r="HF136" s="1980"/>
      <c r="HG136" s="1980"/>
      <c r="HH136" s="1980"/>
      <c r="HI136" s="1980"/>
      <c r="HJ136" s="1980"/>
      <c r="HK136" s="1980"/>
      <c r="HL136" s="1980"/>
      <c r="HM136" s="1980"/>
      <c r="HN136" s="1980"/>
      <c r="HO136" s="1980"/>
      <c r="HP136" s="1980"/>
      <c r="HQ136" s="1980"/>
      <c r="HR136" s="1980"/>
      <c r="HS136" s="1980"/>
      <c r="HT136" s="1980"/>
      <c r="HU136" s="1980"/>
      <c r="HV136" s="1980"/>
      <c r="HW136" s="1980"/>
      <c r="HX136" s="1980"/>
      <c r="HY136" s="1980"/>
      <c r="HZ136" s="1980"/>
      <c r="IA136" s="1980"/>
      <c r="IB136" s="1980"/>
      <c r="IC136" s="1980"/>
      <c r="ID136" s="1980"/>
      <c r="IE136" s="1980"/>
      <c r="IF136" s="1980"/>
      <c r="IG136" s="1980"/>
      <c r="IH136" s="1980"/>
      <c r="II136" s="1980"/>
      <c r="IJ136" s="1980"/>
      <c r="IK136" s="1980"/>
      <c r="IL136" s="1980"/>
      <c r="IM136" s="1980"/>
      <c r="IN136" s="1980"/>
      <c r="IO136" s="1980"/>
      <c r="IP136" s="1980"/>
      <c r="IQ136" s="1980"/>
      <c r="IR136" s="1980"/>
      <c r="IS136" s="1980"/>
      <c r="IT136" s="1980"/>
      <c r="IU136" s="1980"/>
      <c r="IV136" s="1980"/>
      <c r="IW136" s="1980"/>
      <c r="IX136" s="1980"/>
      <c r="IY136" s="1980"/>
      <c r="IZ136" s="1980"/>
      <c r="JA136" s="1980"/>
      <c r="JB136" s="1980"/>
      <c r="JC136" s="1980"/>
      <c r="JD136" s="1980"/>
      <c r="JE136" s="1980"/>
      <c r="JF136" s="1980"/>
      <c r="JG136" s="1980"/>
      <c r="JH136" s="1980"/>
      <c r="JI136" s="1980"/>
      <c r="JJ136" s="1980"/>
      <c r="JK136" s="1980"/>
      <c r="JL136" s="1980"/>
      <c r="JM136" s="1980"/>
      <c r="JN136" s="1980"/>
      <c r="JO136" s="1980"/>
      <c r="JP136" s="1980"/>
      <c r="JQ136" s="1980"/>
      <c r="JR136" s="1980"/>
      <c r="JS136" s="1980"/>
      <c r="JT136" s="1980"/>
      <c r="JU136" s="1980"/>
      <c r="JV136" s="1980"/>
      <c r="JW136" s="1980"/>
      <c r="JX136" s="1980"/>
      <c r="JY136" s="1980"/>
      <c r="JZ136" s="1980"/>
      <c r="KA136" s="1980"/>
      <c r="KB136" s="1980"/>
      <c r="KC136" s="1980"/>
      <c r="KD136" s="1980"/>
      <c r="KE136" s="1980"/>
      <c r="KF136" s="1980"/>
      <c r="KG136" s="1980"/>
      <c r="KH136" s="1980"/>
      <c r="KI136" s="1980"/>
      <c r="KJ136" s="1980"/>
      <c r="KK136" s="1980"/>
    </row>
    <row r="137" spans="1:297">
      <c r="A137" s="1997"/>
      <c r="B137" s="2">
        <v>34</v>
      </c>
      <c r="C137" s="2" t="str">
        <f>AF$13</f>
        <v/>
      </c>
      <c r="D137" s="1998">
        <v>0.96772783265384288</v>
      </c>
      <c r="E137" s="1998">
        <v>0.96412957065102256</v>
      </c>
      <c r="F137" s="1998">
        <v>0.96772783265384288</v>
      </c>
      <c r="G137" s="1998">
        <v>0.96412957065102256</v>
      </c>
      <c r="H137" s="1998">
        <v>0.96772783265384288</v>
      </c>
      <c r="I137" s="1998">
        <v>0.96412957065102256</v>
      </c>
      <c r="J137" s="1998">
        <v>0.96772783265384288</v>
      </c>
      <c r="K137" s="1998">
        <v>0.96412957065102256</v>
      </c>
      <c r="L137" s="1998">
        <v>0.96772783265384288</v>
      </c>
      <c r="M137" s="1998">
        <v>0.96412957065102256</v>
      </c>
      <c r="N137" s="1999">
        <v>1</v>
      </c>
      <c r="O137" s="1979">
        <v>1</v>
      </c>
      <c r="P137" s="1979">
        <v>1</v>
      </c>
      <c r="Q137" s="1979">
        <v>1</v>
      </c>
      <c r="R137" s="1979">
        <v>1</v>
      </c>
      <c r="S137" s="1979">
        <v>1</v>
      </c>
      <c r="T137" s="1979">
        <v>1</v>
      </c>
      <c r="U137" s="1979">
        <v>1</v>
      </c>
      <c r="V137" s="1979">
        <v>1</v>
      </c>
      <c r="W137" s="1979">
        <v>1</v>
      </c>
      <c r="X137" s="2000">
        <v>1</v>
      </c>
      <c r="Y137" s="1998">
        <v>0.99456526585057647</v>
      </c>
      <c r="Z137" s="1998">
        <v>1</v>
      </c>
      <c r="AA137" s="1998">
        <v>0.99456526585057647</v>
      </c>
      <c r="AB137" s="1998">
        <v>1</v>
      </c>
      <c r="AC137" s="1998">
        <v>0.99456526585057647</v>
      </c>
      <c r="AD137" s="1998">
        <v>1</v>
      </c>
      <c r="AE137" s="1998">
        <v>0.99456526585057647</v>
      </c>
      <c r="AF137" s="1998">
        <v>1</v>
      </c>
      <c r="AG137" s="1998">
        <v>0.99456526585057647</v>
      </c>
      <c r="AH137" s="1999">
        <v>1</v>
      </c>
      <c r="AI137" s="1979">
        <v>1</v>
      </c>
      <c r="AJ137" s="1979">
        <v>1</v>
      </c>
      <c r="AK137" s="1979">
        <v>1</v>
      </c>
      <c r="AL137" s="1979">
        <v>1</v>
      </c>
      <c r="AM137" s="1979">
        <v>1</v>
      </c>
      <c r="AN137" s="1979">
        <v>1</v>
      </c>
      <c r="AO137" s="1979">
        <v>1</v>
      </c>
      <c r="AP137" s="1979">
        <v>1</v>
      </c>
      <c r="AQ137" s="1979">
        <v>1</v>
      </c>
      <c r="AR137" s="2000">
        <v>1</v>
      </c>
      <c r="AS137" s="1998">
        <v>1</v>
      </c>
      <c r="AT137" s="1998">
        <v>1</v>
      </c>
      <c r="AU137" s="1998">
        <v>1</v>
      </c>
      <c r="AV137" s="1998">
        <v>1</v>
      </c>
      <c r="AW137" s="1998">
        <v>1</v>
      </c>
      <c r="AX137" s="1998">
        <v>1</v>
      </c>
      <c r="AY137" s="1998">
        <v>1</v>
      </c>
      <c r="AZ137" s="1998">
        <v>1</v>
      </c>
      <c r="BA137" s="1998">
        <v>1</v>
      </c>
      <c r="BB137" s="1999">
        <v>1.3180265000109936</v>
      </c>
      <c r="BC137" s="1979">
        <v>1.3308586370188196</v>
      </c>
      <c r="BD137" s="1979">
        <v>1.3180265000109936</v>
      </c>
      <c r="BE137" s="1979">
        <v>1.3308586370188196</v>
      </c>
      <c r="BF137" s="1979">
        <v>1.3180265000109936</v>
      </c>
      <c r="BG137" s="1979">
        <v>1.3308586370188196</v>
      </c>
      <c r="BH137" s="1979">
        <v>1.3180265000109936</v>
      </c>
      <c r="BI137" s="1979">
        <v>1.3308586370188196</v>
      </c>
      <c r="BJ137" s="1979">
        <v>1.3180265000109936</v>
      </c>
      <c r="BK137" s="1979">
        <v>1.3308586370188196</v>
      </c>
      <c r="BL137" s="2000">
        <v>1</v>
      </c>
      <c r="BM137" s="1998">
        <v>1</v>
      </c>
      <c r="BN137" s="1998">
        <v>1</v>
      </c>
      <c r="BO137" s="1998">
        <v>1</v>
      </c>
      <c r="BP137" s="1998">
        <v>1</v>
      </c>
      <c r="BQ137" s="1998">
        <v>1</v>
      </c>
      <c r="BR137" s="1998">
        <v>1</v>
      </c>
      <c r="BS137" s="1998">
        <v>1</v>
      </c>
      <c r="BT137" s="1998">
        <v>1</v>
      </c>
      <c r="BU137" s="1998">
        <v>1</v>
      </c>
      <c r="BV137" s="1999">
        <v>1</v>
      </c>
      <c r="BW137" s="1979">
        <v>1</v>
      </c>
      <c r="BX137" s="1979">
        <v>1</v>
      </c>
      <c r="BY137" s="1979">
        <v>1</v>
      </c>
      <c r="BZ137" s="1979">
        <v>1</v>
      </c>
      <c r="CA137" s="1979">
        <v>1</v>
      </c>
      <c r="CB137" s="1979">
        <v>1</v>
      </c>
      <c r="CC137" s="1979">
        <v>1</v>
      </c>
      <c r="CD137" s="1979">
        <v>1</v>
      </c>
      <c r="CE137" s="1979">
        <v>1</v>
      </c>
      <c r="CF137" s="2000">
        <v>1</v>
      </c>
      <c r="CG137" s="1998">
        <v>1</v>
      </c>
      <c r="CH137" s="1998">
        <v>1</v>
      </c>
      <c r="CI137" s="1998">
        <v>1</v>
      </c>
      <c r="CJ137" s="1998">
        <v>1</v>
      </c>
      <c r="CK137" s="1998">
        <v>1</v>
      </c>
      <c r="CL137" s="1998">
        <v>1</v>
      </c>
      <c r="CM137" s="1998">
        <v>1</v>
      </c>
      <c r="CN137" s="1998">
        <v>1</v>
      </c>
      <c r="CO137" s="1998">
        <v>1</v>
      </c>
      <c r="CP137" s="1999">
        <v>1</v>
      </c>
      <c r="CQ137" s="1979">
        <v>1</v>
      </c>
      <c r="CR137" s="1979">
        <v>1</v>
      </c>
      <c r="CS137" s="1979">
        <v>1</v>
      </c>
      <c r="CT137" s="1979">
        <v>1</v>
      </c>
      <c r="CU137" s="1979">
        <v>1</v>
      </c>
      <c r="CV137" s="1979">
        <v>1</v>
      </c>
      <c r="CW137" s="1979">
        <v>1</v>
      </c>
      <c r="CX137" s="1979">
        <v>1</v>
      </c>
      <c r="CY137" s="1979">
        <v>1</v>
      </c>
      <c r="CZ137" s="2000">
        <v>1</v>
      </c>
      <c r="DA137" s="1998">
        <v>1</v>
      </c>
      <c r="DB137" s="1998">
        <v>1</v>
      </c>
      <c r="DC137" s="1998">
        <v>1</v>
      </c>
      <c r="DD137" s="1998">
        <v>1</v>
      </c>
      <c r="DE137" s="1998">
        <v>1</v>
      </c>
      <c r="DF137" s="1998">
        <v>1</v>
      </c>
      <c r="DG137" s="1998">
        <v>1</v>
      </c>
      <c r="DH137" s="1998">
        <v>1</v>
      </c>
      <c r="DI137" s="1998">
        <v>1</v>
      </c>
      <c r="DJ137" s="1999">
        <v>1.0002450682306379</v>
      </c>
      <c r="DK137" s="1979">
        <v>1.0001651239704095</v>
      </c>
      <c r="DL137" s="1979">
        <v>1.0002450682306379</v>
      </c>
      <c r="DM137" s="1979">
        <v>1.0001651239704095</v>
      </c>
      <c r="DN137" s="1979">
        <v>1.0002450682306379</v>
      </c>
      <c r="DO137" s="1979">
        <v>1.0001651239704095</v>
      </c>
      <c r="DP137" s="1979">
        <v>1.0002450682306379</v>
      </c>
      <c r="DQ137" s="1979">
        <v>1.0001651239704095</v>
      </c>
      <c r="DR137" s="1979">
        <v>1.0002450682306379</v>
      </c>
      <c r="DS137" s="1979">
        <v>1.0001651239704095</v>
      </c>
      <c r="GT137" s="1980"/>
      <c r="GU137" s="1980"/>
      <c r="GV137" s="1980"/>
      <c r="GW137" s="1980"/>
      <c r="GX137" s="1980"/>
      <c r="GY137" s="1980"/>
      <c r="GZ137" s="1980"/>
      <c r="HA137" s="1980"/>
      <c r="HB137" s="1980"/>
      <c r="HC137" s="1980"/>
      <c r="HD137" s="1980"/>
      <c r="HE137" s="1980"/>
      <c r="HF137" s="1980"/>
      <c r="HG137" s="1980"/>
      <c r="HH137" s="1980"/>
      <c r="HI137" s="1980"/>
      <c r="HJ137" s="1980"/>
      <c r="HK137" s="1980"/>
      <c r="HL137" s="1980"/>
      <c r="HM137" s="1980"/>
      <c r="HN137" s="1980"/>
      <c r="HO137" s="1980"/>
      <c r="HP137" s="1980"/>
      <c r="HQ137" s="1980"/>
      <c r="HR137" s="1980"/>
      <c r="HS137" s="1980"/>
      <c r="HT137" s="1980"/>
      <c r="HU137" s="1980"/>
      <c r="HV137" s="1980"/>
      <c r="HW137" s="1980"/>
      <c r="HX137" s="1980"/>
      <c r="HY137" s="1980"/>
      <c r="HZ137" s="1980"/>
      <c r="IA137" s="1980"/>
      <c r="IB137" s="1980"/>
      <c r="IC137" s="1980"/>
      <c r="ID137" s="1980"/>
      <c r="IE137" s="1980"/>
      <c r="IF137" s="1980"/>
      <c r="IG137" s="1980"/>
      <c r="IH137" s="1980"/>
      <c r="II137" s="1980"/>
      <c r="IJ137" s="1980"/>
      <c r="IK137" s="1980"/>
      <c r="IL137" s="1980"/>
      <c r="IM137" s="1980"/>
      <c r="IN137" s="1980"/>
      <c r="IO137" s="1980"/>
      <c r="IP137" s="1980"/>
      <c r="IQ137" s="1980"/>
      <c r="IR137" s="1980"/>
      <c r="IS137" s="1980"/>
      <c r="IT137" s="1980"/>
      <c r="IU137" s="1980"/>
      <c r="IV137" s="1980"/>
      <c r="IW137" s="1980"/>
      <c r="IX137" s="1980"/>
      <c r="IY137" s="1980"/>
      <c r="IZ137" s="1980"/>
      <c r="JA137" s="1980"/>
      <c r="JB137" s="1980"/>
      <c r="JC137" s="1980"/>
      <c r="JD137" s="1980"/>
      <c r="JE137" s="1980"/>
      <c r="JF137" s="1980"/>
      <c r="JG137" s="1980"/>
      <c r="JH137" s="1980"/>
      <c r="JI137" s="1980"/>
      <c r="JJ137" s="1980"/>
      <c r="JK137" s="1980"/>
      <c r="JL137" s="1980"/>
      <c r="JM137" s="1980"/>
      <c r="JN137" s="1980"/>
      <c r="JO137" s="1980"/>
      <c r="JP137" s="1980"/>
      <c r="JQ137" s="1980"/>
      <c r="JR137" s="1980"/>
      <c r="JS137" s="1980"/>
      <c r="JT137" s="1980"/>
      <c r="JU137" s="1980"/>
      <c r="JV137" s="1980"/>
      <c r="JW137" s="1980"/>
      <c r="JX137" s="1980"/>
      <c r="JY137" s="1980"/>
      <c r="JZ137" s="1980"/>
      <c r="KA137" s="1980"/>
      <c r="KB137" s="1980"/>
      <c r="KC137" s="1980"/>
      <c r="KD137" s="1980"/>
      <c r="KE137" s="1980"/>
      <c r="KF137" s="1980"/>
      <c r="KG137" s="1980"/>
      <c r="KH137" s="1980"/>
      <c r="KI137" s="1980"/>
      <c r="KJ137" s="1980"/>
      <c r="KK137" s="1980"/>
    </row>
    <row r="138" spans="1:297">
      <c r="A138" s="1997"/>
      <c r="B138" s="2">
        <v>35</v>
      </c>
      <c r="C138" s="2" t="str">
        <f>AF$14</f>
        <v/>
      </c>
      <c r="D138" s="1998">
        <v>1.1085004672486292</v>
      </c>
      <c r="E138" s="1998">
        <v>1.1563231854497538</v>
      </c>
      <c r="F138" s="1998">
        <v>1.1085004672486292</v>
      </c>
      <c r="G138" s="1998">
        <v>1.1563231854497538</v>
      </c>
      <c r="H138" s="1998">
        <v>1.1085004672486292</v>
      </c>
      <c r="I138" s="1998">
        <v>1.1563231854497538</v>
      </c>
      <c r="J138" s="1998">
        <v>1.1085004672486292</v>
      </c>
      <c r="K138" s="1998">
        <v>1.1563231854497538</v>
      </c>
      <c r="L138" s="1998">
        <v>1.1085004672486292</v>
      </c>
      <c r="M138" s="1998">
        <v>1.1563231854497538</v>
      </c>
      <c r="N138" s="1999">
        <v>1.4661405894816513</v>
      </c>
      <c r="O138" s="1979">
        <v>1.6355767160242427</v>
      </c>
      <c r="P138" s="1979">
        <v>1.4661405894816513</v>
      </c>
      <c r="Q138" s="1979">
        <v>1.6355767160242427</v>
      </c>
      <c r="R138" s="1979">
        <v>1.4661405894816513</v>
      </c>
      <c r="S138" s="1979">
        <v>1.6355767160242427</v>
      </c>
      <c r="T138" s="1979">
        <v>1.4661405894816513</v>
      </c>
      <c r="U138" s="1979">
        <v>1.6355767160242427</v>
      </c>
      <c r="V138" s="1979">
        <v>1.4661405894816513</v>
      </c>
      <c r="W138" s="1979">
        <v>1.6355767160242427</v>
      </c>
      <c r="X138" s="2000">
        <v>1.1110825743123112</v>
      </c>
      <c r="Y138" s="1998">
        <v>1.1485848729928583</v>
      </c>
      <c r="Z138" s="1998">
        <v>1.1110825743123112</v>
      </c>
      <c r="AA138" s="1998">
        <v>1.1485848729928583</v>
      </c>
      <c r="AB138" s="1998">
        <v>1.1110825743123112</v>
      </c>
      <c r="AC138" s="1998">
        <v>1.1485848729928583</v>
      </c>
      <c r="AD138" s="1998">
        <v>1.1110825743123112</v>
      </c>
      <c r="AE138" s="1998">
        <v>1.1485848729928583</v>
      </c>
      <c r="AF138" s="1998">
        <v>1.1110825743123112</v>
      </c>
      <c r="AG138" s="1998">
        <v>1.1485848729928583</v>
      </c>
      <c r="AH138" s="1999">
        <v>1.3200738324007066</v>
      </c>
      <c r="AI138" s="1979">
        <v>1.4488695905462043</v>
      </c>
      <c r="AJ138" s="1979">
        <v>1.3200738324007066</v>
      </c>
      <c r="AK138" s="1979">
        <v>1.4488695905462043</v>
      </c>
      <c r="AL138" s="1979">
        <v>1.3200738324007066</v>
      </c>
      <c r="AM138" s="1979">
        <v>1.4488695905462043</v>
      </c>
      <c r="AN138" s="1979">
        <v>1.3200738324007066</v>
      </c>
      <c r="AO138" s="1979">
        <v>1.4488695905462043</v>
      </c>
      <c r="AP138" s="1979">
        <v>1.3200738324007066</v>
      </c>
      <c r="AQ138" s="1979">
        <v>1.4488695905462043</v>
      </c>
      <c r="AR138" s="2000">
        <v>1.079525499647328</v>
      </c>
      <c r="AS138" s="1998">
        <v>1.1106830147253564</v>
      </c>
      <c r="AT138" s="1998">
        <v>1.079525499647328</v>
      </c>
      <c r="AU138" s="1998">
        <v>1.1106830147253564</v>
      </c>
      <c r="AV138" s="1998">
        <v>1.079525499647328</v>
      </c>
      <c r="AW138" s="1998">
        <v>1.1106830147253564</v>
      </c>
      <c r="AX138" s="1998">
        <v>1.079525499647328</v>
      </c>
      <c r="AY138" s="1998">
        <v>1.1106830147253564</v>
      </c>
      <c r="AZ138" s="1998">
        <v>1.079525499647328</v>
      </c>
      <c r="BA138" s="1998">
        <v>1.1106830147253564</v>
      </c>
      <c r="BB138" s="1999">
        <v>1.3180265000109936</v>
      </c>
      <c r="BC138" s="1979">
        <v>1.3308586370188196</v>
      </c>
      <c r="BD138" s="1979">
        <v>1.3180265000109936</v>
      </c>
      <c r="BE138" s="1979">
        <v>1.3308586370188196</v>
      </c>
      <c r="BF138" s="1979">
        <v>1.3180265000109936</v>
      </c>
      <c r="BG138" s="1979">
        <v>1.3308586370188196</v>
      </c>
      <c r="BH138" s="1979">
        <v>1.3180265000109936</v>
      </c>
      <c r="BI138" s="1979">
        <v>1.3308586370188196</v>
      </c>
      <c r="BJ138" s="1979">
        <v>1.3180265000109936</v>
      </c>
      <c r="BK138" s="1979">
        <v>1.3308586370188196</v>
      </c>
      <c r="BL138" s="2000">
        <v>1.1814683629492135</v>
      </c>
      <c r="BM138" s="1998">
        <v>1.2431375423131188</v>
      </c>
      <c r="BN138" s="1998">
        <v>1.1814683629492135</v>
      </c>
      <c r="BO138" s="1998">
        <v>1.2431375423131188</v>
      </c>
      <c r="BP138" s="1998">
        <v>1.1814683629492135</v>
      </c>
      <c r="BQ138" s="1998">
        <v>1.2431375423131188</v>
      </c>
      <c r="BR138" s="1998">
        <v>1.1814683629492135</v>
      </c>
      <c r="BS138" s="1998">
        <v>1.2431375423131188</v>
      </c>
      <c r="BT138" s="1998">
        <v>1.1814683629492135</v>
      </c>
      <c r="BU138" s="1998">
        <v>1.2431375423131188</v>
      </c>
      <c r="BV138" s="1999">
        <v>1.2668831194801757</v>
      </c>
      <c r="BW138" s="1979">
        <v>1.3810712323180965</v>
      </c>
      <c r="BX138" s="1979">
        <v>1.2668831194801757</v>
      </c>
      <c r="BY138" s="1979">
        <v>1.3810712323180965</v>
      </c>
      <c r="BZ138" s="1979">
        <v>1.2668831194801757</v>
      </c>
      <c r="CA138" s="1979">
        <v>1.3810712323180965</v>
      </c>
      <c r="CB138" s="1979">
        <v>1.2668831194801757</v>
      </c>
      <c r="CC138" s="1979">
        <v>1.3810712323180965</v>
      </c>
      <c r="CD138" s="1979">
        <v>1.2668831194801757</v>
      </c>
      <c r="CE138" s="1979">
        <v>1.3810712323180965</v>
      </c>
      <c r="CF138" s="2000">
        <v>1.0355857826682435</v>
      </c>
      <c r="CG138" s="1998">
        <v>1.0509613939831395</v>
      </c>
      <c r="CH138" s="1998">
        <v>1.0355857826682435</v>
      </c>
      <c r="CI138" s="1998">
        <v>1.0509613939831395</v>
      </c>
      <c r="CJ138" s="1998">
        <v>1.0355857826682435</v>
      </c>
      <c r="CK138" s="1998">
        <v>1.0509613939831395</v>
      </c>
      <c r="CL138" s="1998">
        <v>1.0355857826682435</v>
      </c>
      <c r="CM138" s="1998">
        <v>1.0509613939831395</v>
      </c>
      <c r="CN138" s="1998">
        <v>1.0355857826682435</v>
      </c>
      <c r="CO138" s="1998">
        <v>1.0509613939831395</v>
      </c>
      <c r="CP138" s="1999">
        <v>1.0426831173942406</v>
      </c>
      <c r="CQ138" s="1979">
        <v>1.0609846567394052</v>
      </c>
      <c r="CR138" s="1979">
        <v>1.0426831173942406</v>
      </c>
      <c r="CS138" s="1979">
        <v>1.0609846567394052</v>
      </c>
      <c r="CT138" s="1979">
        <v>1.0426831173942406</v>
      </c>
      <c r="CU138" s="1979">
        <v>1.0609846567394052</v>
      </c>
      <c r="CV138" s="1979">
        <v>1.0426831173942406</v>
      </c>
      <c r="CW138" s="1979">
        <v>1.0609846567394052</v>
      </c>
      <c r="CX138" s="1979">
        <v>1.0426831173942406</v>
      </c>
      <c r="CY138" s="1979">
        <v>1.0609846567394052</v>
      </c>
      <c r="CZ138" s="2000">
        <v>1</v>
      </c>
      <c r="DA138" s="1998">
        <v>1</v>
      </c>
      <c r="DB138" s="1998">
        <v>1</v>
      </c>
      <c r="DC138" s="1998">
        <v>1</v>
      </c>
      <c r="DD138" s="1998">
        <v>1</v>
      </c>
      <c r="DE138" s="1998">
        <v>1</v>
      </c>
      <c r="DF138" s="1998">
        <v>1</v>
      </c>
      <c r="DG138" s="1998">
        <v>1</v>
      </c>
      <c r="DH138" s="1998">
        <v>1</v>
      </c>
      <c r="DI138" s="1998">
        <v>1</v>
      </c>
      <c r="DJ138" s="1999">
        <v>1.0085960930064017</v>
      </c>
      <c r="DK138" s="1979">
        <v>1.0121461944782337</v>
      </c>
      <c r="DL138" s="1979">
        <v>1.0085960930064017</v>
      </c>
      <c r="DM138" s="1979">
        <v>1.0121461944782337</v>
      </c>
      <c r="DN138" s="1979">
        <v>1.0085960930064017</v>
      </c>
      <c r="DO138" s="1979">
        <v>1.0121461944782337</v>
      </c>
      <c r="DP138" s="1979">
        <v>1.0085960930064017</v>
      </c>
      <c r="DQ138" s="1979">
        <v>1.0121461944782337</v>
      </c>
      <c r="DR138" s="1979">
        <v>1.0085960930064017</v>
      </c>
      <c r="DS138" s="1979">
        <v>1.0121461944782337</v>
      </c>
      <c r="GT138" s="1980"/>
      <c r="GU138" s="1980"/>
      <c r="GV138" s="1980"/>
      <c r="GW138" s="1980"/>
      <c r="GX138" s="1980"/>
      <c r="GY138" s="1980"/>
      <c r="GZ138" s="1980"/>
      <c r="HA138" s="1980"/>
      <c r="HB138" s="1980"/>
      <c r="HC138" s="1980"/>
      <c r="HD138" s="1980"/>
      <c r="HE138" s="1980"/>
      <c r="HF138" s="1980"/>
      <c r="HG138" s="1980"/>
      <c r="HH138" s="1980"/>
      <c r="HI138" s="1980"/>
      <c r="HJ138" s="1980"/>
      <c r="HK138" s="1980"/>
      <c r="HL138" s="1980"/>
      <c r="HM138" s="1980"/>
      <c r="HN138" s="1980"/>
      <c r="HO138" s="1980"/>
      <c r="HP138" s="1980"/>
      <c r="HQ138" s="1980"/>
      <c r="HR138" s="1980"/>
      <c r="HS138" s="1980"/>
      <c r="HT138" s="1980"/>
      <c r="HU138" s="1980"/>
      <c r="HV138" s="1980"/>
      <c r="HW138" s="1980"/>
      <c r="HX138" s="1980"/>
      <c r="HY138" s="1980"/>
      <c r="HZ138" s="1980"/>
      <c r="IA138" s="1980"/>
      <c r="IB138" s="1980"/>
      <c r="IC138" s="1980"/>
      <c r="ID138" s="1980"/>
      <c r="IE138" s="1980"/>
      <c r="IF138" s="1980"/>
      <c r="IG138" s="1980"/>
      <c r="IH138" s="1980"/>
      <c r="II138" s="1980"/>
      <c r="IJ138" s="1980"/>
      <c r="IK138" s="1980"/>
      <c r="IL138" s="1980"/>
      <c r="IM138" s="1980"/>
      <c r="IN138" s="1980"/>
      <c r="IO138" s="1980"/>
      <c r="IP138" s="1980"/>
      <c r="IQ138" s="1980"/>
      <c r="IR138" s="1980"/>
      <c r="IS138" s="1980"/>
      <c r="IT138" s="1980"/>
      <c r="IU138" s="1980"/>
      <c r="IV138" s="1980"/>
      <c r="IW138" s="1980"/>
      <c r="IX138" s="1980"/>
      <c r="IY138" s="1980"/>
      <c r="IZ138" s="1980"/>
      <c r="JA138" s="1980"/>
      <c r="JB138" s="1980"/>
      <c r="JC138" s="1980"/>
      <c r="JD138" s="1980"/>
      <c r="JE138" s="1980"/>
      <c r="JF138" s="1980"/>
      <c r="JG138" s="1980"/>
      <c r="JH138" s="1980"/>
      <c r="JI138" s="1980"/>
      <c r="JJ138" s="1980"/>
      <c r="JK138" s="1980"/>
      <c r="JL138" s="1980"/>
      <c r="JM138" s="1980"/>
      <c r="JN138" s="1980"/>
      <c r="JO138" s="1980"/>
      <c r="JP138" s="1980"/>
      <c r="JQ138" s="1980"/>
      <c r="JR138" s="1980"/>
      <c r="JS138" s="1980"/>
      <c r="JT138" s="1980"/>
      <c r="JU138" s="1980"/>
      <c r="JV138" s="1980"/>
      <c r="JW138" s="1980"/>
      <c r="JX138" s="1980"/>
      <c r="JY138" s="1980"/>
      <c r="JZ138" s="1980"/>
      <c r="KA138" s="1980"/>
      <c r="KB138" s="1980"/>
      <c r="KC138" s="1980"/>
      <c r="KD138" s="1980"/>
      <c r="KE138" s="1980"/>
      <c r="KF138" s="1980"/>
      <c r="KG138" s="1980"/>
      <c r="KH138" s="1980"/>
      <c r="KI138" s="1980"/>
      <c r="KJ138" s="1980"/>
      <c r="KK138" s="1980"/>
    </row>
    <row r="139" spans="1:297">
      <c r="A139" s="1997"/>
      <c r="B139" s="2">
        <v>36</v>
      </c>
      <c r="C139" s="2" t="str">
        <f>AF$15</f>
        <v/>
      </c>
      <c r="D139" s="1998">
        <v>0.99089193585001911</v>
      </c>
      <c r="E139" s="1998">
        <v>0.99491643010161035</v>
      </c>
      <c r="F139" s="1998">
        <v>0.99089193585001911</v>
      </c>
      <c r="G139" s="1998">
        <v>0.99491643010161035</v>
      </c>
      <c r="H139" s="1998">
        <v>0.99089193585001911</v>
      </c>
      <c r="I139" s="1998">
        <v>0.99491643010161035</v>
      </c>
      <c r="J139" s="1998">
        <v>0.99089193585001911</v>
      </c>
      <c r="K139" s="1998">
        <v>0.99491643010161035</v>
      </c>
      <c r="L139" s="1998">
        <v>0.99089193585001911</v>
      </c>
      <c r="M139" s="1998">
        <v>0.99491643010161035</v>
      </c>
      <c r="N139" s="1999">
        <v>1.0767033219898217</v>
      </c>
      <c r="O139" s="1979">
        <v>1.1018109318917584</v>
      </c>
      <c r="P139" s="1979">
        <v>1.0767033219898217</v>
      </c>
      <c r="Q139" s="1979">
        <v>1.1018109318917584</v>
      </c>
      <c r="R139" s="1979">
        <v>1.0767033219898217</v>
      </c>
      <c r="S139" s="1979">
        <v>1.1018109318917584</v>
      </c>
      <c r="T139" s="1979">
        <v>1.0767033219898217</v>
      </c>
      <c r="U139" s="1979">
        <v>1.1018109318917584</v>
      </c>
      <c r="V139" s="1979">
        <v>1.0767033219898217</v>
      </c>
      <c r="W139" s="1979">
        <v>1.1018109318917584</v>
      </c>
      <c r="X139" s="2000">
        <v>1.018278610910949</v>
      </c>
      <c r="Y139" s="1998">
        <v>1.0192371572799035</v>
      </c>
      <c r="Z139" s="1998">
        <v>1.018278610910949</v>
      </c>
      <c r="AA139" s="1998">
        <v>1.0192371572799035</v>
      </c>
      <c r="AB139" s="1998">
        <v>1.018278610910949</v>
      </c>
      <c r="AC139" s="1998">
        <v>1.0192371572799035</v>
      </c>
      <c r="AD139" s="1998">
        <v>1.018278610910949</v>
      </c>
      <c r="AE139" s="1998">
        <v>1.0192371572799035</v>
      </c>
      <c r="AF139" s="1998">
        <v>1.018278610910949</v>
      </c>
      <c r="AG139" s="1998">
        <v>1.0192371572799035</v>
      </c>
      <c r="AH139" s="1999">
        <v>1.052668072210678</v>
      </c>
      <c r="AI139" s="1979">
        <v>1.0719029350182141</v>
      </c>
      <c r="AJ139" s="1979">
        <v>1.052668072210678</v>
      </c>
      <c r="AK139" s="1979">
        <v>1.0719029350182141</v>
      </c>
      <c r="AL139" s="1979">
        <v>1.052668072210678</v>
      </c>
      <c r="AM139" s="1979">
        <v>1.0719029350182141</v>
      </c>
      <c r="AN139" s="1979">
        <v>1.052668072210678</v>
      </c>
      <c r="AO139" s="1979">
        <v>1.0719029350182141</v>
      </c>
      <c r="AP139" s="1979">
        <v>1.052668072210678</v>
      </c>
      <c r="AQ139" s="1979">
        <v>1.0719029350182141</v>
      </c>
      <c r="AR139" s="2000">
        <v>1.0130859018577067</v>
      </c>
      <c r="AS139" s="1998">
        <v>1.0177299460311695</v>
      </c>
      <c r="AT139" s="1998">
        <v>1.0130859018577067</v>
      </c>
      <c r="AU139" s="1998">
        <v>1.0177299460311695</v>
      </c>
      <c r="AV139" s="1998">
        <v>1.0130859018577067</v>
      </c>
      <c r="AW139" s="1998">
        <v>1.0177299460311695</v>
      </c>
      <c r="AX139" s="1998">
        <v>1.0130859018577067</v>
      </c>
      <c r="AY139" s="1998">
        <v>1.0177299460311695</v>
      </c>
      <c r="AZ139" s="1998">
        <v>1.0130859018577067</v>
      </c>
      <c r="BA139" s="1998">
        <v>1.0177299460311695</v>
      </c>
      <c r="BB139" s="1999">
        <v>1.3180265000109936</v>
      </c>
      <c r="BC139" s="1979">
        <v>1.3308586370188196</v>
      </c>
      <c r="BD139" s="1979">
        <v>1.3180265000109936</v>
      </c>
      <c r="BE139" s="1979">
        <v>1.3308586370188196</v>
      </c>
      <c r="BF139" s="1979">
        <v>1.3180265000109936</v>
      </c>
      <c r="BG139" s="1979">
        <v>1.3308586370188196</v>
      </c>
      <c r="BH139" s="1979">
        <v>1.3180265000109936</v>
      </c>
      <c r="BI139" s="1979">
        <v>1.3308586370188196</v>
      </c>
      <c r="BJ139" s="1979">
        <v>1.3180265000109936</v>
      </c>
      <c r="BK139" s="1979">
        <v>1.3308586370188196</v>
      </c>
      <c r="BL139" s="2000">
        <v>1.0298605755180803</v>
      </c>
      <c r="BM139" s="1998">
        <v>1.0389473986958111</v>
      </c>
      <c r="BN139" s="1998">
        <v>1.0298605755180803</v>
      </c>
      <c r="BO139" s="1998">
        <v>1.0389473986958111</v>
      </c>
      <c r="BP139" s="1998">
        <v>1.0298605755180803</v>
      </c>
      <c r="BQ139" s="1998">
        <v>1.0389473986958111</v>
      </c>
      <c r="BR139" s="1998">
        <v>1.0298605755180803</v>
      </c>
      <c r="BS139" s="1998">
        <v>1.0389473986958111</v>
      </c>
      <c r="BT139" s="1998">
        <v>1.0298605755180803</v>
      </c>
      <c r="BU139" s="1998">
        <v>1.0389473986958111</v>
      </c>
      <c r="BV139" s="1999">
        <v>1.0439155531808537</v>
      </c>
      <c r="BW139" s="1979">
        <v>1.0610425402650627</v>
      </c>
      <c r="BX139" s="1979">
        <v>1.0439155531808537</v>
      </c>
      <c r="BY139" s="1979">
        <v>1.0610425402650627</v>
      </c>
      <c r="BZ139" s="1979">
        <v>1.0439155531808537</v>
      </c>
      <c r="CA139" s="1979">
        <v>1.0610425402650627</v>
      </c>
      <c r="CB139" s="1979">
        <v>1.0439155531808537</v>
      </c>
      <c r="CC139" s="1979">
        <v>1.0610425402650627</v>
      </c>
      <c r="CD139" s="1979">
        <v>1.0439155531808537</v>
      </c>
      <c r="CE139" s="1979">
        <v>1.0610425402650627</v>
      </c>
      <c r="CF139" s="2000">
        <v>1.0058556319871166</v>
      </c>
      <c r="CG139" s="1998">
        <v>1.0081633371410803</v>
      </c>
      <c r="CH139" s="1998">
        <v>1.0058556319871166</v>
      </c>
      <c r="CI139" s="1998">
        <v>1.0081633371410803</v>
      </c>
      <c r="CJ139" s="1998">
        <v>1.0058556319871166</v>
      </c>
      <c r="CK139" s="1998">
        <v>1.0081633371410803</v>
      </c>
      <c r="CL139" s="1998">
        <v>1.0058556319871166</v>
      </c>
      <c r="CM139" s="1998">
        <v>1.0081633371410803</v>
      </c>
      <c r="CN139" s="1998">
        <v>1.0058556319871166</v>
      </c>
      <c r="CO139" s="1998">
        <v>1.0081633371410803</v>
      </c>
      <c r="CP139" s="1999">
        <v>1.0070234967108538</v>
      </c>
      <c r="CQ139" s="1979">
        <v>1.009768930448832</v>
      </c>
      <c r="CR139" s="1979">
        <v>1.0070234967108538</v>
      </c>
      <c r="CS139" s="1979">
        <v>1.009768930448832</v>
      </c>
      <c r="CT139" s="1979">
        <v>1.0070234967108538</v>
      </c>
      <c r="CU139" s="1979">
        <v>1.009768930448832</v>
      </c>
      <c r="CV139" s="1979">
        <v>1.0070234967108538</v>
      </c>
      <c r="CW139" s="1979">
        <v>1.009768930448832</v>
      </c>
      <c r="CX139" s="1979">
        <v>1.0070234967108538</v>
      </c>
      <c r="CY139" s="1979">
        <v>1.009768930448832</v>
      </c>
      <c r="CZ139" s="2000">
        <v>1</v>
      </c>
      <c r="DA139" s="1998">
        <v>1</v>
      </c>
      <c r="DB139" s="1998">
        <v>1</v>
      </c>
      <c r="DC139" s="1998">
        <v>1</v>
      </c>
      <c r="DD139" s="1998">
        <v>1</v>
      </c>
      <c r="DE139" s="1998">
        <v>1</v>
      </c>
      <c r="DF139" s="1998">
        <v>1</v>
      </c>
      <c r="DG139" s="1998">
        <v>1</v>
      </c>
      <c r="DH139" s="1998">
        <v>1</v>
      </c>
      <c r="DI139" s="1998">
        <v>1</v>
      </c>
      <c r="DJ139" s="1999">
        <v>1.0016192273508138</v>
      </c>
      <c r="DK139" s="1979">
        <v>1.0020843320261934</v>
      </c>
      <c r="DL139" s="1979">
        <v>1.0016192273508138</v>
      </c>
      <c r="DM139" s="1979">
        <v>1.0020843320261934</v>
      </c>
      <c r="DN139" s="1979">
        <v>1.0016192273508138</v>
      </c>
      <c r="DO139" s="1979">
        <v>1.0020843320261934</v>
      </c>
      <c r="DP139" s="1979">
        <v>1.0016192273508138</v>
      </c>
      <c r="DQ139" s="1979">
        <v>1.0020843320261934</v>
      </c>
      <c r="DR139" s="1979">
        <v>1.0016192273508138</v>
      </c>
      <c r="DS139" s="1979">
        <v>1.0020843320261934</v>
      </c>
      <c r="GT139" s="1980"/>
      <c r="GU139" s="1980"/>
      <c r="GV139" s="1980"/>
      <c r="GW139" s="1980"/>
      <c r="GX139" s="1980"/>
      <c r="GY139" s="1980"/>
      <c r="GZ139" s="1980"/>
      <c r="HA139" s="1980"/>
      <c r="HB139" s="1980"/>
      <c r="HC139" s="1980"/>
      <c r="HD139" s="1980"/>
      <c r="HE139" s="1980"/>
      <c r="HF139" s="1980"/>
      <c r="HG139" s="1980"/>
      <c r="HH139" s="1980"/>
      <c r="HI139" s="1980"/>
      <c r="HJ139" s="1980"/>
      <c r="HK139" s="1980"/>
      <c r="HL139" s="1980"/>
      <c r="HM139" s="1980"/>
      <c r="HN139" s="1980"/>
      <c r="HO139" s="1980"/>
      <c r="HP139" s="1980"/>
      <c r="HQ139" s="1980"/>
      <c r="HR139" s="1980"/>
      <c r="HS139" s="1980"/>
      <c r="HT139" s="1980"/>
      <c r="HU139" s="1980"/>
      <c r="HV139" s="1980"/>
      <c r="HW139" s="1980"/>
      <c r="HX139" s="1980"/>
      <c r="HY139" s="1980"/>
      <c r="HZ139" s="1980"/>
      <c r="IA139" s="1980"/>
      <c r="IB139" s="1980"/>
      <c r="IC139" s="1980"/>
      <c r="ID139" s="1980"/>
      <c r="IE139" s="1980"/>
      <c r="IF139" s="1980"/>
      <c r="IG139" s="1980"/>
      <c r="IH139" s="1980"/>
      <c r="II139" s="1980"/>
      <c r="IJ139" s="1980"/>
      <c r="IK139" s="1980"/>
      <c r="IL139" s="1980"/>
      <c r="IM139" s="1980"/>
      <c r="IN139" s="1980"/>
      <c r="IO139" s="1980"/>
      <c r="IP139" s="1980"/>
      <c r="IQ139" s="1980"/>
      <c r="IR139" s="1980"/>
      <c r="IS139" s="1980"/>
      <c r="IT139" s="1980"/>
      <c r="IU139" s="1980"/>
      <c r="IV139" s="1980"/>
      <c r="IW139" s="1980"/>
      <c r="IX139" s="1980"/>
      <c r="IY139" s="1980"/>
      <c r="IZ139" s="1980"/>
      <c r="JA139" s="1980"/>
      <c r="JB139" s="1980"/>
      <c r="JC139" s="1980"/>
      <c r="JD139" s="1980"/>
      <c r="JE139" s="1980"/>
      <c r="JF139" s="1980"/>
      <c r="JG139" s="1980"/>
      <c r="JH139" s="1980"/>
      <c r="JI139" s="1980"/>
      <c r="JJ139" s="1980"/>
      <c r="JK139" s="1980"/>
      <c r="JL139" s="1980"/>
      <c r="JM139" s="1980"/>
      <c r="JN139" s="1980"/>
      <c r="JO139" s="1980"/>
      <c r="JP139" s="1980"/>
      <c r="JQ139" s="1980"/>
      <c r="JR139" s="1980"/>
      <c r="JS139" s="1980"/>
      <c r="JT139" s="1980"/>
      <c r="JU139" s="1980"/>
      <c r="JV139" s="1980"/>
      <c r="JW139" s="1980"/>
      <c r="JX139" s="1980"/>
      <c r="JY139" s="1980"/>
      <c r="JZ139" s="1980"/>
      <c r="KA139" s="1980"/>
      <c r="KB139" s="1980"/>
      <c r="KC139" s="1980"/>
      <c r="KD139" s="1980"/>
      <c r="KE139" s="1980"/>
      <c r="KF139" s="1980"/>
      <c r="KG139" s="1980"/>
      <c r="KH139" s="1980"/>
      <c r="KI139" s="1980"/>
      <c r="KJ139" s="1980"/>
      <c r="KK139" s="1980"/>
    </row>
    <row r="140" spans="1:297">
      <c r="A140" s="1997"/>
      <c r="B140" s="2">
        <v>37</v>
      </c>
      <c r="C140" s="2" t="str">
        <f>AF$16</f>
        <v/>
      </c>
      <c r="D140" s="1998">
        <v>1.0125322659304401</v>
      </c>
      <c r="E140" s="1998">
        <v>1.0066655697798217</v>
      </c>
      <c r="F140" s="1998">
        <v>1.0125322659304401</v>
      </c>
      <c r="G140" s="1998">
        <v>1.0066655697798217</v>
      </c>
      <c r="H140" s="1998">
        <v>1.0125322659304401</v>
      </c>
      <c r="I140" s="1998">
        <v>1.0066655697798217</v>
      </c>
      <c r="J140" s="1998">
        <v>1.0125322659304401</v>
      </c>
      <c r="K140" s="1998">
        <v>1.0066655697798217</v>
      </c>
      <c r="L140" s="1998">
        <v>1.0125322659304401</v>
      </c>
      <c r="M140" s="1998">
        <v>1.0066655697798217</v>
      </c>
      <c r="N140" s="1999">
        <v>1.1483609722803176</v>
      </c>
      <c r="O140" s="1979">
        <v>1.1406648741551781</v>
      </c>
      <c r="P140" s="1979">
        <v>1.1483609722803176</v>
      </c>
      <c r="Q140" s="1979">
        <v>1.1406648741551781</v>
      </c>
      <c r="R140" s="1979">
        <v>1.1483609722803176</v>
      </c>
      <c r="S140" s="1979">
        <v>1.1406648741551781</v>
      </c>
      <c r="T140" s="1979">
        <v>1.1483609722803176</v>
      </c>
      <c r="U140" s="1979">
        <v>1.1406648741551781</v>
      </c>
      <c r="V140" s="1979">
        <v>1.1483609722803176</v>
      </c>
      <c r="W140" s="1979">
        <v>1.1406648741551781</v>
      </c>
      <c r="X140" s="2000">
        <v>1.0353548244891122</v>
      </c>
      <c r="Y140" s="1998">
        <v>1.0286526515427747</v>
      </c>
      <c r="Z140" s="1998">
        <v>1.0353548244891122</v>
      </c>
      <c r="AA140" s="1998">
        <v>1.0286526515427747</v>
      </c>
      <c r="AB140" s="1998">
        <v>1.0353548244891122</v>
      </c>
      <c r="AC140" s="1998">
        <v>1.0286526515427747</v>
      </c>
      <c r="AD140" s="1998">
        <v>1.0353548244891122</v>
      </c>
      <c r="AE140" s="1998">
        <v>1.0286526515427747</v>
      </c>
      <c r="AF140" s="1998">
        <v>1.0353548244891122</v>
      </c>
      <c r="AG140" s="1998">
        <v>1.0286526515427747</v>
      </c>
      <c r="AH140" s="1999">
        <v>1.1018715513044277</v>
      </c>
      <c r="AI140" s="1979">
        <v>1.0993431365158126</v>
      </c>
      <c r="AJ140" s="1979">
        <v>1.1018715513044277</v>
      </c>
      <c r="AK140" s="1979">
        <v>1.0993431365158126</v>
      </c>
      <c r="AL140" s="1979">
        <v>1.1018715513044277</v>
      </c>
      <c r="AM140" s="1979">
        <v>1.0993431365158126</v>
      </c>
      <c r="AN140" s="1979">
        <v>1.1018715513044277</v>
      </c>
      <c r="AO140" s="1979">
        <v>1.0993431365158126</v>
      </c>
      <c r="AP140" s="1979">
        <v>1.1018715513044277</v>
      </c>
      <c r="AQ140" s="1979">
        <v>1.0993431365158126</v>
      </c>
      <c r="AR140" s="2000">
        <v>1.0253109913939817</v>
      </c>
      <c r="AS140" s="1998">
        <v>1.0244961968318298</v>
      </c>
      <c r="AT140" s="1998">
        <v>1.0253109913939817</v>
      </c>
      <c r="AU140" s="1998">
        <v>1.0244961968318298</v>
      </c>
      <c r="AV140" s="1998">
        <v>1.0253109913939817</v>
      </c>
      <c r="AW140" s="1998">
        <v>1.0244961968318298</v>
      </c>
      <c r="AX140" s="1998">
        <v>1.0253109913939817</v>
      </c>
      <c r="AY140" s="1998">
        <v>1.0244961968318298</v>
      </c>
      <c r="AZ140" s="1998">
        <v>1.0253109913939817</v>
      </c>
      <c r="BA140" s="1998">
        <v>1.0244961968318298</v>
      </c>
      <c r="BB140" s="1999">
        <v>1.3180265000109936</v>
      </c>
      <c r="BC140" s="1979">
        <v>1.3308586370188196</v>
      </c>
      <c r="BD140" s="1979">
        <v>1.3180265000109936</v>
      </c>
      <c r="BE140" s="1979">
        <v>1.3308586370188196</v>
      </c>
      <c r="BF140" s="1979">
        <v>1.3180265000109936</v>
      </c>
      <c r="BG140" s="1979">
        <v>1.3308586370188196</v>
      </c>
      <c r="BH140" s="1979">
        <v>1.3180265000109936</v>
      </c>
      <c r="BI140" s="1979">
        <v>1.3308586370188196</v>
      </c>
      <c r="BJ140" s="1979">
        <v>1.3180265000109936</v>
      </c>
      <c r="BK140" s="1979">
        <v>1.3308586370188196</v>
      </c>
      <c r="BL140" s="2000">
        <v>1.057756872867907</v>
      </c>
      <c r="BM140" s="1998">
        <v>1.0538108318470396</v>
      </c>
      <c r="BN140" s="1998">
        <v>1.057756872867907</v>
      </c>
      <c r="BO140" s="1998">
        <v>1.0538108318470396</v>
      </c>
      <c r="BP140" s="1998">
        <v>1.057756872867907</v>
      </c>
      <c r="BQ140" s="1998">
        <v>1.0538108318470396</v>
      </c>
      <c r="BR140" s="1998">
        <v>1.057756872867907</v>
      </c>
      <c r="BS140" s="1998">
        <v>1.0538108318470396</v>
      </c>
      <c r="BT140" s="1998">
        <v>1.057756872867907</v>
      </c>
      <c r="BU140" s="1998">
        <v>1.0538108318470396</v>
      </c>
      <c r="BV140" s="1999">
        <v>1.0849422684587771</v>
      </c>
      <c r="BW140" s="1979">
        <v>1.0843381067725255</v>
      </c>
      <c r="BX140" s="1979">
        <v>1.0849422684587771</v>
      </c>
      <c r="BY140" s="1979">
        <v>1.0843381067725255</v>
      </c>
      <c r="BZ140" s="1979">
        <v>1.0849422684587771</v>
      </c>
      <c r="CA140" s="1979">
        <v>1.0843381067725255</v>
      </c>
      <c r="CB140" s="1979">
        <v>1.0849422684587771</v>
      </c>
      <c r="CC140" s="1979">
        <v>1.0843381067725255</v>
      </c>
      <c r="CD140" s="1979">
        <v>1.0849422684587771</v>
      </c>
      <c r="CE140" s="1979">
        <v>1.0843381067725255</v>
      </c>
      <c r="CF140" s="2000">
        <v>1.0113260707931218</v>
      </c>
      <c r="CG140" s="1998">
        <v>1.011278698370595</v>
      </c>
      <c r="CH140" s="1998">
        <v>1.0113260707931218</v>
      </c>
      <c r="CI140" s="1998">
        <v>1.011278698370595</v>
      </c>
      <c r="CJ140" s="1998">
        <v>1.0113260707931218</v>
      </c>
      <c r="CK140" s="1998">
        <v>1.011278698370595</v>
      </c>
      <c r="CL140" s="1998">
        <v>1.0113260707931218</v>
      </c>
      <c r="CM140" s="1998">
        <v>1.011278698370595</v>
      </c>
      <c r="CN140" s="1998">
        <v>1.0113260707931218</v>
      </c>
      <c r="CO140" s="1998">
        <v>1.011278698370595</v>
      </c>
      <c r="CP140" s="1999">
        <v>1.013584976162677</v>
      </c>
      <c r="CQ140" s="1979">
        <v>1.0134970316711822</v>
      </c>
      <c r="CR140" s="1979">
        <v>1.013584976162677</v>
      </c>
      <c r="CS140" s="1979">
        <v>1.0134970316711822</v>
      </c>
      <c r="CT140" s="1979">
        <v>1.013584976162677</v>
      </c>
      <c r="CU140" s="1979">
        <v>1.0134970316711822</v>
      </c>
      <c r="CV140" s="1979">
        <v>1.013584976162677</v>
      </c>
      <c r="CW140" s="1979">
        <v>1.0134970316711822</v>
      </c>
      <c r="CX140" s="1979">
        <v>1.013584976162677</v>
      </c>
      <c r="CY140" s="1979">
        <v>1.0134970316711822</v>
      </c>
      <c r="CZ140" s="2000">
        <v>1</v>
      </c>
      <c r="DA140" s="1998">
        <v>1</v>
      </c>
      <c r="DB140" s="1998">
        <v>1</v>
      </c>
      <c r="DC140" s="1998">
        <v>1</v>
      </c>
      <c r="DD140" s="1998">
        <v>1</v>
      </c>
      <c r="DE140" s="1998">
        <v>1</v>
      </c>
      <c r="DF140" s="1998">
        <v>1</v>
      </c>
      <c r="DG140" s="1998">
        <v>1</v>
      </c>
      <c r="DH140" s="1998">
        <v>1</v>
      </c>
      <c r="DI140" s="1998">
        <v>1</v>
      </c>
      <c r="DJ140" s="1999">
        <v>1.002902992005624</v>
      </c>
      <c r="DK140" s="1979">
        <v>1.0028167563111434</v>
      </c>
      <c r="DL140" s="1979">
        <v>1.002902992005624</v>
      </c>
      <c r="DM140" s="1979">
        <v>1.0028167563111434</v>
      </c>
      <c r="DN140" s="1979">
        <v>1.002902992005624</v>
      </c>
      <c r="DO140" s="1979">
        <v>1.0028167563111434</v>
      </c>
      <c r="DP140" s="1979">
        <v>1.002902992005624</v>
      </c>
      <c r="DQ140" s="1979">
        <v>1.0028167563111434</v>
      </c>
      <c r="DR140" s="1979">
        <v>1.002902992005624</v>
      </c>
      <c r="DS140" s="1979">
        <v>1.0028167563111434</v>
      </c>
      <c r="GT140" s="1980"/>
      <c r="GU140" s="1980"/>
      <c r="GV140" s="1980"/>
      <c r="GW140" s="1980"/>
      <c r="GX140" s="1980"/>
      <c r="GY140" s="1980"/>
      <c r="GZ140" s="1980"/>
      <c r="HA140" s="1980"/>
      <c r="HB140" s="1980"/>
      <c r="HC140" s="1980"/>
      <c r="HD140" s="1980"/>
      <c r="HE140" s="1980"/>
      <c r="HF140" s="1980"/>
      <c r="HG140" s="1980"/>
      <c r="HH140" s="1980"/>
      <c r="HI140" s="1980"/>
      <c r="HJ140" s="1980"/>
      <c r="HK140" s="1980"/>
      <c r="HL140" s="1980"/>
      <c r="HM140" s="1980"/>
      <c r="HN140" s="1980"/>
      <c r="HO140" s="1980"/>
      <c r="HP140" s="1980"/>
      <c r="HQ140" s="1980"/>
      <c r="HR140" s="1980"/>
      <c r="HS140" s="1980"/>
      <c r="HT140" s="1980"/>
      <c r="HU140" s="1980"/>
      <c r="HV140" s="1980"/>
      <c r="HW140" s="1980"/>
      <c r="HX140" s="1980"/>
      <c r="HY140" s="1980"/>
      <c r="HZ140" s="1980"/>
      <c r="IA140" s="1980"/>
      <c r="IB140" s="1980"/>
      <c r="IC140" s="1980"/>
      <c r="ID140" s="1980"/>
      <c r="IE140" s="1980"/>
      <c r="IF140" s="1980"/>
      <c r="IG140" s="1980"/>
      <c r="IH140" s="1980"/>
      <c r="II140" s="1980"/>
      <c r="IJ140" s="1980"/>
      <c r="IK140" s="1980"/>
      <c r="IL140" s="1980"/>
      <c r="IM140" s="1980"/>
      <c r="IN140" s="1980"/>
      <c r="IO140" s="1980"/>
      <c r="IP140" s="1980"/>
      <c r="IQ140" s="1980"/>
      <c r="IR140" s="1980"/>
      <c r="IS140" s="1980"/>
      <c r="IT140" s="1980"/>
      <c r="IU140" s="1980"/>
      <c r="IV140" s="1980"/>
      <c r="IW140" s="1980"/>
      <c r="IX140" s="1980"/>
      <c r="IY140" s="1980"/>
      <c r="IZ140" s="1980"/>
      <c r="JA140" s="1980"/>
      <c r="JB140" s="1980"/>
      <c r="JC140" s="1980"/>
      <c r="JD140" s="1980"/>
      <c r="JE140" s="1980"/>
      <c r="JF140" s="1980"/>
      <c r="JG140" s="1980"/>
      <c r="JH140" s="1980"/>
      <c r="JI140" s="1980"/>
      <c r="JJ140" s="1980"/>
      <c r="JK140" s="1980"/>
      <c r="JL140" s="1980"/>
      <c r="JM140" s="1980"/>
      <c r="JN140" s="1980"/>
      <c r="JO140" s="1980"/>
      <c r="JP140" s="1980"/>
      <c r="JQ140" s="1980"/>
      <c r="JR140" s="1980"/>
      <c r="JS140" s="1980"/>
      <c r="JT140" s="1980"/>
      <c r="JU140" s="1980"/>
      <c r="JV140" s="1980"/>
      <c r="JW140" s="1980"/>
      <c r="JX140" s="1980"/>
      <c r="JY140" s="1980"/>
      <c r="JZ140" s="1980"/>
      <c r="KA140" s="1980"/>
      <c r="KB140" s="1980"/>
      <c r="KC140" s="1980"/>
      <c r="KD140" s="1980"/>
      <c r="KE140" s="1980"/>
      <c r="KF140" s="1980"/>
      <c r="KG140" s="1980"/>
      <c r="KH140" s="1980"/>
      <c r="KI140" s="1980"/>
      <c r="KJ140" s="1980"/>
      <c r="KK140" s="1980"/>
    </row>
    <row r="141" spans="1:297">
      <c r="A141" s="1997"/>
      <c r="B141" s="2">
        <v>38</v>
      </c>
      <c r="C141" s="2" t="str">
        <f>AF$17</f>
        <v/>
      </c>
      <c r="D141" s="1998">
        <v>1.0585003115621834</v>
      </c>
      <c r="E141" s="1998">
        <v>1.0736221665254722</v>
      </c>
      <c r="F141" s="1998">
        <v>1.0585003115621834</v>
      </c>
      <c r="G141" s="1998">
        <v>1.0736221665254722</v>
      </c>
      <c r="H141" s="1998">
        <v>1.0585003115621834</v>
      </c>
      <c r="I141" s="1998">
        <v>1.0736221665254722</v>
      </c>
      <c r="J141" s="1998">
        <v>1.0585003115621834</v>
      </c>
      <c r="K141" s="1998">
        <v>1.0736221665254722</v>
      </c>
      <c r="L141" s="1998">
        <v>1.0585003115621834</v>
      </c>
      <c r="M141" s="1998">
        <v>1.0736221665254722</v>
      </c>
      <c r="N141" s="1999">
        <v>1.3005750155123672</v>
      </c>
      <c r="O141" s="1979">
        <v>1.3620877030057905</v>
      </c>
      <c r="P141" s="1979">
        <v>1.3005750155123672</v>
      </c>
      <c r="Q141" s="1979">
        <v>1.3620877030057905</v>
      </c>
      <c r="R141" s="1979">
        <v>1.3005750155123672</v>
      </c>
      <c r="S141" s="1979">
        <v>1.3620877030057905</v>
      </c>
      <c r="T141" s="1979">
        <v>1.3005750155123672</v>
      </c>
      <c r="U141" s="1979">
        <v>1.3620877030057905</v>
      </c>
      <c r="V141" s="1979">
        <v>1.3005750155123672</v>
      </c>
      <c r="W141" s="1979">
        <v>1.3620877030057905</v>
      </c>
      <c r="X141" s="2000">
        <v>1.0716278462989133</v>
      </c>
      <c r="Y141" s="1998">
        <v>1.0823101507117705</v>
      </c>
      <c r="Z141" s="1998">
        <v>1.0716278462989133</v>
      </c>
      <c r="AA141" s="1998">
        <v>1.0823101507117705</v>
      </c>
      <c r="AB141" s="1998">
        <v>1.0716278462989133</v>
      </c>
      <c r="AC141" s="1998">
        <v>1.0823101507117705</v>
      </c>
      <c r="AD141" s="1998">
        <v>1.0716278462989133</v>
      </c>
      <c r="AE141" s="1998">
        <v>1.0823101507117705</v>
      </c>
      <c r="AF141" s="1998">
        <v>1.0716278462989133</v>
      </c>
      <c r="AG141" s="1998">
        <v>1.0823101507117705</v>
      </c>
      <c r="AH141" s="1999">
        <v>1.206388800524594</v>
      </c>
      <c r="AI141" s="1979">
        <v>1.2557207570577924</v>
      </c>
      <c r="AJ141" s="1979">
        <v>1.206388800524594</v>
      </c>
      <c r="AK141" s="1979">
        <v>1.2557207570577924</v>
      </c>
      <c r="AL141" s="1979">
        <v>1.206388800524594</v>
      </c>
      <c r="AM141" s="1979">
        <v>1.2557207570577924</v>
      </c>
      <c r="AN141" s="1979">
        <v>1.206388800524594</v>
      </c>
      <c r="AO141" s="1979">
        <v>1.2557207570577924</v>
      </c>
      <c r="AP141" s="1979">
        <v>1.206388800524594</v>
      </c>
      <c r="AQ141" s="1979">
        <v>1.2557207570577924</v>
      </c>
      <c r="AR141" s="2000">
        <v>1.0512793325222012</v>
      </c>
      <c r="AS141" s="1998">
        <v>1.0630560521699974</v>
      </c>
      <c r="AT141" s="1998">
        <v>1.0512793325222012</v>
      </c>
      <c r="AU141" s="1998">
        <v>1.0630560521699974</v>
      </c>
      <c r="AV141" s="1998">
        <v>1.0512793325222012</v>
      </c>
      <c r="AW141" s="1998">
        <v>1.0630560521699974</v>
      </c>
      <c r="AX141" s="1998">
        <v>1.0512793325222012</v>
      </c>
      <c r="AY141" s="1998">
        <v>1.0630560521699974</v>
      </c>
      <c r="AZ141" s="1998">
        <v>1.0512793325222012</v>
      </c>
      <c r="BA141" s="1998">
        <v>1.0630560521699974</v>
      </c>
      <c r="BB141" s="1999">
        <v>1.3180265000109936</v>
      </c>
      <c r="BC141" s="1979">
        <v>1.3308586370188196</v>
      </c>
      <c r="BD141" s="1979">
        <v>1.3180265000109936</v>
      </c>
      <c r="BE141" s="1979">
        <v>1.3308586370188196</v>
      </c>
      <c r="BF141" s="1979">
        <v>1.3180265000109936</v>
      </c>
      <c r="BG141" s="1979">
        <v>1.3308586370188196</v>
      </c>
      <c r="BH141" s="1979">
        <v>1.3180265000109936</v>
      </c>
      <c r="BI141" s="1979">
        <v>1.3308586370188196</v>
      </c>
      <c r="BJ141" s="1979">
        <v>1.3180265000109936</v>
      </c>
      <c r="BK141" s="1979">
        <v>1.3308586370188196</v>
      </c>
      <c r="BL141" s="2000">
        <v>1.1170137448642214</v>
      </c>
      <c r="BM141" s="1998">
        <v>1.1385153231561622</v>
      </c>
      <c r="BN141" s="1998">
        <v>1.1170137448642214</v>
      </c>
      <c r="BO141" s="1998">
        <v>1.1385153231561622</v>
      </c>
      <c r="BP141" s="1998">
        <v>1.1170137448642214</v>
      </c>
      <c r="BQ141" s="1998">
        <v>1.1385153231561622</v>
      </c>
      <c r="BR141" s="1998">
        <v>1.1170137448642214</v>
      </c>
      <c r="BS141" s="1998">
        <v>1.1385153231561622</v>
      </c>
      <c r="BT141" s="1998">
        <v>1.1170137448642214</v>
      </c>
      <c r="BU141" s="1998">
        <v>1.1385153231561622</v>
      </c>
      <c r="BV141" s="1999">
        <v>1.1720905657817644</v>
      </c>
      <c r="BW141" s="1979">
        <v>1.2170960699359263</v>
      </c>
      <c r="BX141" s="1979">
        <v>1.1720905657817644</v>
      </c>
      <c r="BY141" s="1979">
        <v>1.2170960699359263</v>
      </c>
      <c r="BZ141" s="1979">
        <v>1.1720905657817644</v>
      </c>
      <c r="CA141" s="1979">
        <v>1.2170960699359263</v>
      </c>
      <c r="CB141" s="1979">
        <v>1.1720905657817644</v>
      </c>
      <c r="CC141" s="1979">
        <v>1.2170960699359263</v>
      </c>
      <c r="CD141" s="1979">
        <v>1.1720905657817644</v>
      </c>
      <c r="CE141" s="1979">
        <v>1.2170960699359263</v>
      </c>
      <c r="CF141" s="2000">
        <v>1.0229462900654527</v>
      </c>
      <c r="CG141" s="1998">
        <v>1.029032677919284</v>
      </c>
      <c r="CH141" s="1998">
        <v>1.0229462900654527</v>
      </c>
      <c r="CI141" s="1998">
        <v>1.029032677919284</v>
      </c>
      <c r="CJ141" s="1998">
        <v>1.0229462900654527</v>
      </c>
      <c r="CK141" s="1998">
        <v>1.029032677919284</v>
      </c>
      <c r="CL141" s="1998">
        <v>1.0229462900654527</v>
      </c>
      <c r="CM141" s="1998">
        <v>1.029032677919284</v>
      </c>
      <c r="CN141" s="1998">
        <v>1.0229462900654527</v>
      </c>
      <c r="CO141" s="1998">
        <v>1.029032677919284</v>
      </c>
      <c r="CP141" s="1999">
        <v>1.0275227666553484</v>
      </c>
      <c r="CQ141" s="1979">
        <v>1.0347429251585825</v>
      </c>
      <c r="CR141" s="1979">
        <v>1.0275227666553484</v>
      </c>
      <c r="CS141" s="1979">
        <v>1.0347429251585825</v>
      </c>
      <c r="CT141" s="1979">
        <v>1.0275227666553484</v>
      </c>
      <c r="CU141" s="1979">
        <v>1.0347429251585825</v>
      </c>
      <c r="CV141" s="1979">
        <v>1.0275227666553484</v>
      </c>
      <c r="CW141" s="1979">
        <v>1.0347429251585825</v>
      </c>
      <c r="CX141" s="1979">
        <v>1.0275227666553484</v>
      </c>
      <c r="CY141" s="1979">
        <v>1.0347429251585825</v>
      </c>
      <c r="CZ141" s="2000">
        <v>1</v>
      </c>
      <c r="DA141" s="1998">
        <v>1</v>
      </c>
      <c r="DB141" s="1998">
        <v>1</v>
      </c>
      <c r="DC141" s="1998">
        <v>1</v>
      </c>
      <c r="DD141" s="1998">
        <v>1</v>
      </c>
      <c r="DE141" s="1998">
        <v>1</v>
      </c>
      <c r="DF141" s="1998">
        <v>1</v>
      </c>
      <c r="DG141" s="1998">
        <v>1</v>
      </c>
      <c r="DH141" s="1998">
        <v>1</v>
      </c>
      <c r="DI141" s="1998">
        <v>1</v>
      </c>
      <c r="DJ141" s="1999">
        <v>1.0056299445065071</v>
      </c>
      <c r="DK141" s="1979">
        <v>1.0069907332011339</v>
      </c>
      <c r="DL141" s="1979">
        <v>1.0056299445065071</v>
      </c>
      <c r="DM141" s="1979">
        <v>1.0069907332011339</v>
      </c>
      <c r="DN141" s="1979">
        <v>1.0056299445065071</v>
      </c>
      <c r="DO141" s="1979">
        <v>1.0069907332011339</v>
      </c>
      <c r="DP141" s="1979">
        <v>1.0056299445065071</v>
      </c>
      <c r="DQ141" s="1979">
        <v>1.0069907332011339</v>
      </c>
      <c r="DR141" s="1979">
        <v>1.0056299445065071</v>
      </c>
      <c r="DS141" s="1979">
        <v>1.0069907332011339</v>
      </c>
      <c r="GT141" s="1980"/>
      <c r="GU141" s="1980"/>
      <c r="GV141" s="1980"/>
      <c r="GW141" s="1980"/>
      <c r="GX141" s="1980"/>
      <c r="GY141" s="1980"/>
      <c r="GZ141" s="1980"/>
      <c r="HA141" s="1980"/>
      <c r="HB141" s="1980"/>
      <c r="HC141" s="1980"/>
      <c r="HD141" s="1980"/>
      <c r="HE141" s="1980"/>
      <c r="HF141" s="1980"/>
      <c r="HG141" s="1980"/>
      <c r="HH141" s="1980"/>
      <c r="HI141" s="1980"/>
      <c r="HJ141" s="1980"/>
      <c r="HK141" s="1980"/>
      <c r="HL141" s="1980"/>
      <c r="HM141" s="1980"/>
      <c r="HN141" s="1980"/>
      <c r="HO141" s="1980"/>
      <c r="HP141" s="1980"/>
      <c r="HQ141" s="1980"/>
      <c r="HR141" s="1980"/>
      <c r="HS141" s="1980"/>
      <c r="HT141" s="1980"/>
      <c r="HU141" s="1980"/>
      <c r="HV141" s="1980"/>
      <c r="HW141" s="1980"/>
      <c r="HX141" s="1980"/>
      <c r="HY141" s="1980"/>
      <c r="HZ141" s="1980"/>
      <c r="IA141" s="1980"/>
      <c r="IB141" s="1980"/>
      <c r="IC141" s="1980"/>
      <c r="ID141" s="1980"/>
      <c r="IE141" s="1980"/>
      <c r="IF141" s="1980"/>
      <c r="IG141" s="1980"/>
      <c r="IH141" s="1980"/>
      <c r="II141" s="1980"/>
      <c r="IJ141" s="1980"/>
      <c r="IK141" s="1980"/>
      <c r="IL141" s="1980"/>
      <c r="IM141" s="1980"/>
      <c r="IN141" s="1980"/>
      <c r="IO141" s="1980"/>
      <c r="IP141" s="1980"/>
      <c r="IQ141" s="1980"/>
      <c r="IR141" s="1980"/>
      <c r="IS141" s="1980"/>
      <c r="IT141" s="1980"/>
      <c r="IU141" s="1980"/>
      <c r="IV141" s="1980"/>
      <c r="IW141" s="1980"/>
      <c r="IX141" s="1980"/>
      <c r="IY141" s="1980"/>
      <c r="IZ141" s="1980"/>
      <c r="JA141" s="1980"/>
      <c r="JB141" s="1980"/>
      <c r="JC141" s="1980"/>
      <c r="JD141" s="1980"/>
      <c r="JE141" s="1980"/>
      <c r="JF141" s="1980"/>
      <c r="JG141" s="1980"/>
      <c r="JH141" s="1980"/>
      <c r="JI141" s="1980"/>
      <c r="JJ141" s="1980"/>
      <c r="JK141" s="1980"/>
      <c r="JL141" s="1980"/>
      <c r="JM141" s="1980"/>
      <c r="JN141" s="1980"/>
      <c r="JO141" s="1980"/>
      <c r="JP141" s="1980"/>
      <c r="JQ141" s="1980"/>
      <c r="JR141" s="1980"/>
      <c r="JS141" s="1980"/>
      <c r="JT141" s="1980"/>
      <c r="JU141" s="1980"/>
      <c r="JV141" s="1980"/>
      <c r="JW141" s="1980"/>
      <c r="JX141" s="1980"/>
      <c r="JY141" s="1980"/>
      <c r="JZ141" s="1980"/>
      <c r="KA141" s="1980"/>
      <c r="KB141" s="1980"/>
      <c r="KC141" s="1980"/>
      <c r="KD141" s="1980"/>
      <c r="KE141" s="1980"/>
      <c r="KF141" s="1980"/>
      <c r="KG141" s="1980"/>
      <c r="KH141" s="1980"/>
      <c r="KI141" s="1980"/>
      <c r="KJ141" s="1980"/>
      <c r="KK141" s="1980"/>
    </row>
    <row r="142" spans="1:297">
      <c r="A142" s="1997"/>
      <c r="B142" s="2">
        <v>39</v>
      </c>
      <c r="C142" s="2" t="str">
        <f>AF$18</f>
        <v/>
      </c>
      <c r="D142" s="1998">
        <v>1.0227769495140195</v>
      </c>
      <c r="E142" s="1998">
        <v>1.0059727025741969</v>
      </c>
      <c r="F142" s="1998">
        <v>1.0227769495140195</v>
      </c>
      <c r="G142" s="1998">
        <v>1.0059727025741969</v>
      </c>
      <c r="H142" s="1998">
        <v>1.0227769495140195</v>
      </c>
      <c r="I142" s="1998">
        <v>1.0059727025741969</v>
      </c>
      <c r="J142" s="1998">
        <v>1.0227769495140195</v>
      </c>
      <c r="K142" s="1998">
        <v>1.0059727025741969</v>
      </c>
      <c r="L142" s="1998">
        <v>1.0227769495140195</v>
      </c>
      <c r="M142" s="1998">
        <v>1.0059727025741969</v>
      </c>
      <c r="N142" s="1999">
        <v>1.1822842050055484</v>
      </c>
      <c r="O142" s="1979">
        <v>1.1383735895895952</v>
      </c>
      <c r="P142" s="1979">
        <v>1.1822842050055484</v>
      </c>
      <c r="Q142" s="1979">
        <v>1.1383735895895952</v>
      </c>
      <c r="R142" s="1979">
        <v>1.1822842050055484</v>
      </c>
      <c r="S142" s="1979">
        <v>1.1383735895895952</v>
      </c>
      <c r="T142" s="1979">
        <v>1.1822842050055484</v>
      </c>
      <c r="U142" s="1979">
        <v>1.1383735895895952</v>
      </c>
      <c r="V142" s="1979">
        <v>1.1822842050055484</v>
      </c>
      <c r="W142" s="1979">
        <v>1.1383735895895952</v>
      </c>
      <c r="X142" s="2000">
        <v>1.0434388234052001</v>
      </c>
      <c r="Y142" s="1998">
        <v>1.0280974034669013</v>
      </c>
      <c r="Z142" s="1998">
        <v>1.0434388234052001</v>
      </c>
      <c r="AA142" s="1998">
        <v>1.0280974034669013</v>
      </c>
      <c r="AB142" s="1998">
        <v>1.0434388234052001</v>
      </c>
      <c r="AC142" s="1998">
        <v>1.0280974034669013</v>
      </c>
      <c r="AD142" s="1998">
        <v>1.0434388234052001</v>
      </c>
      <c r="AE142" s="1998">
        <v>1.0280974034669013</v>
      </c>
      <c r="AF142" s="1998">
        <v>1.0434388234052001</v>
      </c>
      <c r="AG142" s="1998">
        <v>1.0280974034669013</v>
      </c>
      <c r="AH142" s="1999">
        <v>1.1251648223706952</v>
      </c>
      <c r="AI142" s="1979">
        <v>1.0977249400985309</v>
      </c>
      <c r="AJ142" s="1979">
        <v>1.1251648223706952</v>
      </c>
      <c r="AK142" s="1979">
        <v>1.0977249400985309</v>
      </c>
      <c r="AL142" s="1979">
        <v>1.1251648223706952</v>
      </c>
      <c r="AM142" s="1979">
        <v>1.0977249400985309</v>
      </c>
      <c r="AN142" s="1979">
        <v>1.1251648223706952</v>
      </c>
      <c r="AO142" s="1979">
        <v>1.0977249400985309</v>
      </c>
      <c r="AP142" s="1979">
        <v>1.1251648223706952</v>
      </c>
      <c r="AQ142" s="1979">
        <v>1.0977249400985309</v>
      </c>
      <c r="AR142" s="2000">
        <v>1.0310984342663703</v>
      </c>
      <c r="AS142" s="1998">
        <v>1.0240971792515468</v>
      </c>
      <c r="AT142" s="1998">
        <v>1.0310984342663703</v>
      </c>
      <c r="AU142" s="1998">
        <v>1.0240971792515468</v>
      </c>
      <c r="AV142" s="1998">
        <v>1.0310984342663703</v>
      </c>
      <c r="AW142" s="1998">
        <v>1.0240971792515468</v>
      </c>
      <c r="AX142" s="1998">
        <v>1.0310984342663703</v>
      </c>
      <c r="AY142" s="1998">
        <v>1.0240971792515468</v>
      </c>
      <c r="AZ142" s="1998">
        <v>1.0310984342663703</v>
      </c>
      <c r="BA142" s="1998">
        <v>1.0240971792515468</v>
      </c>
      <c r="BB142" s="1999">
        <v>1.3180265000109936</v>
      </c>
      <c r="BC142" s="1979">
        <v>1.3308586370188196</v>
      </c>
      <c r="BD142" s="1979">
        <v>1.3180265000109936</v>
      </c>
      <c r="BE142" s="1979">
        <v>1.3308586370188196</v>
      </c>
      <c r="BF142" s="1979">
        <v>1.3180265000109936</v>
      </c>
      <c r="BG142" s="1979">
        <v>1.3308586370188196</v>
      </c>
      <c r="BH142" s="1979">
        <v>1.3180265000109936</v>
      </c>
      <c r="BI142" s="1979">
        <v>1.3308586370188196</v>
      </c>
      <c r="BJ142" s="1979">
        <v>1.3180265000109936</v>
      </c>
      <c r="BK142" s="1979">
        <v>1.3308586370188196</v>
      </c>
      <c r="BL142" s="2000">
        <v>1.0991807094920885</v>
      </c>
      <c r="BM142" s="1998">
        <v>1.0810384024859852</v>
      </c>
      <c r="BN142" s="1998">
        <v>1.0991807094920885</v>
      </c>
      <c r="BO142" s="1998">
        <v>1.0810384024859852</v>
      </c>
      <c r="BP142" s="1998">
        <v>1.0991807094920885</v>
      </c>
      <c r="BQ142" s="1998">
        <v>1.0810384024859852</v>
      </c>
      <c r="BR142" s="1998">
        <v>1.0991807094920885</v>
      </c>
      <c r="BS142" s="1998">
        <v>1.0810384024859852</v>
      </c>
      <c r="BT142" s="1998">
        <v>1.0991807094920885</v>
      </c>
      <c r="BU142" s="1998">
        <v>1.0810384024859852</v>
      </c>
      <c r="BV142" s="1999">
        <v>1.1043646023572886</v>
      </c>
      <c r="BW142" s="1979">
        <v>1.0829643266906182</v>
      </c>
      <c r="BX142" s="1979">
        <v>1.1043646023572886</v>
      </c>
      <c r="BY142" s="1979">
        <v>1.0829643266906182</v>
      </c>
      <c r="BZ142" s="1979">
        <v>1.1043646023572886</v>
      </c>
      <c r="CA142" s="1979">
        <v>1.0829643266906182</v>
      </c>
      <c r="CB142" s="1979">
        <v>1.1043646023572886</v>
      </c>
      <c r="CC142" s="1979">
        <v>1.0829643266906182</v>
      </c>
      <c r="CD142" s="1979">
        <v>1.1043646023572886</v>
      </c>
      <c r="CE142" s="1979">
        <v>1.0829643266906182</v>
      </c>
      <c r="CF142" s="2000">
        <v>1.013915814776813</v>
      </c>
      <c r="CG142" s="1998">
        <v>1.0110949800994089</v>
      </c>
      <c r="CH142" s="1998">
        <v>1.013915814776813</v>
      </c>
      <c r="CI142" s="1998">
        <v>1.0110949800994089</v>
      </c>
      <c r="CJ142" s="1998">
        <v>1.013915814776813</v>
      </c>
      <c r="CK142" s="1998">
        <v>1.0110949800994089</v>
      </c>
      <c r="CL142" s="1998">
        <v>1.013915814776813</v>
      </c>
      <c r="CM142" s="1998">
        <v>1.0110949800994089</v>
      </c>
      <c r="CN142" s="1998">
        <v>1.013915814776813</v>
      </c>
      <c r="CO142" s="1998">
        <v>1.0110949800994089</v>
      </c>
      <c r="CP142" s="1999">
        <v>1.0166912264173766</v>
      </c>
      <c r="CQ142" s="1979">
        <v>1.0132771790566961</v>
      </c>
      <c r="CR142" s="1979">
        <v>1.0166912264173766</v>
      </c>
      <c r="CS142" s="1979">
        <v>1.0132771790566961</v>
      </c>
      <c r="CT142" s="1979">
        <v>1.0166912264173766</v>
      </c>
      <c r="CU142" s="1979">
        <v>1.0132771790566961</v>
      </c>
      <c r="CV142" s="1979">
        <v>1.0166912264173766</v>
      </c>
      <c r="CW142" s="1979">
        <v>1.0132771790566961</v>
      </c>
      <c r="CX142" s="1979">
        <v>1.0166912264173766</v>
      </c>
      <c r="CY142" s="1979">
        <v>1.0132771790566961</v>
      </c>
      <c r="CZ142" s="2000">
        <v>1</v>
      </c>
      <c r="DA142" s="1998">
        <v>1</v>
      </c>
      <c r="DB142" s="1998">
        <v>1</v>
      </c>
      <c r="DC142" s="1998">
        <v>1</v>
      </c>
      <c r="DD142" s="1998">
        <v>1</v>
      </c>
      <c r="DE142" s="1998">
        <v>1</v>
      </c>
      <c r="DF142" s="1998">
        <v>1</v>
      </c>
      <c r="DG142" s="1998">
        <v>1</v>
      </c>
      <c r="DH142" s="1998">
        <v>1</v>
      </c>
      <c r="DI142" s="1998">
        <v>1</v>
      </c>
      <c r="DJ142" s="1999">
        <v>1.0035107351701431</v>
      </c>
      <c r="DK142" s="1979">
        <v>1.0027735639769348</v>
      </c>
      <c r="DL142" s="1979">
        <v>1.0035107351701431</v>
      </c>
      <c r="DM142" s="1979">
        <v>1.0027735639769348</v>
      </c>
      <c r="DN142" s="1979">
        <v>1.0035107351701431</v>
      </c>
      <c r="DO142" s="1979">
        <v>1.0027735639769348</v>
      </c>
      <c r="DP142" s="1979">
        <v>1.0035107351701431</v>
      </c>
      <c r="DQ142" s="1979">
        <v>1.0027735639769348</v>
      </c>
      <c r="DR142" s="1979">
        <v>1.0035107351701431</v>
      </c>
      <c r="DS142" s="1979">
        <v>1.0027735639769348</v>
      </c>
      <c r="GT142" s="1980"/>
      <c r="GU142" s="1980"/>
      <c r="GV142" s="1980"/>
      <c r="GW142" s="1980"/>
      <c r="GX142" s="1980"/>
      <c r="GY142" s="1980"/>
      <c r="GZ142" s="1980"/>
      <c r="HA142" s="1980"/>
      <c r="HB142" s="1980"/>
      <c r="HC142" s="1980"/>
      <c r="HD142" s="1980"/>
      <c r="HE142" s="1980"/>
      <c r="HF142" s="1980"/>
      <c r="HG142" s="1980"/>
      <c r="HH142" s="1980"/>
      <c r="HI142" s="1980"/>
      <c r="HJ142" s="1980"/>
      <c r="HK142" s="1980"/>
      <c r="HL142" s="1980"/>
      <c r="HM142" s="1980"/>
      <c r="HN142" s="1980"/>
      <c r="HO142" s="1980"/>
      <c r="HP142" s="1980"/>
      <c r="HQ142" s="1980"/>
      <c r="HR142" s="1980"/>
      <c r="HS142" s="1980"/>
      <c r="HT142" s="1980"/>
      <c r="HU142" s="1980"/>
      <c r="HV142" s="1980"/>
      <c r="HW142" s="1980"/>
      <c r="HX142" s="1980"/>
      <c r="HY142" s="1980"/>
      <c r="HZ142" s="1980"/>
      <c r="IA142" s="1980"/>
      <c r="IB142" s="1980"/>
      <c r="IC142" s="1980"/>
      <c r="ID142" s="1980"/>
      <c r="IE142" s="1980"/>
      <c r="IF142" s="1980"/>
      <c r="IG142" s="1980"/>
      <c r="IH142" s="1980"/>
      <c r="II142" s="1980"/>
      <c r="IJ142" s="1980"/>
      <c r="IK142" s="1980"/>
      <c r="IL142" s="1980"/>
      <c r="IM142" s="1980"/>
      <c r="IN142" s="1980"/>
      <c r="IO142" s="1980"/>
      <c r="IP142" s="1980"/>
      <c r="IQ142" s="1980"/>
      <c r="IR142" s="1980"/>
      <c r="IS142" s="1980"/>
      <c r="IT142" s="1980"/>
      <c r="IU142" s="1980"/>
      <c r="IV142" s="1980"/>
      <c r="IW142" s="1980"/>
      <c r="IX142" s="1980"/>
      <c r="IY142" s="1980"/>
      <c r="IZ142" s="1980"/>
      <c r="JA142" s="1980"/>
      <c r="JB142" s="1980"/>
      <c r="JC142" s="1980"/>
      <c r="JD142" s="1980"/>
      <c r="JE142" s="1980"/>
      <c r="JF142" s="1980"/>
      <c r="JG142" s="1980"/>
      <c r="JH142" s="1980"/>
      <c r="JI142" s="1980"/>
      <c r="JJ142" s="1980"/>
      <c r="JK142" s="1980"/>
      <c r="JL142" s="1980"/>
      <c r="JM142" s="1980"/>
      <c r="JN142" s="1980"/>
      <c r="JO142" s="1980"/>
      <c r="JP142" s="1980"/>
      <c r="JQ142" s="1980"/>
      <c r="JR142" s="1980"/>
      <c r="JS142" s="1980"/>
      <c r="JT142" s="1980"/>
      <c r="JU142" s="1980"/>
      <c r="JV142" s="1980"/>
      <c r="JW142" s="1980"/>
      <c r="JX142" s="1980"/>
      <c r="JY142" s="1980"/>
      <c r="JZ142" s="1980"/>
      <c r="KA142" s="1980"/>
      <c r="KB142" s="1980"/>
      <c r="KC142" s="1980"/>
      <c r="KD142" s="1980"/>
      <c r="KE142" s="1980"/>
      <c r="KF142" s="1980"/>
      <c r="KG142" s="1980"/>
      <c r="KH142" s="1980"/>
      <c r="KI142" s="1980"/>
      <c r="KJ142" s="1980"/>
      <c r="KK142" s="1980"/>
    </row>
    <row r="143" spans="1:297">
      <c r="A143" s="2001" t="str">
        <f>Uebersetzung!$D632</f>
        <v>Construction en bois lourde</v>
      </c>
      <c r="B143" s="2">
        <v>1</v>
      </c>
      <c r="C143" s="2" t="s">
        <v>4327</v>
      </c>
      <c r="D143" s="2002">
        <v>0.84462014838024602</v>
      </c>
      <c r="E143" s="2002">
        <v>0.72920137088217263</v>
      </c>
      <c r="F143" s="2002">
        <v>0.8499054964339009</v>
      </c>
      <c r="G143" s="2002">
        <v>0.73618473100720239</v>
      </c>
      <c r="H143" s="2002">
        <v>0.8572907376011657</v>
      </c>
      <c r="I143" s="2002">
        <v>0.7450955642895073</v>
      </c>
      <c r="J143" s="2002">
        <v>0.8646865284173314</v>
      </c>
      <c r="K143" s="2002">
        <v>0.75401379052286899</v>
      </c>
      <c r="L143" s="2002">
        <v>0.87208231923349711</v>
      </c>
      <c r="M143" s="2002">
        <v>0.76293201675623068</v>
      </c>
      <c r="N143" s="2003">
        <v>0.70621523155460175</v>
      </c>
      <c r="O143" s="2004">
        <v>0.62515497200162173</v>
      </c>
      <c r="P143" s="2004">
        <v>0.70985308449515305</v>
      </c>
      <c r="Q143" s="2004">
        <v>0.62975638392398248</v>
      </c>
      <c r="R143" s="2004">
        <v>0.71474547266522537</v>
      </c>
      <c r="S143" s="2004">
        <v>0.63551162389371563</v>
      </c>
      <c r="T143" s="2004">
        <v>0.71966182690789648</v>
      </c>
      <c r="U143" s="2004">
        <v>0.64128363672014665</v>
      </c>
      <c r="V143" s="2004">
        <v>0.72457818115056782</v>
      </c>
      <c r="W143" s="2004">
        <v>0.64705564954657779</v>
      </c>
      <c r="X143" s="2005">
        <v>0.75894021442436921</v>
      </c>
      <c r="Y143" s="2002">
        <v>0.68152061793887053</v>
      </c>
      <c r="Z143" s="2002">
        <v>0.76532635663550808</v>
      </c>
      <c r="AA143" s="2002">
        <v>0.68943702631590564</v>
      </c>
      <c r="AB143" s="2002">
        <v>0.75964805690358039</v>
      </c>
      <c r="AC143" s="2002">
        <v>0.68413111215054034</v>
      </c>
      <c r="AD143" s="2002">
        <v>0.7597345071345788</v>
      </c>
      <c r="AE143" s="2002">
        <v>0.68419263767745941</v>
      </c>
      <c r="AF143" s="2002">
        <v>0.75989299922474263</v>
      </c>
      <c r="AG143" s="2002">
        <v>0.68430543447681136</v>
      </c>
      <c r="AH143" s="2003">
        <v>0.58177664217270642</v>
      </c>
      <c r="AI143" s="2004">
        <v>0.53280063569910974</v>
      </c>
      <c r="AJ143" s="2004">
        <v>0.58606208286678552</v>
      </c>
      <c r="AK143" s="2004">
        <v>0.53817030029281787</v>
      </c>
      <c r="AL143" s="2004">
        <v>0.58226380104198672</v>
      </c>
      <c r="AM143" s="2004">
        <v>0.53457906045096204</v>
      </c>
      <c r="AN143" s="2004">
        <v>0.58232816278668909</v>
      </c>
      <c r="AO143" s="2004">
        <v>0.53462538987819508</v>
      </c>
      <c r="AP143" s="2004">
        <v>0.5824461593186433</v>
      </c>
      <c r="AQ143" s="2004">
        <v>0.53471032716145528</v>
      </c>
      <c r="AR143" s="2005">
        <v>0.78206348975060169</v>
      </c>
      <c r="AS143" s="2002">
        <v>0.71009922037859963</v>
      </c>
      <c r="AT143" s="2002">
        <v>0.78811636451600142</v>
      </c>
      <c r="AU143" s="2002">
        <v>0.71760227913150554</v>
      </c>
      <c r="AV143" s="2002">
        <v>0.78283666663875873</v>
      </c>
      <c r="AW143" s="2002">
        <v>0.71263800605770355</v>
      </c>
      <c r="AX143" s="2002">
        <v>0.78297200975801062</v>
      </c>
      <c r="AY143" s="2002">
        <v>0.71273469345351392</v>
      </c>
      <c r="AZ143" s="2002">
        <v>0.78322013880997188</v>
      </c>
      <c r="BA143" s="2002">
        <v>0.71291195367916638</v>
      </c>
      <c r="BB143" s="2003">
        <v>0.78597344806349623</v>
      </c>
      <c r="BC143" s="2004">
        <v>0.69816011977044612</v>
      </c>
      <c r="BD143" s="2004">
        <v>0.79119233094840269</v>
      </c>
      <c r="BE143" s="2004">
        <v>0.70439522314312653</v>
      </c>
      <c r="BF143" s="2004">
        <v>0.78668359539672705</v>
      </c>
      <c r="BG143" s="2004">
        <v>0.70029650464271176</v>
      </c>
      <c r="BH143" s="2004">
        <v>0.78682300588332488</v>
      </c>
      <c r="BI143" s="2004">
        <v>0.70039267440922481</v>
      </c>
      <c r="BJ143" s="2004">
        <v>0.78707859177542094</v>
      </c>
      <c r="BK143" s="2004">
        <v>0.70056898564783188</v>
      </c>
      <c r="BL143" s="2005">
        <v>0.73844472717908216</v>
      </c>
      <c r="BM143" s="2002">
        <v>0.63483111449647334</v>
      </c>
      <c r="BN143" s="2002">
        <v>0.7387574038183703</v>
      </c>
      <c r="BO143" s="2002">
        <v>0.6350461477592847</v>
      </c>
      <c r="BP143" s="2002">
        <v>0.73904402407105108</v>
      </c>
      <c r="BQ143" s="2002">
        <v>0.63524326158352828</v>
      </c>
      <c r="BR143" s="2002">
        <v>0.7393567007103391</v>
      </c>
      <c r="BS143" s="2002">
        <v>0.63545829484633953</v>
      </c>
      <c r="BT143" s="2002">
        <v>0.74011233592195225</v>
      </c>
      <c r="BU143" s="2002">
        <v>0.63597795856479999</v>
      </c>
      <c r="BV143" s="2003">
        <v>0.80262567477232061</v>
      </c>
      <c r="BW143" s="2004">
        <v>0.74111953825105958</v>
      </c>
      <c r="BX143" s="2004">
        <v>0.80699368217836909</v>
      </c>
      <c r="BY143" s="2004">
        <v>0.74716249505803911</v>
      </c>
      <c r="BZ143" s="2004">
        <v>0.81310466420667882</v>
      </c>
      <c r="CA143" s="2004">
        <v>0.75487937120134985</v>
      </c>
      <c r="CB143" s="2004">
        <v>0.81922760880742918</v>
      </c>
      <c r="CC143" s="2004">
        <v>0.76260501470281328</v>
      </c>
      <c r="CD143" s="2004">
        <v>0.8253505534081792</v>
      </c>
      <c r="CE143" s="2004">
        <v>0.7703306582042766</v>
      </c>
      <c r="CF143" s="2005">
        <v>0.60210883813083571</v>
      </c>
      <c r="CG143" s="2002">
        <v>0.56988619783702377</v>
      </c>
      <c r="CH143" s="2002">
        <v>0.60230905235967491</v>
      </c>
      <c r="CI143" s="2002">
        <v>0.57003336767914614</v>
      </c>
      <c r="CJ143" s="2002">
        <v>0.60249258206944434</v>
      </c>
      <c r="CK143" s="2002">
        <v>0.57016827336775833</v>
      </c>
      <c r="CL143" s="2002">
        <v>0.60269279629828354</v>
      </c>
      <c r="CM143" s="2002">
        <v>0.57031544320988059</v>
      </c>
      <c r="CN143" s="2002">
        <v>0.60317664735131171</v>
      </c>
      <c r="CO143" s="2002">
        <v>0.57067110366167662</v>
      </c>
      <c r="CP143" s="2003">
        <v>0.54505105164426104</v>
      </c>
      <c r="CQ143" s="2004">
        <v>0.51232514157114384</v>
      </c>
      <c r="CR143" s="2004">
        <v>0.54526117900253934</v>
      </c>
      <c r="CS143" s="2004">
        <v>0.5124792428211763</v>
      </c>
      <c r="CT143" s="2004">
        <v>0.54545379574762798</v>
      </c>
      <c r="CU143" s="2004">
        <v>0.51262050230037282</v>
      </c>
      <c r="CV143" s="2004">
        <v>0.5456639231059065</v>
      </c>
      <c r="CW143" s="2004">
        <v>0.51277460355040527</v>
      </c>
      <c r="CX143" s="2004">
        <v>0.54617173088841287</v>
      </c>
      <c r="CY143" s="2004">
        <v>0.51314701490465031</v>
      </c>
      <c r="CZ143" s="2005">
        <v>0.49195081722058187</v>
      </c>
      <c r="DA143" s="2002">
        <v>0.46699088249172604</v>
      </c>
      <c r="DB143" s="2002">
        <v>0.4924354741824914</v>
      </c>
      <c r="DC143" s="2002">
        <v>0.46734300641734955</v>
      </c>
      <c r="DD143" s="2002">
        <v>0.49292013114440092</v>
      </c>
      <c r="DE143" s="2002">
        <v>0.467695130342973</v>
      </c>
      <c r="DF143" s="2002">
        <v>0.49340478810631028</v>
      </c>
      <c r="DG143" s="2002">
        <v>0.46804725426859645</v>
      </c>
      <c r="DH143" s="2002">
        <v>0.49388944506821975</v>
      </c>
      <c r="DI143" s="2002">
        <v>0.46839937819421995</v>
      </c>
      <c r="DJ143" s="2003">
        <v>0.44218525557828436</v>
      </c>
      <c r="DK143" s="2004">
        <v>0.42783419068560813</v>
      </c>
      <c r="DL143" s="2004">
        <v>0.44282639587126849</v>
      </c>
      <c r="DM143" s="2004">
        <v>0.42830632768048554</v>
      </c>
      <c r="DN143" s="2004">
        <v>0.44346753616425266</v>
      </c>
      <c r="DO143" s="2004">
        <v>0.42877846467536296</v>
      </c>
      <c r="DP143" s="2004">
        <v>0.4441086764572369</v>
      </c>
      <c r="DQ143" s="2004">
        <v>0.42925060167024043</v>
      </c>
      <c r="DR143" s="2004">
        <v>0.44474981675022107</v>
      </c>
      <c r="DS143" s="2004">
        <v>0.4297227386651179</v>
      </c>
      <c r="GT143" s="1980"/>
      <c r="GU143" s="1980"/>
      <c r="GV143" s="1980"/>
      <c r="GW143" s="1980"/>
      <c r="GX143" s="1980"/>
      <c r="GY143" s="1980"/>
      <c r="GZ143" s="1980"/>
      <c r="HA143" s="1980"/>
      <c r="HB143" s="1980"/>
      <c r="HC143" s="1980"/>
      <c r="HD143" s="1980"/>
      <c r="HE143" s="1980"/>
      <c r="HF143" s="1980"/>
      <c r="HG143" s="1980"/>
      <c r="HH143" s="1980"/>
      <c r="HI143" s="1980"/>
      <c r="HJ143" s="1980"/>
      <c r="HK143" s="1980"/>
      <c r="HL143" s="1980"/>
      <c r="HM143" s="1980"/>
      <c r="HN143" s="1980"/>
      <c r="HO143" s="1980"/>
      <c r="HP143" s="1980"/>
      <c r="HQ143" s="1980"/>
      <c r="HR143" s="1980"/>
      <c r="HS143" s="1980"/>
      <c r="HT143" s="1980"/>
      <c r="HU143" s="1980"/>
      <c r="HV143" s="1980"/>
      <c r="HW143" s="1980"/>
      <c r="HX143" s="1980"/>
      <c r="HY143" s="1980"/>
      <c r="HZ143" s="1980"/>
      <c r="IA143" s="1980"/>
      <c r="IB143" s="1980"/>
      <c r="IC143" s="1980"/>
      <c r="ID143" s="1980"/>
      <c r="IE143" s="1980"/>
      <c r="IF143" s="1980"/>
      <c r="IG143" s="1980"/>
      <c r="IH143" s="1980"/>
      <c r="II143" s="1980"/>
      <c r="IJ143" s="1980"/>
      <c r="IK143" s="1980"/>
      <c r="IL143" s="1980"/>
      <c r="IM143" s="1980"/>
      <c r="IN143" s="1980"/>
      <c r="IO143" s="1980"/>
      <c r="IP143" s="1980"/>
      <c r="IQ143" s="1980"/>
      <c r="IR143" s="1980"/>
      <c r="IS143" s="1980"/>
      <c r="IT143" s="1980"/>
      <c r="IU143" s="1980"/>
      <c r="IV143" s="1980"/>
      <c r="IW143" s="1980"/>
      <c r="IX143" s="1980"/>
      <c r="IY143" s="1980"/>
      <c r="IZ143" s="1980"/>
      <c r="JA143" s="1980"/>
      <c r="JB143" s="1980"/>
      <c r="JC143" s="1980"/>
      <c r="JD143" s="1980"/>
      <c r="JE143" s="1980"/>
      <c r="JF143" s="1980"/>
      <c r="JG143" s="1980"/>
      <c r="JH143" s="1980"/>
      <c r="JI143" s="1980"/>
      <c r="JJ143" s="1980"/>
      <c r="JK143" s="1980"/>
      <c r="JL143" s="1980"/>
      <c r="JM143" s="1980"/>
      <c r="JN143" s="1980"/>
      <c r="JO143" s="1980"/>
      <c r="JP143" s="1980"/>
      <c r="JQ143" s="1980"/>
      <c r="JR143" s="1980"/>
      <c r="JS143" s="1980"/>
      <c r="JT143" s="1980"/>
      <c r="JU143" s="1980"/>
      <c r="JV143" s="1980"/>
      <c r="JW143" s="1980"/>
      <c r="JX143" s="1980"/>
      <c r="JY143" s="1980"/>
      <c r="JZ143" s="1980"/>
      <c r="KA143" s="1980"/>
      <c r="KB143" s="1980"/>
      <c r="KC143" s="1980"/>
      <c r="KD143" s="1980"/>
      <c r="KE143" s="1980"/>
      <c r="KF143" s="1980"/>
      <c r="KG143" s="1980"/>
      <c r="KH143" s="1980"/>
      <c r="KI143" s="1980"/>
      <c r="KJ143" s="1980"/>
      <c r="KK143" s="1980"/>
    </row>
    <row r="144" spans="1:297">
      <c r="A144" s="1997"/>
      <c r="B144" s="2">
        <v>2</v>
      </c>
      <c r="C144" s="2" t="s">
        <v>4328</v>
      </c>
      <c r="D144" s="1979">
        <v>0.86768975975533913</v>
      </c>
      <c r="E144" s="1979">
        <v>0.75110587151989106</v>
      </c>
      <c r="F144" s="1979">
        <v>0.87290905116416118</v>
      </c>
      <c r="G144" s="1979">
        <v>0.7579763036604571</v>
      </c>
      <c r="H144" s="1979">
        <v>0.8801778204089038</v>
      </c>
      <c r="I144" s="1979">
        <v>0.76672874761664989</v>
      </c>
      <c r="J144" s="1979">
        <v>0.88746065585218081</v>
      </c>
      <c r="K144" s="1979">
        <v>0.77549104884091846</v>
      </c>
      <c r="L144" s="1979">
        <v>0.89474349129545783</v>
      </c>
      <c r="M144" s="1979">
        <v>0.78425335006518704</v>
      </c>
      <c r="N144" s="2000">
        <v>0.73239234839846346</v>
      </c>
      <c r="O144" s="1998">
        <v>0.64742078428094652</v>
      </c>
      <c r="P144" s="1998">
        <v>0.73610536171859375</v>
      </c>
      <c r="Q144" s="1998">
        <v>0.65209101334736475</v>
      </c>
      <c r="R144" s="1998">
        <v>0.7410729102682454</v>
      </c>
      <c r="S144" s="1998">
        <v>0.6579150704611556</v>
      </c>
      <c r="T144" s="1998">
        <v>0.74606442489049596</v>
      </c>
      <c r="U144" s="1998">
        <v>0.66375590043164401</v>
      </c>
      <c r="V144" s="1998">
        <v>0.7510559395127463</v>
      </c>
      <c r="W144" s="1998">
        <v>0.66959673040213274</v>
      </c>
      <c r="X144" s="1999">
        <v>0.77698797513415918</v>
      </c>
      <c r="Y144" s="1979">
        <v>0.69662589207485737</v>
      </c>
      <c r="Z144" s="1979">
        <v>0.78337411734529827</v>
      </c>
      <c r="AA144" s="1979">
        <v>0.7045423004518927</v>
      </c>
      <c r="AB144" s="1979">
        <v>0.77769581761337048</v>
      </c>
      <c r="AC144" s="1979">
        <v>0.69923638628652718</v>
      </c>
      <c r="AD144" s="1979">
        <v>0.77778226784436899</v>
      </c>
      <c r="AE144" s="1979">
        <v>0.69929791181344625</v>
      </c>
      <c r="AF144" s="1979">
        <v>0.7779407599345326</v>
      </c>
      <c r="AG144" s="1979">
        <v>0.69941070861279808</v>
      </c>
      <c r="AH144" s="2000">
        <v>0.5859325069467396</v>
      </c>
      <c r="AI144" s="1998">
        <v>0.53697091434972544</v>
      </c>
      <c r="AJ144" s="1998">
        <v>0.59017298685999087</v>
      </c>
      <c r="AK144" s="1998">
        <v>0.54228000647033014</v>
      </c>
      <c r="AL144" s="1998">
        <v>0.58642954329780705</v>
      </c>
      <c r="AM144" s="1998">
        <v>0.53873882260519279</v>
      </c>
      <c r="AN144" s="1998">
        <v>0.58650105634747629</v>
      </c>
      <c r="AO144" s="1998">
        <v>0.53879029974656256</v>
      </c>
      <c r="AP144" s="1998">
        <v>0.58663216360520332</v>
      </c>
      <c r="AQ144" s="1998">
        <v>0.53888467450574085</v>
      </c>
      <c r="AR144" s="1999">
        <v>0.81596620585756574</v>
      </c>
      <c r="AS144" s="1979">
        <v>0.7384766584290281</v>
      </c>
      <c r="AT144" s="1979">
        <v>0.82201908062296558</v>
      </c>
      <c r="AU144" s="1979">
        <v>0.74597971718193401</v>
      </c>
      <c r="AV144" s="1979">
        <v>0.81673938274572311</v>
      </c>
      <c r="AW144" s="1979">
        <v>0.74101544410813192</v>
      </c>
      <c r="AX144" s="1979">
        <v>0.81687472586497467</v>
      </c>
      <c r="AY144" s="1979">
        <v>0.74111213150394251</v>
      </c>
      <c r="AZ144" s="1979">
        <v>0.81712285491693593</v>
      </c>
      <c r="BA144" s="1979">
        <v>0.74128939172959496</v>
      </c>
      <c r="BB144" s="2000">
        <v>0.82528056100024194</v>
      </c>
      <c r="BC144" s="1998">
        <v>0.7288268590985203</v>
      </c>
      <c r="BD144" s="1998">
        <v>0.8304994438851484</v>
      </c>
      <c r="BE144" s="1998">
        <v>0.73506196247120081</v>
      </c>
      <c r="BF144" s="1998">
        <v>0.82599070833347255</v>
      </c>
      <c r="BG144" s="1998">
        <v>0.73096324397078605</v>
      </c>
      <c r="BH144" s="1998">
        <v>0.82613011882007059</v>
      </c>
      <c r="BI144" s="1998">
        <v>0.7310594137372991</v>
      </c>
      <c r="BJ144" s="1998">
        <v>0.82638570471216644</v>
      </c>
      <c r="BK144" s="1998">
        <v>0.73123572497590617</v>
      </c>
      <c r="BL144" s="1999">
        <v>0.75841465817620723</v>
      </c>
      <c r="BM144" s="1979">
        <v>0.65074614875105952</v>
      </c>
      <c r="BN144" s="1979">
        <v>0.75872733481549559</v>
      </c>
      <c r="BO144" s="1979">
        <v>0.65096118201387065</v>
      </c>
      <c r="BP144" s="1979">
        <v>0.75901395506817626</v>
      </c>
      <c r="BQ144" s="1979">
        <v>0.65115829583811435</v>
      </c>
      <c r="BR144" s="1979">
        <v>0.75932663170746439</v>
      </c>
      <c r="BS144" s="1979">
        <v>0.6513733291009256</v>
      </c>
      <c r="BT144" s="1979">
        <v>0.76008226691907743</v>
      </c>
      <c r="BU144" s="1979">
        <v>0.65189299281938606</v>
      </c>
      <c r="BV144" s="2000">
        <v>0.81951417426801931</v>
      </c>
      <c r="BW144" s="1998">
        <v>0.75749747727809691</v>
      </c>
      <c r="BX144" s="1998">
        <v>0.82382622059487021</v>
      </c>
      <c r="BY144" s="1998">
        <v>0.7634495155472496</v>
      </c>
      <c r="BZ144" s="1998">
        <v>0.82984694108050017</v>
      </c>
      <c r="CA144" s="1998">
        <v>0.77104312537756703</v>
      </c>
      <c r="CB144" s="1998">
        <v>0.83588201665305806</v>
      </c>
      <c r="CC144" s="1998">
        <v>0.77864725603766771</v>
      </c>
      <c r="CD144" s="1998">
        <v>0.84191709222561628</v>
      </c>
      <c r="CE144" s="1998">
        <v>0.78625138669776828</v>
      </c>
      <c r="CF144" s="1999">
        <v>0.61163846835562874</v>
      </c>
      <c r="CG144" s="1979">
        <v>0.57936444112878804</v>
      </c>
      <c r="CH144" s="1979">
        <v>0.61187205162260794</v>
      </c>
      <c r="CI144" s="1979">
        <v>0.57953613927793091</v>
      </c>
      <c r="CJ144" s="1979">
        <v>0.61208616961733875</v>
      </c>
      <c r="CK144" s="1979">
        <v>0.57969352924797846</v>
      </c>
      <c r="CL144" s="1979">
        <v>0.61231975288431784</v>
      </c>
      <c r="CM144" s="1979">
        <v>0.5798652273971211</v>
      </c>
      <c r="CN144" s="1979">
        <v>0.61288424577951728</v>
      </c>
      <c r="CO144" s="1979">
        <v>0.58028016459088305</v>
      </c>
      <c r="CP144" s="2000">
        <v>0.56911101808057907</v>
      </c>
      <c r="CQ144" s="1998">
        <v>0.53603780008762691</v>
      </c>
      <c r="CR144" s="1998">
        <v>0.56940519638216891</v>
      </c>
      <c r="CS144" s="1998">
        <v>0.53625354183767238</v>
      </c>
      <c r="CT144" s="1998">
        <v>0.56967485982529287</v>
      </c>
      <c r="CU144" s="1998">
        <v>0.53645130510854733</v>
      </c>
      <c r="CV144" s="1998">
        <v>0.56996903812688271</v>
      </c>
      <c r="CW144" s="1998">
        <v>0.5366670468585929</v>
      </c>
      <c r="CX144" s="1998">
        <v>0.57067996902239149</v>
      </c>
      <c r="CY144" s="1998">
        <v>0.53718842275453604</v>
      </c>
      <c r="CZ144" s="1999">
        <v>0.50196467328634553</v>
      </c>
      <c r="DA144" s="1979">
        <v>0.47809888430168418</v>
      </c>
      <c r="DB144" s="1979">
        <v>0.50254626164063687</v>
      </c>
      <c r="DC144" s="1979">
        <v>0.47852143301243238</v>
      </c>
      <c r="DD144" s="1979">
        <v>0.50312784999492821</v>
      </c>
      <c r="DE144" s="1979">
        <v>0.47894398172318048</v>
      </c>
      <c r="DF144" s="1979">
        <v>0.50370943834921955</v>
      </c>
      <c r="DG144" s="1979">
        <v>0.47936653043392868</v>
      </c>
      <c r="DH144" s="1979">
        <v>0.50429102670351089</v>
      </c>
      <c r="DI144" s="1979">
        <v>0.47978907914467689</v>
      </c>
      <c r="DJ144" s="2000">
        <v>0.44567308698250696</v>
      </c>
      <c r="DK144" s="1998">
        <v>0.43071471913692799</v>
      </c>
      <c r="DL144" s="1998">
        <v>0.44631422727549108</v>
      </c>
      <c r="DM144" s="1998">
        <v>0.43118685613180546</v>
      </c>
      <c r="DN144" s="1998">
        <v>0.44695536756847526</v>
      </c>
      <c r="DO144" s="1998">
        <v>0.43165899312668288</v>
      </c>
      <c r="DP144" s="1998">
        <v>0.44759650786145944</v>
      </c>
      <c r="DQ144" s="1998">
        <v>0.43213113012156029</v>
      </c>
      <c r="DR144" s="1998">
        <v>0.44823764815444361</v>
      </c>
      <c r="DS144" s="1998">
        <v>0.43260326711643776</v>
      </c>
      <c r="GT144" s="1980"/>
      <c r="GU144" s="1980"/>
      <c r="GV144" s="1980"/>
      <c r="GW144" s="1980"/>
      <c r="GX144" s="1980"/>
      <c r="GY144" s="1980"/>
      <c r="GZ144" s="1980"/>
      <c r="HA144" s="1980"/>
      <c r="HB144" s="1980"/>
      <c r="HC144" s="1980"/>
      <c r="HD144" s="1980"/>
      <c r="HE144" s="1980"/>
      <c r="HF144" s="1980"/>
      <c r="HG144" s="1980"/>
      <c r="HH144" s="1980"/>
      <c r="HI144" s="1980"/>
      <c r="HJ144" s="1980"/>
      <c r="HK144" s="1980"/>
      <c r="HL144" s="1980"/>
      <c r="HM144" s="1980"/>
      <c r="HN144" s="1980"/>
      <c r="HO144" s="1980"/>
      <c r="HP144" s="1980"/>
      <c r="HQ144" s="1980"/>
      <c r="HR144" s="1980"/>
      <c r="HS144" s="1980"/>
      <c r="HT144" s="1980"/>
      <c r="HU144" s="1980"/>
      <c r="HV144" s="1980"/>
      <c r="HW144" s="1980"/>
      <c r="HX144" s="1980"/>
      <c r="HY144" s="1980"/>
      <c r="HZ144" s="1980"/>
      <c r="IA144" s="1980"/>
      <c r="IB144" s="1980"/>
      <c r="IC144" s="1980"/>
      <c r="ID144" s="1980"/>
      <c r="IE144" s="1980"/>
      <c r="IF144" s="1980"/>
      <c r="IG144" s="1980"/>
      <c r="IH144" s="1980"/>
      <c r="II144" s="1980"/>
      <c r="IJ144" s="1980"/>
      <c r="IK144" s="1980"/>
      <c r="IL144" s="1980"/>
      <c r="IM144" s="1980"/>
      <c r="IN144" s="1980"/>
      <c r="IO144" s="1980"/>
      <c r="IP144" s="1980"/>
      <c r="IQ144" s="1980"/>
      <c r="IR144" s="1980"/>
      <c r="IS144" s="1980"/>
      <c r="IT144" s="1980"/>
      <c r="IU144" s="1980"/>
      <c r="IV144" s="1980"/>
      <c r="IW144" s="1980"/>
      <c r="IX144" s="1980"/>
      <c r="IY144" s="1980"/>
      <c r="IZ144" s="1980"/>
      <c r="JA144" s="1980"/>
      <c r="JB144" s="1980"/>
      <c r="JC144" s="1980"/>
      <c r="JD144" s="1980"/>
      <c r="JE144" s="1980"/>
      <c r="JF144" s="1980"/>
      <c r="JG144" s="1980"/>
      <c r="JH144" s="1980"/>
      <c r="JI144" s="1980"/>
      <c r="JJ144" s="1980"/>
      <c r="JK144" s="1980"/>
      <c r="JL144" s="1980"/>
      <c r="JM144" s="1980"/>
      <c r="JN144" s="1980"/>
      <c r="JO144" s="1980"/>
      <c r="JP144" s="1980"/>
      <c r="JQ144" s="1980"/>
      <c r="JR144" s="1980"/>
      <c r="JS144" s="1980"/>
      <c r="JT144" s="1980"/>
      <c r="JU144" s="1980"/>
      <c r="JV144" s="1980"/>
      <c r="JW144" s="1980"/>
      <c r="JX144" s="1980"/>
      <c r="JY144" s="1980"/>
      <c r="JZ144" s="1980"/>
      <c r="KA144" s="1980"/>
      <c r="KB144" s="1980"/>
      <c r="KC144" s="1980"/>
      <c r="KD144" s="1980"/>
      <c r="KE144" s="1980"/>
      <c r="KF144" s="1980"/>
      <c r="KG144" s="1980"/>
      <c r="KH144" s="1980"/>
      <c r="KI144" s="1980"/>
      <c r="KJ144" s="1980"/>
      <c r="KK144" s="1980"/>
    </row>
    <row r="145" spans="1:297">
      <c r="A145" s="1997"/>
      <c r="B145" s="2">
        <v>3</v>
      </c>
      <c r="C145" s="2" t="s">
        <v>4329</v>
      </c>
      <c r="D145" s="1979">
        <v>0.88958290875826662</v>
      </c>
      <c r="E145" s="1979">
        <v>0.77071463270254892</v>
      </c>
      <c r="F145" s="1979">
        <v>0.89481518692892459</v>
      </c>
      <c r="G145" s="1979">
        <v>0.777577928682745</v>
      </c>
      <c r="H145" s="1979">
        <v>0.90207861010725232</v>
      </c>
      <c r="I145" s="1979">
        <v>0.78630670508160483</v>
      </c>
      <c r="J145" s="1979">
        <v>0.90935737822943552</v>
      </c>
      <c r="K145" s="1979">
        <v>0.79504623486381987</v>
      </c>
      <c r="L145" s="1979">
        <v>0.91663614635161883</v>
      </c>
      <c r="M145" s="1979">
        <v>0.80378576464603491</v>
      </c>
      <c r="N145" s="2000">
        <v>0.76323549322645579</v>
      </c>
      <c r="O145" s="1998">
        <v>0.68003686431291643</v>
      </c>
      <c r="P145" s="1998">
        <v>0.76676137960020052</v>
      </c>
      <c r="Q145" s="1998">
        <v>0.68444665316899234</v>
      </c>
      <c r="R145" s="1998">
        <v>0.77145590335393455</v>
      </c>
      <c r="S145" s="1998">
        <v>0.68993291430176151</v>
      </c>
      <c r="T145" s="1998">
        <v>0.77618038469841688</v>
      </c>
      <c r="U145" s="1998">
        <v>0.69544014150540345</v>
      </c>
      <c r="V145" s="1998">
        <v>0.78090486604289933</v>
      </c>
      <c r="W145" s="1998">
        <v>0.70094736870904517</v>
      </c>
      <c r="X145" s="1999">
        <v>0.79869603512092435</v>
      </c>
      <c r="Y145" s="1979">
        <v>0.71580291986926836</v>
      </c>
      <c r="Z145" s="1979">
        <v>0.80502782543536167</v>
      </c>
      <c r="AA145" s="1979">
        <v>0.72364693197049434</v>
      </c>
      <c r="AB145" s="1979">
        <v>0.79941581822616303</v>
      </c>
      <c r="AC145" s="1979">
        <v>0.71840084475474364</v>
      </c>
      <c r="AD145" s="1979">
        <v>0.79951091348026126</v>
      </c>
      <c r="AE145" s="1979">
        <v>0.71846852283435469</v>
      </c>
      <c r="AF145" s="1979">
        <v>0.79968525477944152</v>
      </c>
      <c r="AG145" s="1979">
        <v>0.71859259931364172</v>
      </c>
      <c r="AH145" s="2000">
        <v>0.66509847581342763</v>
      </c>
      <c r="AI145" s="1998">
        <v>0.60036375966298505</v>
      </c>
      <c r="AJ145" s="1998">
        <v>0.66928275475064392</v>
      </c>
      <c r="AK145" s="1998">
        <v>0.60559713619221067</v>
      </c>
      <c r="AL145" s="1998">
        <v>0.66560785901672903</v>
      </c>
      <c r="AM145" s="1998">
        <v>0.60211852229797092</v>
      </c>
      <c r="AN145" s="1998">
        <v>0.66568831119760707</v>
      </c>
      <c r="AO145" s="1998">
        <v>0.60217643408201216</v>
      </c>
      <c r="AP145" s="1998">
        <v>0.66583580686254984</v>
      </c>
      <c r="AQ145" s="1998">
        <v>0.60228260568608749</v>
      </c>
      <c r="AR145" s="1999">
        <v>0.82808593415102605</v>
      </c>
      <c r="AS145" s="1979">
        <v>0.7504845617570618</v>
      </c>
      <c r="AT145" s="1979">
        <v>0.83399699022390816</v>
      </c>
      <c r="AU145" s="1979">
        <v>0.75779800253823903</v>
      </c>
      <c r="AV145" s="1979">
        <v>0.82889026733866578</v>
      </c>
      <c r="AW145" s="1979">
        <v>0.75299042626567259</v>
      </c>
      <c r="AX145" s="1979">
        <v>0.82904816764445932</v>
      </c>
      <c r="AY145" s="1979">
        <v>0.75310322822745135</v>
      </c>
      <c r="AZ145" s="1979">
        <v>0.82933765153841421</v>
      </c>
      <c r="BA145" s="1979">
        <v>0.75331003182404588</v>
      </c>
      <c r="BB145" s="2000">
        <v>0.87297320705716863</v>
      </c>
      <c r="BC145" s="1998">
        <v>0.76519629249495158</v>
      </c>
      <c r="BD145" s="1998">
        <v>0.87819208994207498</v>
      </c>
      <c r="BE145" s="1998">
        <v>0.77143139586763187</v>
      </c>
      <c r="BF145" s="1998">
        <v>0.87368335439039935</v>
      </c>
      <c r="BG145" s="1998">
        <v>0.76733267736721744</v>
      </c>
      <c r="BH145" s="1998">
        <v>0.87382276487699706</v>
      </c>
      <c r="BI145" s="1998">
        <v>0.76742884713373016</v>
      </c>
      <c r="BJ145" s="1998">
        <v>0.87407835076909313</v>
      </c>
      <c r="BK145" s="1998">
        <v>0.76760515837233745</v>
      </c>
      <c r="BL145" s="1999">
        <v>0.78143695003626101</v>
      </c>
      <c r="BM145" s="1979">
        <v>0.66935491739250053</v>
      </c>
      <c r="BN145" s="1979">
        <v>0.78174962667554915</v>
      </c>
      <c r="BO145" s="1979">
        <v>0.66956995065531177</v>
      </c>
      <c r="BP145" s="1979">
        <v>0.78203624692822993</v>
      </c>
      <c r="BQ145" s="1979">
        <v>0.66976706447955536</v>
      </c>
      <c r="BR145" s="1979">
        <v>0.78234892356751817</v>
      </c>
      <c r="BS145" s="1979">
        <v>0.6699820977423665</v>
      </c>
      <c r="BT145" s="1979">
        <v>0.78310455877913132</v>
      </c>
      <c r="BU145" s="1979">
        <v>0.67050176146082696</v>
      </c>
      <c r="BV145" s="2000">
        <v>0.84939756968077351</v>
      </c>
      <c r="BW145" s="1998">
        <v>0.78764922272637183</v>
      </c>
      <c r="BX145" s="1998">
        <v>0.85352742655089486</v>
      </c>
      <c r="BY145" s="1998">
        <v>0.79333075730544123</v>
      </c>
      <c r="BZ145" s="1998">
        <v>0.85927775638798221</v>
      </c>
      <c r="CA145" s="1998">
        <v>0.80057068345238969</v>
      </c>
      <c r="CB145" s="1998">
        <v>0.86504859349211027</v>
      </c>
      <c r="CC145" s="1998">
        <v>0.80782563935617124</v>
      </c>
      <c r="CD145" s="1998">
        <v>0.87081943059623823</v>
      </c>
      <c r="CE145" s="1998">
        <v>0.81508059525995269</v>
      </c>
      <c r="CF145" s="1999">
        <v>0.63739530523169408</v>
      </c>
      <c r="CG145" s="1979">
        <v>0.60352926729716372</v>
      </c>
      <c r="CH145" s="1979">
        <v>0.63767560515206911</v>
      </c>
      <c r="CI145" s="1979">
        <v>0.60373530507613493</v>
      </c>
      <c r="CJ145" s="1979">
        <v>0.63793254674574607</v>
      </c>
      <c r="CK145" s="1979">
        <v>0.60392417304019208</v>
      </c>
      <c r="CL145" s="1979">
        <v>0.63821284666612099</v>
      </c>
      <c r="CM145" s="1979">
        <v>0.60413021081916363</v>
      </c>
      <c r="CN145" s="1979">
        <v>0.6388902381403605</v>
      </c>
      <c r="CO145" s="1979">
        <v>0.60462813545167782</v>
      </c>
      <c r="CP145" s="2000">
        <v>0.61090967564907916</v>
      </c>
      <c r="CQ145" s="1998">
        <v>0.56923904042220974</v>
      </c>
      <c r="CR145" s="1998">
        <v>0.6112038539506689</v>
      </c>
      <c r="CS145" s="1998">
        <v>0.56945478217225509</v>
      </c>
      <c r="CT145" s="1998">
        <v>0.61147351739379296</v>
      </c>
      <c r="CU145" s="1998">
        <v>0.56965254544313015</v>
      </c>
      <c r="CV145" s="1998">
        <v>0.61176769569538281</v>
      </c>
      <c r="CW145" s="1998">
        <v>0.5698682871931755</v>
      </c>
      <c r="CX145" s="1998">
        <v>0.61247862659089158</v>
      </c>
      <c r="CY145" s="1998">
        <v>0.57038966308911876</v>
      </c>
      <c r="CZ145" s="1999">
        <v>0.51698545738499091</v>
      </c>
      <c r="DA145" s="1979">
        <v>0.49476088701662119</v>
      </c>
      <c r="DB145" s="1979">
        <v>0.51771244282785511</v>
      </c>
      <c r="DC145" s="1979">
        <v>0.49528907290505642</v>
      </c>
      <c r="DD145" s="1979">
        <v>0.51843942827071943</v>
      </c>
      <c r="DE145" s="1979">
        <v>0.49581725879349176</v>
      </c>
      <c r="DF145" s="1979">
        <v>0.51916641371358352</v>
      </c>
      <c r="DG145" s="1979">
        <v>0.49634544468192698</v>
      </c>
      <c r="DH145" s="1979">
        <v>0.51989339915644772</v>
      </c>
      <c r="DI145" s="1979">
        <v>0.49687363057036216</v>
      </c>
      <c r="DJ145" s="2000">
        <v>0.46776047833513723</v>
      </c>
      <c r="DK145" s="1998">
        <v>0.45554390622194268</v>
      </c>
      <c r="DL145" s="1998">
        <v>0.46861533205911615</v>
      </c>
      <c r="DM145" s="1998">
        <v>0.45617342221511264</v>
      </c>
      <c r="DN145" s="1998">
        <v>0.46947018578309518</v>
      </c>
      <c r="DO145" s="1998">
        <v>0.45680293820828255</v>
      </c>
      <c r="DP145" s="1998">
        <v>0.47032503950707416</v>
      </c>
      <c r="DQ145" s="1998">
        <v>0.45743245420145251</v>
      </c>
      <c r="DR145" s="1998">
        <v>0.47117989323105303</v>
      </c>
      <c r="DS145" s="1998">
        <v>0.45806197019462241</v>
      </c>
      <c r="GT145" s="1980"/>
      <c r="GU145" s="1980"/>
      <c r="GV145" s="1980"/>
      <c r="GW145" s="1980"/>
      <c r="GX145" s="1980"/>
      <c r="GY145" s="1980"/>
      <c r="GZ145" s="1980"/>
      <c r="HA145" s="1980"/>
      <c r="HB145" s="1980"/>
      <c r="HC145" s="1980"/>
      <c r="HD145" s="1980"/>
      <c r="HE145" s="1980"/>
      <c r="HF145" s="1980"/>
      <c r="HG145" s="1980"/>
      <c r="HH145" s="1980"/>
      <c r="HI145" s="1980"/>
      <c r="HJ145" s="1980"/>
      <c r="HK145" s="1980"/>
      <c r="HL145" s="1980"/>
      <c r="HM145" s="1980"/>
      <c r="HN145" s="1980"/>
      <c r="HO145" s="1980"/>
      <c r="HP145" s="1980"/>
      <c r="HQ145" s="1980"/>
      <c r="HR145" s="1980"/>
      <c r="HS145" s="1980"/>
      <c r="HT145" s="1980"/>
      <c r="HU145" s="1980"/>
      <c r="HV145" s="1980"/>
      <c r="HW145" s="1980"/>
      <c r="HX145" s="1980"/>
      <c r="HY145" s="1980"/>
      <c r="HZ145" s="1980"/>
      <c r="IA145" s="1980"/>
      <c r="IB145" s="1980"/>
      <c r="IC145" s="1980"/>
      <c r="ID145" s="1980"/>
      <c r="IE145" s="1980"/>
      <c r="IF145" s="1980"/>
      <c r="IG145" s="1980"/>
      <c r="IH145" s="1980"/>
      <c r="II145" s="1980"/>
      <c r="IJ145" s="1980"/>
      <c r="IK145" s="1980"/>
      <c r="IL145" s="1980"/>
      <c r="IM145" s="1980"/>
      <c r="IN145" s="1980"/>
      <c r="IO145" s="1980"/>
      <c r="IP145" s="1980"/>
      <c r="IQ145" s="1980"/>
      <c r="IR145" s="1980"/>
      <c r="IS145" s="1980"/>
      <c r="IT145" s="1980"/>
      <c r="IU145" s="1980"/>
      <c r="IV145" s="1980"/>
      <c r="IW145" s="1980"/>
      <c r="IX145" s="1980"/>
      <c r="IY145" s="1980"/>
      <c r="IZ145" s="1980"/>
      <c r="JA145" s="1980"/>
      <c r="JB145" s="1980"/>
      <c r="JC145" s="1980"/>
      <c r="JD145" s="1980"/>
      <c r="JE145" s="1980"/>
      <c r="JF145" s="1980"/>
      <c r="JG145" s="1980"/>
      <c r="JH145" s="1980"/>
      <c r="JI145" s="1980"/>
      <c r="JJ145" s="1980"/>
      <c r="JK145" s="1980"/>
      <c r="JL145" s="1980"/>
      <c r="JM145" s="1980"/>
      <c r="JN145" s="1980"/>
      <c r="JO145" s="1980"/>
      <c r="JP145" s="1980"/>
      <c r="JQ145" s="1980"/>
      <c r="JR145" s="1980"/>
      <c r="JS145" s="1980"/>
      <c r="JT145" s="1980"/>
      <c r="JU145" s="1980"/>
      <c r="JV145" s="1980"/>
      <c r="JW145" s="1980"/>
      <c r="JX145" s="1980"/>
      <c r="JY145" s="1980"/>
      <c r="JZ145" s="1980"/>
      <c r="KA145" s="1980"/>
      <c r="KB145" s="1980"/>
      <c r="KC145" s="1980"/>
      <c r="KD145" s="1980"/>
      <c r="KE145" s="1980"/>
      <c r="KF145" s="1980"/>
      <c r="KG145" s="1980"/>
      <c r="KH145" s="1980"/>
      <c r="KI145" s="1980"/>
      <c r="KJ145" s="1980"/>
      <c r="KK145" s="1980"/>
    </row>
    <row r="146" spans="1:297">
      <c r="A146" s="1997"/>
      <c r="B146" s="2">
        <v>4</v>
      </c>
      <c r="C146" s="2" t="s">
        <v>4330</v>
      </c>
      <c r="D146" s="1979">
        <v>0.918230513345072</v>
      </c>
      <c r="E146" s="1979">
        <v>0.79611624417849303</v>
      </c>
      <c r="F146" s="1979">
        <v>0.9235726198097951</v>
      </c>
      <c r="G146" s="1979">
        <v>0.80308023137273077</v>
      </c>
      <c r="H146" s="1979">
        <v>0.93094587128218809</v>
      </c>
      <c r="I146" s="1979">
        <v>0.81190969898563259</v>
      </c>
      <c r="J146" s="1979">
        <v>0.93833446769843654</v>
      </c>
      <c r="K146" s="1979">
        <v>0.82074991998188906</v>
      </c>
      <c r="L146" s="1979">
        <v>0.94572306411468487</v>
      </c>
      <c r="M146" s="1979">
        <v>0.82959014097814576</v>
      </c>
      <c r="N146" s="2000">
        <v>0.78919104486533653</v>
      </c>
      <c r="O146" s="1998">
        <v>0.70283072167749738</v>
      </c>
      <c r="P146" s="1998">
        <v>0.7927728656710491</v>
      </c>
      <c r="Q146" s="1998">
        <v>0.70729172432312626</v>
      </c>
      <c r="R146" s="1998">
        <v>0.79752332385675084</v>
      </c>
      <c r="S146" s="1998">
        <v>0.71282919924544852</v>
      </c>
      <c r="T146" s="1998">
        <v>0.8023037396332009</v>
      </c>
      <c r="U146" s="1998">
        <v>0.71838764023864354</v>
      </c>
      <c r="V146" s="1998">
        <v>0.80708415540965117</v>
      </c>
      <c r="W146" s="1998">
        <v>0.72394608123183835</v>
      </c>
      <c r="X146" s="1999">
        <v>0.83514185931158624</v>
      </c>
      <c r="Y146" s="1979">
        <v>0.74777605610747777</v>
      </c>
      <c r="Z146" s="1979">
        <v>0.84140721953005493</v>
      </c>
      <c r="AA146" s="1979">
        <v>0.75553158387160357</v>
      </c>
      <c r="AB146" s="1979">
        <v>0.83587623651530318</v>
      </c>
      <c r="AC146" s="1979">
        <v>0.75035861848315988</v>
      </c>
      <c r="AD146" s="1979">
        <v>0.83598189790874566</v>
      </c>
      <c r="AE146" s="1979">
        <v>0.75043381634939432</v>
      </c>
      <c r="AF146" s="1979">
        <v>0.83617561046339028</v>
      </c>
      <c r="AG146" s="1979">
        <v>0.75057167910415767</v>
      </c>
      <c r="AH146" s="2000">
        <v>0.67941998749374288</v>
      </c>
      <c r="AI146" s="1998">
        <v>0.61498299645660193</v>
      </c>
      <c r="AJ146" s="1998">
        <v>0.6834356635028549</v>
      </c>
      <c r="AK146" s="1998">
        <v>0.6199892262116895</v>
      </c>
      <c r="AL146" s="1998">
        <v>0.67996641125374657</v>
      </c>
      <c r="AM146" s="1998">
        <v>0.61669832223014376</v>
      </c>
      <c r="AN146" s="1998">
        <v>0.68007368082825048</v>
      </c>
      <c r="AO146" s="1998">
        <v>0.61677553794219853</v>
      </c>
      <c r="AP146" s="1998">
        <v>0.68027034171484102</v>
      </c>
      <c r="AQ146" s="1998">
        <v>0.61691710008096579</v>
      </c>
      <c r="AR146" s="1999">
        <v>0.86174304293595305</v>
      </c>
      <c r="AS146" s="1979">
        <v>0.7788652788497229</v>
      </c>
      <c r="AT146" s="1979">
        <v>0.86765409900883517</v>
      </c>
      <c r="AU146" s="1979">
        <v>0.78617871963089991</v>
      </c>
      <c r="AV146" s="1979">
        <v>0.86254737612359245</v>
      </c>
      <c r="AW146" s="1979">
        <v>0.78137114335833358</v>
      </c>
      <c r="AX146" s="1979">
        <v>0.8627052764293861</v>
      </c>
      <c r="AY146" s="1979">
        <v>0.78148394532011245</v>
      </c>
      <c r="AZ146" s="1979">
        <v>0.86299476032334099</v>
      </c>
      <c r="BA146" s="1979">
        <v>0.78169074891670709</v>
      </c>
      <c r="BB146" s="2000">
        <v>0.90793472710466316</v>
      </c>
      <c r="BC146" s="1998">
        <v>0.79594527288417394</v>
      </c>
      <c r="BD146" s="1998">
        <v>0.91297831319095668</v>
      </c>
      <c r="BE146" s="1998">
        <v>0.80195405286591015</v>
      </c>
      <c r="BF146" s="1998">
        <v>0.90868338557813144</v>
      </c>
      <c r="BG146" s="1998">
        <v>0.79804236384947536</v>
      </c>
      <c r="BH146" s="1998">
        <v>0.90885067816204912</v>
      </c>
      <c r="BI146" s="1998">
        <v>0.79815776756929091</v>
      </c>
      <c r="BJ146" s="1998">
        <v>0.90915738123256418</v>
      </c>
      <c r="BK146" s="1998">
        <v>0.79836934105561941</v>
      </c>
      <c r="BL146" s="1999">
        <v>0.80242026756279494</v>
      </c>
      <c r="BM146" s="1979">
        <v>0.69084164706562401</v>
      </c>
      <c r="BN146" s="1979">
        <v>0.8028371697485126</v>
      </c>
      <c r="BO146" s="1979">
        <v>0.69112835808270556</v>
      </c>
      <c r="BP146" s="1979">
        <v>0.80321933008542024</v>
      </c>
      <c r="BQ146" s="1979">
        <v>0.69139117651503035</v>
      </c>
      <c r="BR146" s="1979">
        <v>0.8036362322711379</v>
      </c>
      <c r="BS146" s="1979">
        <v>0.69167788753211201</v>
      </c>
      <c r="BT146" s="1979">
        <v>0.8046437458866218</v>
      </c>
      <c r="BU146" s="1979">
        <v>0.69237077249005929</v>
      </c>
      <c r="BV146" s="2000">
        <v>0.87064493995933578</v>
      </c>
      <c r="BW146" s="1998">
        <v>0.8073521124620624</v>
      </c>
      <c r="BX146" s="1998">
        <v>0.87482584954784826</v>
      </c>
      <c r="BY146" s="1998">
        <v>0.81308259792678939</v>
      </c>
      <c r="BZ146" s="1998">
        <v>0.88062723210332694</v>
      </c>
      <c r="CA146" s="1998">
        <v>0.82037147495939566</v>
      </c>
      <c r="CB146" s="1998">
        <v>0.88644912192584624</v>
      </c>
      <c r="CC146" s="1998">
        <v>0.82767538174883482</v>
      </c>
      <c r="CD146" s="1998">
        <v>0.89227101174836554</v>
      </c>
      <c r="CE146" s="1998">
        <v>0.83497928853827419</v>
      </c>
      <c r="CF146" s="1999">
        <v>0.6573290959434267</v>
      </c>
      <c r="CG146" s="1979">
        <v>0.62358190610876885</v>
      </c>
      <c r="CH146" s="1979">
        <v>0.65767947084389533</v>
      </c>
      <c r="CI146" s="1979">
        <v>0.62383945333248314</v>
      </c>
      <c r="CJ146" s="1979">
        <v>0.65800064783599155</v>
      </c>
      <c r="CK146" s="1979">
        <v>0.62407553828755447</v>
      </c>
      <c r="CL146" s="1979">
        <v>0.6583510227364604</v>
      </c>
      <c r="CM146" s="1979">
        <v>0.62433308551126854</v>
      </c>
      <c r="CN146" s="1979">
        <v>0.65919776207925962</v>
      </c>
      <c r="CO146" s="1979">
        <v>0.6249554913019113</v>
      </c>
      <c r="CP146" s="2000">
        <v>0.63941256252418288</v>
      </c>
      <c r="CQ146" s="1998">
        <v>0.59657298138237413</v>
      </c>
      <c r="CR146" s="1998">
        <v>0.63978028540117016</v>
      </c>
      <c r="CS146" s="1998">
        <v>0.59684265856993102</v>
      </c>
      <c r="CT146" s="1998">
        <v>0.64011736470507519</v>
      </c>
      <c r="CU146" s="1998">
        <v>0.59708986265852471</v>
      </c>
      <c r="CV146" s="1998">
        <v>0.64048508758206257</v>
      </c>
      <c r="CW146" s="1998">
        <v>0.59735953984608148</v>
      </c>
      <c r="CX146" s="1998">
        <v>0.64137375120144857</v>
      </c>
      <c r="CY146" s="1998">
        <v>0.59801125971601055</v>
      </c>
      <c r="CZ146" s="1999">
        <v>0.52619921704180928</v>
      </c>
      <c r="DA146" s="1979">
        <v>0.50227059041263133</v>
      </c>
      <c r="DB146" s="1979">
        <v>0.5269262024846737</v>
      </c>
      <c r="DC146" s="1979">
        <v>0.50279877630106662</v>
      </c>
      <c r="DD146" s="1979">
        <v>0.52765318792753779</v>
      </c>
      <c r="DE146" s="1979">
        <v>0.50332696218950179</v>
      </c>
      <c r="DF146" s="1979">
        <v>0.528380173370402</v>
      </c>
      <c r="DG146" s="1979">
        <v>0.50385514807793719</v>
      </c>
      <c r="DH146" s="1979">
        <v>0.5291071588132662</v>
      </c>
      <c r="DI146" s="1979">
        <v>0.50438333396637236</v>
      </c>
      <c r="DJ146" s="2000">
        <v>0.54630322665916886</v>
      </c>
      <c r="DK146" s="1998">
        <v>0.51163108732330309</v>
      </c>
      <c r="DL146" s="1998">
        <v>0.54694436695215298</v>
      </c>
      <c r="DM146" s="1998">
        <v>0.51210322431818056</v>
      </c>
      <c r="DN146" s="1998">
        <v>0.54758550724513722</v>
      </c>
      <c r="DO146" s="1998">
        <v>0.51257536131305792</v>
      </c>
      <c r="DP146" s="1998">
        <v>0.54822664753812134</v>
      </c>
      <c r="DQ146" s="1998">
        <v>0.51304749830793539</v>
      </c>
      <c r="DR146" s="1998">
        <v>0.54886778783110546</v>
      </c>
      <c r="DS146" s="1998">
        <v>0.51351963530281297</v>
      </c>
      <c r="GT146" s="1980"/>
      <c r="GU146" s="1980"/>
      <c r="GV146" s="1980"/>
      <c r="GW146" s="1980"/>
      <c r="GX146" s="1980"/>
      <c r="GY146" s="1980"/>
      <c r="GZ146" s="1980"/>
      <c r="HA146" s="1980"/>
      <c r="HB146" s="1980"/>
      <c r="HC146" s="1980"/>
      <c r="HD146" s="1980"/>
      <c r="HE146" s="1980"/>
      <c r="HF146" s="1980"/>
      <c r="HG146" s="1980"/>
      <c r="HH146" s="1980"/>
      <c r="HI146" s="1980"/>
      <c r="HJ146" s="1980"/>
      <c r="HK146" s="1980"/>
      <c r="HL146" s="1980"/>
      <c r="HM146" s="1980"/>
      <c r="HN146" s="1980"/>
      <c r="HO146" s="1980"/>
      <c r="HP146" s="1980"/>
      <c r="HQ146" s="1980"/>
      <c r="HR146" s="1980"/>
      <c r="HS146" s="1980"/>
      <c r="HT146" s="1980"/>
      <c r="HU146" s="1980"/>
      <c r="HV146" s="1980"/>
      <c r="HW146" s="1980"/>
      <c r="HX146" s="1980"/>
      <c r="HY146" s="1980"/>
      <c r="HZ146" s="1980"/>
      <c r="IA146" s="1980"/>
      <c r="IB146" s="1980"/>
      <c r="IC146" s="1980"/>
      <c r="ID146" s="1980"/>
      <c r="IE146" s="1980"/>
      <c r="IF146" s="1980"/>
      <c r="IG146" s="1980"/>
      <c r="IH146" s="1980"/>
      <c r="II146" s="1980"/>
      <c r="IJ146" s="1980"/>
      <c r="IK146" s="1980"/>
      <c r="IL146" s="1980"/>
      <c r="IM146" s="1980"/>
      <c r="IN146" s="1980"/>
      <c r="IO146" s="1980"/>
      <c r="IP146" s="1980"/>
      <c r="IQ146" s="1980"/>
      <c r="IR146" s="1980"/>
      <c r="IS146" s="1980"/>
      <c r="IT146" s="1980"/>
      <c r="IU146" s="1980"/>
      <c r="IV146" s="1980"/>
      <c r="IW146" s="1980"/>
      <c r="IX146" s="1980"/>
      <c r="IY146" s="1980"/>
      <c r="IZ146" s="1980"/>
      <c r="JA146" s="1980"/>
      <c r="JB146" s="1980"/>
      <c r="JC146" s="1980"/>
      <c r="JD146" s="1980"/>
      <c r="JE146" s="1980"/>
      <c r="JF146" s="1980"/>
      <c r="JG146" s="1980"/>
      <c r="JH146" s="1980"/>
      <c r="JI146" s="1980"/>
      <c r="JJ146" s="1980"/>
      <c r="JK146" s="1980"/>
      <c r="JL146" s="1980"/>
      <c r="JM146" s="1980"/>
      <c r="JN146" s="1980"/>
      <c r="JO146" s="1980"/>
      <c r="JP146" s="1980"/>
      <c r="JQ146" s="1980"/>
      <c r="JR146" s="1980"/>
      <c r="JS146" s="1980"/>
      <c r="JT146" s="1980"/>
      <c r="JU146" s="1980"/>
      <c r="JV146" s="1980"/>
      <c r="JW146" s="1980"/>
      <c r="JX146" s="1980"/>
      <c r="JY146" s="1980"/>
      <c r="JZ146" s="1980"/>
      <c r="KA146" s="1980"/>
      <c r="KB146" s="1980"/>
      <c r="KC146" s="1980"/>
      <c r="KD146" s="1980"/>
      <c r="KE146" s="1980"/>
      <c r="KF146" s="1980"/>
      <c r="KG146" s="1980"/>
      <c r="KH146" s="1980"/>
      <c r="KI146" s="1980"/>
      <c r="KJ146" s="1980"/>
      <c r="KK146" s="1980"/>
    </row>
    <row r="147" spans="1:297">
      <c r="A147" s="1997"/>
      <c r="B147" s="2">
        <v>5</v>
      </c>
      <c r="C147" s="2" t="s">
        <v>4331</v>
      </c>
      <c r="D147" s="1979">
        <v>0.91590878425383238</v>
      </c>
      <c r="E147" s="1979">
        <v>0.79277212636246397</v>
      </c>
      <c r="F147" s="1979">
        <v>0.92137026929906107</v>
      </c>
      <c r="G147" s="1979">
        <v>0.7998455605284861</v>
      </c>
      <c r="H147" s="1979">
        <v>0.92886289935195965</v>
      </c>
      <c r="I147" s="1979">
        <v>0.80878447511317231</v>
      </c>
      <c r="J147" s="1979">
        <v>0.93637087434871358</v>
      </c>
      <c r="K147" s="1979">
        <v>0.81773414308121339</v>
      </c>
      <c r="L147" s="1979">
        <v>0.94387884934546784</v>
      </c>
      <c r="M147" s="1979">
        <v>0.82668381104925448</v>
      </c>
      <c r="N147" s="2000">
        <v>0.80649474595792381</v>
      </c>
      <c r="O147" s="1998">
        <v>0.71802662658721805</v>
      </c>
      <c r="P147" s="1998">
        <v>0.81011385638494837</v>
      </c>
      <c r="Q147" s="1998">
        <v>0.72252177175921561</v>
      </c>
      <c r="R147" s="1998">
        <v>0.81490160419196167</v>
      </c>
      <c r="S147" s="1998">
        <v>0.72809338920790667</v>
      </c>
      <c r="T147" s="1998">
        <v>0.8197193095897235</v>
      </c>
      <c r="U147" s="1998">
        <v>0.73368597272747027</v>
      </c>
      <c r="V147" s="1998">
        <v>0.82453701498748555</v>
      </c>
      <c r="W147" s="1998">
        <v>0.73927855624703387</v>
      </c>
      <c r="X147" s="1999">
        <v>0.87693893804734235</v>
      </c>
      <c r="Y147" s="1979">
        <v>0.78330643311346471</v>
      </c>
      <c r="Z147" s="1979">
        <v>0.88320429826581093</v>
      </c>
      <c r="AA147" s="1979">
        <v>0.79106196087759051</v>
      </c>
      <c r="AB147" s="1979">
        <v>0.87767331525105896</v>
      </c>
      <c r="AC147" s="1979">
        <v>0.78588899548914692</v>
      </c>
      <c r="AD147" s="1979">
        <v>0.87777897664450177</v>
      </c>
      <c r="AE147" s="1979">
        <v>0.78596419335538148</v>
      </c>
      <c r="AF147" s="1979">
        <v>0.87797268919914617</v>
      </c>
      <c r="AG147" s="1979">
        <v>0.78610205611014472</v>
      </c>
      <c r="AH147" s="2000">
        <v>0.6955378968724415</v>
      </c>
      <c r="AI147" s="1998">
        <v>0.62871832238420422</v>
      </c>
      <c r="AJ147" s="1998">
        <v>0.69955357288155362</v>
      </c>
      <c r="AK147" s="1998">
        <v>0.63372455213929191</v>
      </c>
      <c r="AL147" s="1998">
        <v>0.69608432063244519</v>
      </c>
      <c r="AM147" s="1998">
        <v>0.63043364815774605</v>
      </c>
      <c r="AN147" s="1998">
        <v>0.69619159020694921</v>
      </c>
      <c r="AO147" s="1998">
        <v>0.63051086386980093</v>
      </c>
      <c r="AP147" s="1998">
        <v>0.69638825109353952</v>
      </c>
      <c r="AQ147" s="1998">
        <v>0.63065242600856808</v>
      </c>
      <c r="AR147" s="1999">
        <v>0.8918168234140772</v>
      </c>
      <c r="AS147" s="1979">
        <v>0.80422010171225655</v>
      </c>
      <c r="AT147" s="1979">
        <v>0.89772787948695909</v>
      </c>
      <c r="AU147" s="1979">
        <v>0.81153354249343357</v>
      </c>
      <c r="AV147" s="1979">
        <v>0.8926211566017167</v>
      </c>
      <c r="AW147" s="1979">
        <v>0.80672596622086712</v>
      </c>
      <c r="AX147" s="1979">
        <v>0.89277905690751036</v>
      </c>
      <c r="AY147" s="1979">
        <v>0.8068387681826461</v>
      </c>
      <c r="AZ147" s="1979">
        <v>0.89306854080146525</v>
      </c>
      <c r="BA147" s="1979">
        <v>0.80704557177924063</v>
      </c>
      <c r="BB147" s="2000">
        <v>0.93523387102185485</v>
      </c>
      <c r="BC147" s="1998">
        <v>0.82308216425456293</v>
      </c>
      <c r="BD147" s="1998">
        <v>0.94001451191022922</v>
      </c>
      <c r="BE147" s="1998">
        <v>0.82875145914988302</v>
      </c>
      <c r="BF147" s="1998">
        <v>0.93604029620567986</v>
      </c>
      <c r="BG147" s="1998">
        <v>0.82512031435941746</v>
      </c>
      <c r="BH147" s="1998">
        <v>0.93624941193557654</v>
      </c>
      <c r="BI147" s="1998">
        <v>0.8252645690091871</v>
      </c>
      <c r="BJ147" s="1998">
        <v>0.93663279077372075</v>
      </c>
      <c r="BK147" s="1998">
        <v>0.82552903586709758</v>
      </c>
      <c r="BL147" s="1999">
        <v>0.81537683931116955</v>
      </c>
      <c r="BM147" s="1979">
        <v>0.70151370936627888</v>
      </c>
      <c r="BN147" s="1979">
        <v>0.81579374149688699</v>
      </c>
      <c r="BO147" s="1979">
        <v>0.70180042038336043</v>
      </c>
      <c r="BP147" s="1979">
        <v>0.81617590183379485</v>
      </c>
      <c r="BQ147" s="1979">
        <v>0.70206323881568522</v>
      </c>
      <c r="BR147" s="1979">
        <v>0.81659280401951251</v>
      </c>
      <c r="BS147" s="1979">
        <v>0.702349949832767</v>
      </c>
      <c r="BT147" s="1979">
        <v>0.81760031763499641</v>
      </c>
      <c r="BU147" s="1979">
        <v>0.70304283479071417</v>
      </c>
      <c r="BV147" s="2000">
        <v>0.91066097506332533</v>
      </c>
      <c r="BW147" s="1998">
        <v>0.8486045345449591</v>
      </c>
      <c r="BX147" s="1998">
        <v>0.91459079694125545</v>
      </c>
      <c r="BY147" s="1998">
        <v>0.8539665162812029</v>
      </c>
      <c r="BZ147" s="1998">
        <v>0.92002349019706864</v>
      </c>
      <c r="CA147" s="1998">
        <v>0.86077598292761204</v>
      </c>
      <c r="CB147" s="1998">
        <v>0.92548489362673847</v>
      </c>
      <c r="CC147" s="1998">
        <v>0.86760649123358724</v>
      </c>
      <c r="CD147" s="1998">
        <v>0.93094629705640819</v>
      </c>
      <c r="CE147" s="1998">
        <v>0.87443699953956266</v>
      </c>
      <c r="CF147" s="1999">
        <v>0.67216644198956055</v>
      </c>
      <c r="CG147" s="1979">
        <v>0.6368564636154036</v>
      </c>
      <c r="CH147" s="1979">
        <v>0.67251681689002918</v>
      </c>
      <c r="CI147" s="1979">
        <v>0.63711401083911767</v>
      </c>
      <c r="CJ147" s="1979">
        <v>0.67283799388212551</v>
      </c>
      <c r="CK147" s="1979">
        <v>0.637350095794189</v>
      </c>
      <c r="CL147" s="1979">
        <v>0.67318836878259414</v>
      </c>
      <c r="CM147" s="1979">
        <v>0.6376076430179034</v>
      </c>
      <c r="CN147" s="1979">
        <v>0.67403510812539347</v>
      </c>
      <c r="CO147" s="1979">
        <v>0.63823004880854617</v>
      </c>
      <c r="CP147" s="2000">
        <v>0.67312291022847992</v>
      </c>
      <c r="CQ147" s="1998">
        <v>0.63023178943657021</v>
      </c>
      <c r="CR147" s="1998">
        <v>0.6736132073977964</v>
      </c>
      <c r="CS147" s="1998">
        <v>0.6305913590199792</v>
      </c>
      <c r="CT147" s="1998">
        <v>0.67406264646966974</v>
      </c>
      <c r="CU147" s="1998">
        <v>0.63092096447143764</v>
      </c>
      <c r="CV147" s="1998">
        <v>0.67455294363898621</v>
      </c>
      <c r="CW147" s="1998">
        <v>0.63128053405484674</v>
      </c>
      <c r="CX147" s="1998">
        <v>0.6757378284648341</v>
      </c>
      <c r="CY147" s="1998">
        <v>0.63214949388141872</v>
      </c>
      <c r="CZ147" s="1999">
        <v>0.55123385720621842</v>
      </c>
      <c r="DA147" s="1979">
        <v>0.53004059493752653</v>
      </c>
      <c r="DB147" s="1979">
        <v>0.55220317113003736</v>
      </c>
      <c r="DC147" s="1979">
        <v>0.53074484278877354</v>
      </c>
      <c r="DD147" s="1979">
        <v>0.5531724850538563</v>
      </c>
      <c r="DE147" s="1979">
        <v>0.53144909064002055</v>
      </c>
      <c r="DF147" s="1979">
        <v>0.55414179897767513</v>
      </c>
      <c r="DG147" s="1979">
        <v>0.53215333849126734</v>
      </c>
      <c r="DH147" s="1979">
        <v>0.55511111290149417</v>
      </c>
      <c r="DI147" s="1979">
        <v>0.53285758634251434</v>
      </c>
      <c r="DJ147" s="2000">
        <v>0.67481773160595071</v>
      </c>
      <c r="DK147" s="1998">
        <v>0.61484458914621076</v>
      </c>
      <c r="DL147" s="1998">
        <v>0.67545887189893494</v>
      </c>
      <c r="DM147" s="1998">
        <v>0.61531672614108801</v>
      </c>
      <c r="DN147" s="1998">
        <v>0.67610001219191906</v>
      </c>
      <c r="DO147" s="1998">
        <v>0.61578886313596548</v>
      </c>
      <c r="DP147" s="1998">
        <v>0.67674115248490319</v>
      </c>
      <c r="DQ147" s="1998">
        <v>0.61626100013084295</v>
      </c>
      <c r="DR147" s="1998">
        <v>0.67738229277788742</v>
      </c>
      <c r="DS147" s="1998">
        <v>0.61673313712572042</v>
      </c>
      <c r="GT147" s="1980"/>
      <c r="GU147" s="1980"/>
      <c r="GV147" s="1980"/>
      <c r="GW147" s="1980"/>
      <c r="GX147" s="1980"/>
      <c r="GY147" s="1980"/>
      <c r="GZ147" s="1980"/>
      <c r="HA147" s="1980"/>
      <c r="HB147" s="1980"/>
      <c r="HC147" s="1980"/>
      <c r="HD147" s="1980"/>
      <c r="HE147" s="1980"/>
      <c r="HF147" s="1980"/>
      <c r="HG147" s="1980"/>
      <c r="HH147" s="1980"/>
      <c r="HI147" s="1980"/>
      <c r="HJ147" s="1980"/>
      <c r="HK147" s="1980"/>
      <c r="HL147" s="1980"/>
      <c r="HM147" s="1980"/>
      <c r="HN147" s="1980"/>
      <c r="HO147" s="1980"/>
      <c r="HP147" s="1980"/>
      <c r="HQ147" s="1980"/>
      <c r="HR147" s="1980"/>
      <c r="HS147" s="1980"/>
      <c r="HT147" s="1980"/>
      <c r="HU147" s="1980"/>
      <c r="HV147" s="1980"/>
      <c r="HW147" s="1980"/>
      <c r="HX147" s="1980"/>
      <c r="HY147" s="1980"/>
      <c r="HZ147" s="1980"/>
      <c r="IA147" s="1980"/>
      <c r="IB147" s="1980"/>
      <c r="IC147" s="1980"/>
      <c r="ID147" s="1980"/>
      <c r="IE147" s="1980"/>
      <c r="IF147" s="1980"/>
      <c r="IG147" s="1980"/>
      <c r="IH147" s="1980"/>
      <c r="II147" s="1980"/>
      <c r="IJ147" s="1980"/>
      <c r="IK147" s="1980"/>
      <c r="IL147" s="1980"/>
      <c r="IM147" s="1980"/>
      <c r="IN147" s="1980"/>
      <c r="IO147" s="1980"/>
      <c r="IP147" s="1980"/>
      <c r="IQ147" s="1980"/>
      <c r="IR147" s="1980"/>
      <c r="IS147" s="1980"/>
      <c r="IT147" s="1980"/>
      <c r="IU147" s="1980"/>
      <c r="IV147" s="1980"/>
      <c r="IW147" s="1980"/>
      <c r="IX147" s="1980"/>
      <c r="IY147" s="1980"/>
      <c r="IZ147" s="1980"/>
      <c r="JA147" s="1980"/>
      <c r="JB147" s="1980"/>
      <c r="JC147" s="1980"/>
      <c r="JD147" s="1980"/>
      <c r="JE147" s="1980"/>
      <c r="JF147" s="1980"/>
      <c r="JG147" s="1980"/>
      <c r="JH147" s="1980"/>
      <c r="JI147" s="1980"/>
      <c r="JJ147" s="1980"/>
      <c r="JK147" s="1980"/>
      <c r="JL147" s="1980"/>
      <c r="JM147" s="1980"/>
      <c r="JN147" s="1980"/>
      <c r="JO147" s="1980"/>
      <c r="JP147" s="1980"/>
      <c r="JQ147" s="1980"/>
      <c r="JR147" s="1980"/>
      <c r="JS147" s="1980"/>
      <c r="JT147" s="1980"/>
      <c r="JU147" s="1980"/>
      <c r="JV147" s="1980"/>
      <c r="JW147" s="1980"/>
      <c r="JX147" s="1980"/>
      <c r="JY147" s="1980"/>
      <c r="JZ147" s="1980"/>
      <c r="KA147" s="1980"/>
      <c r="KB147" s="1980"/>
      <c r="KC147" s="1980"/>
      <c r="KD147" s="1980"/>
      <c r="KE147" s="1980"/>
      <c r="KF147" s="1980"/>
      <c r="KG147" s="1980"/>
      <c r="KH147" s="1980"/>
      <c r="KI147" s="1980"/>
      <c r="KJ147" s="1980"/>
      <c r="KK147" s="1980"/>
    </row>
    <row r="148" spans="1:297">
      <c r="A148" s="1997"/>
      <c r="B148" s="2">
        <v>6</v>
      </c>
      <c r="C148" s="2" t="s">
        <v>4332</v>
      </c>
      <c r="D148" s="1979">
        <v>0.98737632739448389</v>
      </c>
      <c r="E148" s="1979">
        <v>0.86539796133769187</v>
      </c>
      <c r="F148" s="1979">
        <v>0.99258359993966905</v>
      </c>
      <c r="G148" s="1979">
        <v>0.87210775488288061</v>
      </c>
      <c r="H148" s="1979">
        <v>0.99969630667023379</v>
      </c>
      <c r="I148" s="1979">
        <v>0.88056967069612901</v>
      </c>
      <c r="J148" s="1979">
        <v>1.0068331268840005</v>
      </c>
      <c r="K148" s="1979">
        <v>0.8890484846832214</v>
      </c>
      <c r="L148" s="1979">
        <v>1.0139699470977668</v>
      </c>
      <c r="M148" s="1979">
        <v>0.89752729867031344</v>
      </c>
      <c r="N148" s="2000">
        <v>0.83673768872742571</v>
      </c>
      <c r="O148" s="1998">
        <v>0.75424441792671271</v>
      </c>
      <c r="P148" s="1998">
        <v>0.84000744295774166</v>
      </c>
      <c r="Q148" s="1998">
        <v>0.75827118111810221</v>
      </c>
      <c r="R148" s="1998">
        <v>0.84430267148549287</v>
      </c>
      <c r="S148" s="1998">
        <v>0.76324549030172051</v>
      </c>
      <c r="T148" s="1998">
        <v>0.84863784346757576</v>
      </c>
      <c r="U148" s="1998">
        <v>0.76824775424650216</v>
      </c>
      <c r="V148" s="1998">
        <v>0.85297301544965842</v>
      </c>
      <c r="W148" s="1998">
        <v>0.77325001819128369</v>
      </c>
      <c r="X148" s="1999">
        <v>0.89592916146370494</v>
      </c>
      <c r="Y148" s="1979">
        <v>0.80121758244329955</v>
      </c>
      <c r="Z148" s="1979">
        <v>0.90211148406221298</v>
      </c>
      <c r="AA148" s="1979">
        <v>0.80886250478605004</v>
      </c>
      <c r="AB148" s="1979">
        <v>0.89668178129051945</v>
      </c>
      <c r="AC148" s="1979">
        <v>0.80378094168173997</v>
      </c>
      <c r="AD148" s="1979">
        <v>0.89680065035814227</v>
      </c>
      <c r="AE148" s="1979">
        <v>0.80386553928125382</v>
      </c>
      <c r="AF148" s="1979">
        <v>0.89701857698211751</v>
      </c>
      <c r="AG148" s="1979">
        <v>0.80402063488036257</v>
      </c>
      <c r="AH148" s="2000">
        <v>0.72369724791791012</v>
      </c>
      <c r="AI148" s="1998">
        <v>0.6549620203198051</v>
      </c>
      <c r="AJ148" s="1998">
        <v>0.72757804158453843</v>
      </c>
      <c r="AK148" s="1998">
        <v>0.65978653265558207</v>
      </c>
      <c r="AL148" s="1998">
        <v>0.72427330412327551</v>
      </c>
      <c r="AM148" s="1998">
        <v>0.65664579660419131</v>
      </c>
      <c r="AN148" s="1998">
        <v>0.72440202761268013</v>
      </c>
      <c r="AO148" s="1998">
        <v>0.65673845545865717</v>
      </c>
      <c r="AP148" s="1998">
        <v>0.72463802067658856</v>
      </c>
      <c r="AQ148" s="1998">
        <v>0.6569083300251779</v>
      </c>
      <c r="AR148" s="1999">
        <v>0.90808016270925429</v>
      </c>
      <c r="AS148" s="1979">
        <v>0.82100493753042481</v>
      </c>
      <c r="AT148" s="1979">
        <v>0.91379267261261132</v>
      </c>
      <c r="AU148" s="1979">
        <v>0.82805291315118179</v>
      </c>
      <c r="AV148" s="1979">
        <v>0.90892811471616919</v>
      </c>
      <c r="AW148" s="1979">
        <v>0.8234647124003448</v>
      </c>
      <c r="AX148" s="1979">
        <v>0.9091175950831214</v>
      </c>
      <c r="AY148" s="1979">
        <v>0.82360007475447938</v>
      </c>
      <c r="AZ148" s="1979">
        <v>0.90946497575586727</v>
      </c>
      <c r="BA148" s="1979">
        <v>0.82384823907039295</v>
      </c>
      <c r="BB148" s="2000">
        <v>0.99949798833019843</v>
      </c>
      <c r="BC148" s="1998">
        <v>0.88295087410352435</v>
      </c>
      <c r="BD148" s="1998">
        <v>1.0038403872220409</v>
      </c>
      <c r="BE148" s="1998">
        <v>0.88805436052148434</v>
      </c>
      <c r="BF148" s="1998">
        <v>1.0004006913646177</v>
      </c>
      <c r="BG148" s="1998">
        <v>0.88489078944096822</v>
      </c>
      <c r="BH148" s="1998">
        <v>1.0006795123378134</v>
      </c>
      <c r="BI148" s="1998">
        <v>0.88508312897399399</v>
      </c>
      <c r="BJ148" s="1998">
        <v>1.0011906841220055</v>
      </c>
      <c r="BK148" s="1998">
        <v>0.88543575145120823</v>
      </c>
      <c r="BL148" s="1999">
        <v>0.83264290799495355</v>
      </c>
      <c r="BM148" s="1979">
        <v>0.71573723585555105</v>
      </c>
      <c r="BN148" s="1979">
        <v>0.83305981018067099</v>
      </c>
      <c r="BO148" s="1979">
        <v>0.71602394687263282</v>
      </c>
      <c r="BP148" s="1979">
        <v>0.83344197051757873</v>
      </c>
      <c r="BQ148" s="1979">
        <v>0.7162867653049575</v>
      </c>
      <c r="BR148" s="1979">
        <v>0.83385887270329617</v>
      </c>
      <c r="BS148" s="1979">
        <v>0.71657347632203916</v>
      </c>
      <c r="BT148" s="1979">
        <v>0.83486638631878018</v>
      </c>
      <c r="BU148" s="1979">
        <v>0.71726636127998644</v>
      </c>
      <c r="BV148" s="2000">
        <v>0.9456750057793164</v>
      </c>
      <c r="BW148" s="1998">
        <v>0.88470040386749382</v>
      </c>
      <c r="BX148" s="1998">
        <v>0.94938512591048696</v>
      </c>
      <c r="BY148" s="1998">
        <v>0.88973994484131502</v>
      </c>
      <c r="BZ148" s="1998">
        <v>0.95449521602909249</v>
      </c>
      <c r="CA148" s="1998">
        <v>0.89612992739980157</v>
      </c>
      <c r="CB148" s="1998">
        <v>0.95964119386501889</v>
      </c>
      <c r="CC148" s="1998">
        <v>0.90254621203274576</v>
      </c>
      <c r="CD148" s="1998">
        <v>0.96478717170094552</v>
      </c>
      <c r="CE148" s="1998">
        <v>0.90896249666569007</v>
      </c>
      <c r="CF148" s="1999">
        <v>0.705243574283418</v>
      </c>
      <c r="CG148" s="1979">
        <v>0.6705815912179014</v>
      </c>
      <c r="CH148" s="1979">
        <v>0.70571074081737628</v>
      </c>
      <c r="CI148" s="1979">
        <v>0.67092498751618712</v>
      </c>
      <c r="CJ148" s="1979">
        <v>0.70613897680683801</v>
      </c>
      <c r="CK148" s="1979">
        <v>0.67123976745628233</v>
      </c>
      <c r="CL148" s="1979">
        <v>0.7066061433407963</v>
      </c>
      <c r="CM148" s="1979">
        <v>0.67158316375456806</v>
      </c>
      <c r="CN148" s="1979">
        <v>0.70773512913119518</v>
      </c>
      <c r="CO148" s="1979">
        <v>0.6724130381420913</v>
      </c>
      <c r="CP148" s="2000">
        <v>0.71439809994209524</v>
      </c>
      <c r="CQ148" s="1998">
        <v>0.66301034856865504</v>
      </c>
      <c r="CR148" s="1998">
        <v>0.71488839711141172</v>
      </c>
      <c r="CS148" s="1998">
        <v>0.66336991815206403</v>
      </c>
      <c r="CT148" s="1998">
        <v>0.71533783618328506</v>
      </c>
      <c r="CU148" s="1998">
        <v>0.66369952360352247</v>
      </c>
      <c r="CV148" s="1998">
        <v>0.71582813335260143</v>
      </c>
      <c r="CW148" s="1998">
        <v>0.66405909318693157</v>
      </c>
      <c r="CX148" s="1998">
        <v>0.71701301817844942</v>
      </c>
      <c r="CY148" s="1998">
        <v>0.66492805301350366</v>
      </c>
      <c r="CZ148" s="1999">
        <v>0.59091382492685451</v>
      </c>
      <c r="DA148" s="1979">
        <v>0.56155568313310344</v>
      </c>
      <c r="DB148" s="1979">
        <v>0.59188313885067334</v>
      </c>
      <c r="DC148" s="1979">
        <v>0.56225993098435034</v>
      </c>
      <c r="DD148" s="1979">
        <v>0.59285245277449228</v>
      </c>
      <c r="DE148" s="1979">
        <v>0.56296417883559735</v>
      </c>
      <c r="DF148" s="1979">
        <v>0.59382176669831133</v>
      </c>
      <c r="DG148" s="1979">
        <v>0.56366842668684425</v>
      </c>
      <c r="DH148" s="1979">
        <v>0.59479108062213004</v>
      </c>
      <c r="DI148" s="1979">
        <v>0.56437267453809126</v>
      </c>
      <c r="DJ148" s="2000">
        <v>0.70835438007995399</v>
      </c>
      <c r="DK148" s="1998">
        <v>0.6425469494437166</v>
      </c>
      <c r="DL148" s="1998">
        <v>0.70899552037293812</v>
      </c>
      <c r="DM148" s="1998">
        <v>0.64301908643859396</v>
      </c>
      <c r="DN148" s="1998">
        <v>0.70963666066592224</v>
      </c>
      <c r="DO148" s="1998">
        <v>0.64349122343347154</v>
      </c>
      <c r="DP148" s="1998">
        <v>0.71027780095890647</v>
      </c>
      <c r="DQ148" s="1998">
        <v>0.64396336042834901</v>
      </c>
      <c r="DR148" s="1998">
        <v>0.71091894125189059</v>
      </c>
      <c r="DS148" s="1998">
        <v>0.64443549742322637</v>
      </c>
      <c r="GT148" s="1980"/>
      <c r="GU148" s="1980"/>
      <c r="GV148" s="1980"/>
      <c r="GW148" s="1980"/>
      <c r="GX148" s="1980"/>
      <c r="GY148" s="1980"/>
      <c r="GZ148" s="1980"/>
      <c r="HA148" s="1980"/>
      <c r="HB148" s="1980"/>
      <c r="HC148" s="1980"/>
      <c r="HD148" s="1980"/>
      <c r="HE148" s="1980"/>
      <c r="HF148" s="1980"/>
      <c r="HG148" s="1980"/>
      <c r="HH148" s="1980"/>
      <c r="HI148" s="1980"/>
      <c r="HJ148" s="1980"/>
      <c r="HK148" s="1980"/>
      <c r="HL148" s="1980"/>
      <c r="HM148" s="1980"/>
      <c r="HN148" s="1980"/>
      <c r="HO148" s="1980"/>
      <c r="HP148" s="1980"/>
      <c r="HQ148" s="1980"/>
      <c r="HR148" s="1980"/>
      <c r="HS148" s="1980"/>
      <c r="HT148" s="1980"/>
      <c r="HU148" s="1980"/>
      <c r="HV148" s="1980"/>
      <c r="HW148" s="1980"/>
      <c r="HX148" s="1980"/>
      <c r="HY148" s="1980"/>
      <c r="HZ148" s="1980"/>
      <c r="IA148" s="1980"/>
      <c r="IB148" s="1980"/>
      <c r="IC148" s="1980"/>
      <c r="ID148" s="1980"/>
      <c r="IE148" s="1980"/>
      <c r="IF148" s="1980"/>
      <c r="IG148" s="1980"/>
      <c r="IH148" s="1980"/>
      <c r="II148" s="1980"/>
      <c r="IJ148" s="1980"/>
      <c r="IK148" s="1980"/>
      <c r="IL148" s="1980"/>
      <c r="IM148" s="1980"/>
      <c r="IN148" s="1980"/>
      <c r="IO148" s="1980"/>
      <c r="IP148" s="1980"/>
      <c r="IQ148" s="1980"/>
      <c r="IR148" s="1980"/>
      <c r="IS148" s="1980"/>
      <c r="IT148" s="1980"/>
      <c r="IU148" s="1980"/>
      <c r="IV148" s="1980"/>
      <c r="IW148" s="1980"/>
      <c r="IX148" s="1980"/>
      <c r="IY148" s="1980"/>
      <c r="IZ148" s="1980"/>
      <c r="JA148" s="1980"/>
      <c r="JB148" s="1980"/>
      <c r="JC148" s="1980"/>
      <c r="JD148" s="1980"/>
      <c r="JE148" s="1980"/>
      <c r="JF148" s="1980"/>
      <c r="JG148" s="1980"/>
      <c r="JH148" s="1980"/>
      <c r="JI148" s="1980"/>
      <c r="JJ148" s="1980"/>
      <c r="JK148" s="1980"/>
      <c r="JL148" s="1980"/>
      <c r="JM148" s="1980"/>
      <c r="JN148" s="1980"/>
      <c r="JO148" s="1980"/>
      <c r="JP148" s="1980"/>
      <c r="JQ148" s="1980"/>
      <c r="JR148" s="1980"/>
      <c r="JS148" s="1980"/>
      <c r="JT148" s="1980"/>
      <c r="JU148" s="1980"/>
      <c r="JV148" s="1980"/>
      <c r="JW148" s="1980"/>
      <c r="JX148" s="1980"/>
      <c r="JY148" s="1980"/>
      <c r="JZ148" s="1980"/>
      <c r="KA148" s="1980"/>
      <c r="KB148" s="1980"/>
      <c r="KC148" s="1980"/>
      <c r="KD148" s="1980"/>
      <c r="KE148" s="1980"/>
      <c r="KF148" s="1980"/>
      <c r="KG148" s="1980"/>
      <c r="KH148" s="1980"/>
      <c r="KI148" s="1980"/>
      <c r="KJ148" s="1980"/>
      <c r="KK148" s="1980"/>
    </row>
    <row r="149" spans="1:297">
      <c r="A149" s="1997"/>
      <c r="B149" s="2">
        <v>7</v>
      </c>
      <c r="C149" s="2" t="s">
        <v>4333</v>
      </c>
      <c r="D149" s="1979">
        <v>0.98275885909033234</v>
      </c>
      <c r="E149" s="1979">
        <v>0.86329068326340885</v>
      </c>
      <c r="F149" s="1979">
        <v>0.98798492375194202</v>
      </c>
      <c r="G149" s="1979">
        <v>0.87001770552942304</v>
      </c>
      <c r="H149" s="1979">
        <v>0.99511642259893129</v>
      </c>
      <c r="I149" s="1979">
        <v>0.87849685006349709</v>
      </c>
      <c r="J149" s="1979">
        <v>1.0022720349291223</v>
      </c>
      <c r="K149" s="1979">
        <v>0.88699289277141469</v>
      </c>
      <c r="L149" s="1979">
        <v>1.0094276472593131</v>
      </c>
      <c r="M149" s="1979">
        <v>0.8954889354793325</v>
      </c>
      <c r="N149" s="2000">
        <v>0.86239069041914107</v>
      </c>
      <c r="O149" s="1998">
        <v>0.77724518205833237</v>
      </c>
      <c r="P149" s="1998">
        <v>0.86572899728661623</v>
      </c>
      <c r="Q149" s="1998">
        <v>0.78133471231839957</v>
      </c>
      <c r="R149" s="1998">
        <v>0.87009277845152688</v>
      </c>
      <c r="S149" s="1998">
        <v>0.7863717885706959</v>
      </c>
      <c r="T149" s="1998">
        <v>0.87449650307076876</v>
      </c>
      <c r="U149" s="1998">
        <v>0.79143681958415535</v>
      </c>
      <c r="V149" s="1998">
        <v>0.87890022769001042</v>
      </c>
      <c r="W149" s="1998">
        <v>0.7965018505976148</v>
      </c>
      <c r="X149" s="1999">
        <v>0.9617175232695746</v>
      </c>
      <c r="Y149" s="1979">
        <v>0.86334437663474706</v>
      </c>
      <c r="Z149" s="1979">
        <v>0.96765073300820037</v>
      </c>
      <c r="AA149" s="1979">
        <v>0.87065748271337207</v>
      </c>
      <c r="AB149" s="1979">
        <v>0.96252487096568218</v>
      </c>
      <c r="AC149" s="1979">
        <v>0.86585012646146298</v>
      </c>
      <c r="AD149" s="1979">
        <v>0.96268336305584601</v>
      </c>
      <c r="AE149" s="1979">
        <v>0.8659629232608147</v>
      </c>
      <c r="AF149" s="1979">
        <v>0.96297393188781277</v>
      </c>
      <c r="AG149" s="1979">
        <v>0.86616971739295967</v>
      </c>
      <c r="AH149" s="2000">
        <v>0.75135408915730972</v>
      </c>
      <c r="AI149" s="1998">
        <v>0.68216560560901418</v>
      </c>
      <c r="AJ149" s="1998">
        <v>0.75503255931021296</v>
      </c>
      <c r="AK149" s="1998">
        <v>0.68671754181582567</v>
      </c>
      <c r="AL149" s="1998">
        <v>0.75197459403071776</v>
      </c>
      <c r="AM149" s="1998">
        <v>0.68380205765966751</v>
      </c>
      <c r="AN149" s="1998">
        <v>0.75213549839247362</v>
      </c>
      <c r="AO149" s="1998">
        <v>0.68391788122774966</v>
      </c>
      <c r="AP149" s="1998">
        <v>0.75243048972235937</v>
      </c>
      <c r="AQ149" s="1998">
        <v>0.68413022443590044</v>
      </c>
      <c r="AR149" s="1999">
        <v>0.96873151787280809</v>
      </c>
      <c r="AS149" s="1979">
        <v>0.87758035528965694</v>
      </c>
      <c r="AT149" s="1979">
        <v>0.97414620852187805</v>
      </c>
      <c r="AU149" s="1979">
        <v>0.88423013316978372</v>
      </c>
      <c r="AV149" s="1979">
        <v>0.96964489810863597</v>
      </c>
      <c r="AW149" s="1979">
        <v>0.87997099570154114</v>
      </c>
      <c r="AX149" s="1979">
        <v>0.96988174856732645</v>
      </c>
      <c r="AY149" s="1979">
        <v>0.88014019864420934</v>
      </c>
      <c r="AZ149" s="1979">
        <v>0.97031597440825879</v>
      </c>
      <c r="BA149" s="1979">
        <v>0.88045040403910113</v>
      </c>
      <c r="BB149" s="2000">
        <v>1.047668469870328</v>
      </c>
      <c r="BC149" s="1998">
        <v>0.92053266249577226</v>
      </c>
      <c r="BD149" s="1998">
        <v>1.0520108687621703</v>
      </c>
      <c r="BE149" s="1998">
        <v>0.92563614891373225</v>
      </c>
      <c r="BF149" s="1998">
        <v>1.0485711729047473</v>
      </c>
      <c r="BG149" s="1998">
        <v>0.9224725778332159</v>
      </c>
      <c r="BH149" s="1998">
        <v>1.048849993877943</v>
      </c>
      <c r="BI149" s="1998">
        <v>0.92266491736624201</v>
      </c>
      <c r="BJ149" s="1998">
        <v>1.0493611656621349</v>
      </c>
      <c r="BK149" s="1998">
        <v>0.92301753984345614</v>
      </c>
      <c r="BL149" s="1999">
        <v>0.85091209031468051</v>
      </c>
      <c r="BM149" s="1979">
        <v>0.73078494908780123</v>
      </c>
      <c r="BN149" s="1979">
        <v>0.85132899250039795</v>
      </c>
      <c r="BO149" s="1979">
        <v>0.73107166010488289</v>
      </c>
      <c r="BP149" s="1979">
        <v>0.85171115283730581</v>
      </c>
      <c r="BQ149" s="1979">
        <v>0.73133447853720779</v>
      </c>
      <c r="BR149" s="1979">
        <v>0.85212805502302325</v>
      </c>
      <c r="BS149" s="1979">
        <v>0.73162118955428945</v>
      </c>
      <c r="BT149" s="1979">
        <v>0.85313556863850726</v>
      </c>
      <c r="BU149" s="1979">
        <v>0.73231407451223651</v>
      </c>
      <c r="BV149" s="2000">
        <v>0.99285707858137728</v>
      </c>
      <c r="BW149" s="1998">
        <v>0.93210750469344439</v>
      </c>
      <c r="BX149" s="1998">
        <v>0.9966453731875845</v>
      </c>
      <c r="BY149" s="1998">
        <v>0.93722200171092884</v>
      </c>
      <c r="BZ149" s="1998">
        <v>1.0018336377812269</v>
      </c>
      <c r="CA149" s="1998">
        <v>0.94368694031307876</v>
      </c>
      <c r="CB149" s="1998">
        <v>1.00705779009219</v>
      </c>
      <c r="CC149" s="1998">
        <v>0.95017818098968643</v>
      </c>
      <c r="CD149" s="1998">
        <v>1.0122819424031533</v>
      </c>
      <c r="CE149" s="1998">
        <v>0.9566694216662941</v>
      </c>
      <c r="CF149" s="1999">
        <v>0.74931805574472976</v>
      </c>
      <c r="CG149" s="1979">
        <v>0.71131745248727396</v>
      </c>
      <c r="CH149" s="1979">
        <v>0.74978522227868782</v>
      </c>
      <c r="CI149" s="1979">
        <v>0.71166084878555969</v>
      </c>
      <c r="CJ149" s="1979">
        <v>0.75021345826814967</v>
      </c>
      <c r="CK149" s="1979">
        <v>0.7119756287256549</v>
      </c>
      <c r="CL149" s="1979">
        <v>0.75068062480210784</v>
      </c>
      <c r="CM149" s="1979">
        <v>0.7123190250239404</v>
      </c>
      <c r="CN149" s="1979">
        <v>0.75180961059250684</v>
      </c>
      <c r="CO149" s="1979">
        <v>0.71314889941146409</v>
      </c>
      <c r="CP149" s="2000">
        <v>0.70188575519788243</v>
      </c>
      <c r="CQ149" s="1998">
        <v>0.66688425242536709</v>
      </c>
      <c r="CR149" s="1998">
        <v>0.70262120095185709</v>
      </c>
      <c r="CS149" s="1998">
        <v>0.66742360680048074</v>
      </c>
      <c r="CT149" s="1998">
        <v>0.70329535955966727</v>
      </c>
      <c r="CU149" s="1998">
        <v>0.66791801497766823</v>
      </c>
      <c r="CV149" s="1998">
        <v>0.70403080531364193</v>
      </c>
      <c r="CW149" s="1998">
        <v>0.66845736935278199</v>
      </c>
      <c r="CX149" s="1998">
        <v>0.70580813255241381</v>
      </c>
      <c r="CY149" s="1998">
        <v>0.66976080909264002</v>
      </c>
      <c r="CZ149" s="1999">
        <v>0.70995372808876223</v>
      </c>
      <c r="DA149" s="1979">
        <v>0.65610094771983374</v>
      </c>
      <c r="DB149" s="1979">
        <v>0.71092304201258116</v>
      </c>
      <c r="DC149" s="1979">
        <v>0.65680519557108064</v>
      </c>
      <c r="DD149" s="1979">
        <v>0.71189235593639999</v>
      </c>
      <c r="DE149" s="1979">
        <v>0.65750944342232753</v>
      </c>
      <c r="DF149" s="1979">
        <v>0.71286166986021893</v>
      </c>
      <c r="DG149" s="1979">
        <v>0.65821369127357454</v>
      </c>
      <c r="DH149" s="1979">
        <v>0.71383098378403786</v>
      </c>
      <c r="DI149" s="1979">
        <v>0.65891793912482155</v>
      </c>
      <c r="DJ149" s="2000">
        <v>0.74264828786943904</v>
      </c>
      <c r="DK149" s="1998">
        <v>0.67745738409387579</v>
      </c>
      <c r="DL149" s="1998">
        <v>0.7435031415934179</v>
      </c>
      <c r="DM149" s="1998">
        <v>0.67808690008704564</v>
      </c>
      <c r="DN149" s="1998">
        <v>0.74435799531739677</v>
      </c>
      <c r="DO149" s="1998">
        <v>0.6787164160802156</v>
      </c>
      <c r="DP149" s="1998">
        <v>0.74521284904137564</v>
      </c>
      <c r="DQ149" s="1998">
        <v>0.67934593207338556</v>
      </c>
      <c r="DR149" s="1998">
        <v>0.74606770276535461</v>
      </c>
      <c r="DS149" s="1998">
        <v>0.67997544806655552</v>
      </c>
      <c r="GT149" s="1980"/>
      <c r="GU149" s="1980"/>
      <c r="GV149" s="1980"/>
      <c r="GW149" s="1980"/>
      <c r="GX149" s="1980"/>
      <c r="GY149" s="1980"/>
      <c r="GZ149" s="1980"/>
      <c r="HA149" s="1980"/>
      <c r="HB149" s="1980"/>
      <c r="HC149" s="1980"/>
      <c r="HD149" s="1980"/>
      <c r="HE149" s="1980"/>
      <c r="HF149" s="1980"/>
      <c r="HG149" s="1980"/>
      <c r="HH149" s="1980"/>
      <c r="HI149" s="1980"/>
      <c r="HJ149" s="1980"/>
      <c r="HK149" s="1980"/>
      <c r="HL149" s="1980"/>
      <c r="HM149" s="1980"/>
      <c r="HN149" s="1980"/>
      <c r="HO149" s="1980"/>
      <c r="HP149" s="1980"/>
      <c r="HQ149" s="1980"/>
      <c r="HR149" s="1980"/>
      <c r="HS149" s="1980"/>
      <c r="HT149" s="1980"/>
      <c r="HU149" s="1980"/>
      <c r="HV149" s="1980"/>
      <c r="HW149" s="1980"/>
      <c r="HX149" s="1980"/>
      <c r="HY149" s="1980"/>
      <c r="HZ149" s="1980"/>
      <c r="IA149" s="1980"/>
      <c r="IB149" s="1980"/>
      <c r="IC149" s="1980"/>
      <c r="ID149" s="1980"/>
      <c r="IE149" s="1980"/>
      <c r="IF149" s="1980"/>
      <c r="IG149" s="1980"/>
      <c r="IH149" s="1980"/>
      <c r="II149" s="1980"/>
      <c r="IJ149" s="1980"/>
      <c r="IK149" s="1980"/>
      <c r="IL149" s="1980"/>
      <c r="IM149" s="1980"/>
      <c r="IN149" s="1980"/>
      <c r="IO149" s="1980"/>
      <c r="IP149" s="1980"/>
      <c r="IQ149" s="1980"/>
      <c r="IR149" s="1980"/>
      <c r="IS149" s="1980"/>
      <c r="IT149" s="1980"/>
      <c r="IU149" s="1980"/>
      <c r="IV149" s="1980"/>
      <c r="IW149" s="1980"/>
      <c r="IX149" s="1980"/>
      <c r="IY149" s="1980"/>
      <c r="IZ149" s="1980"/>
      <c r="JA149" s="1980"/>
      <c r="JB149" s="1980"/>
      <c r="JC149" s="1980"/>
      <c r="JD149" s="1980"/>
      <c r="JE149" s="1980"/>
      <c r="JF149" s="1980"/>
      <c r="JG149" s="1980"/>
      <c r="JH149" s="1980"/>
      <c r="JI149" s="1980"/>
      <c r="JJ149" s="1980"/>
      <c r="JK149" s="1980"/>
      <c r="JL149" s="1980"/>
      <c r="JM149" s="1980"/>
      <c r="JN149" s="1980"/>
      <c r="JO149" s="1980"/>
      <c r="JP149" s="1980"/>
      <c r="JQ149" s="1980"/>
      <c r="JR149" s="1980"/>
      <c r="JS149" s="1980"/>
      <c r="JT149" s="1980"/>
      <c r="JU149" s="1980"/>
      <c r="JV149" s="1980"/>
      <c r="JW149" s="1980"/>
      <c r="JX149" s="1980"/>
      <c r="JY149" s="1980"/>
      <c r="JZ149" s="1980"/>
      <c r="KA149" s="1980"/>
      <c r="KB149" s="1980"/>
      <c r="KC149" s="1980"/>
      <c r="KD149" s="1980"/>
      <c r="KE149" s="1980"/>
      <c r="KF149" s="1980"/>
      <c r="KG149" s="1980"/>
      <c r="KH149" s="1980"/>
      <c r="KI149" s="1980"/>
      <c r="KJ149" s="1980"/>
      <c r="KK149" s="1980"/>
    </row>
    <row r="150" spans="1:297">
      <c r="A150" s="1997"/>
      <c r="B150" s="2">
        <v>8</v>
      </c>
      <c r="C150" s="2" t="s">
        <v>4334</v>
      </c>
      <c r="D150" s="1979">
        <v>1.0614928674433906</v>
      </c>
      <c r="E150" s="1979">
        <v>0.93533226497701105</v>
      </c>
      <c r="F150" s="1979">
        <v>1.0668217014916965</v>
      </c>
      <c r="G150" s="1979">
        <v>0.94215350681003962</v>
      </c>
      <c r="H150" s="1979">
        <v>1.074055969725382</v>
      </c>
      <c r="I150" s="1979">
        <v>0.95072687091112806</v>
      </c>
      <c r="J150" s="1979">
        <v>1.0813143514422692</v>
      </c>
      <c r="K150" s="1979">
        <v>0.95931713318606027</v>
      </c>
      <c r="L150" s="1979">
        <v>1.0885727331591561</v>
      </c>
      <c r="M150" s="1979">
        <v>0.96790739546099236</v>
      </c>
      <c r="N150" s="2000">
        <v>0.88168743681635375</v>
      </c>
      <c r="O150" s="1998">
        <v>0.79515786061864513</v>
      </c>
      <c r="P150" s="1998">
        <v>0.88499862395923856</v>
      </c>
      <c r="Q150" s="1998">
        <v>0.79922255995044456</v>
      </c>
      <c r="R150" s="1998">
        <v>0.88933528539955864</v>
      </c>
      <c r="S150" s="1998">
        <v>0.80423480527447244</v>
      </c>
      <c r="T150" s="1998">
        <v>0.89371189029421005</v>
      </c>
      <c r="U150" s="1998">
        <v>0.80927500535966379</v>
      </c>
      <c r="V150" s="1998">
        <v>0.89808849518886158</v>
      </c>
      <c r="W150" s="1998">
        <v>0.81431520544485503</v>
      </c>
      <c r="X150" s="1999">
        <v>1.0134386885033577</v>
      </c>
      <c r="Y150" s="1979">
        <v>0.91297664074691165</v>
      </c>
      <c r="Z150" s="1979">
        <v>1.0191726079540779</v>
      </c>
      <c r="AA150" s="1979">
        <v>0.92002429381423612</v>
      </c>
      <c r="AB150" s="1979">
        <v>1.0142898184948994</v>
      </c>
      <c r="AC150" s="1979">
        <v>0.91543630304424772</v>
      </c>
      <c r="AD150" s="1979">
        <v>1.0144800090030959</v>
      </c>
      <c r="AE150" s="1979">
        <v>0.91557165920346995</v>
      </c>
      <c r="AF150" s="1979">
        <v>1.0148286916014564</v>
      </c>
      <c r="AG150" s="1979">
        <v>0.91581981216204389</v>
      </c>
      <c r="AH150" s="2000">
        <v>0.807813924503201</v>
      </c>
      <c r="AI150" s="1998">
        <v>0.7316410588971084</v>
      </c>
      <c r="AJ150" s="1998">
        <v>0.81149239465610401</v>
      </c>
      <c r="AK150" s="1998">
        <v>0.73619299510391989</v>
      </c>
      <c r="AL150" s="1998">
        <v>0.80843442937660881</v>
      </c>
      <c r="AM150" s="1998">
        <v>0.73327751094776172</v>
      </c>
      <c r="AN150" s="1998">
        <v>0.80859533373836479</v>
      </c>
      <c r="AO150" s="1998">
        <v>0.73339333451584388</v>
      </c>
      <c r="AP150" s="1998">
        <v>0.80889032506825043</v>
      </c>
      <c r="AQ150" s="1998">
        <v>0.73360567772399476</v>
      </c>
      <c r="AR150" s="1999">
        <v>1.0505869634517002</v>
      </c>
      <c r="AS150" s="1979">
        <v>0.94847046519338774</v>
      </c>
      <c r="AT150" s="1979">
        <v>1.0560016541007704</v>
      </c>
      <c r="AU150" s="1979">
        <v>0.95512024307351417</v>
      </c>
      <c r="AV150" s="1979">
        <v>1.0515003436875281</v>
      </c>
      <c r="AW150" s="1979">
        <v>0.95086110560527171</v>
      </c>
      <c r="AX150" s="1979">
        <v>1.0517371941462186</v>
      </c>
      <c r="AY150" s="1979">
        <v>0.95103030854793991</v>
      </c>
      <c r="AZ150" s="1979">
        <v>1.052171419987151</v>
      </c>
      <c r="BA150" s="1979">
        <v>0.95134051394283181</v>
      </c>
      <c r="BB150" s="2000">
        <v>1.1131803247649039</v>
      </c>
      <c r="BC150" s="1998">
        <v>0.97164389470922963</v>
      </c>
      <c r="BD150" s="1998">
        <v>1.1175227236567464</v>
      </c>
      <c r="BE150" s="1998">
        <v>0.97674738112718951</v>
      </c>
      <c r="BF150" s="1998">
        <v>1.114083027799323</v>
      </c>
      <c r="BG150" s="1998">
        <v>0.97358381004667349</v>
      </c>
      <c r="BH150" s="1998">
        <v>1.1143618487725189</v>
      </c>
      <c r="BI150" s="1998">
        <v>0.97377614957969938</v>
      </c>
      <c r="BJ150" s="1998">
        <v>1.1148730205567108</v>
      </c>
      <c r="BK150" s="1998">
        <v>0.97412877205691362</v>
      </c>
      <c r="BL150" s="1999">
        <v>0.86780673403452069</v>
      </c>
      <c r="BM150" s="1979">
        <v>0.74470173785235672</v>
      </c>
      <c r="BN150" s="1979">
        <v>0.86822363622023824</v>
      </c>
      <c r="BO150" s="1979">
        <v>0.74498844886943838</v>
      </c>
      <c r="BP150" s="1979">
        <v>0.86860579655714587</v>
      </c>
      <c r="BQ150" s="1979">
        <v>0.74525126730176317</v>
      </c>
      <c r="BR150" s="1979">
        <v>0.86902269874286342</v>
      </c>
      <c r="BS150" s="1979">
        <v>0.74553797831884472</v>
      </c>
      <c r="BT150" s="1979">
        <v>0.87003021235834743</v>
      </c>
      <c r="BU150" s="1979">
        <v>0.746230863276792</v>
      </c>
      <c r="BV150" s="2000">
        <v>1.0535197436125983</v>
      </c>
      <c r="BW150" s="1998">
        <v>0.99305949146966632</v>
      </c>
      <c r="BX150" s="1998">
        <v>1.0574085482581383</v>
      </c>
      <c r="BY150" s="1998">
        <v>0.99827036054328933</v>
      </c>
      <c r="BZ150" s="1998">
        <v>1.0626973228911136</v>
      </c>
      <c r="CA150" s="1998">
        <v>1.0048316712015779</v>
      </c>
      <c r="CB150" s="1998">
        <v>1.0680219852414099</v>
      </c>
      <c r="CC150" s="1998">
        <v>1.0114192839343243</v>
      </c>
      <c r="CD150" s="1998">
        <v>1.0733466475917059</v>
      </c>
      <c r="CE150" s="1998">
        <v>1.0180068966670706</v>
      </c>
      <c r="CF150" s="1999">
        <v>0.89683187473320969</v>
      </c>
      <c r="CG150" s="1979">
        <v>0.83279841679790556</v>
      </c>
      <c r="CH150" s="1979">
        <v>0.89753262453414706</v>
      </c>
      <c r="CI150" s="1979">
        <v>0.83331351124533404</v>
      </c>
      <c r="CJ150" s="1979">
        <v>0.8981749785183395</v>
      </c>
      <c r="CK150" s="1979">
        <v>0.8337856811554768</v>
      </c>
      <c r="CL150" s="1979">
        <v>0.89887572831927687</v>
      </c>
      <c r="CM150" s="1979">
        <v>0.83430077560290516</v>
      </c>
      <c r="CN150" s="1979">
        <v>0.90056920700487531</v>
      </c>
      <c r="CO150" s="1979">
        <v>0.8355455871841907</v>
      </c>
      <c r="CP150" s="2000">
        <v>0.89517500739383893</v>
      </c>
      <c r="CQ150" s="1998">
        <v>0.82021001802334292</v>
      </c>
      <c r="CR150" s="1998">
        <v>0.89591045314781359</v>
      </c>
      <c r="CS150" s="1998">
        <v>0.82074937239845669</v>
      </c>
      <c r="CT150" s="1998">
        <v>0.89658461175562387</v>
      </c>
      <c r="CU150" s="1998">
        <v>0.82124378057564407</v>
      </c>
      <c r="CV150" s="1998">
        <v>0.89732005750959831</v>
      </c>
      <c r="CW150" s="1998">
        <v>0.82178313495075761</v>
      </c>
      <c r="CX150" s="1998">
        <v>0.89909738474837064</v>
      </c>
      <c r="CY150" s="1998">
        <v>0.82308657469061586</v>
      </c>
      <c r="CZ150" s="1999">
        <v>0.74944126947512679</v>
      </c>
      <c r="DA150" s="1979">
        <v>0.68828539084559148</v>
      </c>
      <c r="DB150" s="1979">
        <v>0.75041058339894584</v>
      </c>
      <c r="DC150" s="1979">
        <v>0.68898963869683849</v>
      </c>
      <c r="DD150" s="1979">
        <v>0.75137989732276467</v>
      </c>
      <c r="DE150" s="1979">
        <v>0.68969388654808539</v>
      </c>
      <c r="DF150" s="1979">
        <v>0.7523492112465836</v>
      </c>
      <c r="DG150" s="1979">
        <v>0.6903981343993324</v>
      </c>
      <c r="DH150" s="1979">
        <v>0.75331852517040254</v>
      </c>
      <c r="DI150" s="1979">
        <v>0.69110238225057929</v>
      </c>
      <c r="DJ150" s="2000">
        <v>0.77314373114334412</v>
      </c>
      <c r="DK150" s="1998">
        <v>0.70264645600230924</v>
      </c>
      <c r="DL150" s="1998">
        <v>0.77399858486732309</v>
      </c>
      <c r="DM150" s="1998">
        <v>0.7032759719954792</v>
      </c>
      <c r="DN150" s="1998">
        <v>0.77485343859130196</v>
      </c>
      <c r="DO150" s="1998">
        <v>0.70390548798864916</v>
      </c>
      <c r="DP150" s="1998">
        <v>0.77570829231528104</v>
      </c>
      <c r="DQ150" s="1998">
        <v>0.7045350039818189</v>
      </c>
      <c r="DR150" s="1998">
        <v>0.77656314603925991</v>
      </c>
      <c r="DS150" s="1998">
        <v>0.70516451997498886</v>
      </c>
      <c r="GT150" s="1980"/>
      <c r="GU150" s="1980"/>
      <c r="GV150" s="1980"/>
      <c r="GW150" s="1980"/>
      <c r="GX150" s="1980"/>
      <c r="GY150" s="1980"/>
      <c r="GZ150" s="1980"/>
      <c r="HA150" s="1980"/>
      <c r="HB150" s="1980"/>
      <c r="HC150" s="1980"/>
      <c r="HD150" s="1980"/>
      <c r="HE150" s="1980"/>
      <c r="HF150" s="1980"/>
      <c r="HG150" s="1980"/>
      <c r="HH150" s="1980"/>
      <c r="HI150" s="1980"/>
      <c r="HJ150" s="1980"/>
      <c r="HK150" s="1980"/>
      <c r="HL150" s="1980"/>
      <c r="HM150" s="1980"/>
      <c r="HN150" s="1980"/>
      <c r="HO150" s="1980"/>
      <c r="HP150" s="1980"/>
      <c r="HQ150" s="1980"/>
      <c r="HR150" s="1980"/>
      <c r="HS150" s="1980"/>
      <c r="HT150" s="1980"/>
      <c r="HU150" s="1980"/>
      <c r="HV150" s="1980"/>
      <c r="HW150" s="1980"/>
      <c r="HX150" s="1980"/>
      <c r="HY150" s="1980"/>
      <c r="HZ150" s="1980"/>
      <c r="IA150" s="1980"/>
      <c r="IB150" s="1980"/>
      <c r="IC150" s="1980"/>
      <c r="ID150" s="1980"/>
      <c r="IE150" s="1980"/>
      <c r="IF150" s="1980"/>
      <c r="IG150" s="1980"/>
      <c r="IH150" s="1980"/>
      <c r="II150" s="1980"/>
      <c r="IJ150" s="1980"/>
      <c r="IK150" s="1980"/>
      <c r="IL150" s="1980"/>
      <c r="IM150" s="1980"/>
      <c r="IN150" s="1980"/>
      <c r="IO150" s="1980"/>
      <c r="IP150" s="1980"/>
      <c r="IQ150" s="1980"/>
      <c r="IR150" s="1980"/>
      <c r="IS150" s="1980"/>
      <c r="IT150" s="1980"/>
      <c r="IU150" s="1980"/>
      <c r="IV150" s="1980"/>
      <c r="IW150" s="1980"/>
      <c r="IX150" s="1980"/>
      <c r="IY150" s="1980"/>
      <c r="IZ150" s="1980"/>
      <c r="JA150" s="1980"/>
      <c r="JB150" s="1980"/>
      <c r="JC150" s="1980"/>
      <c r="JD150" s="1980"/>
      <c r="JE150" s="1980"/>
      <c r="JF150" s="1980"/>
      <c r="JG150" s="1980"/>
      <c r="JH150" s="1980"/>
      <c r="JI150" s="1980"/>
      <c r="JJ150" s="1980"/>
      <c r="JK150" s="1980"/>
      <c r="JL150" s="1980"/>
      <c r="JM150" s="1980"/>
      <c r="JN150" s="1980"/>
      <c r="JO150" s="1980"/>
      <c r="JP150" s="1980"/>
      <c r="JQ150" s="1980"/>
      <c r="JR150" s="1980"/>
      <c r="JS150" s="1980"/>
      <c r="JT150" s="1980"/>
      <c r="JU150" s="1980"/>
      <c r="JV150" s="1980"/>
      <c r="JW150" s="1980"/>
      <c r="JX150" s="1980"/>
      <c r="JY150" s="1980"/>
      <c r="JZ150" s="1980"/>
      <c r="KA150" s="1980"/>
      <c r="KB150" s="1980"/>
      <c r="KC150" s="1980"/>
      <c r="KD150" s="1980"/>
      <c r="KE150" s="1980"/>
      <c r="KF150" s="1980"/>
      <c r="KG150" s="1980"/>
      <c r="KH150" s="1980"/>
      <c r="KI150" s="1980"/>
      <c r="KJ150" s="1980"/>
      <c r="KK150" s="1980"/>
    </row>
    <row r="151" spans="1:297">
      <c r="A151" s="1997"/>
      <c r="B151" s="2">
        <v>9</v>
      </c>
      <c r="C151" s="2" t="s">
        <v>4335</v>
      </c>
      <c r="D151" s="1979">
        <v>1.115266811752875</v>
      </c>
      <c r="E151" s="1979">
        <v>0.98600457764836302</v>
      </c>
      <c r="F151" s="1979">
        <v>1.1206438844928954</v>
      </c>
      <c r="G151" s="1979">
        <v>0.99287004499243925</v>
      </c>
      <c r="H151" s="1979">
        <v>1.1279263914182953</v>
      </c>
      <c r="I151" s="1979">
        <v>1.0014876346045753</v>
      </c>
      <c r="J151" s="1979">
        <v>1.135233011826897</v>
      </c>
      <c r="K151" s="1979">
        <v>1.010122122390555</v>
      </c>
      <c r="L151" s="1979">
        <v>1.1425396322354984</v>
      </c>
      <c r="M151" s="1979">
        <v>1.0187566101765348</v>
      </c>
      <c r="N151" s="2000">
        <v>0.89391493359524876</v>
      </c>
      <c r="O151" s="1998">
        <v>0.8058881397974228</v>
      </c>
      <c r="P151" s="1998">
        <v>0.89728638679277883</v>
      </c>
      <c r="Q151" s="1998">
        <v>0.810008018969818</v>
      </c>
      <c r="R151" s="1998">
        <v>0.9016833142877444</v>
      </c>
      <c r="S151" s="1998">
        <v>0.815075444134442</v>
      </c>
      <c r="T151" s="1998">
        <v>0.90612018523704119</v>
      </c>
      <c r="U151" s="1998">
        <v>0.82017082406022901</v>
      </c>
      <c r="V151" s="1998">
        <v>0.91055705618633798</v>
      </c>
      <c r="W151" s="1998">
        <v>0.82526620398601636</v>
      </c>
      <c r="X151" s="1999">
        <v>1.0947653500875199</v>
      </c>
      <c r="Y151" s="1979">
        <v>0.99191861719762087</v>
      </c>
      <c r="Z151" s="1979">
        <v>1.1002003341063815</v>
      </c>
      <c r="AA151" s="1979">
        <v>0.99856809074799446</v>
      </c>
      <c r="AB151" s="1979">
        <v>1.0956821535222134</v>
      </c>
      <c r="AC151" s="1979">
        <v>0.99430914820088723</v>
      </c>
      <c r="AD151" s="1979">
        <v>1.0959198916574588</v>
      </c>
      <c r="AE151" s="1979">
        <v>0.99447834339991503</v>
      </c>
      <c r="AF151" s="1979">
        <v>1.0963557449054093</v>
      </c>
      <c r="AG151" s="1979">
        <v>0.99478853459813232</v>
      </c>
      <c r="AH151" s="2000">
        <v>0.84994816682492302</v>
      </c>
      <c r="AI151" s="1998">
        <v>0.76853746862410477</v>
      </c>
      <c r="AJ151" s="1998">
        <v>0.85362663697782626</v>
      </c>
      <c r="AK151" s="1998">
        <v>0.77308940483091626</v>
      </c>
      <c r="AL151" s="1998">
        <v>0.85056867169833106</v>
      </c>
      <c r="AM151" s="1998">
        <v>0.77017392067475798</v>
      </c>
      <c r="AN151" s="1998">
        <v>0.85072957606008692</v>
      </c>
      <c r="AO151" s="1998">
        <v>0.77028974424284025</v>
      </c>
      <c r="AP151" s="1998">
        <v>0.85102456738997256</v>
      </c>
      <c r="AQ151" s="1998">
        <v>0.77050208745099114</v>
      </c>
      <c r="AR151" s="1999">
        <v>1.0916742196822224</v>
      </c>
      <c r="AS151" s="1979">
        <v>0.98401979835385667</v>
      </c>
      <c r="AT151" s="1979">
        <v>1.0970889103312922</v>
      </c>
      <c r="AU151" s="1979">
        <v>0.99066957623398355</v>
      </c>
      <c r="AV151" s="1979">
        <v>1.0925875999180503</v>
      </c>
      <c r="AW151" s="1979">
        <v>0.98641043876574086</v>
      </c>
      <c r="AX151" s="1979">
        <v>1.0928244503767406</v>
      </c>
      <c r="AY151" s="1979">
        <v>0.98657964170840906</v>
      </c>
      <c r="AZ151" s="1979">
        <v>1.0932586762176728</v>
      </c>
      <c r="BA151" s="1979">
        <v>0.98688984710330097</v>
      </c>
      <c r="BB151" s="2000">
        <v>1.1459362522121921</v>
      </c>
      <c r="BC151" s="1998">
        <v>0.99719951081595837</v>
      </c>
      <c r="BD151" s="1998">
        <v>1.1502786511040344</v>
      </c>
      <c r="BE151" s="1998">
        <v>1.0023029972339181</v>
      </c>
      <c r="BF151" s="1998">
        <v>1.1468389552466112</v>
      </c>
      <c r="BG151" s="1998">
        <v>0.99913942615340201</v>
      </c>
      <c r="BH151" s="1998">
        <v>1.1471177762198068</v>
      </c>
      <c r="BI151" s="1998">
        <v>0.9993317656864279</v>
      </c>
      <c r="BJ151" s="1998">
        <v>1.1476289480039989</v>
      </c>
      <c r="BK151" s="1998">
        <v>0.99968438816364225</v>
      </c>
      <c r="BL151" s="1999">
        <v>0.89745384767897352</v>
      </c>
      <c r="BM151" s="1979">
        <v>0.76911521709362851</v>
      </c>
      <c r="BN151" s="1979">
        <v>0.89787074986469095</v>
      </c>
      <c r="BO151" s="1979">
        <v>0.76940192811071006</v>
      </c>
      <c r="BP151" s="1979">
        <v>0.89825291020159859</v>
      </c>
      <c r="BQ151" s="1979">
        <v>0.76966474654303485</v>
      </c>
      <c r="BR151" s="1979">
        <v>0.89866981238731636</v>
      </c>
      <c r="BS151" s="1979">
        <v>0.7699514575601164</v>
      </c>
      <c r="BT151" s="1979">
        <v>0.89967732600280026</v>
      </c>
      <c r="BU151" s="1979">
        <v>0.77064434251806369</v>
      </c>
      <c r="BV151" s="2000">
        <v>1.1080222548926399</v>
      </c>
      <c r="BW151" s="1998">
        <v>1.0476280686760242</v>
      </c>
      <c r="BX151" s="1998">
        <v>1.1120004017953651</v>
      </c>
      <c r="BY151" s="1998">
        <v>1.0529246017995484</v>
      </c>
      <c r="BZ151" s="1998">
        <v>1.117378518685525</v>
      </c>
      <c r="CA151" s="1998">
        <v>1.0595715765077378</v>
      </c>
      <c r="CB151" s="1998">
        <v>1.1227925232930061</v>
      </c>
      <c r="CC151" s="1998">
        <v>1.0662448532903852</v>
      </c>
      <c r="CD151" s="1998">
        <v>1.1282065279004871</v>
      </c>
      <c r="CE151" s="1998">
        <v>1.0729181300730322</v>
      </c>
      <c r="CF151" s="1999">
        <v>0.93310586279503882</v>
      </c>
      <c r="CG151" s="1979">
        <v>0.86596235617588135</v>
      </c>
      <c r="CH151" s="1979">
        <v>0.93380661259597597</v>
      </c>
      <c r="CI151" s="1979">
        <v>0.86647745062330972</v>
      </c>
      <c r="CJ151" s="1979">
        <v>0.93444896658016852</v>
      </c>
      <c r="CK151" s="1979">
        <v>0.86694962053345259</v>
      </c>
      <c r="CL151" s="1979">
        <v>0.93514971638110578</v>
      </c>
      <c r="CM151" s="1979">
        <v>0.86746471498088096</v>
      </c>
      <c r="CN151" s="1979">
        <v>0.93684319506670433</v>
      </c>
      <c r="CO151" s="1979">
        <v>0.86870952656216627</v>
      </c>
      <c r="CP151" s="2000">
        <v>0.94569689391018841</v>
      </c>
      <c r="CQ151" s="1998">
        <v>0.86606615757722205</v>
      </c>
      <c r="CR151" s="1998">
        <v>0.94643233966416307</v>
      </c>
      <c r="CS151" s="1998">
        <v>0.86660551195233559</v>
      </c>
      <c r="CT151" s="1998">
        <v>0.94710649827197313</v>
      </c>
      <c r="CU151" s="1998">
        <v>0.86709992012952319</v>
      </c>
      <c r="CV151" s="1998">
        <v>0.94784194402594779</v>
      </c>
      <c r="CW151" s="1998">
        <v>0.86763927450463674</v>
      </c>
      <c r="CX151" s="1998">
        <v>0.9496192712647199</v>
      </c>
      <c r="CY151" s="1998">
        <v>0.86894271424449476</v>
      </c>
      <c r="CZ151" s="1999">
        <v>0.76002300841758008</v>
      </c>
      <c r="DA151" s="1979">
        <v>0.71164095676962391</v>
      </c>
      <c r="DB151" s="1979">
        <v>0.7614769793033086</v>
      </c>
      <c r="DC151" s="1979">
        <v>0.71269732854649437</v>
      </c>
      <c r="DD151" s="1979">
        <v>0.76293095018903689</v>
      </c>
      <c r="DE151" s="1979">
        <v>0.71375370032336483</v>
      </c>
      <c r="DF151" s="1979">
        <v>0.76438492107476541</v>
      </c>
      <c r="DG151" s="1979">
        <v>0.71481007210023539</v>
      </c>
      <c r="DH151" s="1979">
        <v>0.76583889196049371</v>
      </c>
      <c r="DI151" s="1979">
        <v>0.71586644387710574</v>
      </c>
      <c r="DJ151" s="2000">
        <v>0.79991552141013866</v>
      </c>
      <c r="DK151" s="1998">
        <v>0.73792655516831673</v>
      </c>
      <c r="DL151" s="1998">
        <v>0.80119780199610702</v>
      </c>
      <c r="DM151" s="1998">
        <v>0.73887082915807167</v>
      </c>
      <c r="DN151" s="1998">
        <v>0.80248008258207537</v>
      </c>
      <c r="DO151" s="1998">
        <v>0.73981510314782661</v>
      </c>
      <c r="DP151" s="1998">
        <v>0.80376236316804361</v>
      </c>
      <c r="DQ151" s="1998">
        <v>0.74075937713758144</v>
      </c>
      <c r="DR151" s="1998">
        <v>0.80504464375401219</v>
      </c>
      <c r="DS151" s="1998">
        <v>0.74170365112733627</v>
      </c>
      <c r="GT151" s="1980"/>
      <c r="GU151" s="1980"/>
      <c r="GV151" s="1980"/>
      <c r="GW151" s="1980"/>
      <c r="GX151" s="1980"/>
      <c r="GY151" s="1980"/>
      <c r="GZ151" s="1980"/>
      <c r="HA151" s="1980"/>
      <c r="HB151" s="1980"/>
      <c r="HC151" s="1980"/>
      <c r="HD151" s="1980"/>
      <c r="HE151" s="1980"/>
      <c r="HF151" s="1980"/>
      <c r="HG151" s="1980"/>
      <c r="HH151" s="1980"/>
      <c r="HI151" s="1980"/>
      <c r="HJ151" s="1980"/>
      <c r="HK151" s="1980"/>
      <c r="HL151" s="1980"/>
      <c r="HM151" s="1980"/>
      <c r="HN151" s="1980"/>
      <c r="HO151" s="1980"/>
      <c r="HP151" s="1980"/>
      <c r="HQ151" s="1980"/>
      <c r="HR151" s="1980"/>
      <c r="HS151" s="1980"/>
      <c r="HT151" s="1980"/>
      <c r="HU151" s="1980"/>
      <c r="HV151" s="1980"/>
      <c r="HW151" s="1980"/>
      <c r="HX151" s="1980"/>
      <c r="HY151" s="1980"/>
      <c r="HZ151" s="1980"/>
      <c r="IA151" s="1980"/>
      <c r="IB151" s="1980"/>
      <c r="IC151" s="1980"/>
      <c r="ID151" s="1980"/>
      <c r="IE151" s="1980"/>
      <c r="IF151" s="1980"/>
      <c r="IG151" s="1980"/>
      <c r="IH151" s="1980"/>
      <c r="II151" s="1980"/>
      <c r="IJ151" s="1980"/>
      <c r="IK151" s="1980"/>
      <c r="IL151" s="1980"/>
      <c r="IM151" s="1980"/>
      <c r="IN151" s="1980"/>
      <c r="IO151" s="1980"/>
      <c r="IP151" s="1980"/>
      <c r="IQ151" s="1980"/>
      <c r="IR151" s="1980"/>
      <c r="IS151" s="1980"/>
      <c r="IT151" s="1980"/>
      <c r="IU151" s="1980"/>
      <c r="IV151" s="1980"/>
      <c r="IW151" s="1980"/>
      <c r="IX151" s="1980"/>
      <c r="IY151" s="1980"/>
      <c r="IZ151" s="1980"/>
      <c r="JA151" s="1980"/>
      <c r="JB151" s="1980"/>
      <c r="JC151" s="1980"/>
      <c r="JD151" s="1980"/>
      <c r="JE151" s="1980"/>
      <c r="JF151" s="1980"/>
      <c r="JG151" s="1980"/>
      <c r="JH151" s="1980"/>
      <c r="JI151" s="1980"/>
      <c r="JJ151" s="1980"/>
      <c r="JK151" s="1980"/>
      <c r="JL151" s="1980"/>
      <c r="JM151" s="1980"/>
      <c r="JN151" s="1980"/>
      <c r="JO151" s="1980"/>
      <c r="JP151" s="1980"/>
      <c r="JQ151" s="1980"/>
      <c r="JR151" s="1980"/>
      <c r="JS151" s="1980"/>
      <c r="JT151" s="1980"/>
      <c r="JU151" s="1980"/>
      <c r="JV151" s="1980"/>
      <c r="JW151" s="1980"/>
      <c r="JX151" s="1980"/>
      <c r="JY151" s="1980"/>
      <c r="JZ151" s="1980"/>
      <c r="KA151" s="1980"/>
      <c r="KB151" s="1980"/>
      <c r="KC151" s="1980"/>
      <c r="KD151" s="1980"/>
      <c r="KE151" s="1980"/>
      <c r="KF151" s="1980"/>
      <c r="KG151" s="1980"/>
      <c r="KH151" s="1980"/>
      <c r="KI151" s="1980"/>
      <c r="KJ151" s="1980"/>
      <c r="KK151" s="1980"/>
    </row>
    <row r="152" spans="1:297">
      <c r="A152" s="1997"/>
      <c r="B152" s="2">
        <v>10</v>
      </c>
      <c r="C152" s="2" t="s">
        <v>4336</v>
      </c>
      <c r="D152" s="1979">
        <v>1.1837937073528371</v>
      </c>
      <c r="E152" s="1979">
        <v>1.04860330152479</v>
      </c>
      <c r="F152" s="1979">
        <v>1.1892760281475077</v>
      </c>
      <c r="G152" s="1979">
        <v>1.0555652608929698</v>
      </c>
      <c r="H152" s="1979">
        <v>1.1966637831275573</v>
      </c>
      <c r="I152" s="1979">
        <v>1.0642793425292094</v>
      </c>
      <c r="J152" s="1979">
        <v>1.2040756515908089</v>
      </c>
      <c r="K152" s="1979">
        <v>1.0730103223392933</v>
      </c>
      <c r="L152" s="1979">
        <v>1.2114875200540602</v>
      </c>
      <c r="M152" s="1979">
        <v>1.0817413021493767</v>
      </c>
      <c r="N152" s="2000">
        <v>0.92198202164802734</v>
      </c>
      <c r="O152" s="1998">
        <v>0.84638367964767502</v>
      </c>
      <c r="P152" s="1998">
        <v>0.92453498366853282</v>
      </c>
      <c r="Q152" s="1998">
        <v>0.84945712492566972</v>
      </c>
      <c r="R152" s="1998">
        <v>0.92782709382136641</v>
      </c>
      <c r="S152" s="1998">
        <v>0.85322026362696379</v>
      </c>
      <c r="T152" s="1998">
        <v>0.93117911915569684</v>
      </c>
      <c r="U152" s="1998">
        <v>0.85702533447000262</v>
      </c>
      <c r="V152" s="1998">
        <v>0.93453114449002739</v>
      </c>
      <c r="W152" s="1998">
        <v>0.86083040531304167</v>
      </c>
      <c r="X152" s="1999">
        <v>1.1637026648821507</v>
      </c>
      <c r="Y152" s="1979">
        <v>1.0644662495266712</v>
      </c>
      <c r="Z152" s="1979">
        <v>1.168639423181248</v>
      </c>
      <c r="AA152" s="1979">
        <v>1.0704520905487933</v>
      </c>
      <c r="AB152" s="1979">
        <v>1.1647289240554297</v>
      </c>
      <c r="AC152" s="1979">
        <v>1.0667415617064886</v>
      </c>
      <c r="AD152" s="1979">
        <v>1.1650459082357574</v>
      </c>
      <c r="AE152" s="1979">
        <v>1.0669671553051918</v>
      </c>
      <c r="AF152" s="1979">
        <v>1.1656270458996911</v>
      </c>
      <c r="AG152" s="1979">
        <v>1.0673807435694818</v>
      </c>
      <c r="AH152" s="2000">
        <v>0.87628206827599986</v>
      </c>
      <c r="AI152" s="1998">
        <v>0.79159772470347756</v>
      </c>
      <c r="AJ152" s="1998">
        <v>0.87996053842890276</v>
      </c>
      <c r="AK152" s="1998">
        <v>0.79614966091028916</v>
      </c>
      <c r="AL152" s="1998">
        <v>0.87690257314940767</v>
      </c>
      <c r="AM152" s="1998">
        <v>0.79323417675413099</v>
      </c>
      <c r="AN152" s="1998">
        <v>0.87706347751116343</v>
      </c>
      <c r="AO152" s="1998">
        <v>0.79335000032221314</v>
      </c>
      <c r="AP152" s="1998">
        <v>0.87735846884104929</v>
      </c>
      <c r="AQ152" s="1998">
        <v>0.79356234353036403</v>
      </c>
      <c r="AR152" s="1999">
        <v>1.1578592289090863</v>
      </c>
      <c r="AS152" s="1979">
        <v>1.0525093573556066</v>
      </c>
      <c r="AT152" s="1979">
        <v>1.1627775541343439</v>
      </c>
      <c r="AU152" s="1979">
        <v>1.0584954723346827</v>
      </c>
      <c r="AV152" s="1979">
        <v>1.1588816561931023</v>
      </c>
      <c r="AW152" s="1979">
        <v>1.0547847736707643</v>
      </c>
      <c r="AX152" s="1979">
        <v>1.1591974568046894</v>
      </c>
      <c r="AY152" s="1979">
        <v>1.0550103775943218</v>
      </c>
      <c r="AZ152" s="1979">
        <v>1.1597764245925994</v>
      </c>
      <c r="BA152" s="1979">
        <v>1.0554239847875111</v>
      </c>
      <c r="BB152" s="2000">
        <v>1.2278260708304121</v>
      </c>
      <c r="BC152" s="1998">
        <v>1.0610885510827797</v>
      </c>
      <c r="BD152" s="1998">
        <v>1.2321684697222544</v>
      </c>
      <c r="BE152" s="1998">
        <v>1.0661920375007397</v>
      </c>
      <c r="BF152" s="1998">
        <v>1.2287287738648314</v>
      </c>
      <c r="BG152" s="1998">
        <v>1.0630284664202236</v>
      </c>
      <c r="BH152" s="1998">
        <v>1.2290075948380268</v>
      </c>
      <c r="BI152" s="1998">
        <v>1.0632208059532495</v>
      </c>
      <c r="BJ152" s="1998">
        <v>1.2295187666222189</v>
      </c>
      <c r="BK152" s="1998">
        <v>1.0635734284304637</v>
      </c>
      <c r="BL152" s="1999">
        <v>0.90103200401260297</v>
      </c>
      <c r="BM152" s="1979">
        <v>0.78263851590051159</v>
      </c>
      <c r="BN152" s="1979">
        <v>0.90165735729117924</v>
      </c>
      <c r="BO152" s="1979">
        <v>0.78306858242613386</v>
      </c>
      <c r="BP152" s="1979">
        <v>0.90223059779654102</v>
      </c>
      <c r="BQ152" s="1979">
        <v>0.78346281007462115</v>
      </c>
      <c r="BR152" s="1979">
        <v>0.90285595107511707</v>
      </c>
      <c r="BS152" s="1979">
        <v>0.78389287660024365</v>
      </c>
      <c r="BT152" s="1979">
        <v>0.90436722149834314</v>
      </c>
      <c r="BU152" s="1979">
        <v>0.78493220403716457</v>
      </c>
      <c r="BV152" s="2000">
        <v>1.1961088116738772</v>
      </c>
      <c r="BW152" s="1998">
        <v>1.1486663036100158</v>
      </c>
      <c r="BX152" s="1998">
        <v>1.1996612274938798</v>
      </c>
      <c r="BY152" s="1998">
        <v>1.1533683260962346</v>
      </c>
      <c r="BZ152" s="1998">
        <v>1.2044421109839041</v>
      </c>
      <c r="CA152" s="1998">
        <v>1.1592590512912859</v>
      </c>
      <c r="CB152" s="1998">
        <v>1.2092708447636897</v>
      </c>
      <c r="CC152" s="1998">
        <v>1.1651848459189473</v>
      </c>
      <c r="CD152" s="1998">
        <v>1.2140995785434752</v>
      </c>
      <c r="CE152" s="1998">
        <v>1.1711106405466092</v>
      </c>
      <c r="CF152" s="1999">
        <v>0.98961772540764348</v>
      </c>
      <c r="CG152" s="1979">
        <v>0.91760831724253811</v>
      </c>
      <c r="CH152" s="1979">
        <v>0.99031847520858074</v>
      </c>
      <c r="CI152" s="1979">
        <v>0.91812341168996658</v>
      </c>
      <c r="CJ152" s="1979">
        <v>0.99096082919277328</v>
      </c>
      <c r="CK152" s="1979">
        <v>0.91859558160010923</v>
      </c>
      <c r="CL152" s="1979">
        <v>0.99166157899371077</v>
      </c>
      <c r="CM152" s="1979">
        <v>0.91911067604753782</v>
      </c>
      <c r="CN152" s="1979">
        <v>0.99335505767930932</v>
      </c>
      <c r="CO152" s="1979">
        <v>0.92035548762882324</v>
      </c>
      <c r="CP152" s="2000">
        <v>0.98990354461199392</v>
      </c>
      <c r="CQ152" s="1998">
        <v>0.90619027968686616</v>
      </c>
      <c r="CR152" s="1998">
        <v>0.99063899036596836</v>
      </c>
      <c r="CS152" s="1998">
        <v>0.90672963406197993</v>
      </c>
      <c r="CT152" s="1998">
        <v>0.99131314897377865</v>
      </c>
      <c r="CU152" s="1998">
        <v>0.90722404223916742</v>
      </c>
      <c r="CV152" s="1998">
        <v>0.9920485947277532</v>
      </c>
      <c r="CW152" s="1998">
        <v>0.90776339661428118</v>
      </c>
      <c r="CX152" s="1998">
        <v>0.99382592196652542</v>
      </c>
      <c r="CY152" s="1998">
        <v>0.90906683635413921</v>
      </c>
      <c r="CZ152" s="1999">
        <v>0.79951054980394476</v>
      </c>
      <c r="DA152" s="1979">
        <v>0.74382539989538199</v>
      </c>
      <c r="DB152" s="1979">
        <v>0.80096452068967328</v>
      </c>
      <c r="DC152" s="1979">
        <v>0.74488177167225245</v>
      </c>
      <c r="DD152" s="1979">
        <v>0.80241849157540179</v>
      </c>
      <c r="DE152" s="1979">
        <v>0.7459381434491229</v>
      </c>
      <c r="DF152" s="1979">
        <v>0.8038724624611302</v>
      </c>
      <c r="DG152" s="1979">
        <v>0.74699451522599325</v>
      </c>
      <c r="DH152" s="1979">
        <v>0.80532643334685849</v>
      </c>
      <c r="DI152" s="1979">
        <v>0.7480508870028636</v>
      </c>
      <c r="DJ152" s="2000">
        <v>0.83131027086108544</v>
      </c>
      <c r="DK152" s="1998">
        <v>0.76385418615646661</v>
      </c>
      <c r="DL152" s="1998">
        <v>0.8325925514470538</v>
      </c>
      <c r="DM152" s="1998">
        <v>0.76479846014622144</v>
      </c>
      <c r="DN152" s="1998">
        <v>0.83387483203302226</v>
      </c>
      <c r="DO152" s="1998">
        <v>0.76574273413597627</v>
      </c>
      <c r="DP152" s="1998">
        <v>0.8351571126189905</v>
      </c>
      <c r="DQ152" s="1998">
        <v>0.7666870081257311</v>
      </c>
      <c r="DR152" s="1998">
        <v>0.83643939320495897</v>
      </c>
      <c r="DS152" s="1998">
        <v>0.76763128211548604</v>
      </c>
      <c r="GT152" s="1980"/>
      <c r="GU152" s="1980"/>
      <c r="GV152" s="1980"/>
      <c r="GW152" s="1980"/>
      <c r="GX152" s="1980"/>
      <c r="GY152" s="1980"/>
      <c r="GZ152" s="1980"/>
      <c r="HA152" s="1980"/>
      <c r="HB152" s="1980"/>
      <c r="HC152" s="1980"/>
      <c r="HD152" s="1980"/>
      <c r="HE152" s="1980"/>
      <c r="HF152" s="1980"/>
      <c r="HG152" s="1980"/>
      <c r="HH152" s="1980"/>
      <c r="HI152" s="1980"/>
      <c r="HJ152" s="1980"/>
      <c r="HK152" s="1980"/>
      <c r="HL152" s="1980"/>
      <c r="HM152" s="1980"/>
      <c r="HN152" s="1980"/>
      <c r="HO152" s="1980"/>
      <c r="HP152" s="1980"/>
      <c r="HQ152" s="1980"/>
      <c r="HR152" s="1980"/>
      <c r="HS152" s="1980"/>
      <c r="HT152" s="1980"/>
      <c r="HU152" s="1980"/>
      <c r="HV152" s="1980"/>
      <c r="HW152" s="1980"/>
      <c r="HX152" s="1980"/>
      <c r="HY152" s="1980"/>
      <c r="HZ152" s="1980"/>
      <c r="IA152" s="1980"/>
      <c r="IB152" s="1980"/>
      <c r="IC152" s="1980"/>
      <c r="ID152" s="1980"/>
      <c r="IE152" s="1980"/>
      <c r="IF152" s="1980"/>
      <c r="IG152" s="1980"/>
      <c r="IH152" s="1980"/>
      <c r="II152" s="1980"/>
      <c r="IJ152" s="1980"/>
      <c r="IK152" s="1980"/>
      <c r="IL152" s="1980"/>
      <c r="IM152" s="1980"/>
      <c r="IN152" s="1980"/>
      <c r="IO152" s="1980"/>
      <c r="IP152" s="1980"/>
      <c r="IQ152" s="1980"/>
      <c r="IR152" s="1980"/>
      <c r="IS152" s="1980"/>
      <c r="IT152" s="1980"/>
      <c r="IU152" s="1980"/>
      <c r="IV152" s="1980"/>
      <c r="IW152" s="1980"/>
      <c r="IX152" s="1980"/>
      <c r="IY152" s="1980"/>
      <c r="IZ152" s="1980"/>
      <c r="JA152" s="1980"/>
      <c r="JB152" s="1980"/>
      <c r="JC152" s="1980"/>
      <c r="JD152" s="1980"/>
      <c r="JE152" s="1980"/>
      <c r="JF152" s="1980"/>
      <c r="JG152" s="1980"/>
      <c r="JH152" s="1980"/>
      <c r="JI152" s="1980"/>
      <c r="JJ152" s="1980"/>
      <c r="JK152" s="1980"/>
      <c r="JL152" s="1980"/>
      <c r="JM152" s="1980"/>
      <c r="JN152" s="1980"/>
      <c r="JO152" s="1980"/>
      <c r="JP152" s="1980"/>
      <c r="JQ152" s="1980"/>
      <c r="JR152" s="1980"/>
      <c r="JS152" s="1980"/>
      <c r="JT152" s="1980"/>
      <c r="JU152" s="1980"/>
      <c r="JV152" s="1980"/>
      <c r="JW152" s="1980"/>
      <c r="JX152" s="1980"/>
      <c r="JY152" s="1980"/>
      <c r="JZ152" s="1980"/>
      <c r="KA152" s="1980"/>
      <c r="KB152" s="1980"/>
      <c r="KC152" s="1980"/>
      <c r="KD152" s="1980"/>
      <c r="KE152" s="1980"/>
      <c r="KF152" s="1980"/>
      <c r="KG152" s="1980"/>
      <c r="KH152" s="1980"/>
      <c r="KI152" s="1980"/>
      <c r="KJ152" s="1980"/>
      <c r="KK152" s="1980"/>
    </row>
    <row r="153" spans="1:297">
      <c r="A153" s="1997"/>
      <c r="B153" s="2">
        <v>11</v>
      </c>
      <c r="C153" s="2" t="s">
        <v>4337</v>
      </c>
      <c r="D153" s="1979">
        <v>1.2201411463151954</v>
      </c>
      <c r="E153" s="1979">
        <v>1.0874150350483176</v>
      </c>
      <c r="F153" s="1979">
        <v>1.2254993128181935</v>
      </c>
      <c r="G153" s="1979">
        <v>1.0942033211924211</v>
      </c>
      <c r="H153" s="1979">
        <v>1.2327052960463547</v>
      </c>
      <c r="I153" s="1979">
        <v>1.1026917737855582</v>
      </c>
      <c r="J153" s="1979">
        <v>1.2399394116715843</v>
      </c>
      <c r="K153" s="1979">
        <v>1.1111999409148459</v>
      </c>
      <c r="L153" s="1979">
        <v>1.2471735272968143</v>
      </c>
      <c r="M153" s="1979">
        <v>1.1197081080441336</v>
      </c>
      <c r="N153" s="2000">
        <v>0.97885217621941778</v>
      </c>
      <c r="O153" s="1998">
        <v>0.89002057909891041</v>
      </c>
      <c r="P153" s="1998">
        <v>0.98148625527329636</v>
      </c>
      <c r="Q153" s="1998">
        <v>0.89316829545699306</v>
      </c>
      <c r="R153" s="1998">
        <v>0.98485948245950317</v>
      </c>
      <c r="S153" s="1998">
        <v>0.89700570523837486</v>
      </c>
      <c r="T153" s="1998">
        <v>0.98829262482720681</v>
      </c>
      <c r="U153" s="1998">
        <v>0.90088504716150131</v>
      </c>
      <c r="V153" s="1998">
        <v>0.99172576719491035</v>
      </c>
      <c r="W153" s="1998">
        <v>0.90476438908462831</v>
      </c>
      <c r="X153" s="1999">
        <v>1.2109579491336322</v>
      </c>
      <c r="Y153" s="1979">
        <v>1.1080470291550137</v>
      </c>
      <c r="Z153" s="1979">
        <v>1.2158947074327295</v>
      </c>
      <c r="AA153" s="1979">
        <v>1.1140328701771358</v>
      </c>
      <c r="AB153" s="1979">
        <v>1.2119842083069112</v>
      </c>
      <c r="AC153" s="1979">
        <v>1.1103223413348307</v>
      </c>
      <c r="AD153" s="1979">
        <v>1.2123011924872389</v>
      </c>
      <c r="AE153" s="1979">
        <v>1.1105479349335343</v>
      </c>
      <c r="AF153" s="1979">
        <v>1.2128823301511729</v>
      </c>
      <c r="AG153" s="1979">
        <v>1.110961523197824</v>
      </c>
      <c r="AH153" s="2000">
        <v>0.92687989756315792</v>
      </c>
      <c r="AI153" s="1998">
        <v>0.84483543734366495</v>
      </c>
      <c r="AJ153" s="1998">
        <v>0.93022116185985215</v>
      </c>
      <c r="AK153" s="1998">
        <v>0.84893308000220069</v>
      </c>
      <c r="AL153" s="1998">
        <v>0.9275744835499703</v>
      </c>
      <c r="AM153" s="1998">
        <v>0.84639301567142988</v>
      </c>
      <c r="AN153" s="1998">
        <v>0.92778902269897789</v>
      </c>
      <c r="AO153" s="1998">
        <v>0.84654744709553964</v>
      </c>
      <c r="AP153" s="1998">
        <v>0.92818234447215886</v>
      </c>
      <c r="AQ153" s="1998">
        <v>0.84683057137307405</v>
      </c>
      <c r="AR153" s="1999">
        <v>1.2078330350523414</v>
      </c>
      <c r="AS153" s="1979">
        <v>1.0969364382077984</v>
      </c>
      <c r="AT153" s="1979">
        <v>1.212751360277599</v>
      </c>
      <c r="AU153" s="1979">
        <v>1.1029225531868745</v>
      </c>
      <c r="AV153" s="1979">
        <v>1.2088554623363574</v>
      </c>
      <c r="AW153" s="1979">
        <v>1.0992118545229561</v>
      </c>
      <c r="AX153" s="1979">
        <v>1.2091712629479445</v>
      </c>
      <c r="AY153" s="1979">
        <v>1.0994374584465136</v>
      </c>
      <c r="AZ153" s="1979">
        <v>1.2097502307358543</v>
      </c>
      <c r="BA153" s="1979">
        <v>1.0998510656397027</v>
      </c>
      <c r="BB153" s="2000">
        <v>1.2469025939128751</v>
      </c>
      <c r="BC153" s="1998">
        <v>1.0954336115903167</v>
      </c>
      <c r="BD153" s="1998">
        <v>1.2503685088116536</v>
      </c>
      <c r="BE153" s="1998">
        <v>1.0994054810535561</v>
      </c>
      <c r="BF153" s="1998">
        <v>1.2479978526484827</v>
      </c>
      <c r="BG153" s="1998">
        <v>1.0971770573929385</v>
      </c>
      <c r="BH153" s="1998">
        <v>1.2484160841082763</v>
      </c>
      <c r="BI153" s="1998">
        <v>1.0974655666924773</v>
      </c>
      <c r="BJ153" s="1998">
        <v>1.2491828417845643</v>
      </c>
      <c r="BK153" s="1998">
        <v>1.0979945004082989</v>
      </c>
      <c r="BL153" s="1999">
        <v>0.926739837508332</v>
      </c>
      <c r="BM153" s="1979">
        <v>0.80478323588326783</v>
      </c>
      <c r="BN153" s="1979">
        <v>0.92736519078690816</v>
      </c>
      <c r="BO153" s="1979">
        <v>0.80521330240889022</v>
      </c>
      <c r="BP153" s="1979">
        <v>0.92793843129226994</v>
      </c>
      <c r="BQ153" s="1979">
        <v>0.8056075300573774</v>
      </c>
      <c r="BR153" s="1979">
        <v>0.9285637845708461</v>
      </c>
      <c r="BS153" s="1979">
        <v>0.80603759658300012</v>
      </c>
      <c r="BT153" s="1979">
        <v>0.93007505499407228</v>
      </c>
      <c r="BU153" s="1979">
        <v>0.80707692401992082</v>
      </c>
      <c r="BV153" s="2000">
        <v>1.2805331963082902</v>
      </c>
      <c r="BW153" s="1998">
        <v>1.2201673126426331</v>
      </c>
      <c r="BX153" s="1998">
        <v>1.2841749543854777</v>
      </c>
      <c r="BY153" s="1998">
        <v>1.2249549991787529</v>
      </c>
      <c r="BZ153" s="1998">
        <v>1.2890451801326868</v>
      </c>
      <c r="CA153" s="1998">
        <v>1.2309313884237052</v>
      </c>
      <c r="CB153" s="1998">
        <v>1.2939632561696572</v>
      </c>
      <c r="CC153" s="1998">
        <v>1.236942847101268</v>
      </c>
      <c r="CD153" s="1998">
        <v>1.2988813322066275</v>
      </c>
      <c r="CE153" s="1998">
        <v>1.2429543057788306</v>
      </c>
      <c r="CF153" s="1999">
        <v>1.0300148081165585</v>
      </c>
      <c r="CG153" s="1979">
        <v>0.95451945262926241</v>
      </c>
      <c r="CH153" s="1979">
        <v>1.0307155579174958</v>
      </c>
      <c r="CI153" s="1979">
        <v>0.95503454707669078</v>
      </c>
      <c r="CJ153" s="1979">
        <v>1.0313579119016885</v>
      </c>
      <c r="CK153" s="1979">
        <v>0.95550671698683354</v>
      </c>
      <c r="CL153" s="1979">
        <v>1.0320586617026257</v>
      </c>
      <c r="CM153" s="1979">
        <v>0.9560218114342619</v>
      </c>
      <c r="CN153" s="1979">
        <v>1.0337521403882242</v>
      </c>
      <c r="CO153" s="1979">
        <v>0.95726662301554744</v>
      </c>
      <c r="CP153" s="2000">
        <v>1.0253877535479898</v>
      </c>
      <c r="CQ153" s="1998">
        <v>0.93836935316167258</v>
      </c>
      <c r="CR153" s="1998">
        <v>1.0261231993019644</v>
      </c>
      <c r="CS153" s="1998">
        <v>0.93890870753678624</v>
      </c>
      <c r="CT153" s="1998">
        <v>1.0267973579097744</v>
      </c>
      <c r="CU153" s="1998">
        <v>0.93940311571397384</v>
      </c>
      <c r="CV153" s="1998">
        <v>1.0275328036637492</v>
      </c>
      <c r="CW153" s="1998">
        <v>0.93994247008908738</v>
      </c>
      <c r="CX153" s="1998">
        <v>1.0293101309025212</v>
      </c>
      <c r="CY153" s="1998">
        <v>0.94124590982894529</v>
      </c>
      <c r="CZ153" s="1999">
        <v>0.84886997653690077</v>
      </c>
      <c r="DA153" s="1979">
        <v>0.78405595380257942</v>
      </c>
      <c r="DB153" s="1979">
        <v>0.85032394742262918</v>
      </c>
      <c r="DC153" s="1979">
        <v>0.78511232557944988</v>
      </c>
      <c r="DD153" s="1979">
        <v>0.85177791830835758</v>
      </c>
      <c r="DE153" s="1979">
        <v>0.78616869735632033</v>
      </c>
      <c r="DF153" s="1979">
        <v>0.8532318891940861</v>
      </c>
      <c r="DG153" s="1979">
        <v>0.78722506913319079</v>
      </c>
      <c r="DH153" s="1979">
        <v>0.85468586007981451</v>
      </c>
      <c r="DI153" s="1979">
        <v>0.78828144091006114</v>
      </c>
      <c r="DJ153" s="2000">
        <v>0.86008003875431172</v>
      </c>
      <c r="DK153" s="1998">
        <v>0.78761528394427993</v>
      </c>
      <c r="DL153" s="1998">
        <v>0.86136231934027996</v>
      </c>
      <c r="DM153" s="1998">
        <v>0.78855955793403476</v>
      </c>
      <c r="DN153" s="1998">
        <v>0.86264459992624842</v>
      </c>
      <c r="DO153" s="1998">
        <v>0.7895038319237897</v>
      </c>
      <c r="DP153" s="1998">
        <v>0.86392688051221678</v>
      </c>
      <c r="DQ153" s="1998">
        <v>0.79044810591354453</v>
      </c>
      <c r="DR153" s="1998">
        <v>0.86520916109818513</v>
      </c>
      <c r="DS153" s="1998">
        <v>0.79139237990329947</v>
      </c>
      <c r="GT153" s="1980"/>
      <c r="GU153" s="1980"/>
      <c r="GV153" s="1980"/>
      <c r="GW153" s="1980"/>
      <c r="GX153" s="1980"/>
      <c r="GY153" s="1980"/>
      <c r="GZ153" s="1980"/>
      <c r="HA153" s="1980"/>
      <c r="HB153" s="1980"/>
      <c r="HC153" s="1980"/>
      <c r="HD153" s="1980"/>
      <c r="HE153" s="1980"/>
      <c r="HF153" s="1980"/>
      <c r="HG153" s="1980"/>
      <c r="HH153" s="1980"/>
      <c r="HI153" s="1980"/>
      <c r="HJ153" s="1980"/>
      <c r="HK153" s="1980"/>
      <c r="HL153" s="1980"/>
      <c r="HM153" s="1980"/>
      <c r="HN153" s="1980"/>
      <c r="HO153" s="1980"/>
      <c r="HP153" s="1980"/>
      <c r="HQ153" s="1980"/>
      <c r="HR153" s="1980"/>
      <c r="HS153" s="1980"/>
      <c r="HT153" s="1980"/>
      <c r="HU153" s="1980"/>
      <c r="HV153" s="1980"/>
      <c r="HW153" s="1980"/>
      <c r="HX153" s="1980"/>
      <c r="HY153" s="1980"/>
      <c r="HZ153" s="1980"/>
      <c r="IA153" s="1980"/>
      <c r="IB153" s="1980"/>
      <c r="IC153" s="1980"/>
      <c r="ID153" s="1980"/>
      <c r="IE153" s="1980"/>
      <c r="IF153" s="1980"/>
      <c r="IG153" s="1980"/>
      <c r="IH153" s="1980"/>
      <c r="II153" s="1980"/>
      <c r="IJ153" s="1980"/>
      <c r="IK153" s="1980"/>
      <c r="IL153" s="1980"/>
      <c r="IM153" s="1980"/>
      <c r="IN153" s="1980"/>
      <c r="IO153" s="1980"/>
      <c r="IP153" s="1980"/>
      <c r="IQ153" s="1980"/>
      <c r="IR153" s="1980"/>
      <c r="IS153" s="1980"/>
      <c r="IT153" s="1980"/>
      <c r="IU153" s="1980"/>
      <c r="IV153" s="1980"/>
      <c r="IW153" s="1980"/>
      <c r="IX153" s="1980"/>
      <c r="IY153" s="1980"/>
      <c r="IZ153" s="1980"/>
      <c r="JA153" s="1980"/>
      <c r="JB153" s="1980"/>
      <c r="JC153" s="1980"/>
      <c r="JD153" s="1980"/>
      <c r="JE153" s="1980"/>
      <c r="JF153" s="1980"/>
      <c r="JG153" s="1980"/>
      <c r="JH153" s="1980"/>
      <c r="JI153" s="1980"/>
      <c r="JJ153" s="1980"/>
      <c r="JK153" s="1980"/>
      <c r="JL153" s="1980"/>
      <c r="JM153" s="1980"/>
      <c r="JN153" s="1980"/>
      <c r="JO153" s="1980"/>
      <c r="JP153" s="1980"/>
      <c r="JQ153" s="1980"/>
      <c r="JR153" s="1980"/>
      <c r="JS153" s="1980"/>
      <c r="JT153" s="1980"/>
      <c r="JU153" s="1980"/>
      <c r="JV153" s="1980"/>
      <c r="JW153" s="1980"/>
      <c r="JX153" s="1980"/>
      <c r="JY153" s="1980"/>
      <c r="JZ153" s="1980"/>
      <c r="KA153" s="1980"/>
      <c r="KB153" s="1980"/>
      <c r="KC153" s="1980"/>
      <c r="KD153" s="1980"/>
      <c r="KE153" s="1980"/>
      <c r="KF153" s="1980"/>
      <c r="KG153" s="1980"/>
      <c r="KH153" s="1980"/>
      <c r="KI153" s="1980"/>
      <c r="KJ153" s="1980"/>
      <c r="KK153" s="1980"/>
    </row>
    <row r="154" spans="1:297">
      <c r="A154" s="1997"/>
      <c r="B154" s="2">
        <v>12</v>
      </c>
      <c r="C154" s="2" t="s">
        <v>4338</v>
      </c>
      <c r="D154" s="1979">
        <v>1.4273227564177857</v>
      </c>
      <c r="E154" s="1979">
        <v>1.2811819258494899</v>
      </c>
      <c r="F154" s="1979">
        <v>1.4326369908080328</v>
      </c>
      <c r="G154" s="1979">
        <v>1.2878461477851881</v>
      </c>
      <c r="H154" s="1979">
        <v>1.4397183774791398</v>
      </c>
      <c r="I154" s="1979">
        <v>1.2961377980232824</v>
      </c>
      <c r="J154" s="1979">
        <v>1.4468335230267295</v>
      </c>
      <c r="K154" s="1979">
        <v>1.3044531057047577</v>
      </c>
      <c r="L154" s="1979">
        <v>1.4539486685743188</v>
      </c>
      <c r="M154" s="1979">
        <v>1.3127684133862327</v>
      </c>
      <c r="N154" s="2000">
        <v>1.0188980803758665</v>
      </c>
      <c r="O154" s="1998">
        <v>0.92722416389232964</v>
      </c>
      <c r="P154" s="1998">
        <v>1.0215729507737377</v>
      </c>
      <c r="Q154" s="1998">
        <v>0.93040922896806844</v>
      </c>
      <c r="R154" s="1998">
        <v>1.0249869693039368</v>
      </c>
      <c r="S154" s="1998">
        <v>0.9342839874671065</v>
      </c>
      <c r="T154" s="1998">
        <v>1.0284609030156331</v>
      </c>
      <c r="U154" s="1998">
        <v>0.9382006781078891</v>
      </c>
      <c r="V154" s="1998">
        <v>1.0319348367273291</v>
      </c>
      <c r="W154" s="1998">
        <v>0.94211736874867191</v>
      </c>
      <c r="X154" s="1999">
        <v>1.3579463431530165</v>
      </c>
      <c r="Y154" s="1979">
        <v>1.2633515220319438</v>
      </c>
      <c r="Z154" s="1979">
        <v>1.3618866500125848</v>
      </c>
      <c r="AA154" s="1979">
        <v>1.268010097997563</v>
      </c>
      <c r="AB154" s="1979">
        <v>1.3591915138034667</v>
      </c>
      <c r="AC154" s="1979">
        <v>1.2653963965648618</v>
      </c>
      <c r="AD154" s="1979">
        <v>1.3596669900739582</v>
      </c>
      <c r="AE154" s="1979">
        <v>1.2657347869629174</v>
      </c>
      <c r="AF154" s="1979">
        <v>1.3605386965698592</v>
      </c>
      <c r="AG154" s="1979">
        <v>1.266355169359352</v>
      </c>
      <c r="AH154" s="2000">
        <v>1.0426987611382648</v>
      </c>
      <c r="AI154" s="1998">
        <v>0.96241132052333211</v>
      </c>
      <c r="AJ154" s="1998">
        <v>1.0453656137225416</v>
      </c>
      <c r="AK154" s="1998">
        <v>0.96560037608531613</v>
      </c>
      <c r="AL154" s="1998">
        <v>1.0435415093518858</v>
      </c>
      <c r="AM154" s="1998">
        <v>0.96381115140532037</v>
      </c>
      <c r="AN154" s="1998">
        <v>1.0438633180753973</v>
      </c>
      <c r="AO154" s="1998">
        <v>0.96404279854148478</v>
      </c>
      <c r="AP154" s="1998">
        <v>1.0444533007351686</v>
      </c>
      <c r="AQ154" s="1998">
        <v>0.96446748495778656</v>
      </c>
      <c r="AR154" s="1999">
        <v>1.3514332410634122</v>
      </c>
      <c r="AS154" s="1979">
        <v>1.251694559528185</v>
      </c>
      <c r="AT154" s="1979">
        <v>1.355358835441046</v>
      </c>
      <c r="AU154" s="1979">
        <v>1.2563533487051604</v>
      </c>
      <c r="AV154" s="1979">
        <v>1.352673762443805</v>
      </c>
      <c r="AW154" s="1979">
        <v>1.2537395276498897</v>
      </c>
      <c r="AX154" s="1979">
        <v>1.353147463361186</v>
      </c>
      <c r="AY154" s="1979">
        <v>1.2540779335352261</v>
      </c>
      <c r="AZ154" s="1979">
        <v>1.3540159150430506</v>
      </c>
      <c r="BA154" s="1979">
        <v>1.2546983443250099</v>
      </c>
      <c r="BB154" s="2000">
        <v>1.6302025318400855</v>
      </c>
      <c r="BC154" s="1998">
        <v>1.4528633352662719</v>
      </c>
      <c r="BD154" s="1998">
        <v>1.6310389947596726</v>
      </c>
      <c r="BE154" s="1998">
        <v>1.4534403538653493</v>
      </c>
      <c r="BF154" s="1998">
        <v>1.6318754576792596</v>
      </c>
      <c r="BG154" s="1998">
        <v>1.4540173724644274</v>
      </c>
      <c r="BH154" s="1998">
        <v>1.6327119205988465</v>
      </c>
      <c r="BI154" s="1998">
        <v>1.4545943910635055</v>
      </c>
      <c r="BJ154" s="1998">
        <v>1.6342454359514227</v>
      </c>
      <c r="BK154" s="1998">
        <v>1.4556522584951479</v>
      </c>
      <c r="BL154" s="1999">
        <v>1.039085244812485</v>
      </c>
      <c r="BM154" s="1979">
        <v>0.90158687200121379</v>
      </c>
      <c r="BN154" s="1979">
        <v>1.039710598091061</v>
      </c>
      <c r="BO154" s="1979">
        <v>0.90201693852683651</v>
      </c>
      <c r="BP154" s="1979">
        <v>1.0402838385964228</v>
      </c>
      <c r="BQ154" s="1979">
        <v>0.90241116617532369</v>
      </c>
      <c r="BR154" s="1979">
        <v>1.0409091918749991</v>
      </c>
      <c r="BS154" s="1979">
        <v>0.90284123270094607</v>
      </c>
      <c r="BT154" s="1979">
        <v>1.0424204622982252</v>
      </c>
      <c r="BU154" s="1979">
        <v>0.903880560137867</v>
      </c>
      <c r="BV154" s="2000">
        <v>1.4552626587641835</v>
      </c>
      <c r="BW154" s="1998">
        <v>1.3836887883229865</v>
      </c>
      <c r="BX154" s="1998">
        <v>1.4590320486373491</v>
      </c>
      <c r="BY154" s="1998">
        <v>1.3885988520732506</v>
      </c>
      <c r="BZ154" s="1998">
        <v>1.4640299061805369</v>
      </c>
      <c r="CA154" s="1998">
        <v>1.3946976185323474</v>
      </c>
      <c r="CB154" s="1998">
        <v>1.4690756140134855</v>
      </c>
      <c r="CC154" s="1998">
        <v>1.4008314544240541</v>
      </c>
      <c r="CD154" s="1998">
        <v>1.4741213218464342</v>
      </c>
      <c r="CE154" s="1998">
        <v>1.406965290315761</v>
      </c>
      <c r="CF154" s="1999">
        <v>1.1351699427322506</v>
      </c>
      <c r="CG154" s="1979">
        <v>1.0505709411001407</v>
      </c>
      <c r="CH154" s="1979">
        <v>1.1358706925331876</v>
      </c>
      <c r="CI154" s="1979">
        <v>1.0510860355475691</v>
      </c>
      <c r="CJ154" s="1979">
        <v>1.1365130465173805</v>
      </c>
      <c r="CK154" s="1979">
        <v>1.0515582054577119</v>
      </c>
      <c r="CL154" s="1979">
        <v>1.1372137963183175</v>
      </c>
      <c r="CM154" s="1979">
        <v>1.0520732999051403</v>
      </c>
      <c r="CN154" s="1979">
        <v>1.138907275003916</v>
      </c>
      <c r="CO154" s="1979">
        <v>1.0533181114864258</v>
      </c>
      <c r="CP154" s="2000">
        <v>1.1584535370579743</v>
      </c>
      <c r="CQ154" s="1998">
        <v>1.0590408786921961</v>
      </c>
      <c r="CR154" s="1998">
        <v>1.159188982811949</v>
      </c>
      <c r="CS154" s="1998">
        <v>1.0595802330673099</v>
      </c>
      <c r="CT154" s="1998">
        <v>1.1598631414197591</v>
      </c>
      <c r="CU154" s="1998">
        <v>1.0600746412444975</v>
      </c>
      <c r="CV154" s="1998">
        <v>1.1605985871737339</v>
      </c>
      <c r="CW154" s="1998">
        <v>1.060613995619611</v>
      </c>
      <c r="CX154" s="1998">
        <v>1.1623759144125059</v>
      </c>
      <c r="CY154" s="1998">
        <v>1.0619174353594689</v>
      </c>
      <c r="CZ154" s="1999">
        <v>0.79297289697717388</v>
      </c>
      <c r="DA154" s="1979">
        <v>0.78599429641873408</v>
      </c>
      <c r="DB154" s="1979">
        <v>0.79588083874863047</v>
      </c>
      <c r="DC154" s="1979">
        <v>0.788107039972475</v>
      </c>
      <c r="DD154" s="1979">
        <v>0.79878878052008728</v>
      </c>
      <c r="DE154" s="1979">
        <v>0.7902197835262158</v>
      </c>
      <c r="DF154" s="1979">
        <v>0.80169672229154409</v>
      </c>
      <c r="DG154" s="1979">
        <v>0.79233252707995661</v>
      </c>
      <c r="DH154" s="1979">
        <v>0.80460466406300069</v>
      </c>
      <c r="DI154" s="1979">
        <v>0.79444527063369741</v>
      </c>
      <c r="DJ154" s="2000">
        <v>0.93250879496578809</v>
      </c>
      <c r="DK154" s="1998">
        <v>0.8869481187950824</v>
      </c>
      <c r="DL154" s="1998">
        <v>0.93507335613772469</v>
      </c>
      <c r="DM154" s="1998">
        <v>0.88883666677459228</v>
      </c>
      <c r="DN154" s="1998">
        <v>0.93763791730966151</v>
      </c>
      <c r="DO154" s="1998">
        <v>0.89072521475410193</v>
      </c>
      <c r="DP154" s="1998">
        <v>0.94020247848159821</v>
      </c>
      <c r="DQ154" s="1998">
        <v>0.8926137627336117</v>
      </c>
      <c r="DR154" s="1998">
        <v>0.94276703965353481</v>
      </c>
      <c r="DS154" s="1998">
        <v>0.89450231071312147</v>
      </c>
      <c r="GT154" s="1980"/>
      <c r="GU154" s="1980"/>
      <c r="GV154" s="1980"/>
      <c r="GW154" s="1980"/>
      <c r="GX154" s="1980"/>
      <c r="GY154" s="1980"/>
      <c r="GZ154" s="1980"/>
      <c r="HA154" s="1980"/>
      <c r="HB154" s="1980"/>
      <c r="HC154" s="1980"/>
      <c r="HD154" s="1980"/>
      <c r="HE154" s="1980"/>
      <c r="HF154" s="1980"/>
      <c r="HG154" s="1980"/>
      <c r="HH154" s="1980"/>
      <c r="HI154" s="1980"/>
      <c r="HJ154" s="1980"/>
      <c r="HK154" s="1980"/>
      <c r="HL154" s="1980"/>
      <c r="HM154" s="1980"/>
      <c r="HN154" s="1980"/>
      <c r="HO154" s="1980"/>
      <c r="HP154" s="1980"/>
      <c r="HQ154" s="1980"/>
      <c r="HR154" s="1980"/>
      <c r="HS154" s="1980"/>
      <c r="HT154" s="1980"/>
      <c r="HU154" s="1980"/>
      <c r="HV154" s="1980"/>
      <c r="HW154" s="1980"/>
      <c r="HX154" s="1980"/>
      <c r="HY154" s="1980"/>
      <c r="HZ154" s="1980"/>
      <c r="IA154" s="1980"/>
      <c r="IB154" s="1980"/>
      <c r="IC154" s="1980"/>
      <c r="ID154" s="1980"/>
      <c r="IE154" s="1980"/>
      <c r="IF154" s="1980"/>
      <c r="IG154" s="1980"/>
      <c r="IH154" s="1980"/>
      <c r="II154" s="1980"/>
      <c r="IJ154" s="1980"/>
      <c r="IK154" s="1980"/>
      <c r="IL154" s="1980"/>
      <c r="IM154" s="1980"/>
      <c r="IN154" s="1980"/>
      <c r="IO154" s="1980"/>
      <c r="IP154" s="1980"/>
      <c r="IQ154" s="1980"/>
      <c r="IR154" s="1980"/>
      <c r="IS154" s="1980"/>
      <c r="IT154" s="1980"/>
      <c r="IU154" s="1980"/>
      <c r="IV154" s="1980"/>
      <c r="IW154" s="1980"/>
      <c r="IX154" s="1980"/>
      <c r="IY154" s="1980"/>
      <c r="IZ154" s="1980"/>
      <c r="JA154" s="1980"/>
      <c r="JB154" s="1980"/>
      <c r="JC154" s="1980"/>
      <c r="JD154" s="1980"/>
      <c r="JE154" s="1980"/>
      <c r="JF154" s="1980"/>
      <c r="JG154" s="1980"/>
      <c r="JH154" s="1980"/>
      <c r="JI154" s="1980"/>
      <c r="JJ154" s="1980"/>
      <c r="JK154" s="1980"/>
      <c r="JL154" s="1980"/>
      <c r="JM154" s="1980"/>
      <c r="JN154" s="1980"/>
      <c r="JO154" s="1980"/>
      <c r="JP154" s="1980"/>
      <c r="JQ154" s="1980"/>
      <c r="JR154" s="1980"/>
      <c r="JS154" s="1980"/>
      <c r="JT154" s="1980"/>
      <c r="JU154" s="1980"/>
      <c r="JV154" s="1980"/>
      <c r="JW154" s="1980"/>
      <c r="JX154" s="1980"/>
      <c r="JY154" s="1980"/>
      <c r="JZ154" s="1980"/>
      <c r="KA154" s="1980"/>
      <c r="KB154" s="1980"/>
      <c r="KC154" s="1980"/>
      <c r="KD154" s="1980"/>
      <c r="KE154" s="1980"/>
      <c r="KF154" s="1980"/>
      <c r="KG154" s="1980"/>
      <c r="KH154" s="1980"/>
      <c r="KI154" s="1980"/>
      <c r="KJ154" s="1980"/>
      <c r="KK154" s="1980"/>
    </row>
    <row r="155" spans="1:297">
      <c r="A155" s="1997"/>
      <c r="B155" s="2">
        <v>13</v>
      </c>
      <c r="C155" s="2" t="str">
        <f>CONCATENATE($U$8," ",V$10)</f>
        <v>Proportion de fenêtres 0</v>
      </c>
      <c r="D155" s="1979">
        <v>0</v>
      </c>
      <c r="E155" s="1979">
        <v>0</v>
      </c>
      <c r="F155" s="1979">
        <v>0</v>
      </c>
      <c r="G155" s="1979">
        <v>0</v>
      </c>
      <c r="H155" s="1979">
        <v>0</v>
      </c>
      <c r="I155" s="1979">
        <v>0</v>
      </c>
      <c r="J155" s="1979">
        <v>0</v>
      </c>
      <c r="K155" s="1979">
        <v>0</v>
      </c>
      <c r="L155" s="1979">
        <v>0</v>
      </c>
      <c r="M155" s="1979">
        <v>0</v>
      </c>
      <c r="N155" s="2000">
        <v>0</v>
      </c>
      <c r="O155" s="1998">
        <v>0</v>
      </c>
      <c r="P155" s="1998">
        <v>0</v>
      </c>
      <c r="Q155" s="1998">
        <v>0</v>
      </c>
      <c r="R155" s="1998">
        <v>0</v>
      </c>
      <c r="S155" s="1998">
        <v>0</v>
      </c>
      <c r="T155" s="1998">
        <v>0</v>
      </c>
      <c r="U155" s="1998">
        <v>0</v>
      </c>
      <c r="V155" s="1998">
        <v>0</v>
      </c>
      <c r="W155" s="1998">
        <v>0</v>
      </c>
      <c r="X155" s="1999">
        <v>0</v>
      </c>
      <c r="Y155" s="1979">
        <v>0</v>
      </c>
      <c r="Z155" s="1979">
        <v>0</v>
      </c>
      <c r="AA155" s="1979">
        <v>0</v>
      </c>
      <c r="AB155" s="1979">
        <v>0</v>
      </c>
      <c r="AC155" s="1979">
        <v>0</v>
      </c>
      <c r="AD155" s="1979">
        <v>0</v>
      </c>
      <c r="AE155" s="1979">
        <v>0</v>
      </c>
      <c r="AF155" s="1979">
        <v>0</v>
      </c>
      <c r="AG155" s="1979">
        <v>0</v>
      </c>
      <c r="AH155" s="2000">
        <v>0</v>
      </c>
      <c r="AI155" s="1998">
        <v>0</v>
      </c>
      <c r="AJ155" s="1998">
        <v>0</v>
      </c>
      <c r="AK155" s="1998">
        <v>0</v>
      </c>
      <c r="AL155" s="1998">
        <v>0</v>
      </c>
      <c r="AM155" s="1998">
        <v>0</v>
      </c>
      <c r="AN155" s="1998">
        <v>0</v>
      </c>
      <c r="AO155" s="1998">
        <v>0</v>
      </c>
      <c r="AP155" s="1998">
        <v>0</v>
      </c>
      <c r="AQ155" s="1998">
        <v>0</v>
      </c>
      <c r="AR155" s="1999">
        <v>0.87178575247197099</v>
      </c>
      <c r="AS155" s="1979">
        <v>0.78271377767574524</v>
      </c>
      <c r="AT155" s="1979">
        <v>0.8776968085448531</v>
      </c>
      <c r="AU155" s="1979">
        <v>0.79002721845692236</v>
      </c>
      <c r="AV155" s="1979">
        <v>0.8725900856596106</v>
      </c>
      <c r="AW155" s="1979">
        <v>0.7852196421843558</v>
      </c>
      <c r="AX155" s="1979">
        <v>0.87274798596540415</v>
      </c>
      <c r="AY155" s="1979">
        <v>0.78533244414613479</v>
      </c>
      <c r="AZ155" s="1979">
        <v>0.87303746985935904</v>
      </c>
      <c r="BA155" s="1979">
        <v>0.78553924774272921</v>
      </c>
      <c r="BB155" s="2000">
        <v>0</v>
      </c>
      <c r="BC155" s="1998">
        <v>0</v>
      </c>
      <c r="BD155" s="1998">
        <v>0</v>
      </c>
      <c r="BE155" s="1998">
        <v>0</v>
      </c>
      <c r="BF155" s="1998">
        <v>0</v>
      </c>
      <c r="BG155" s="1998">
        <v>0</v>
      </c>
      <c r="BH155" s="1998">
        <v>0</v>
      </c>
      <c r="BI155" s="1998">
        <v>0</v>
      </c>
      <c r="BJ155" s="1998">
        <v>0</v>
      </c>
      <c r="BK155" s="1998">
        <v>0</v>
      </c>
      <c r="BL155" s="1999">
        <v>0.88455707349200596</v>
      </c>
      <c r="BM155" s="1979">
        <v>0.76555210284658426</v>
      </c>
      <c r="BN155" s="1979">
        <v>0.88518242677058234</v>
      </c>
      <c r="BO155" s="1979">
        <v>0.76598216937220676</v>
      </c>
      <c r="BP155" s="1979">
        <v>0.8857556672759439</v>
      </c>
      <c r="BQ155" s="1979">
        <v>0.76637639702069416</v>
      </c>
      <c r="BR155" s="1979">
        <v>0.88638102055452017</v>
      </c>
      <c r="BS155" s="1979">
        <v>0.76680646354631632</v>
      </c>
      <c r="BT155" s="1979">
        <v>0.88789229097774625</v>
      </c>
      <c r="BU155" s="1979">
        <v>0.76784579098323724</v>
      </c>
      <c r="BV155" s="2000">
        <v>0.93635837789491072</v>
      </c>
      <c r="BW155" s="1998">
        <v>0.87453399975258794</v>
      </c>
      <c r="BX155" s="1998">
        <v>0.94029185366904333</v>
      </c>
      <c r="BY155" s="1998">
        <v>0.87978770085116142</v>
      </c>
      <c r="BZ155" s="1998">
        <v>0.94562529943061091</v>
      </c>
      <c r="CA155" s="1998">
        <v>0.8863918435344007</v>
      </c>
      <c r="CB155" s="1998">
        <v>0.95099463290949937</v>
      </c>
      <c r="CC155" s="1998">
        <v>0.89302228829209729</v>
      </c>
      <c r="CD155" s="1998">
        <v>0.95636396638838805</v>
      </c>
      <c r="CE155" s="1998">
        <v>0.89965273304979398</v>
      </c>
      <c r="CF155" s="1999">
        <v>0.89189768564011129</v>
      </c>
      <c r="CG155" s="1979">
        <v>0.82732880159344646</v>
      </c>
      <c r="CH155" s="1979">
        <v>0.89259843544104855</v>
      </c>
      <c r="CI155" s="1979">
        <v>0.82784389604087483</v>
      </c>
      <c r="CJ155" s="1979">
        <v>0.89324078942524121</v>
      </c>
      <c r="CK155" s="1979">
        <v>0.82831606595101737</v>
      </c>
      <c r="CL155" s="1979">
        <v>0.89394153922617847</v>
      </c>
      <c r="CM155" s="1979">
        <v>0.82883116039844618</v>
      </c>
      <c r="CN155" s="1979">
        <v>0.89563501791177702</v>
      </c>
      <c r="CO155" s="1979">
        <v>0.83007597197973138</v>
      </c>
      <c r="CP155" s="2000">
        <v>0.88978514662127728</v>
      </c>
      <c r="CQ155" s="1998">
        <v>0.81424903056824049</v>
      </c>
      <c r="CR155" s="1998">
        <v>0.89052059237525194</v>
      </c>
      <c r="CS155" s="1998">
        <v>0.81478838494335415</v>
      </c>
      <c r="CT155" s="1998">
        <v>0.891194750983062</v>
      </c>
      <c r="CU155" s="1998">
        <v>0.81528279312054164</v>
      </c>
      <c r="CV155" s="1998">
        <v>0.89193019673703666</v>
      </c>
      <c r="CW155" s="1998">
        <v>0.8158221474956554</v>
      </c>
      <c r="CX155" s="1998">
        <v>0.89370752397580855</v>
      </c>
      <c r="CY155" s="1998">
        <v>0.81712558723551354</v>
      </c>
      <c r="CZ155" s="1999">
        <v>0.89304989975604132</v>
      </c>
      <c r="DA155" s="1979">
        <v>0.86050185495146003</v>
      </c>
      <c r="DB155" s="1979">
        <v>0.89595784152749813</v>
      </c>
      <c r="DC155" s="1979">
        <v>0.86261459850520072</v>
      </c>
      <c r="DD155" s="1979">
        <v>0.89886578329895506</v>
      </c>
      <c r="DE155" s="1979">
        <v>0.86472734205894175</v>
      </c>
      <c r="DF155" s="1979">
        <v>0.90177372507041176</v>
      </c>
      <c r="DG155" s="1979">
        <v>0.86684008561268278</v>
      </c>
      <c r="DH155" s="1979">
        <v>0.90468166684186846</v>
      </c>
      <c r="DI155" s="1979">
        <v>0.86895282916642347</v>
      </c>
      <c r="DJ155" s="2000">
        <v>0.9098252978243514</v>
      </c>
      <c r="DK155" s="1998">
        <v>0.8617573123434481</v>
      </c>
      <c r="DL155" s="1998">
        <v>0.91238985899628811</v>
      </c>
      <c r="DM155" s="1998">
        <v>0.86364586032295787</v>
      </c>
      <c r="DN155" s="1998">
        <v>0.91495442016822481</v>
      </c>
      <c r="DO155" s="1998">
        <v>0.86553440830246764</v>
      </c>
      <c r="DP155" s="1998">
        <v>0.91751898134016163</v>
      </c>
      <c r="DQ155" s="1998">
        <v>0.86742295628197763</v>
      </c>
      <c r="DR155" s="1998">
        <v>0.92008354251209834</v>
      </c>
      <c r="DS155" s="1998">
        <v>0.86931150426148729</v>
      </c>
      <c r="GT155" s="1980"/>
      <c r="GU155" s="1980"/>
      <c r="GV155" s="1980"/>
      <c r="GW155" s="1980"/>
      <c r="GX155" s="1980"/>
      <c r="GY155" s="1980"/>
      <c r="GZ155" s="1980"/>
      <c r="HA155" s="1980"/>
      <c r="HB155" s="1980"/>
      <c r="HC155" s="1980"/>
      <c r="HD155" s="1980"/>
      <c r="HE155" s="1980"/>
      <c r="HF155" s="1980"/>
      <c r="HG155" s="1980"/>
      <c r="HH155" s="1980"/>
      <c r="HI155" s="1980"/>
      <c r="HJ155" s="1980"/>
      <c r="HK155" s="1980"/>
      <c r="HL155" s="1980"/>
      <c r="HM155" s="1980"/>
      <c r="HN155" s="1980"/>
      <c r="HO155" s="1980"/>
      <c r="HP155" s="1980"/>
      <c r="HQ155" s="1980"/>
      <c r="HR155" s="1980"/>
      <c r="HS155" s="1980"/>
      <c r="HT155" s="1980"/>
      <c r="HU155" s="1980"/>
      <c r="HV155" s="1980"/>
      <c r="HW155" s="1980"/>
      <c r="HX155" s="1980"/>
      <c r="HY155" s="1980"/>
      <c r="HZ155" s="1980"/>
      <c r="IA155" s="1980"/>
      <c r="IB155" s="1980"/>
      <c r="IC155" s="1980"/>
      <c r="ID155" s="1980"/>
      <c r="IE155" s="1980"/>
      <c r="IF155" s="1980"/>
      <c r="IG155" s="1980"/>
      <c r="IH155" s="1980"/>
      <c r="II155" s="1980"/>
      <c r="IJ155" s="1980"/>
      <c r="IK155" s="1980"/>
      <c r="IL155" s="1980"/>
      <c r="IM155" s="1980"/>
      <c r="IN155" s="1980"/>
      <c r="IO155" s="1980"/>
      <c r="IP155" s="1980"/>
      <c r="IQ155" s="1980"/>
      <c r="IR155" s="1980"/>
      <c r="IS155" s="1980"/>
      <c r="IT155" s="1980"/>
      <c r="IU155" s="1980"/>
      <c r="IV155" s="1980"/>
      <c r="IW155" s="1980"/>
      <c r="IX155" s="1980"/>
      <c r="IY155" s="1980"/>
      <c r="IZ155" s="1980"/>
      <c r="JA155" s="1980"/>
      <c r="JB155" s="1980"/>
      <c r="JC155" s="1980"/>
      <c r="JD155" s="1980"/>
      <c r="JE155" s="1980"/>
      <c r="JF155" s="1980"/>
      <c r="JG155" s="1980"/>
      <c r="JH155" s="1980"/>
      <c r="JI155" s="1980"/>
      <c r="JJ155" s="1980"/>
      <c r="JK155" s="1980"/>
      <c r="JL155" s="1980"/>
      <c r="JM155" s="1980"/>
      <c r="JN155" s="1980"/>
      <c r="JO155" s="1980"/>
      <c r="JP155" s="1980"/>
      <c r="JQ155" s="1980"/>
      <c r="JR155" s="1980"/>
      <c r="JS155" s="1980"/>
      <c r="JT155" s="1980"/>
      <c r="JU155" s="1980"/>
      <c r="JV155" s="1980"/>
      <c r="JW155" s="1980"/>
      <c r="JX155" s="1980"/>
      <c r="JY155" s="1980"/>
      <c r="JZ155" s="1980"/>
      <c r="KA155" s="1980"/>
      <c r="KB155" s="1980"/>
      <c r="KC155" s="1980"/>
      <c r="KD155" s="1980"/>
      <c r="KE155" s="1980"/>
      <c r="KF155" s="1980"/>
      <c r="KG155" s="1980"/>
      <c r="KH155" s="1980"/>
      <c r="KI155" s="1980"/>
      <c r="KJ155" s="1980"/>
      <c r="KK155" s="1980"/>
    </row>
    <row r="156" spans="1:297">
      <c r="A156" s="1997"/>
      <c r="B156" s="2">
        <v>14</v>
      </c>
      <c r="C156" s="2" t="str">
        <f>CONCATENATE($U$8," ",V$11)</f>
        <v>Proportion de fenêtres 10</v>
      </c>
      <c r="D156" s="1979">
        <v>0</v>
      </c>
      <c r="E156" s="1979">
        <v>0</v>
      </c>
      <c r="F156" s="1979">
        <v>0</v>
      </c>
      <c r="G156" s="1979">
        <v>0</v>
      </c>
      <c r="H156" s="1979">
        <v>0</v>
      </c>
      <c r="I156" s="1979">
        <v>0</v>
      </c>
      <c r="J156" s="1979">
        <v>0</v>
      </c>
      <c r="K156" s="1979">
        <v>0</v>
      </c>
      <c r="L156" s="1979">
        <v>0</v>
      </c>
      <c r="M156" s="1979">
        <v>0</v>
      </c>
      <c r="N156" s="2000">
        <v>0</v>
      </c>
      <c r="O156" s="1998">
        <v>0</v>
      </c>
      <c r="P156" s="1998">
        <v>0</v>
      </c>
      <c r="Q156" s="1998">
        <v>0</v>
      </c>
      <c r="R156" s="1998">
        <v>0</v>
      </c>
      <c r="S156" s="1998">
        <v>0</v>
      </c>
      <c r="T156" s="1998">
        <v>0</v>
      </c>
      <c r="U156" s="1998">
        <v>0</v>
      </c>
      <c r="V156" s="1998">
        <v>0</v>
      </c>
      <c r="W156" s="1998">
        <v>0</v>
      </c>
      <c r="X156" s="1999">
        <v>0</v>
      </c>
      <c r="Y156" s="1979">
        <v>0</v>
      </c>
      <c r="Z156" s="1979">
        <v>0</v>
      </c>
      <c r="AA156" s="1979">
        <v>0</v>
      </c>
      <c r="AB156" s="1979">
        <v>0</v>
      </c>
      <c r="AC156" s="1979">
        <v>0</v>
      </c>
      <c r="AD156" s="1979">
        <v>0</v>
      </c>
      <c r="AE156" s="1979">
        <v>0</v>
      </c>
      <c r="AF156" s="1979">
        <v>0</v>
      </c>
      <c r="AG156" s="1979">
        <v>0</v>
      </c>
      <c r="AH156" s="2000">
        <v>0</v>
      </c>
      <c r="AI156" s="1998">
        <v>0</v>
      </c>
      <c r="AJ156" s="1998">
        <v>0</v>
      </c>
      <c r="AK156" s="1998">
        <v>0</v>
      </c>
      <c r="AL156" s="1998">
        <v>0</v>
      </c>
      <c r="AM156" s="1998">
        <v>0</v>
      </c>
      <c r="AN156" s="1998">
        <v>0</v>
      </c>
      <c r="AO156" s="1998">
        <v>0</v>
      </c>
      <c r="AP156" s="1998">
        <v>0</v>
      </c>
      <c r="AQ156" s="1998">
        <v>0</v>
      </c>
      <c r="AR156" s="1999">
        <v>0.87579196666039227</v>
      </c>
      <c r="AS156" s="1979">
        <v>0.78701504248304754</v>
      </c>
      <c r="AT156" s="1979">
        <v>0.88170302273327439</v>
      </c>
      <c r="AU156" s="1979">
        <v>0.79432848326422456</v>
      </c>
      <c r="AV156" s="1979">
        <v>0.87659629984803178</v>
      </c>
      <c r="AW156" s="1979">
        <v>0.78952090699165811</v>
      </c>
      <c r="AX156" s="1979">
        <v>0.87675420015382544</v>
      </c>
      <c r="AY156" s="1979">
        <v>0.7896337089534371</v>
      </c>
      <c r="AZ156" s="1979">
        <v>0.87704368404778033</v>
      </c>
      <c r="BA156" s="1979">
        <v>0.78984051255003163</v>
      </c>
      <c r="BB156" s="2000">
        <v>0</v>
      </c>
      <c r="BC156" s="1998">
        <v>0</v>
      </c>
      <c r="BD156" s="1998">
        <v>0</v>
      </c>
      <c r="BE156" s="1998">
        <v>0</v>
      </c>
      <c r="BF156" s="1998">
        <v>0</v>
      </c>
      <c r="BG156" s="1998">
        <v>0</v>
      </c>
      <c r="BH156" s="1998">
        <v>0</v>
      </c>
      <c r="BI156" s="1998">
        <v>0</v>
      </c>
      <c r="BJ156" s="1998">
        <v>0</v>
      </c>
      <c r="BK156" s="1998">
        <v>0</v>
      </c>
      <c r="BL156" s="1999">
        <v>0.88785205959612545</v>
      </c>
      <c r="BM156" s="1979">
        <v>0.76896938545736981</v>
      </c>
      <c r="BN156" s="1979">
        <v>0.88847741287470161</v>
      </c>
      <c r="BO156" s="1979">
        <v>0.7693994519829922</v>
      </c>
      <c r="BP156" s="1979">
        <v>0.88905065338006339</v>
      </c>
      <c r="BQ156" s="1979">
        <v>0.76979367963147949</v>
      </c>
      <c r="BR156" s="1979">
        <v>0.88967600665863955</v>
      </c>
      <c r="BS156" s="1979">
        <v>0.77022374615710176</v>
      </c>
      <c r="BT156" s="1979">
        <v>0.89118727708186563</v>
      </c>
      <c r="BU156" s="1979">
        <v>0.77126307359402269</v>
      </c>
      <c r="BV156" s="2000">
        <v>0.9382217034717919</v>
      </c>
      <c r="BW156" s="1998">
        <v>0.8765672805755691</v>
      </c>
      <c r="BX156" s="1998">
        <v>0.94211050811733199</v>
      </c>
      <c r="BY156" s="1998">
        <v>0.8817781496491921</v>
      </c>
      <c r="BZ156" s="1998">
        <v>0.94739928275030727</v>
      </c>
      <c r="CA156" s="1998">
        <v>0.88833946030748068</v>
      </c>
      <c r="CB156" s="1998">
        <v>0.95272394510060343</v>
      </c>
      <c r="CC156" s="1998">
        <v>0.89492707304022712</v>
      </c>
      <c r="CD156" s="1998">
        <v>0.95804860745089937</v>
      </c>
      <c r="CE156" s="1998">
        <v>0.90151468577297333</v>
      </c>
      <c r="CF156" s="1999">
        <v>0.89354241533781065</v>
      </c>
      <c r="CG156" s="1979">
        <v>0.82915200666159938</v>
      </c>
      <c r="CH156" s="1979">
        <v>0.89424316513874802</v>
      </c>
      <c r="CI156" s="1979">
        <v>0.82966710110902775</v>
      </c>
      <c r="CJ156" s="1979">
        <v>0.89488551912294056</v>
      </c>
      <c r="CK156" s="1979">
        <v>0.83013927101917084</v>
      </c>
      <c r="CL156" s="1979">
        <v>0.89558626892387794</v>
      </c>
      <c r="CM156" s="1979">
        <v>0.83065436546659921</v>
      </c>
      <c r="CN156" s="1979">
        <v>0.89727974760947637</v>
      </c>
      <c r="CO156" s="1979">
        <v>0.8318991770478843</v>
      </c>
      <c r="CP156" s="2000">
        <v>0.89158176687879787</v>
      </c>
      <c r="CQ156" s="1998">
        <v>0.81623602638660797</v>
      </c>
      <c r="CR156" s="1998">
        <v>0.89231721263277253</v>
      </c>
      <c r="CS156" s="1998">
        <v>0.81677538076172151</v>
      </c>
      <c r="CT156" s="1998">
        <v>0.89299137124058259</v>
      </c>
      <c r="CU156" s="1998">
        <v>0.81726978893890911</v>
      </c>
      <c r="CV156" s="1998">
        <v>0.89372681699455725</v>
      </c>
      <c r="CW156" s="1998">
        <v>0.81780914331402277</v>
      </c>
      <c r="CX156" s="1998">
        <v>0.89550414423332914</v>
      </c>
      <c r="CY156" s="1998">
        <v>0.81911258305388102</v>
      </c>
      <c r="CZ156" s="1999">
        <v>0.89572671388974834</v>
      </c>
      <c r="DA156" s="1979">
        <v>0.86343474914639462</v>
      </c>
      <c r="DB156" s="1979">
        <v>0.89863465566120526</v>
      </c>
      <c r="DC156" s="1979">
        <v>0.86554749270013565</v>
      </c>
      <c r="DD156" s="1979">
        <v>0.90154259743266196</v>
      </c>
      <c r="DE156" s="1979">
        <v>0.86766023625387645</v>
      </c>
      <c r="DF156" s="1979">
        <v>0.90445053920411866</v>
      </c>
      <c r="DG156" s="1979">
        <v>0.86977297980761747</v>
      </c>
      <c r="DH156" s="1979">
        <v>0.90735848097557548</v>
      </c>
      <c r="DI156" s="1979">
        <v>0.87188572336135839</v>
      </c>
      <c r="DJ156" s="2000">
        <v>0.91436199725263878</v>
      </c>
      <c r="DK156" s="1998">
        <v>0.86679547363377507</v>
      </c>
      <c r="DL156" s="1998">
        <v>0.9169265584245756</v>
      </c>
      <c r="DM156" s="1998">
        <v>0.86868402161328495</v>
      </c>
      <c r="DN156" s="1998">
        <v>0.9194911195965122</v>
      </c>
      <c r="DO156" s="1998">
        <v>0.87057256959279461</v>
      </c>
      <c r="DP156" s="1998">
        <v>0.9220556807684489</v>
      </c>
      <c r="DQ156" s="1998">
        <v>0.87246111757230438</v>
      </c>
      <c r="DR156" s="1998">
        <v>0.92462024194038572</v>
      </c>
      <c r="DS156" s="1998">
        <v>0.87434966555181426</v>
      </c>
      <c r="GT156" s="1980"/>
      <c r="GU156" s="1980"/>
      <c r="GV156" s="1980"/>
      <c r="GW156" s="1980"/>
      <c r="GX156" s="1980"/>
      <c r="GY156" s="1980"/>
      <c r="GZ156" s="1980"/>
      <c r="HA156" s="1980"/>
      <c r="HB156" s="1980"/>
      <c r="HC156" s="1980"/>
      <c r="HD156" s="1980"/>
      <c r="HE156" s="1980"/>
      <c r="HF156" s="1980"/>
      <c r="HG156" s="1980"/>
      <c r="HH156" s="1980"/>
      <c r="HI156" s="1980"/>
      <c r="HJ156" s="1980"/>
      <c r="HK156" s="1980"/>
      <c r="HL156" s="1980"/>
      <c r="HM156" s="1980"/>
      <c r="HN156" s="1980"/>
      <c r="HO156" s="1980"/>
      <c r="HP156" s="1980"/>
      <c r="HQ156" s="1980"/>
      <c r="HR156" s="1980"/>
      <c r="HS156" s="1980"/>
      <c r="HT156" s="1980"/>
      <c r="HU156" s="1980"/>
      <c r="HV156" s="1980"/>
      <c r="HW156" s="1980"/>
      <c r="HX156" s="1980"/>
      <c r="HY156" s="1980"/>
      <c r="HZ156" s="1980"/>
      <c r="IA156" s="1980"/>
      <c r="IB156" s="1980"/>
      <c r="IC156" s="1980"/>
      <c r="ID156" s="1980"/>
      <c r="IE156" s="1980"/>
      <c r="IF156" s="1980"/>
      <c r="IG156" s="1980"/>
      <c r="IH156" s="1980"/>
      <c r="II156" s="1980"/>
      <c r="IJ156" s="1980"/>
      <c r="IK156" s="1980"/>
      <c r="IL156" s="1980"/>
      <c r="IM156" s="1980"/>
      <c r="IN156" s="1980"/>
      <c r="IO156" s="1980"/>
      <c r="IP156" s="1980"/>
      <c r="IQ156" s="1980"/>
      <c r="IR156" s="1980"/>
      <c r="IS156" s="1980"/>
      <c r="IT156" s="1980"/>
      <c r="IU156" s="1980"/>
      <c r="IV156" s="1980"/>
      <c r="IW156" s="1980"/>
      <c r="IX156" s="1980"/>
      <c r="IY156" s="1980"/>
      <c r="IZ156" s="1980"/>
      <c r="JA156" s="1980"/>
      <c r="JB156" s="1980"/>
      <c r="JC156" s="1980"/>
      <c r="JD156" s="1980"/>
      <c r="JE156" s="1980"/>
      <c r="JF156" s="1980"/>
      <c r="JG156" s="1980"/>
      <c r="JH156" s="1980"/>
      <c r="JI156" s="1980"/>
      <c r="JJ156" s="1980"/>
      <c r="JK156" s="1980"/>
      <c r="JL156" s="1980"/>
      <c r="JM156" s="1980"/>
      <c r="JN156" s="1980"/>
      <c r="JO156" s="1980"/>
      <c r="JP156" s="1980"/>
      <c r="JQ156" s="1980"/>
      <c r="JR156" s="1980"/>
      <c r="JS156" s="1980"/>
      <c r="JT156" s="1980"/>
      <c r="JU156" s="1980"/>
      <c r="JV156" s="1980"/>
      <c r="JW156" s="1980"/>
      <c r="JX156" s="1980"/>
      <c r="JY156" s="1980"/>
      <c r="JZ156" s="1980"/>
      <c r="KA156" s="1980"/>
      <c r="KB156" s="1980"/>
      <c r="KC156" s="1980"/>
      <c r="KD156" s="1980"/>
      <c r="KE156" s="1980"/>
      <c r="KF156" s="1980"/>
      <c r="KG156" s="1980"/>
      <c r="KH156" s="1980"/>
      <c r="KI156" s="1980"/>
      <c r="KJ156" s="1980"/>
      <c r="KK156" s="1980"/>
    </row>
    <row r="157" spans="1:297">
      <c r="A157" s="1997"/>
      <c r="B157" s="2">
        <v>15</v>
      </c>
      <c r="C157" s="2" t="str">
        <f>CONCATENATE($U$8," ",V$12)</f>
        <v>Proportion de fenêtres 20</v>
      </c>
      <c r="D157" s="1979">
        <v>0</v>
      </c>
      <c r="E157" s="1979">
        <v>0</v>
      </c>
      <c r="F157" s="1979">
        <v>0</v>
      </c>
      <c r="G157" s="1979">
        <v>0</v>
      </c>
      <c r="H157" s="1979">
        <v>0</v>
      </c>
      <c r="I157" s="1979">
        <v>0</v>
      </c>
      <c r="J157" s="1979">
        <v>0</v>
      </c>
      <c r="K157" s="1979">
        <v>0</v>
      </c>
      <c r="L157" s="1979">
        <v>0</v>
      </c>
      <c r="M157" s="1979">
        <v>0</v>
      </c>
      <c r="N157" s="2000">
        <v>0</v>
      </c>
      <c r="O157" s="1998">
        <v>0</v>
      </c>
      <c r="P157" s="1998">
        <v>0</v>
      </c>
      <c r="Q157" s="1998">
        <v>0</v>
      </c>
      <c r="R157" s="1998">
        <v>0</v>
      </c>
      <c r="S157" s="1998">
        <v>0</v>
      </c>
      <c r="T157" s="1998">
        <v>0</v>
      </c>
      <c r="U157" s="1998">
        <v>0</v>
      </c>
      <c r="V157" s="1998">
        <v>0</v>
      </c>
      <c r="W157" s="1998">
        <v>0</v>
      </c>
      <c r="X157" s="1999">
        <v>0</v>
      </c>
      <c r="Y157" s="1979">
        <v>0</v>
      </c>
      <c r="Z157" s="1979">
        <v>0</v>
      </c>
      <c r="AA157" s="1979">
        <v>0</v>
      </c>
      <c r="AB157" s="1979">
        <v>0</v>
      </c>
      <c r="AC157" s="1979">
        <v>0</v>
      </c>
      <c r="AD157" s="1979">
        <v>0</v>
      </c>
      <c r="AE157" s="1979">
        <v>0</v>
      </c>
      <c r="AF157" s="1979">
        <v>0</v>
      </c>
      <c r="AG157" s="1979">
        <v>0</v>
      </c>
      <c r="AH157" s="2000">
        <v>0</v>
      </c>
      <c r="AI157" s="1998">
        <v>0</v>
      </c>
      <c r="AJ157" s="1998">
        <v>0</v>
      </c>
      <c r="AK157" s="1998">
        <v>0</v>
      </c>
      <c r="AL157" s="1998">
        <v>0</v>
      </c>
      <c r="AM157" s="1998">
        <v>0</v>
      </c>
      <c r="AN157" s="1998">
        <v>0</v>
      </c>
      <c r="AO157" s="1998">
        <v>0</v>
      </c>
      <c r="AP157" s="1998">
        <v>0</v>
      </c>
      <c r="AQ157" s="1998">
        <v>0</v>
      </c>
      <c r="AR157" s="1999">
        <v>0.87979818084881356</v>
      </c>
      <c r="AS157" s="1979">
        <v>0.79131630729034985</v>
      </c>
      <c r="AT157" s="1979">
        <v>0.88570923692169568</v>
      </c>
      <c r="AU157" s="1979">
        <v>0.79862974807152687</v>
      </c>
      <c r="AV157" s="1979">
        <v>0.88060251403645295</v>
      </c>
      <c r="AW157" s="1979">
        <v>0.79382217179896042</v>
      </c>
      <c r="AX157" s="1979">
        <v>0.88076041434224672</v>
      </c>
      <c r="AY157" s="1979">
        <v>0.79393497376073918</v>
      </c>
      <c r="AZ157" s="1979">
        <v>0.8810498982362015</v>
      </c>
      <c r="BA157" s="1979">
        <v>0.79414177735733371</v>
      </c>
      <c r="BB157" s="2000">
        <v>0</v>
      </c>
      <c r="BC157" s="1998">
        <v>0</v>
      </c>
      <c r="BD157" s="1998">
        <v>0</v>
      </c>
      <c r="BE157" s="1998">
        <v>0</v>
      </c>
      <c r="BF157" s="1998">
        <v>0</v>
      </c>
      <c r="BG157" s="1998">
        <v>0</v>
      </c>
      <c r="BH157" s="1998">
        <v>0</v>
      </c>
      <c r="BI157" s="1998">
        <v>0</v>
      </c>
      <c r="BJ157" s="1998">
        <v>0</v>
      </c>
      <c r="BK157" s="1998">
        <v>0</v>
      </c>
      <c r="BL157" s="1999">
        <v>0.89114704570024472</v>
      </c>
      <c r="BM157" s="1979">
        <v>0.77238666806815515</v>
      </c>
      <c r="BN157" s="1979">
        <v>0.8917723989788211</v>
      </c>
      <c r="BO157" s="1979">
        <v>0.77281673459377764</v>
      </c>
      <c r="BP157" s="1979">
        <v>0.89234563948418266</v>
      </c>
      <c r="BQ157" s="1979">
        <v>0.77321096224226482</v>
      </c>
      <c r="BR157" s="1979">
        <v>0.89297099276275915</v>
      </c>
      <c r="BS157" s="1979">
        <v>0.77364102876788732</v>
      </c>
      <c r="BT157" s="1979">
        <v>0.89448226318598512</v>
      </c>
      <c r="BU157" s="1979">
        <v>0.77468035620480824</v>
      </c>
      <c r="BV157" s="2000">
        <v>0.94008502904867297</v>
      </c>
      <c r="BW157" s="1998">
        <v>0.87860056139855036</v>
      </c>
      <c r="BX157" s="1998">
        <v>0.94392916256562076</v>
      </c>
      <c r="BY157" s="1998">
        <v>0.88376859844722289</v>
      </c>
      <c r="BZ157" s="1998">
        <v>0.94917326607000363</v>
      </c>
      <c r="CA157" s="1998">
        <v>0.8902870770805611</v>
      </c>
      <c r="CB157" s="1998">
        <v>0.95445325729170727</v>
      </c>
      <c r="CC157" s="1998">
        <v>0.89683185778835672</v>
      </c>
      <c r="CD157" s="1998">
        <v>0.95973324851341102</v>
      </c>
      <c r="CE157" s="1998">
        <v>0.90337663849615257</v>
      </c>
      <c r="CF157" s="1999">
        <v>0.89518714503551033</v>
      </c>
      <c r="CG157" s="1979">
        <v>0.83097521172975242</v>
      </c>
      <c r="CH157" s="1979">
        <v>0.8958878948364476</v>
      </c>
      <c r="CI157" s="1979">
        <v>0.831490306177181</v>
      </c>
      <c r="CJ157" s="1979">
        <v>0.89653024882063992</v>
      </c>
      <c r="CK157" s="1979">
        <v>0.83196247608732377</v>
      </c>
      <c r="CL157" s="1979">
        <v>0.89723099862157751</v>
      </c>
      <c r="CM157" s="1979">
        <v>0.83247757053475213</v>
      </c>
      <c r="CN157" s="1979">
        <v>0.89892447730717606</v>
      </c>
      <c r="CO157" s="1979">
        <v>0.83372238211603755</v>
      </c>
      <c r="CP157" s="2000">
        <v>0.89337838713631834</v>
      </c>
      <c r="CQ157" s="1998">
        <v>0.81822302220497556</v>
      </c>
      <c r="CR157" s="1998">
        <v>0.89411383289029311</v>
      </c>
      <c r="CS157" s="1998">
        <v>0.81876237658008921</v>
      </c>
      <c r="CT157" s="1998">
        <v>0.89478799149810329</v>
      </c>
      <c r="CU157" s="1998">
        <v>0.81925678475727659</v>
      </c>
      <c r="CV157" s="1998">
        <v>0.89552343725207784</v>
      </c>
      <c r="CW157" s="1998">
        <v>0.81979613913239024</v>
      </c>
      <c r="CX157" s="1998">
        <v>0.89730076449084972</v>
      </c>
      <c r="CY157" s="1998">
        <v>0.82109957887224838</v>
      </c>
      <c r="CZ157" s="1999">
        <v>0.89840352802345524</v>
      </c>
      <c r="DA157" s="1979">
        <v>0.86636764334132954</v>
      </c>
      <c r="DB157" s="1979">
        <v>0.90131146979491217</v>
      </c>
      <c r="DC157" s="1979">
        <v>0.86848038689507034</v>
      </c>
      <c r="DD157" s="1979">
        <v>0.90421941156636898</v>
      </c>
      <c r="DE157" s="1979">
        <v>0.87059313044881137</v>
      </c>
      <c r="DF157" s="1979">
        <v>0.90712735333782579</v>
      </c>
      <c r="DG157" s="1979">
        <v>0.87270587400255206</v>
      </c>
      <c r="DH157" s="1979">
        <v>0.9100352951092826</v>
      </c>
      <c r="DI157" s="1979">
        <v>0.87481861755629309</v>
      </c>
      <c r="DJ157" s="2000">
        <v>0.91889869668092605</v>
      </c>
      <c r="DK157" s="1998">
        <v>0.87183363492410193</v>
      </c>
      <c r="DL157" s="1998">
        <v>0.92146325785286276</v>
      </c>
      <c r="DM157" s="1998">
        <v>0.8737221829036117</v>
      </c>
      <c r="DN157" s="1998">
        <v>0.92402781902479958</v>
      </c>
      <c r="DO157" s="1998">
        <v>0.87561073088312158</v>
      </c>
      <c r="DP157" s="1998">
        <v>0.92659238019673618</v>
      </c>
      <c r="DQ157" s="1998">
        <v>0.87749927886263113</v>
      </c>
      <c r="DR157" s="1998">
        <v>0.929156941368673</v>
      </c>
      <c r="DS157" s="1998">
        <v>0.87938782684214101</v>
      </c>
      <c r="GT157" s="1980"/>
      <c r="GU157" s="1980"/>
      <c r="GV157" s="1980"/>
      <c r="GW157" s="1980"/>
      <c r="GX157" s="1980"/>
      <c r="GY157" s="1980"/>
      <c r="GZ157" s="1980"/>
      <c r="HA157" s="1980"/>
      <c r="HB157" s="1980"/>
      <c r="HC157" s="1980"/>
      <c r="HD157" s="1980"/>
      <c r="HE157" s="1980"/>
      <c r="HF157" s="1980"/>
      <c r="HG157" s="1980"/>
      <c r="HH157" s="1980"/>
      <c r="HI157" s="1980"/>
      <c r="HJ157" s="1980"/>
      <c r="HK157" s="1980"/>
      <c r="HL157" s="1980"/>
      <c r="HM157" s="1980"/>
      <c r="HN157" s="1980"/>
      <c r="HO157" s="1980"/>
      <c r="HP157" s="1980"/>
      <c r="HQ157" s="1980"/>
      <c r="HR157" s="1980"/>
      <c r="HS157" s="1980"/>
      <c r="HT157" s="1980"/>
      <c r="HU157" s="1980"/>
      <c r="HV157" s="1980"/>
      <c r="HW157" s="1980"/>
      <c r="HX157" s="1980"/>
      <c r="HY157" s="1980"/>
      <c r="HZ157" s="1980"/>
      <c r="IA157" s="1980"/>
      <c r="IB157" s="1980"/>
      <c r="IC157" s="1980"/>
      <c r="ID157" s="1980"/>
      <c r="IE157" s="1980"/>
      <c r="IF157" s="1980"/>
      <c r="IG157" s="1980"/>
      <c r="IH157" s="1980"/>
      <c r="II157" s="1980"/>
      <c r="IJ157" s="1980"/>
      <c r="IK157" s="1980"/>
      <c r="IL157" s="1980"/>
      <c r="IM157" s="1980"/>
      <c r="IN157" s="1980"/>
      <c r="IO157" s="1980"/>
      <c r="IP157" s="1980"/>
      <c r="IQ157" s="1980"/>
      <c r="IR157" s="1980"/>
      <c r="IS157" s="1980"/>
      <c r="IT157" s="1980"/>
      <c r="IU157" s="1980"/>
      <c r="IV157" s="1980"/>
      <c r="IW157" s="1980"/>
      <c r="IX157" s="1980"/>
      <c r="IY157" s="1980"/>
      <c r="IZ157" s="1980"/>
      <c r="JA157" s="1980"/>
      <c r="JB157" s="1980"/>
      <c r="JC157" s="1980"/>
      <c r="JD157" s="1980"/>
      <c r="JE157" s="1980"/>
      <c r="JF157" s="1980"/>
      <c r="JG157" s="1980"/>
      <c r="JH157" s="1980"/>
      <c r="JI157" s="1980"/>
      <c r="JJ157" s="1980"/>
      <c r="JK157" s="1980"/>
      <c r="JL157" s="1980"/>
      <c r="JM157" s="1980"/>
      <c r="JN157" s="1980"/>
      <c r="JO157" s="1980"/>
      <c r="JP157" s="1980"/>
      <c r="JQ157" s="1980"/>
      <c r="JR157" s="1980"/>
      <c r="JS157" s="1980"/>
      <c r="JT157" s="1980"/>
      <c r="JU157" s="1980"/>
      <c r="JV157" s="1980"/>
      <c r="JW157" s="1980"/>
      <c r="JX157" s="1980"/>
      <c r="JY157" s="1980"/>
      <c r="JZ157" s="1980"/>
      <c r="KA157" s="1980"/>
      <c r="KB157" s="1980"/>
      <c r="KC157" s="1980"/>
      <c r="KD157" s="1980"/>
      <c r="KE157" s="1980"/>
      <c r="KF157" s="1980"/>
      <c r="KG157" s="1980"/>
      <c r="KH157" s="1980"/>
      <c r="KI157" s="1980"/>
      <c r="KJ157" s="1980"/>
      <c r="KK157" s="1980"/>
    </row>
    <row r="158" spans="1:297">
      <c r="A158" s="1997"/>
      <c r="B158" s="2">
        <v>16</v>
      </c>
      <c r="C158" s="2" t="str">
        <f>CONCATENATE($U$8," ",V$13)</f>
        <v>Proportion de fenêtres 30</v>
      </c>
      <c r="D158" s="1979">
        <v>0.9306024353580552</v>
      </c>
      <c r="E158" s="1979">
        <v>0.82063523401231053</v>
      </c>
      <c r="F158" s="1979">
        <v>0.93610255171752144</v>
      </c>
      <c r="G158" s="1979">
        <v>0.82761350845702975</v>
      </c>
      <c r="H158" s="1979">
        <v>0.94350810226236714</v>
      </c>
      <c r="I158" s="1979">
        <v>0.83634390516980905</v>
      </c>
      <c r="J158" s="1979">
        <v>0.95093776629041471</v>
      </c>
      <c r="K158" s="1979">
        <v>0.84509120005643179</v>
      </c>
      <c r="L158" s="1979">
        <v>0.95836743031846205</v>
      </c>
      <c r="M158" s="1979">
        <v>0.85383849494305486</v>
      </c>
      <c r="N158" s="2000">
        <v>0.97127704193392095</v>
      </c>
      <c r="O158" s="1998">
        <v>0.88212716378681177</v>
      </c>
      <c r="P158" s="1998">
        <v>0.9740927262863962</v>
      </c>
      <c r="Q158" s="1998">
        <v>0.88544115868240436</v>
      </c>
      <c r="R158" s="1998">
        <v>0.97764755877119947</v>
      </c>
      <c r="S158" s="1998">
        <v>0.88944484700129611</v>
      </c>
      <c r="T158" s="1998">
        <v>0.98126230643749979</v>
      </c>
      <c r="U158" s="1998">
        <v>0.89349046746193272</v>
      </c>
      <c r="V158" s="1998">
        <v>0.9848770541038</v>
      </c>
      <c r="W158" s="1998">
        <v>0.89753608792256967</v>
      </c>
      <c r="X158" s="1999">
        <v>0.88619170911725109</v>
      </c>
      <c r="Y158" s="1979">
        <v>0.79080249637011879</v>
      </c>
      <c r="Z158" s="1979">
        <v>0.89237403171575902</v>
      </c>
      <c r="AA158" s="1979">
        <v>0.79844741871286939</v>
      </c>
      <c r="AB158" s="1979">
        <v>0.88694432894406561</v>
      </c>
      <c r="AC158" s="1979">
        <v>0.79336585560855943</v>
      </c>
      <c r="AD158" s="1979">
        <v>0.88706319801168843</v>
      </c>
      <c r="AE158" s="1979">
        <v>0.79345045320807306</v>
      </c>
      <c r="AF158" s="1979">
        <v>0.88728112463566366</v>
      </c>
      <c r="AG158" s="1979">
        <v>0.79360554880718193</v>
      </c>
      <c r="AH158" s="2000">
        <v>0.91604967186135422</v>
      </c>
      <c r="AI158" s="1998">
        <v>0.83311901645200015</v>
      </c>
      <c r="AJ158" s="1998">
        <v>0.91939093615804834</v>
      </c>
      <c r="AK158" s="1998">
        <v>0.83721665911053589</v>
      </c>
      <c r="AL158" s="1998">
        <v>0.91674425784816638</v>
      </c>
      <c r="AM158" s="1998">
        <v>0.83467659477976519</v>
      </c>
      <c r="AN158" s="1998">
        <v>0.9169587969971742</v>
      </c>
      <c r="AO158" s="1998">
        <v>0.83483102620387484</v>
      </c>
      <c r="AP158" s="1998">
        <v>0.91735211877035516</v>
      </c>
      <c r="AQ158" s="1998">
        <v>0.83511415048140925</v>
      </c>
      <c r="AR158" s="1999">
        <v>0.88380439503723474</v>
      </c>
      <c r="AS158" s="1979">
        <v>0.79561757209765194</v>
      </c>
      <c r="AT158" s="1979">
        <v>0.88971545111011685</v>
      </c>
      <c r="AU158" s="1979">
        <v>0.80293101287882918</v>
      </c>
      <c r="AV158" s="1979">
        <v>0.88460872822487424</v>
      </c>
      <c r="AW158" s="1979">
        <v>0.7981234366062625</v>
      </c>
      <c r="AX158" s="1979">
        <v>0.88476662853066779</v>
      </c>
      <c r="AY158" s="1979">
        <v>0.79823623856804149</v>
      </c>
      <c r="AZ158" s="1979">
        <v>0.88505611242462279</v>
      </c>
      <c r="BA158" s="1979">
        <v>0.79844304216463602</v>
      </c>
      <c r="BB158" s="2000">
        <v>1.2217412976699797</v>
      </c>
      <c r="BC158" s="1998">
        <v>1.1306987399744388</v>
      </c>
      <c r="BD158" s="1998">
        <v>1.2225777605895671</v>
      </c>
      <c r="BE158" s="1998">
        <v>1.1312757585735165</v>
      </c>
      <c r="BF158" s="1998">
        <v>1.2234142235091539</v>
      </c>
      <c r="BG158" s="1998">
        <v>1.1318527771725946</v>
      </c>
      <c r="BH158" s="1998">
        <v>1.2242506864287408</v>
      </c>
      <c r="BI158" s="1998">
        <v>1.1324297957716722</v>
      </c>
      <c r="BJ158" s="1998">
        <v>1.2257842017813172</v>
      </c>
      <c r="BK158" s="1998">
        <v>1.1334876632033148</v>
      </c>
      <c r="BL158" s="1999">
        <v>0.89444203180436421</v>
      </c>
      <c r="BM158" s="1979">
        <v>0.77580395067894059</v>
      </c>
      <c r="BN158" s="1979">
        <v>0.89506738508294048</v>
      </c>
      <c r="BO158" s="1979">
        <v>0.77623401720456298</v>
      </c>
      <c r="BP158" s="1979">
        <v>0.89564062558830215</v>
      </c>
      <c r="BQ158" s="1979">
        <v>0.77662824485305038</v>
      </c>
      <c r="BR158" s="1979">
        <v>0.89626597886687831</v>
      </c>
      <c r="BS158" s="1979">
        <v>0.77705831137867287</v>
      </c>
      <c r="BT158" s="1979">
        <v>0.89777724929010438</v>
      </c>
      <c r="BU158" s="1979">
        <v>0.7780976388155938</v>
      </c>
      <c r="BV158" s="2000">
        <v>0.94194835462555415</v>
      </c>
      <c r="BW158" s="1998">
        <v>0.8806338422215314</v>
      </c>
      <c r="BX158" s="1998">
        <v>0.94574781701390953</v>
      </c>
      <c r="BY158" s="1998">
        <v>0.88575904724525356</v>
      </c>
      <c r="BZ158" s="1998">
        <v>0.95094724938969977</v>
      </c>
      <c r="CA158" s="1998">
        <v>0.89223469385364129</v>
      </c>
      <c r="CB158" s="1998">
        <v>0.95618256948281122</v>
      </c>
      <c r="CC158" s="1998">
        <v>0.89873664253648644</v>
      </c>
      <c r="CD158" s="1998">
        <v>0.96141788957592256</v>
      </c>
      <c r="CE158" s="1998">
        <v>0.90523859121933181</v>
      </c>
      <c r="CF158" s="1999">
        <v>0.89683187473320969</v>
      </c>
      <c r="CG158" s="1979">
        <v>0.83279841679790556</v>
      </c>
      <c r="CH158" s="1979">
        <v>0.89753262453414706</v>
      </c>
      <c r="CI158" s="1979">
        <v>0.83331351124533404</v>
      </c>
      <c r="CJ158" s="1979">
        <v>0.8981749785183395</v>
      </c>
      <c r="CK158" s="1979">
        <v>0.8337856811554768</v>
      </c>
      <c r="CL158" s="1979">
        <v>0.89887572831927687</v>
      </c>
      <c r="CM158" s="1979">
        <v>0.83430077560290516</v>
      </c>
      <c r="CN158" s="1979">
        <v>0.90056920700487531</v>
      </c>
      <c r="CO158" s="1979">
        <v>0.8355455871841907</v>
      </c>
      <c r="CP158" s="2000">
        <v>0.89517500739383893</v>
      </c>
      <c r="CQ158" s="1998">
        <v>0.82021001802334292</v>
      </c>
      <c r="CR158" s="1998">
        <v>0.89591045314781359</v>
      </c>
      <c r="CS158" s="1998">
        <v>0.82074937239845669</v>
      </c>
      <c r="CT158" s="1998">
        <v>0.89658461175562387</v>
      </c>
      <c r="CU158" s="1998">
        <v>0.82124378057564407</v>
      </c>
      <c r="CV158" s="1998">
        <v>0.89732005750959831</v>
      </c>
      <c r="CW158" s="1998">
        <v>0.82178313495075761</v>
      </c>
      <c r="CX158" s="1998">
        <v>0.89909738474837064</v>
      </c>
      <c r="CY158" s="1998">
        <v>0.82308657469061586</v>
      </c>
      <c r="CZ158" s="1999">
        <v>0.90108034215716237</v>
      </c>
      <c r="DA158" s="1979">
        <v>0.86930053753626424</v>
      </c>
      <c r="DB158" s="1979">
        <v>0.90398828392861919</v>
      </c>
      <c r="DC158" s="1979">
        <v>0.87141328109000527</v>
      </c>
      <c r="DD158" s="1979">
        <v>0.906896225700076</v>
      </c>
      <c r="DE158" s="1979">
        <v>0.87352602464374596</v>
      </c>
      <c r="DF158" s="1979">
        <v>0.90980416747153259</v>
      </c>
      <c r="DG158" s="1979">
        <v>0.87563876819748698</v>
      </c>
      <c r="DH158" s="1979">
        <v>0.91271210924298951</v>
      </c>
      <c r="DI158" s="1979">
        <v>0.87775151175122768</v>
      </c>
      <c r="DJ158" s="2000">
        <v>0.92343539610921321</v>
      </c>
      <c r="DK158" s="1998">
        <v>0.87687179621442868</v>
      </c>
      <c r="DL158" s="1998">
        <v>0.92599995728115014</v>
      </c>
      <c r="DM158" s="1998">
        <v>0.87876034419393845</v>
      </c>
      <c r="DN158" s="1998">
        <v>0.92856451845308685</v>
      </c>
      <c r="DO158" s="1998">
        <v>0.88064889217344833</v>
      </c>
      <c r="DP158" s="1998">
        <v>0.93112907962502345</v>
      </c>
      <c r="DQ158" s="1998">
        <v>0.88253744015295799</v>
      </c>
      <c r="DR158" s="1998">
        <v>0.93369364079696038</v>
      </c>
      <c r="DS158" s="1998">
        <v>0.88442598813246776</v>
      </c>
      <c r="GT158" s="1980"/>
      <c r="GU158" s="1980"/>
      <c r="GV158" s="1980"/>
      <c r="GW158" s="1980"/>
      <c r="GX158" s="1980"/>
      <c r="GY158" s="1980"/>
      <c r="GZ158" s="1980"/>
      <c r="HA158" s="1980"/>
      <c r="HB158" s="1980"/>
      <c r="HC158" s="1980"/>
      <c r="HD158" s="1980"/>
      <c r="HE158" s="1980"/>
      <c r="HF158" s="1980"/>
      <c r="HG158" s="1980"/>
      <c r="HH158" s="1980"/>
      <c r="HI158" s="1980"/>
      <c r="HJ158" s="1980"/>
      <c r="HK158" s="1980"/>
      <c r="HL158" s="1980"/>
      <c r="HM158" s="1980"/>
      <c r="HN158" s="1980"/>
      <c r="HO158" s="1980"/>
      <c r="HP158" s="1980"/>
      <c r="HQ158" s="1980"/>
      <c r="HR158" s="1980"/>
      <c r="HS158" s="1980"/>
      <c r="HT158" s="1980"/>
      <c r="HU158" s="1980"/>
      <c r="HV158" s="1980"/>
      <c r="HW158" s="1980"/>
      <c r="HX158" s="1980"/>
      <c r="HY158" s="1980"/>
      <c r="HZ158" s="1980"/>
      <c r="IA158" s="1980"/>
      <c r="IB158" s="1980"/>
      <c r="IC158" s="1980"/>
      <c r="ID158" s="1980"/>
      <c r="IE158" s="1980"/>
      <c r="IF158" s="1980"/>
      <c r="IG158" s="1980"/>
      <c r="IH158" s="1980"/>
      <c r="II158" s="1980"/>
      <c r="IJ158" s="1980"/>
      <c r="IK158" s="1980"/>
      <c r="IL158" s="1980"/>
      <c r="IM158" s="1980"/>
      <c r="IN158" s="1980"/>
      <c r="IO158" s="1980"/>
      <c r="IP158" s="1980"/>
      <c r="IQ158" s="1980"/>
      <c r="IR158" s="1980"/>
      <c r="IS158" s="1980"/>
      <c r="IT158" s="1980"/>
      <c r="IU158" s="1980"/>
      <c r="IV158" s="1980"/>
      <c r="IW158" s="1980"/>
      <c r="IX158" s="1980"/>
      <c r="IY158" s="1980"/>
      <c r="IZ158" s="1980"/>
      <c r="JA158" s="1980"/>
      <c r="JB158" s="1980"/>
      <c r="JC158" s="1980"/>
      <c r="JD158" s="1980"/>
      <c r="JE158" s="1980"/>
      <c r="JF158" s="1980"/>
      <c r="JG158" s="1980"/>
      <c r="JH158" s="1980"/>
      <c r="JI158" s="1980"/>
      <c r="JJ158" s="1980"/>
      <c r="JK158" s="1980"/>
      <c r="JL158" s="1980"/>
      <c r="JM158" s="1980"/>
      <c r="JN158" s="1980"/>
      <c r="JO158" s="1980"/>
      <c r="JP158" s="1980"/>
      <c r="JQ158" s="1980"/>
      <c r="JR158" s="1980"/>
      <c r="JS158" s="1980"/>
      <c r="JT158" s="1980"/>
      <c r="JU158" s="1980"/>
      <c r="JV158" s="1980"/>
      <c r="JW158" s="1980"/>
      <c r="JX158" s="1980"/>
      <c r="JY158" s="1980"/>
      <c r="JZ158" s="1980"/>
      <c r="KA158" s="1980"/>
      <c r="KB158" s="1980"/>
      <c r="KC158" s="1980"/>
      <c r="KD158" s="1980"/>
      <c r="KE158" s="1980"/>
      <c r="KF158" s="1980"/>
      <c r="KG158" s="1980"/>
      <c r="KH158" s="1980"/>
      <c r="KI158" s="1980"/>
      <c r="KJ158" s="1980"/>
      <c r="KK158" s="1980"/>
    </row>
    <row r="159" spans="1:297">
      <c r="A159" s="1997"/>
      <c r="B159" s="2">
        <v>17</v>
      </c>
      <c r="C159" s="2" t="str">
        <f>CONCATENATE($U$8," ",V$14)</f>
        <v>Proportion de fenêtres 40</v>
      </c>
      <c r="D159" s="1979">
        <v>0.93631806818505381</v>
      </c>
      <c r="E159" s="1979">
        <v>0.82659883528126588</v>
      </c>
      <c r="F159" s="1979">
        <v>0.94168115869559177</v>
      </c>
      <c r="G159" s="1979">
        <v>0.83345148363663257</v>
      </c>
      <c r="H159" s="1979">
        <v>0.9489496833915092</v>
      </c>
      <c r="I159" s="1979">
        <v>0.84205625426005903</v>
      </c>
      <c r="J159" s="1979">
        <v>0.95624232157062861</v>
      </c>
      <c r="K159" s="1979">
        <v>0.85067792305732937</v>
      </c>
      <c r="L159" s="1979">
        <v>0.96353495974974768</v>
      </c>
      <c r="M159" s="1979">
        <v>0.85929959185459981</v>
      </c>
      <c r="N159" s="2000">
        <v>0.97506460907666936</v>
      </c>
      <c r="O159" s="1998">
        <v>0.88607387144286121</v>
      </c>
      <c r="P159" s="1998">
        <v>0.97778949077984623</v>
      </c>
      <c r="Q159" s="1998">
        <v>0.88930472706969887</v>
      </c>
      <c r="R159" s="1998">
        <v>0.98125352061535132</v>
      </c>
      <c r="S159" s="1998">
        <v>0.8932252761198356</v>
      </c>
      <c r="T159" s="1998">
        <v>0.98477746563235313</v>
      </c>
      <c r="U159" s="1998">
        <v>0.89718775731171718</v>
      </c>
      <c r="V159" s="1998">
        <v>0.98830141064935517</v>
      </c>
      <c r="W159" s="1998">
        <v>0.90115023850359888</v>
      </c>
      <c r="X159" s="1999">
        <v>0.89106043529047807</v>
      </c>
      <c r="Y159" s="1979">
        <v>0.79601003940670922</v>
      </c>
      <c r="Z159" s="1979">
        <v>0.89724275788898611</v>
      </c>
      <c r="AA159" s="1979">
        <v>0.80365496174945961</v>
      </c>
      <c r="AB159" s="1979">
        <v>0.89181305511729236</v>
      </c>
      <c r="AC159" s="1979">
        <v>0.79857339864514965</v>
      </c>
      <c r="AD159" s="1979">
        <v>0.8919319241849154</v>
      </c>
      <c r="AE159" s="1979">
        <v>0.79865799624466349</v>
      </c>
      <c r="AF159" s="1979">
        <v>0.89214985080889064</v>
      </c>
      <c r="AG159" s="1979">
        <v>0.79881309184377203</v>
      </c>
      <c r="AH159" s="2000">
        <v>0.92146478471225612</v>
      </c>
      <c r="AI159" s="1998">
        <v>0.8389772268978325</v>
      </c>
      <c r="AJ159" s="1998">
        <v>0.92480604900895025</v>
      </c>
      <c r="AK159" s="1998">
        <v>0.84307486955636846</v>
      </c>
      <c r="AL159" s="1998">
        <v>0.92215937069906828</v>
      </c>
      <c r="AM159" s="1998">
        <v>0.84053480522559743</v>
      </c>
      <c r="AN159" s="1998">
        <v>0.9223739098480761</v>
      </c>
      <c r="AO159" s="1998">
        <v>0.84068923664970707</v>
      </c>
      <c r="AP159" s="1998">
        <v>0.92276723162125696</v>
      </c>
      <c r="AQ159" s="1998">
        <v>0.84097236092724159</v>
      </c>
      <c r="AR159" s="1999">
        <v>0.88781060922565591</v>
      </c>
      <c r="AS159" s="1979">
        <v>0.79991883690495436</v>
      </c>
      <c r="AT159" s="1979">
        <v>0.8937216652985378</v>
      </c>
      <c r="AU159" s="1979">
        <v>0.80723227768613148</v>
      </c>
      <c r="AV159" s="1979">
        <v>0.88861494241329542</v>
      </c>
      <c r="AW159" s="1979">
        <v>0.80242470141356503</v>
      </c>
      <c r="AX159" s="1979">
        <v>0.88877284271908907</v>
      </c>
      <c r="AY159" s="1979">
        <v>0.8025375033753438</v>
      </c>
      <c r="AZ159" s="1979">
        <v>0.88906232661304407</v>
      </c>
      <c r="BA159" s="1979">
        <v>0.80274430697193833</v>
      </c>
      <c r="BB159" s="2000">
        <v>1.2262757702869731</v>
      </c>
      <c r="BC159" s="1998">
        <v>1.1353998264125584</v>
      </c>
      <c r="BD159" s="1998">
        <v>1.22711223320656</v>
      </c>
      <c r="BE159" s="1998">
        <v>1.1359768450116361</v>
      </c>
      <c r="BF159" s="1998">
        <v>1.227948696126147</v>
      </c>
      <c r="BG159" s="1998">
        <v>1.1365538636107138</v>
      </c>
      <c r="BH159" s="1998">
        <v>1.2287851590457342</v>
      </c>
      <c r="BI159" s="1998">
        <v>1.1371308822097919</v>
      </c>
      <c r="BJ159" s="1998">
        <v>1.2303186743983101</v>
      </c>
      <c r="BK159" s="1998">
        <v>1.1381887496414345</v>
      </c>
      <c r="BL159" s="1999">
        <v>0.89773701790848359</v>
      </c>
      <c r="BM159" s="1979">
        <v>0.77922123328972603</v>
      </c>
      <c r="BN159" s="1979">
        <v>0.89836237118705986</v>
      </c>
      <c r="BO159" s="1979">
        <v>0.77965129981534853</v>
      </c>
      <c r="BP159" s="1979">
        <v>0.89893561169242153</v>
      </c>
      <c r="BQ159" s="1979">
        <v>0.78004552746383571</v>
      </c>
      <c r="BR159" s="1979">
        <v>0.89956096497099791</v>
      </c>
      <c r="BS159" s="1979">
        <v>0.78047559398945821</v>
      </c>
      <c r="BT159" s="1979">
        <v>0.90107223539422399</v>
      </c>
      <c r="BU159" s="1979">
        <v>0.78151492142637913</v>
      </c>
      <c r="BV159" s="2000">
        <v>0.94381168020243511</v>
      </c>
      <c r="BW159" s="1998">
        <v>0.88266712304451256</v>
      </c>
      <c r="BX159" s="1998">
        <v>0.94756647146219808</v>
      </c>
      <c r="BY159" s="1998">
        <v>0.88774949604328435</v>
      </c>
      <c r="BZ159" s="1998">
        <v>0.95272123270939635</v>
      </c>
      <c r="CA159" s="1998">
        <v>0.89418231062672138</v>
      </c>
      <c r="CB159" s="1998">
        <v>0.95791188167391494</v>
      </c>
      <c r="CC159" s="1998">
        <v>0.90064142728461605</v>
      </c>
      <c r="CD159" s="1998">
        <v>0.9631025306384341</v>
      </c>
      <c r="CE159" s="1998">
        <v>0.90710054394251094</v>
      </c>
      <c r="CF159" s="1999">
        <v>0.89847660443090904</v>
      </c>
      <c r="CG159" s="1979">
        <v>0.83462162186605882</v>
      </c>
      <c r="CH159" s="1979">
        <v>0.8991773542318463</v>
      </c>
      <c r="CI159" s="1979">
        <v>0.83513671631348718</v>
      </c>
      <c r="CJ159" s="1979">
        <v>0.89981970821603896</v>
      </c>
      <c r="CK159" s="1979">
        <v>0.83560888622362983</v>
      </c>
      <c r="CL159" s="1979">
        <v>0.90052045801697622</v>
      </c>
      <c r="CM159" s="1979">
        <v>0.8361239806710582</v>
      </c>
      <c r="CN159" s="1979">
        <v>0.90221393670257477</v>
      </c>
      <c r="CO159" s="1979">
        <v>0.83736879225234373</v>
      </c>
      <c r="CP159" s="2000">
        <v>0.89697162765135985</v>
      </c>
      <c r="CQ159" s="1998">
        <v>0.8221970138417104</v>
      </c>
      <c r="CR159" s="1998">
        <v>0.89770707340533418</v>
      </c>
      <c r="CS159" s="1998">
        <v>0.82273636821682405</v>
      </c>
      <c r="CT159" s="1998">
        <v>0.89838123201314435</v>
      </c>
      <c r="CU159" s="1998">
        <v>0.82323077639401165</v>
      </c>
      <c r="CV159" s="1998">
        <v>0.89911667776711912</v>
      </c>
      <c r="CW159" s="1998">
        <v>0.82377013076912531</v>
      </c>
      <c r="CX159" s="1998">
        <v>0.90089400500589112</v>
      </c>
      <c r="CY159" s="1998">
        <v>0.82507357050898322</v>
      </c>
      <c r="CZ159" s="1999">
        <v>0.90375715629086928</v>
      </c>
      <c r="DA159" s="1979">
        <v>0.87223343173119916</v>
      </c>
      <c r="DB159" s="1979">
        <v>0.90666509806232609</v>
      </c>
      <c r="DC159" s="1979">
        <v>0.87434617528493985</v>
      </c>
      <c r="DD159" s="1979">
        <v>0.9095730398337829</v>
      </c>
      <c r="DE159" s="1979">
        <v>0.87645891883868088</v>
      </c>
      <c r="DF159" s="1979">
        <v>0.91248098160523972</v>
      </c>
      <c r="DG159" s="1979">
        <v>0.87857166239242157</v>
      </c>
      <c r="DH159" s="1979">
        <v>0.91538892337669653</v>
      </c>
      <c r="DI159" s="1979">
        <v>0.8806844059461626</v>
      </c>
      <c r="DJ159" s="2000">
        <v>0.92797209553750071</v>
      </c>
      <c r="DK159" s="1998">
        <v>0.88190995750475543</v>
      </c>
      <c r="DL159" s="1998">
        <v>0.93053665670943742</v>
      </c>
      <c r="DM159" s="1998">
        <v>0.88379850548426531</v>
      </c>
      <c r="DN159" s="1998">
        <v>0.93310121788137401</v>
      </c>
      <c r="DO159" s="1998">
        <v>0.88568705346377508</v>
      </c>
      <c r="DP159" s="1998">
        <v>0.93566577905331094</v>
      </c>
      <c r="DQ159" s="1998">
        <v>0.88757560144328496</v>
      </c>
      <c r="DR159" s="1998">
        <v>0.93823034022524765</v>
      </c>
      <c r="DS159" s="1998">
        <v>0.8894641494227945</v>
      </c>
      <c r="GT159" s="1980"/>
      <c r="GU159" s="1980"/>
      <c r="GV159" s="1980"/>
      <c r="GW159" s="1980"/>
      <c r="GX159" s="1980"/>
      <c r="GY159" s="1980"/>
      <c r="GZ159" s="1980"/>
      <c r="HA159" s="1980"/>
      <c r="HB159" s="1980"/>
      <c r="HC159" s="1980"/>
      <c r="HD159" s="1980"/>
      <c r="HE159" s="1980"/>
      <c r="HF159" s="1980"/>
      <c r="HG159" s="1980"/>
      <c r="HH159" s="1980"/>
      <c r="HI159" s="1980"/>
      <c r="HJ159" s="1980"/>
      <c r="HK159" s="1980"/>
      <c r="HL159" s="1980"/>
      <c r="HM159" s="1980"/>
      <c r="HN159" s="1980"/>
      <c r="HO159" s="1980"/>
      <c r="HP159" s="1980"/>
      <c r="HQ159" s="1980"/>
      <c r="HR159" s="1980"/>
      <c r="HS159" s="1980"/>
      <c r="HT159" s="1980"/>
      <c r="HU159" s="1980"/>
      <c r="HV159" s="1980"/>
      <c r="HW159" s="1980"/>
      <c r="HX159" s="1980"/>
      <c r="HY159" s="1980"/>
      <c r="HZ159" s="1980"/>
      <c r="IA159" s="1980"/>
      <c r="IB159" s="1980"/>
      <c r="IC159" s="1980"/>
      <c r="ID159" s="1980"/>
      <c r="IE159" s="1980"/>
      <c r="IF159" s="1980"/>
      <c r="IG159" s="1980"/>
      <c r="IH159" s="1980"/>
      <c r="II159" s="1980"/>
      <c r="IJ159" s="1980"/>
      <c r="IK159" s="1980"/>
      <c r="IL159" s="1980"/>
      <c r="IM159" s="1980"/>
      <c r="IN159" s="1980"/>
      <c r="IO159" s="1980"/>
      <c r="IP159" s="1980"/>
      <c r="IQ159" s="1980"/>
      <c r="IR159" s="1980"/>
      <c r="IS159" s="1980"/>
      <c r="IT159" s="1980"/>
      <c r="IU159" s="1980"/>
      <c r="IV159" s="1980"/>
      <c r="IW159" s="1980"/>
      <c r="IX159" s="1980"/>
      <c r="IY159" s="1980"/>
      <c r="IZ159" s="1980"/>
      <c r="JA159" s="1980"/>
      <c r="JB159" s="1980"/>
      <c r="JC159" s="1980"/>
      <c r="JD159" s="1980"/>
      <c r="JE159" s="1980"/>
      <c r="JF159" s="1980"/>
      <c r="JG159" s="1980"/>
      <c r="JH159" s="1980"/>
      <c r="JI159" s="1980"/>
      <c r="JJ159" s="1980"/>
      <c r="JK159" s="1980"/>
      <c r="JL159" s="1980"/>
      <c r="JM159" s="1980"/>
      <c r="JN159" s="1980"/>
      <c r="JO159" s="1980"/>
      <c r="JP159" s="1980"/>
      <c r="JQ159" s="1980"/>
      <c r="JR159" s="1980"/>
      <c r="JS159" s="1980"/>
      <c r="JT159" s="1980"/>
      <c r="JU159" s="1980"/>
      <c r="JV159" s="1980"/>
      <c r="JW159" s="1980"/>
      <c r="JX159" s="1980"/>
      <c r="JY159" s="1980"/>
      <c r="JZ159" s="1980"/>
      <c r="KA159" s="1980"/>
      <c r="KB159" s="1980"/>
      <c r="KC159" s="1980"/>
      <c r="KD159" s="1980"/>
      <c r="KE159" s="1980"/>
      <c r="KF159" s="1980"/>
      <c r="KG159" s="1980"/>
      <c r="KH159" s="1980"/>
      <c r="KI159" s="1980"/>
      <c r="KJ159" s="1980"/>
      <c r="KK159" s="1980"/>
    </row>
    <row r="160" spans="1:297">
      <c r="A160" s="1997"/>
      <c r="B160" s="2">
        <v>18</v>
      </c>
      <c r="C160" s="2" t="str">
        <f>CONCATENATE($U$8," ",V$15)</f>
        <v>Proportion de fenêtres 50</v>
      </c>
      <c r="D160" s="1979">
        <v>0.94203370101205242</v>
      </c>
      <c r="E160" s="1979">
        <v>0.83256243655022111</v>
      </c>
      <c r="F160" s="1979">
        <v>0.9472597656736621</v>
      </c>
      <c r="G160" s="1979">
        <v>0.83928945881623518</v>
      </c>
      <c r="H160" s="1979">
        <v>0.95439126452065137</v>
      </c>
      <c r="I160" s="1979">
        <v>0.84776860335030924</v>
      </c>
      <c r="J160" s="1979">
        <v>0.96154687685084228</v>
      </c>
      <c r="K160" s="1979">
        <v>0.85626464605822694</v>
      </c>
      <c r="L160" s="1979">
        <v>0.96870248918103319</v>
      </c>
      <c r="M160" s="1979">
        <v>0.86476068876614454</v>
      </c>
      <c r="N160" s="2000">
        <v>0.97885217621941778</v>
      </c>
      <c r="O160" s="1998">
        <v>0.89002057909891041</v>
      </c>
      <c r="P160" s="1998">
        <v>0.98148625527329636</v>
      </c>
      <c r="Q160" s="1998">
        <v>0.89316829545699306</v>
      </c>
      <c r="R160" s="1998">
        <v>0.98485948245950317</v>
      </c>
      <c r="S160" s="1998">
        <v>0.89700570523837486</v>
      </c>
      <c r="T160" s="1998">
        <v>0.98829262482720681</v>
      </c>
      <c r="U160" s="1998">
        <v>0.90088504716150131</v>
      </c>
      <c r="V160" s="1998">
        <v>0.99172576719491035</v>
      </c>
      <c r="W160" s="1998">
        <v>0.90476438908462831</v>
      </c>
      <c r="X160" s="1999">
        <v>0.89592916146370494</v>
      </c>
      <c r="Y160" s="1979">
        <v>0.80121758244329955</v>
      </c>
      <c r="Z160" s="1979">
        <v>0.90211148406221298</v>
      </c>
      <c r="AA160" s="1979">
        <v>0.80886250478605004</v>
      </c>
      <c r="AB160" s="1979">
        <v>0.89668178129051945</v>
      </c>
      <c r="AC160" s="1979">
        <v>0.80378094168173997</v>
      </c>
      <c r="AD160" s="1979">
        <v>0.89680065035814227</v>
      </c>
      <c r="AE160" s="1979">
        <v>0.80386553928125382</v>
      </c>
      <c r="AF160" s="1979">
        <v>0.89701857698211751</v>
      </c>
      <c r="AG160" s="1979">
        <v>0.80402063488036257</v>
      </c>
      <c r="AH160" s="2000">
        <v>0.92687989756315792</v>
      </c>
      <c r="AI160" s="1998">
        <v>0.84483543734366495</v>
      </c>
      <c r="AJ160" s="1998">
        <v>0.93022116185985215</v>
      </c>
      <c r="AK160" s="1998">
        <v>0.84893308000220069</v>
      </c>
      <c r="AL160" s="1998">
        <v>0.9275744835499703</v>
      </c>
      <c r="AM160" s="1998">
        <v>0.84639301567142988</v>
      </c>
      <c r="AN160" s="1998">
        <v>0.92778902269897789</v>
      </c>
      <c r="AO160" s="1998">
        <v>0.84654744709553964</v>
      </c>
      <c r="AP160" s="1998">
        <v>0.92818234447215886</v>
      </c>
      <c r="AQ160" s="1998">
        <v>0.84683057137307405</v>
      </c>
      <c r="AR160" s="1999">
        <v>0.8918168234140772</v>
      </c>
      <c r="AS160" s="1979">
        <v>0.80422010171225655</v>
      </c>
      <c r="AT160" s="1979">
        <v>0.89772787948695909</v>
      </c>
      <c r="AU160" s="1979">
        <v>0.81153354249343357</v>
      </c>
      <c r="AV160" s="1979">
        <v>0.8926211566017167</v>
      </c>
      <c r="AW160" s="1979">
        <v>0.80672596622086712</v>
      </c>
      <c r="AX160" s="1979">
        <v>0.89277905690751036</v>
      </c>
      <c r="AY160" s="1979">
        <v>0.8068387681826461</v>
      </c>
      <c r="AZ160" s="1979">
        <v>0.89306854080146525</v>
      </c>
      <c r="BA160" s="1979">
        <v>0.80704557177924063</v>
      </c>
      <c r="BB160" s="2000">
        <v>1.2308102429039665</v>
      </c>
      <c r="BC160" s="1998">
        <v>1.140100912850678</v>
      </c>
      <c r="BD160" s="1998">
        <v>1.2316467058235532</v>
      </c>
      <c r="BE160" s="1998">
        <v>1.1406779314497557</v>
      </c>
      <c r="BF160" s="1998">
        <v>1.2324831687431403</v>
      </c>
      <c r="BG160" s="1998">
        <v>1.1412549500488334</v>
      </c>
      <c r="BH160" s="1998">
        <v>1.2333196316627273</v>
      </c>
      <c r="BI160" s="1998">
        <v>1.1418319686479115</v>
      </c>
      <c r="BJ160" s="1998">
        <v>1.2348531470153032</v>
      </c>
      <c r="BK160" s="1998">
        <v>1.1428898360795541</v>
      </c>
      <c r="BL160" s="1999">
        <v>0.90103200401260297</v>
      </c>
      <c r="BM160" s="1979">
        <v>0.78263851590051159</v>
      </c>
      <c r="BN160" s="1979">
        <v>0.90165735729117924</v>
      </c>
      <c r="BO160" s="1979">
        <v>0.78306858242613386</v>
      </c>
      <c r="BP160" s="1979">
        <v>0.90223059779654102</v>
      </c>
      <c r="BQ160" s="1979">
        <v>0.78346281007462115</v>
      </c>
      <c r="BR160" s="1979">
        <v>0.90285595107511707</v>
      </c>
      <c r="BS160" s="1979">
        <v>0.78389287660024365</v>
      </c>
      <c r="BT160" s="1979">
        <v>0.90436722149834314</v>
      </c>
      <c r="BU160" s="1979">
        <v>0.78493220403716457</v>
      </c>
      <c r="BV160" s="2000">
        <v>0.9456750057793164</v>
      </c>
      <c r="BW160" s="1998">
        <v>0.88470040386749382</v>
      </c>
      <c r="BX160" s="1998">
        <v>0.94938512591048696</v>
      </c>
      <c r="BY160" s="1998">
        <v>0.88973994484131502</v>
      </c>
      <c r="BZ160" s="1998">
        <v>0.95449521602909249</v>
      </c>
      <c r="CA160" s="1998">
        <v>0.89612992739980157</v>
      </c>
      <c r="CB160" s="1998">
        <v>0.95964119386501889</v>
      </c>
      <c r="CC160" s="1998">
        <v>0.90254621203274576</v>
      </c>
      <c r="CD160" s="1998">
        <v>0.96478717170094552</v>
      </c>
      <c r="CE160" s="1998">
        <v>0.90896249666569007</v>
      </c>
      <c r="CF160" s="1999">
        <v>0.9001213341286084</v>
      </c>
      <c r="CG160" s="1979">
        <v>0.83644482693421185</v>
      </c>
      <c r="CH160" s="1979">
        <v>0.90082208392954555</v>
      </c>
      <c r="CI160" s="1979">
        <v>0.83695992138164022</v>
      </c>
      <c r="CJ160" s="1979">
        <v>0.9014644379137382</v>
      </c>
      <c r="CK160" s="1979">
        <v>0.83743209129178275</v>
      </c>
      <c r="CL160" s="1979">
        <v>0.90216518771467547</v>
      </c>
      <c r="CM160" s="1979">
        <v>0.83794718573921112</v>
      </c>
      <c r="CN160" s="1979">
        <v>0.90385866640027401</v>
      </c>
      <c r="CO160" s="1979">
        <v>0.83919199732049676</v>
      </c>
      <c r="CP160" s="2000">
        <v>0.89876824790888044</v>
      </c>
      <c r="CQ160" s="1998">
        <v>0.82418400966007777</v>
      </c>
      <c r="CR160" s="1998">
        <v>0.89950369366285476</v>
      </c>
      <c r="CS160" s="1998">
        <v>0.82472336403519153</v>
      </c>
      <c r="CT160" s="1998">
        <v>0.90017785227066494</v>
      </c>
      <c r="CU160" s="1998">
        <v>0.82521777221237902</v>
      </c>
      <c r="CV160" s="1998">
        <v>0.9009132980246396</v>
      </c>
      <c r="CW160" s="1998">
        <v>0.82575712658749278</v>
      </c>
      <c r="CX160" s="1998">
        <v>0.90269062526341171</v>
      </c>
      <c r="CY160" s="1998">
        <v>0.8270605663273507</v>
      </c>
      <c r="CZ160" s="1999">
        <v>0.9064339704245763</v>
      </c>
      <c r="DA160" s="1979">
        <v>0.87516632592613386</v>
      </c>
      <c r="DB160" s="1979">
        <v>0.90934191219603311</v>
      </c>
      <c r="DC160" s="1979">
        <v>0.87727906947987477</v>
      </c>
      <c r="DD160" s="1979">
        <v>0.91224985396749003</v>
      </c>
      <c r="DE160" s="1979">
        <v>0.87939181303361547</v>
      </c>
      <c r="DF160" s="1979">
        <v>0.91515779573894662</v>
      </c>
      <c r="DG160" s="1979">
        <v>0.88150455658735649</v>
      </c>
      <c r="DH160" s="1979">
        <v>0.91806573751040343</v>
      </c>
      <c r="DI160" s="1979">
        <v>0.88361730014109718</v>
      </c>
      <c r="DJ160" s="2000">
        <v>0.93250879496578809</v>
      </c>
      <c r="DK160" s="1998">
        <v>0.8869481187950824</v>
      </c>
      <c r="DL160" s="1998">
        <v>0.93507335613772469</v>
      </c>
      <c r="DM160" s="1998">
        <v>0.88883666677459228</v>
      </c>
      <c r="DN160" s="1998">
        <v>0.93763791730966151</v>
      </c>
      <c r="DO160" s="1998">
        <v>0.89072521475410193</v>
      </c>
      <c r="DP160" s="1998">
        <v>0.94020247848159821</v>
      </c>
      <c r="DQ160" s="1998">
        <v>0.8926137627336117</v>
      </c>
      <c r="DR160" s="1998">
        <v>0.94276703965353481</v>
      </c>
      <c r="DS160" s="1998">
        <v>0.89450231071312147</v>
      </c>
      <c r="GT160" s="1980"/>
      <c r="GU160" s="1980"/>
      <c r="GV160" s="1980"/>
      <c r="GW160" s="1980"/>
      <c r="GX160" s="1980"/>
      <c r="GY160" s="1980"/>
      <c r="GZ160" s="1980"/>
      <c r="HA160" s="1980"/>
      <c r="HB160" s="1980"/>
      <c r="HC160" s="1980"/>
      <c r="HD160" s="1980"/>
      <c r="HE160" s="1980"/>
      <c r="HF160" s="1980"/>
      <c r="HG160" s="1980"/>
      <c r="HH160" s="1980"/>
      <c r="HI160" s="1980"/>
      <c r="HJ160" s="1980"/>
      <c r="HK160" s="1980"/>
      <c r="HL160" s="1980"/>
      <c r="HM160" s="1980"/>
      <c r="HN160" s="1980"/>
      <c r="HO160" s="1980"/>
      <c r="HP160" s="1980"/>
      <c r="HQ160" s="1980"/>
      <c r="HR160" s="1980"/>
      <c r="HS160" s="1980"/>
      <c r="HT160" s="1980"/>
      <c r="HU160" s="1980"/>
      <c r="HV160" s="1980"/>
      <c r="HW160" s="1980"/>
      <c r="HX160" s="1980"/>
      <c r="HY160" s="1980"/>
      <c r="HZ160" s="1980"/>
      <c r="IA160" s="1980"/>
      <c r="IB160" s="1980"/>
      <c r="IC160" s="1980"/>
      <c r="ID160" s="1980"/>
      <c r="IE160" s="1980"/>
      <c r="IF160" s="1980"/>
      <c r="IG160" s="1980"/>
      <c r="IH160" s="1980"/>
      <c r="II160" s="1980"/>
      <c r="IJ160" s="1980"/>
      <c r="IK160" s="1980"/>
      <c r="IL160" s="1980"/>
      <c r="IM160" s="1980"/>
      <c r="IN160" s="1980"/>
      <c r="IO160" s="1980"/>
      <c r="IP160" s="1980"/>
      <c r="IQ160" s="1980"/>
      <c r="IR160" s="1980"/>
      <c r="IS160" s="1980"/>
      <c r="IT160" s="1980"/>
      <c r="IU160" s="1980"/>
      <c r="IV160" s="1980"/>
      <c r="IW160" s="1980"/>
      <c r="IX160" s="1980"/>
      <c r="IY160" s="1980"/>
      <c r="IZ160" s="1980"/>
      <c r="JA160" s="1980"/>
      <c r="JB160" s="1980"/>
      <c r="JC160" s="1980"/>
      <c r="JD160" s="1980"/>
      <c r="JE160" s="1980"/>
      <c r="JF160" s="1980"/>
      <c r="JG160" s="1980"/>
      <c r="JH160" s="1980"/>
      <c r="JI160" s="1980"/>
      <c r="JJ160" s="1980"/>
      <c r="JK160" s="1980"/>
      <c r="JL160" s="1980"/>
      <c r="JM160" s="1980"/>
      <c r="JN160" s="1980"/>
      <c r="JO160" s="1980"/>
      <c r="JP160" s="1980"/>
      <c r="JQ160" s="1980"/>
      <c r="JR160" s="1980"/>
      <c r="JS160" s="1980"/>
      <c r="JT160" s="1980"/>
      <c r="JU160" s="1980"/>
      <c r="JV160" s="1980"/>
      <c r="JW160" s="1980"/>
      <c r="JX160" s="1980"/>
      <c r="JY160" s="1980"/>
      <c r="JZ160" s="1980"/>
      <c r="KA160" s="1980"/>
      <c r="KB160" s="1980"/>
      <c r="KC160" s="1980"/>
      <c r="KD160" s="1980"/>
      <c r="KE160" s="1980"/>
      <c r="KF160" s="1980"/>
      <c r="KG160" s="1980"/>
      <c r="KH160" s="1980"/>
      <c r="KI160" s="1980"/>
      <c r="KJ160" s="1980"/>
      <c r="KK160" s="1980"/>
    </row>
    <row r="161" spans="1:297">
      <c r="A161" s="1997"/>
      <c r="B161" s="2">
        <v>19</v>
      </c>
      <c r="C161" s="2" t="str">
        <f>CONCATENATE($U$8," ",V$16)</f>
        <v>Proportion de fenêtres 60</v>
      </c>
      <c r="D161" s="1979">
        <v>0.94774933383905091</v>
      </c>
      <c r="E161" s="1979">
        <v>0.83852603781917634</v>
      </c>
      <c r="F161" s="1979">
        <v>0.95283837265173232</v>
      </c>
      <c r="G161" s="1979">
        <v>0.8451274339958379</v>
      </c>
      <c r="H161" s="1979">
        <v>0.95983284564979343</v>
      </c>
      <c r="I161" s="1979">
        <v>0.85348095244055944</v>
      </c>
      <c r="J161" s="1979">
        <v>0.96685143213105618</v>
      </c>
      <c r="K161" s="1979">
        <v>0.86185136905912441</v>
      </c>
      <c r="L161" s="1979">
        <v>0.97387001861231881</v>
      </c>
      <c r="M161" s="1979">
        <v>0.87022178567768971</v>
      </c>
      <c r="N161" s="2000">
        <v>0.98263974336216608</v>
      </c>
      <c r="O161" s="1998">
        <v>0.89396728675495962</v>
      </c>
      <c r="P161" s="1998">
        <v>0.9851830197667466</v>
      </c>
      <c r="Q161" s="1998">
        <v>0.89703186384428746</v>
      </c>
      <c r="R161" s="1998">
        <v>0.98846544430365502</v>
      </c>
      <c r="S161" s="1998">
        <v>0.90078613435691424</v>
      </c>
      <c r="T161" s="1998">
        <v>0.99180778402206016</v>
      </c>
      <c r="U161" s="1998">
        <v>0.90458233701128576</v>
      </c>
      <c r="V161" s="1998">
        <v>0.99515012374046574</v>
      </c>
      <c r="W161" s="1998">
        <v>0.90837853966565751</v>
      </c>
      <c r="X161" s="1999">
        <v>0.90079788763693203</v>
      </c>
      <c r="Y161" s="1979">
        <v>0.80642512547988976</v>
      </c>
      <c r="Z161" s="1979">
        <v>0.90698021023544007</v>
      </c>
      <c r="AA161" s="1979">
        <v>0.81407004782264047</v>
      </c>
      <c r="AB161" s="1979">
        <v>0.90155050746374654</v>
      </c>
      <c r="AC161" s="1979">
        <v>0.80898848471833007</v>
      </c>
      <c r="AD161" s="1979">
        <v>0.90166937653136936</v>
      </c>
      <c r="AE161" s="1979">
        <v>0.80907308231784414</v>
      </c>
      <c r="AF161" s="1979">
        <v>0.9018873031553446</v>
      </c>
      <c r="AG161" s="1979">
        <v>0.80922817791695278</v>
      </c>
      <c r="AH161" s="2000">
        <v>0.93229501041406004</v>
      </c>
      <c r="AI161" s="1998">
        <v>0.85069364778949719</v>
      </c>
      <c r="AJ161" s="1998">
        <v>0.93563627471075417</v>
      </c>
      <c r="AK161" s="1998">
        <v>0.85479129044803315</v>
      </c>
      <c r="AL161" s="1998">
        <v>0.9329895964008722</v>
      </c>
      <c r="AM161" s="1998">
        <v>0.85225122611726245</v>
      </c>
      <c r="AN161" s="1998">
        <v>0.93320413554988002</v>
      </c>
      <c r="AO161" s="1998">
        <v>0.85240565754137188</v>
      </c>
      <c r="AP161" s="1998">
        <v>0.93359745732306088</v>
      </c>
      <c r="AQ161" s="1998">
        <v>0.85268878181890639</v>
      </c>
      <c r="AR161" s="1999">
        <v>0.89582303760249837</v>
      </c>
      <c r="AS161" s="1979">
        <v>0.80852136651955886</v>
      </c>
      <c r="AT161" s="1979">
        <v>0.90173409367538038</v>
      </c>
      <c r="AU161" s="1979">
        <v>0.81583480730073588</v>
      </c>
      <c r="AV161" s="1979">
        <v>0.89662737079013799</v>
      </c>
      <c r="AW161" s="1979">
        <v>0.81102723102816943</v>
      </c>
      <c r="AX161" s="1979">
        <v>0.89678527109593165</v>
      </c>
      <c r="AY161" s="1979">
        <v>0.81114003298994841</v>
      </c>
      <c r="AZ161" s="1979">
        <v>0.89707475498988642</v>
      </c>
      <c r="BA161" s="1979">
        <v>0.81134683658654294</v>
      </c>
      <c r="BB161" s="2000">
        <v>1.2353447155209596</v>
      </c>
      <c r="BC161" s="1998">
        <v>1.1448019992887974</v>
      </c>
      <c r="BD161" s="1998">
        <v>1.2361811784405465</v>
      </c>
      <c r="BE161" s="1998">
        <v>1.1453790178878753</v>
      </c>
      <c r="BF161" s="1998">
        <v>1.2370176413601335</v>
      </c>
      <c r="BG161" s="1998">
        <v>1.145956036486953</v>
      </c>
      <c r="BH161" s="1998">
        <v>1.2378541042797204</v>
      </c>
      <c r="BI161" s="1998">
        <v>1.1465330550860311</v>
      </c>
      <c r="BJ161" s="1998">
        <v>1.2393876196322966</v>
      </c>
      <c r="BK161" s="1998">
        <v>1.1475909225176737</v>
      </c>
      <c r="BL161" s="1999">
        <v>0.90432699011672246</v>
      </c>
      <c r="BM161" s="1979">
        <v>0.78605579851129703</v>
      </c>
      <c r="BN161" s="1979">
        <v>0.90495234339529873</v>
      </c>
      <c r="BO161" s="1979">
        <v>0.78648586503691953</v>
      </c>
      <c r="BP161" s="1979">
        <v>0.90552558390066029</v>
      </c>
      <c r="BQ161" s="1979">
        <v>0.7868800926854066</v>
      </c>
      <c r="BR161" s="1979">
        <v>0.90615093717923656</v>
      </c>
      <c r="BS161" s="1979">
        <v>0.78731015921102909</v>
      </c>
      <c r="BT161" s="1979">
        <v>0.90766220760246275</v>
      </c>
      <c r="BU161" s="1979">
        <v>0.7883494866479499</v>
      </c>
      <c r="BV161" s="2000">
        <v>0.94753833135619736</v>
      </c>
      <c r="BW161" s="1998">
        <v>0.8867336846904752</v>
      </c>
      <c r="BX161" s="1998">
        <v>0.95120378035877551</v>
      </c>
      <c r="BY161" s="1998">
        <v>0.89173039363934581</v>
      </c>
      <c r="BZ161" s="1998">
        <v>0.95626919934878885</v>
      </c>
      <c r="CA161" s="1998">
        <v>0.89807754417288177</v>
      </c>
      <c r="CB161" s="1998">
        <v>0.96137050605612295</v>
      </c>
      <c r="CC161" s="1998">
        <v>0.90445099678087559</v>
      </c>
      <c r="CD161" s="1998">
        <v>0.96647181276345695</v>
      </c>
      <c r="CE161" s="1998">
        <v>0.91082444938886942</v>
      </c>
      <c r="CF161" s="1999">
        <v>0.90176606382630764</v>
      </c>
      <c r="CG161" s="1979">
        <v>0.83826803200236477</v>
      </c>
      <c r="CH161" s="1979">
        <v>0.90246681362724535</v>
      </c>
      <c r="CI161" s="1979">
        <v>0.83878312644979314</v>
      </c>
      <c r="CJ161" s="1979">
        <v>0.90310916761143756</v>
      </c>
      <c r="CK161" s="1979">
        <v>0.8392552963599359</v>
      </c>
      <c r="CL161" s="1979">
        <v>0.90380991741237526</v>
      </c>
      <c r="CM161" s="1979">
        <v>0.83977039080736438</v>
      </c>
      <c r="CN161" s="1979">
        <v>0.9055033960979737</v>
      </c>
      <c r="CO161" s="1979">
        <v>0.84101520238864969</v>
      </c>
      <c r="CP161" s="2000">
        <v>0.90056486816640091</v>
      </c>
      <c r="CQ161" s="1998">
        <v>0.82617100547844535</v>
      </c>
      <c r="CR161" s="1998">
        <v>0.90130031392037568</v>
      </c>
      <c r="CS161" s="1998">
        <v>0.8267103598535589</v>
      </c>
      <c r="CT161" s="1998">
        <v>0.90197447252818552</v>
      </c>
      <c r="CU161" s="1998">
        <v>0.8272047680307465</v>
      </c>
      <c r="CV161" s="1998">
        <v>0.90270991828216018</v>
      </c>
      <c r="CW161" s="1998">
        <v>0.82774412240586015</v>
      </c>
      <c r="CX161" s="1998">
        <v>0.90448724552093229</v>
      </c>
      <c r="CY161" s="1998">
        <v>0.82904756214571806</v>
      </c>
      <c r="CZ161" s="1999">
        <v>0.9091107845582832</v>
      </c>
      <c r="DA161" s="1979">
        <v>0.87809922012106845</v>
      </c>
      <c r="DB161" s="1979">
        <v>0.91201872632974001</v>
      </c>
      <c r="DC161" s="1979">
        <v>0.88021196367480947</v>
      </c>
      <c r="DD161" s="1979">
        <v>0.91492666810119683</v>
      </c>
      <c r="DE161" s="1979">
        <v>0.88232470722855039</v>
      </c>
      <c r="DF161" s="1979">
        <v>0.91783460987265364</v>
      </c>
      <c r="DG161" s="1979">
        <v>0.88443745078229108</v>
      </c>
      <c r="DH161" s="1979">
        <v>0.92074255164411045</v>
      </c>
      <c r="DI161" s="1979">
        <v>0.8865501943360321</v>
      </c>
      <c r="DJ161" s="2000">
        <v>0.93704549439407536</v>
      </c>
      <c r="DK161" s="1998">
        <v>0.89198628008540926</v>
      </c>
      <c r="DL161" s="1998">
        <v>0.93961005556601196</v>
      </c>
      <c r="DM161" s="1998">
        <v>0.89387482806491902</v>
      </c>
      <c r="DN161" s="1998">
        <v>0.94217461673794878</v>
      </c>
      <c r="DO161" s="1998">
        <v>0.89576337604442868</v>
      </c>
      <c r="DP161" s="1998">
        <v>0.94473917790988537</v>
      </c>
      <c r="DQ161" s="1998">
        <v>0.89765192402393845</v>
      </c>
      <c r="DR161" s="1998">
        <v>0.94730373908182219</v>
      </c>
      <c r="DS161" s="1998">
        <v>0.89954047200344833</v>
      </c>
      <c r="GT161" s="1980"/>
      <c r="GU161" s="1980"/>
      <c r="GV161" s="1980"/>
      <c r="GW161" s="1980"/>
      <c r="GX161" s="1980"/>
      <c r="GY161" s="1980"/>
      <c r="GZ161" s="1980"/>
      <c r="HA161" s="1980"/>
      <c r="HB161" s="1980"/>
      <c r="HC161" s="1980"/>
      <c r="HD161" s="1980"/>
      <c r="HE161" s="1980"/>
      <c r="HF161" s="1980"/>
      <c r="HG161" s="1980"/>
      <c r="HH161" s="1980"/>
      <c r="HI161" s="1980"/>
      <c r="HJ161" s="1980"/>
      <c r="HK161" s="1980"/>
      <c r="HL161" s="1980"/>
      <c r="HM161" s="1980"/>
      <c r="HN161" s="1980"/>
      <c r="HO161" s="1980"/>
      <c r="HP161" s="1980"/>
      <c r="HQ161" s="1980"/>
      <c r="HR161" s="1980"/>
      <c r="HS161" s="1980"/>
      <c r="HT161" s="1980"/>
      <c r="HU161" s="1980"/>
      <c r="HV161" s="1980"/>
      <c r="HW161" s="1980"/>
      <c r="HX161" s="1980"/>
      <c r="HY161" s="1980"/>
      <c r="HZ161" s="1980"/>
      <c r="IA161" s="1980"/>
      <c r="IB161" s="1980"/>
      <c r="IC161" s="1980"/>
      <c r="ID161" s="1980"/>
      <c r="IE161" s="1980"/>
      <c r="IF161" s="1980"/>
      <c r="IG161" s="1980"/>
      <c r="IH161" s="1980"/>
      <c r="II161" s="1980"/>
      <c r="IJ161" s="1980"/>
      <c r="IK161" s="1980"/>
      <c r="IL161" s="1980"/>
      <c r="IM161" s="1980"/>
      <c r="IN161" s="1980"/>
      <c r="IO161" s="1980"/>
      <c r="IP161" s="1980"/>
      <c r="IQ161" s="1980"/>
      <c r="IR161" s="1980"/>
      <c r="IS161" s="1980"/>
      <c r="IT161" s="1980"/>
      <c r="IU161" s="1980"/>
      <c r="IV161" s="1980"/>
      <c r="IW161" s="1980"/>
      <c r="IX161" s="1980"/>
      <c r="IY161" s="1980"/>
      <c r="IZ161" s="1980"/>
      <c r="JA161" s="1980"/>
      <c r="JB161" s="1980"/>
      <c r="JC161" s="1980"/>
      <c r="JD161" s="1980"/>
      <c r="JE161" s="1980"/>
      <c r="JF161" s="1980"/>
      <c r="JG161" s="1980"/>
      <c r="JH161" s="1980"/>
      <c r="JI161" s="1980"/>
      <c r="JJ161" s="1980"/>
      <c r="JK161" s="1980"/>
      <c r="JL161" s="1980"/>
      <c r="JM161" s="1980"/>
      <c r="JN161" s="1980"/>
      <c r="JO161" s="1980"/>
      <c r="JP161" s="1980"/>
      <c r="JQ161" s="1980"/>
      <c r="JR161" s="1980"/>
      <c r="JS161" s="1980"/>
      <c r="JT161" s="1980"/>
      <c r="JU161" s="1980"/>
      <c r="JV161" s="1980"/>
      <c r="JW161" s="1980"/>
      <c r="JX161" s="1980"/>
      <c r="JY161" s="1980"/>
      <c r="JZ161" s="1980"/>
      <c r="KA161" s="1980"/>
      <c r="KB161" s="1980"/>
      <c r="KC161" s="1980"/>
      <c r="KD161" s="1980"/>
      <c r="KE161" s="1980"/>
      <c r="KF161" s="1980"/>
      <c r="KG161" s="1980"/>
      <c r="KH161" s="1980"/>
      <c r="KI161" s="1980"/>
      <c r="KJ161" s="1980"/>
      <c r="KK161" s="1980"/>
    </row>
    <row r="162" spans="1:297">
      <c r="A162" s="1997"/>
      <c r="B162" s="2">
        <v>20</v>
      </c>
      <c r="C162" s="2" t="str">
        <f>CONCATENATE($U$8," ",V$17)</f>
        <v>Proportion de fenêtres 70</v>
      </c>
      <c r="D162" s="1979">
        <v>0.95346496666604952</v>
      </c>
      <c r="E162" s="1979">
        <v>0.84448963908813157</v>
      </c>
      <c r="F162" s="1979">
        <v>0.95841697962980277</v>
      </c>
      <c r="G162" s="1979">
        <v>0.8509654091754405</v>
      </c>
      <c r="H162" s="1979">
        <v>0.96527442677893549</v>
      </c>
      <c r="I162" s="1979">
        <v>0.85919330153080953</v>
      </c>
      <c r="J162" s="1979">
        <v>0.97215598741126996</v>
      </c>
      <c r="K162" s="1979">
        <v>0.86743809206002187</v>
      </c>
      <c r="L162" s="1979">
        <v>0.97903754804360443</v>
      </c>
      <c r="M162" s="1979">
        <v>0.87568288258923443</v>
      </c>
      <c r="N162" s="2000">
        <v>0.9864273105049145</v>
      </c>
      <c r="O162" s="1998">
        <v>0.89791399441100905</v>
      </c>
      <c r="P162" s="1998">
        <v>0.98887978426019651</v>
      </c>
      <c r="Q162" s="1998">
        <v>0.90089543223158175</v>
      </c>
      <c r="R162" s="1998">
        <v>0.99207140614780676</v>
      </c>
      <c r="S162" s="1998">
        <v>0.90456656347545328</v>
      </c>
      <c r="T162" s="1998">
        <v>0.99532294321691361</v>
      </c>
      <c r="U162" s="1998">
        <v>0.90827962686107022</v>
      </c>
      <c r="V162" s="1998">
        <v>0.99857448028602092</v>
      </c>
      <c r="W162" s="1998">
        <v>0.91199269024668672</v>
      </c>
      <c r="X162" s="1999">
        <v>0.90566661381015912</v>
      </c>
      <c r="Y162" s="1979">
        <v>0.81163266851648008</v>
      </c>
      <c r="Z162" s="1979">
        <v>0.91184893640866704</v>
      </c>
      <c r="AA162" s="1979">
        <v>0.81927759085923058</v>
      </c>
      <c r="AB162" s="1979">
        <v>0.90641923363697352</v>
      </c>
      <c r="AC162" s="1979">
        <v>0.8141960277549205</v>
      </c>
      <c r="AD162" s="1979">
        <v>0.90653810270459645</v>
      </c>
      <c r="AE162" s="1979">
        <v>0.81428062535443435</v>
      </c>
      <c r="AF162" s="1979">
        <v>0.90675602932857169</v>
      </c>
      <c r="AG162" s="1979">
        <v>0.81443572095354311</v>
      </c>
      <c r="AH162" s="2000">
        <v>0.93771012326496184</v>
      </c>
      <c r="AI162" s="1998">
        <v>0.85655185823532964</v>
      </c>
      <c r="AJ162" s="1998">
        <v>0.94105138756165607</v>
      </c>
      <c r="AK162" s="1998">
        <v>0.86064950089386538</v>
      </c>
      <c r="AL162" s="1998">
        <v>0.93840470925177411</v>
      </c>
      <c r="AM162" s="1998">
        <v>0.85810943656309469</v>
      </c>
      <c r="AN162" s="1998">
        <v>0.93861924840078192</v>
      </c>
      <c r="AO162" s="1998">
        <v>0.85826386798720433</v>
      </c>
      <c r="AP162" s="1998">
        <v>0.93901257017396278</v>
      </c>
      <c r="AQ162" s="1998">
        <v>0.85854699226473874</v>
      </c>
      <c r="AR162" s="1999">
        <v>0.89982925179091966</v>
      </c>
      <c r="AS162" s="1979">
        <v>0.81282263132686117</v>
      </c>
      <c r="AT162" s="1979">
        <v>0.90574030786380155</v>
      </c>
      <c r="AU162" s="1979">
        <v>0.82013607210803818</v>
      </c>
      <c r="AV162" s="1979">
        <v>0.90063358497855917</v>
      </c>
      <c r="AW162" s="1979">
        <v>0.81532849583547173</v>
      </c>
      <c r="AX162" s="1979">
        <v>0.90079148528435282</v>
      </c>
      <c r="AY162" s="1979">
        <v>0.8154412977972505</v>
      </c>
      <c r="AZ162" s="1979">
        <v>0.90108096917830771</v>
      </c>
      <c r="BA162" s="1979">
        <v>0.81564810139384503</v>
      </c>
      <c r="BB162" s="2000">
        <v>1.2398791881379527</v>
      </c>
      <c r="BC162" s="1998">
        <v>1.1495030857269171</v>
      </c>
      <c r="BD162" s="1998">
        <v>1.2407156510575397</v>
      </c>
      <c r="BE162" s="1998">
        <v>1.1500801043259949</v>
      </c>
      <c r="BF162" s="1998">
        <v>1.2415521139771266</v>
      </c>
      <c r="BG162" s="1998">
        <v>1.1506571229250728</v>
      </c>
      <c r="BH162" s="1998">
        <v>1.2423885768967136</v>
      </c>
      <c r="BI162" s="1998">
        <v>1.1512341415241507</v>
      </c>
      <c r="BJ162" s="1998">
        <v>1.2439220922492897</v>
      </c>
      <c r="BK162" s="1998">
        <v>1.1522920089557933</v>
      </c>
      <c r="BL162" s="1999">
        <v>0.90762197622084162</v>
      </c>
      <c r="BM162" s="1979">
        <v>0.78947308112208237</v>
      </c>
      <c r="BN162" s="1979">
        <v>0.908247329499418</v>
      </c>
      <c r="BO162" s="1979">
        <v>0.78990314764770486</v>
      </c>
      <c r="BP162" s="1979">
        <v>0.90882057000477967</v>
      </c>
      <c r="BQ162" s="1979">
        <v>0.79029737529619204</v>
      </c>
      <c r="BR162" s="1979">
        <v>0.90944592328335605</v>
      </c>
      <c r="BS162" s="1979">
        <v>0.79072744182181454</v>
      </c>
      <c r="BT162" s="1979">
        <v>0.91095719370658212</v>
      </c>
      <c r="BU162" s="1979">
        <v>0.79176676925873546</v>
      </c>
      <c r="BV162" s="2000">
        <v>0.94940165693307854</v>
      </c>
      <c r="BW162" s="1998">
        <v>0.88876696551345635</v>
      </c>
      <c r="BX162" s="1998">
        <v>0.95302243480706428</v>
      </c>
      <c r="BY162" s="1998">
        <v>0.89372084243737648</v>
      </c>
      <c r="BZ162" s="1998">
        <v>0.95804318266848498</v>
      </c>
      <c r="CA162" s="1998">
        <v>0.90002516094596197</v>
      </c>
      <c r="CB162" s="1998">
        <v>0.96309981824722679</v>
      </c>
      <c r="CC162" s="1998">
        <v>0.9063557815290052</v>
      </c>
      <c r="CD162" s="1998">
        <v>0.9681564538259686</v>
      </c>
      <c r="CE162" s="1998">
        <v>0.91268640211204854</v>
      </c>
      <c r="CF162" s="1999">
        <v>0.90341079352400744</v>
      </c>
      <c r="CG162" s="1979">
        <v>0.8400912370705178</v>
      </c>
      <c r="CH162" s="1979">
        <v>0.90411154332494459</v>
      </c>
      <c r="CI162" s="1979">
        <v>0.84060633151794617</v>
      </c>
      <c r="CJ162" s="1979">
        <v>0.90475389730913702</v>
      </c>
      <c r="CK162" s="1979">
        <v>0.84107850142808893</v>
      </c>
      <c r="CL162" s="1979">
        <v>0.90545464711007451</v>
      </c>
      <c r="CM162" s="1979">
        <v>0.84159359587551752</v>
      </c>
      <c r="CN162" s="1979">
        <v>0.90714812579567305</v>
      </c>
      <c r="CO162" s="1979">
        <v>0.84283840745680283</v>
      </c>
      <c r="CP162" s="2000">
        <v>0.9023614884239215</v>
      </c>
      <c r="CQ162" s="1998">
        <v>0.82815800129681272</v>
      </c>
      <c r="CR162" s="1998">
        <v>0.90309693417789616</v>
      </c>
      <c r="CS162" s="1998">
        <v>0.82869735567192637</v>
      </c>
      <c r="CT162" s="1998">
        <v>0.90377109278570611</v>
      </c>
      <c r="CU162" s="1998">
        <v>0.82919176384911386</v>
      </c>
      <c r="CV162" s="1998">
        <v>0.90450653853968077</v>
      </c>
      <c r="CW162" s="1998">
        <v>0.82973111822422763</v>
      </c>
      <c r="CX162" s="1998">
        <v>0.90628386577845288</v>
      </c>
      <c r="CY162" s="1998">
        <v>0.83103455796408554</v>
      </c>
      <c r="CZ162" s="1999">
        <v>0.91178759869199022</v>
      </c>
      <c r="DA162" s="1979">
        <v>0.88103211431600337</v>
      </c>
      <c r="DB162" s="1979">
        <v>0.91469554046344714</v>
      </c>
      <c r="DC162" s="1979">
        <v>0.88314485786974406</v>
      </c>
      <c r="DD162" s="1979">
        <v>0.91760348223490396</v>
      </c>
      <c r="DE162" s="1979">
        <v>0.88525760142348509</v>
      </c>
      <c r="DF162" s="1979">
        <v>0.92051142400636055</v>
      </c>
      <c r="DG162" s="1979">
        <v>0.887370344977226</v>
      </c>
      <c r="DH162" s="1979">
        <v>0.92341936577781736</v>
      </c>
      <c r="DI162" s="1979">
        <v>0.88948308853096669</v>
      </c>
      <c r="DJ162" s="2000">
        <v>0.94158219382236252</v>
      </c>
      <c r="DK162" s="1998">
        <v>0.89702444137573623</v>
      </c>
      <c r="DL162" s="1998">
        <v>0.94414675499429945</v>
      </c>
      <c r="DM162" s="1998">
        <v>0.89891298935524577</v>
      </c>
      <c r="DN162" s="1998">
        <v>0.94671131616623616</v>
      </c>
      <c r="DO162" s="1998">
        <v>0.90080153733475565</v>
      </c>
      <c r="DP162" s="1998">
        <v>0.94927587733817276</v>
      </c>
      <c r="DQ162" s="1998">
        <v>0.90269008531426542</v>
      </c>
      <c r="DR162" s="1998">
        <v>0.95184043851010947</v>
      </c>
      <c r="DS162" s="1998">
        <v>0.90457863329377508</v>
      </c>
      <c r="GT162" s="1980"/>
      <c r="GU162" s="1980"/>
      <c r="GV162" s="1980"/>
      <c r="GW162" s="1980"/>
      <c r="GX162" s="1980"/>
      <c r="GY162" s="1980"/>
      <c r="GZ162" s="1980"/>
      <c r="HA162" s="1980"/>
      <c r="HB162" s="1980"/>
      <c r="HC162" s="1980"/>
      <c r="HD162" s="1980"/>
      <c r="HE162" s="1980"/>
      <c r="HF162" s="1980"/>
      <c r="HG162" s="1980"/>
      <c r="HH162" s="1980"/>
      <c r="HI162" s="1980"/>
      <c r="HJ162" s="1980"/>
      <c r="HK162" s="1980"/>
      <c r="HL162" s="1980"/>
      <c r="HM162" s="1980"/>
      <c r="HN162" s="1980"/>
      <c r="HO162" s="1980"/>
      <c r="HP162" s="1980"/>
      <c r="HQ162" s="1980"/>
      <c r="HR162" s="1980"/>
      <c r="HS162" s="1980"/>
      <c r="HT162" s="1980"/>
      <c r="HU162" s="1980"/>
      <c r="HV162" s="1980"/>
      <c r="HW162" s="1980"/>
      <c r="HX162" s="1980"/>
      <c r="HY162" s="1980"/>
      <c r="HZ162" s="1980"/>
      <c r="IA162" s="1980"/>
      <c r="IB162" s="1980"/>
      <c r="IC162" s="1980"/>
      <c r="ID162" s="1980"/>
      <c r="IE162" s="1980"/>
      <c r="IF162" s="1980"/>
      <c r="IG162" s="1980"/>
      <c r="IH162" s="1980"/>
      <c r="II162" s="1980"/>
      <c r="IJ162" s="1980"/>
      <c r="IK162" s="1980"/>
      <c r="IL162" s="1980"/>
      <c r="IM162" s="1980"/>
      <c r="IN162" s="1980"/>
      <c r="IO162" s="1980"/>
      <c r="IP162" s="1980"/>
      <c r="IQ162" s="1980"/>
      <c r="IR162" s="1980"/>
      <c r="IS162" s="1980"/>
      <c r="IT162" s="1980"/>
      <c r="IU162" s="1980"/>
      <c r="IV162" s="1980"/>
      <c r="IW162" s="1980"/>
      <c r="IX162" s="1980"/>
      <c r="IY162" s="1980"/>
      <c r="IZ162" s="1980"/>
      <c r="JA162" s="1980"/>
      <c r="JB162" s="1980"/>
      <c r="JC162" s="1980"/>
      <c r="JD162" s="1980"/>
      <c r="JE162" s="1980"/>
      <c r="JF162" s="1980"/>
      <c r="JG162" s="1980"/>
      <c r="JH162" s="1980"/>
      <c r="JI162" s="1980"/>
      <c r="JJ162" s="1980"/>
      <c r="JK162" s="1980"/>
      <c r="JL162" s="1980"/>
      <c r="JM162" s="1980"/>
      <c r="JN162" s="1980"/>
      <c r="JO162" s="1980"/>
      <c r="JP162" s="1980"/>
      <c r="JQ162" s="1980"/>
      <c r="JR162" s="1980"/>
      <c r="JS162" s="1980"/>
      <c r="JT162" s="1980"/>
      <c r="JU162" s="1980"/>
      <c r="JV162" s="1980"/>
      <c r="JW162" s="1980"/>
      <c r="JX162" s="1980"/>
      <c r="JY162" s="1980"/>
      <c r="JZ162" s="1980"/>
      <c r="KA162" s="1980"/>
      <c r="KB162" s="1980"/>
      <c r="KC162" s="1980"/>
      <c r="KD162" s="1980"/>
      <c r="KE162" s="1980"/>
      <c r="KF162" s="1980"/>
      <c r="KG162" s="1980"/>
      <c r="KH162" s="1980"/>
      <c r="KI162" s="1980"/>
      <c r="KJ162" s="1980"/>
      <c r="KK162" s="1980"/>
    </row>
    <row r="163" spans="1:297">
      <c r="A163" s="1997"/>
      <c r="B163" s="2">
        <v>21</v>
      </c>
      <c r="C163" s="2" t="str">
        <f>CONCATENATE($U$8," ",V$18)</f>
        <v>Proportion de fenêtres 80</v>
      </c>
      <c r="D163" s="1979">
        <v>0.95918059949304812</v>
      </c>
      <c r="E163" s="1979">
        <v>0.8504532403570868</v>
      </c>
      <c r="F163" s="1979">
        <v>0.9639955866078731</v>
      </c>
      <c r="G163" s="1979">
        <v>0.85680338435504311</v>
      </c>
      <c r="H163" s="1979">
        <v>0.97071600790807766</v>
      </c>
      <c r="I163" s="1979">
        <v>0.86490565062105951</v>
      </c>
      <c r="J163" s="1979">
        <v>0.97746054269148386</v>
      </c>
      <c r="K163" s="1979">
        <v>0.87302481506091945</v>
      </c>
      <c r="L163" s="1979">
        <v>0.98420507747489006</v>
      </c>
      <c r="M163" s="1979">
        <v>0.88114397950077938</v>
      </c>
      <c r="N163" s="2000">
        <v>0.99021487764766269</v>
      </c>
      <c r="O163" s="1998">
        <v>0.90186070206705826</v>
      </c>
      <c r="P163" s="1998">
        <v>0.99257654875364665</v>
      </c>
      <c r="Q163" s="1998">
        <v>0.90475900061887593</v>
      </c>
      <c r="R163" s="1998">
        <v>0.99567736799195838</v>
      </c>
      <c r="S163" s="1998">
        <v>0.90834699259399265</v>
      </c>
      <c r="T163" s="1998">
        <v>0.99883810241176707</v>
      </c>
      <c r="U163" s="1998">
        <v>0.91197691671085435</v>
      </c>
      <c r="V163" s="1998">
        <v>1.001998836831576</v>
      </c>
      <c r="W163" s="1998">
        <v>0.91560684082771593</v>
      </c>
      <c r="X163" s="1999">
        <v>0.91053533998338587</v>
      </c>
      <c r="Y163" s="1979">
        <v>0.81684021155307041</v>
      </c>
      <c r="Z163" s="1979">
        <v>0.91671766258189391</v>
      </c>
      <c r="AA163" s="1979">
        <v>0.8244851338958209</v>
      </c>
      <c r="AB163" s="1979">
        <v>0.9112879598102005</v>
      </c>
      <c r="AC163" s="1979">
        <v>0.81940357079151094</v>
      </c>
      <c r="AD163" s="1979">
        <v>0.91140682887782321</v>
      </c>
      <c r="AE163" s="1979">
        <v>0.81948816839102467</v>
      </c>
      <c r="AF163" s="1979">
        <v>0.91162475550179844</v>
      </c>
      <c r="AG163" s="1979">
        <v>0.81964326399013321</v>
      </c>
      <c r="AH163" s="2000">
        <v>0.94312523611586374</v>
      </c>
      <c r="AI163" s="1998">
        <v>0.86241006868116221</v>
      </c>
      <c r="AJ163" s="1998">
        <v>0.94646650041255798</v>
      </c>
      <c r="AK163" s="1998">
        <v>0.86650771133969795</v>
      </c>
      <c r="AL163" s="1998">
        <v>0.94381982210267612</v>
      </c>
      <c r="AM163" s="1998">
        <v>0.86396764700892714</v>
      </c>
      <c r="AN163" s="1998">
        <v>0.94403436125168383</v>
      </c>
      <c r="AO163" s="1998">
        <v>0.86412207843303657</v>
      </c>
      <c r="AP163" s="1998">
        <v>0.94442768302486468</v>
      </c>
      <c r="AQ163" s="1998">
        <v>0.8644052027105712</v>
      </c>
      <c r="AR163" s="1999">
        <v>0.90383546597934095</v>
      </c>
      <c r="AS163" s="1979">
        <v>0.81712389613416325</v>
      </c>
      <c r="AT163" s="1979">
        <v>0.90974652205222284</v>
      </c>
      <c r="AU163" s="1979">
        <v>0.82443733691534049</v>
      </c>
      <c r="AV163" s="1979">
        <v>0.90463979916698034</v>
      </c>
      <c r="AW163" s="1979">
        <v>0.81962976064277404</v>
      </c>
      <c r="AX163" s="1979">
        <v>0.90479769947277411</v>
      </c>
      <c r="AY163" s="1979">
        <v>0.8197425626045528</v>
      </c>
      <c r="AZ163" s="1979">
        <v>0.905087183366729</v>
      </c>
      <c r="BA163" s="1979">
        <v>0.81994936620114733</v>
      </c>
      <c r="BB163" s="2000">
        <v>1.2444136607549459</v>
      </c>
      <c r="BC163" s="1998">
        <v>1.1542041721650367</v>
      </c>
      <c r="BD163" s="1998">
        <v>1.2452501236745328</v>
      </c>
      <c r="BE163" s="1998">
        <v>1.1547811907641146</v>
      </c>
      <c r="BF163" s="1998">
        <v>1.24608658659412</v>
      </c>
      <c r="BG163" s="1998">
        <v>1.1553582093631924</v>
      </c>
      <c r="BH163" s="1998">
        <v>1.2469230495137067</v>
      </c>
      <c r="BI163" s="1998">
        <v>1.1559352279622703</v>
      </c>
      <c r="BJ163" s="1998">
        <v>1.2484565648662829</v>
      </c>
      <c r="BK163" s="1998">
        <v>1.1569930953939127</v>
      </c>
      <c r="BL163" s="1999">
        <v>0.91091696232496122</v>
      </c>
      <c r="BM163" s="1979">
        <v>0.79289036373286792</v>
      </c>
      <c r="BN163" s="1979">
        <v>0.91154231560353738</v>
      </c>
      <c r="BO163" s="1979">
        <v>0.79332043025849042</v>
      </c>
      <c r="BP163" s="1979">
        <v>0.91211555610889905</v>
      </c>
      <c r="BQ163" s="1979">
        <v>0.79371465790697737</v>
      </c>
      <c r="BR163" s="1979">
        <v>0.91274090938747532</v>
      </c>
      <c r="BS163" s="1979">
        <v>0.79414472443259987</v>
      </c>
      <c r="BT163" s="1979">
        <v>0.91425217981070128</v>
      </c>
      <c r="BU163" s="1979">
        <v>0.79518405186952079</v>
      </c>
      <c r="BV163" s="2000">
        <v>0.95126498250995961</v>
      </c>
      <c r="BW163" s="1998">
        <v>0.89080024633643762</v>
      </c>
      <c r="BX163" s="1998">
        <v>0.95484108925535316</v>
      </c>
      <c r="BY163" s="1998">
        <v>0.89571129123540705</v>
      </c>
      <c r="BZ163" s="1998">
        <v>0.95981716598818156</v>
      </c>
      <c r="CA163" s="1998">
        <v>0.90197277771904216</v>
      </c>
      <c r="CB163" s="1998">
        <v>0.96482913043833085</v>
      </c>
      <c r="CC163" s="1998">
        <v>0.90826056627713492</v>
      </c>
      <c r="CD163" s="1998">
        <v>0.96984109488847992</v>
      </c>
      <c r="CE163" s="1998">
        <v>0.91454835483522767</v>
      </c>
      <c r="CF163" s="1999">
        <v>0.90505552322170668</v>
      </c>
      <c r="CG163" s="1979">
        <v>0.84191444213867084</v>
      </c>
      <c r="CH163" s="1979">
        <v>0.90575627302264394</v>
      </c>
      <c r="CI163" s="1979">
        <v>0.8424295365860992</v>
      </c>
      <c r="CJ163" s="1979">
        <v>0.9063986270068366</v>
      </c>
      <c r="CK163" s="1979">
        <v>0.84290170649624208</v>
      </c>
      <c r="CL163" s="1979">
        <v>0.90709937680777375</v>
      </c>
      <c r="CM163" s="1979">
        <v>0.84341680094367055</v>
      </c>
      <c r="CN163" s="1979">
        <v>0.90879285549337241</v>
      </c>
      <c r="CO163" s="1979">
        <v>0.84466161252495586</v>
      </c>
      <c r="CP163" s="2000">
        <v>0.90415810868144209</v>
      </c>
      <c r="CQ163" s="1998">
        <v>0.83014499711518019</v>
      </c>
      <c r="CR163" s="1998">
        <v>0.90489355443541675</v>
      </c>
      <c r="CS163" s="1998">
        <v>0.83068435149029374</v>
      </c>
      <c r="CT163" s="1998">
        <v>0.90556771304322692</v>
      </c>
      <c r="CU163" s="1998">
        <v>0.83117875966748134</v>
      </c>
      <c r="CV163" s="1998">
        <v>0.90630315879720169</v>
      </c>
      <c r="CW163" s="1998">
        <v>0.83171811404259499</v>
      </c>
      <c r="CX163" s="1998">
        <v>0.90808048603597358</v>
      </c>
      <c r="CY163" s="1998">
        <v>0.83302155378245291</v>
      </c>
      <c r="CZ163" s="1999">
        <v>0.91446441282569724</v>
      </c>
      <c r="DA163" s="1979">
        <v>0.88396500851093796</v>
      </c>
      <c r="DB163" s="1979">
        <v>0.91737235459715405</v>
      </c>
      <c r="DC163" s="1979">
        <v>0.88607775206467898</v>
      </c>
      <c r="DD163" s="1979">
        <v>0.92028029636861075</v>
      </c>
      <c r="DE163" s="1979">
        <v>0.88819049561841967</v>
      </c>
      <c r="DF163" s="1979">
        <v>0.92318823814006756</v>
      </c>
      <c r="DG163" s="1979">
        <v>0.8903032391721607</v>
      </c>
      <c r="DH163" s="1979">
        <v>0.92609617991152449</v>
      </c>
      <c r="DI163" s="1979">
        <v>0.89241598272590139</v>
      </c>
      <c r="DJ163" s="2000">
        <v>0.94611889325064991</v>
      </c>
      <c r="DK163" s="1998">
        <v>0.90206260266606297</v>
      </c>
      <c r="DL163" s="1998">
        <v>0.94868345442258672</v>
      </c>
      <c r="DM163" s="1998">
        <v>0.90395115064557263</v>
      </c>
      <c r="DN163" s="1998">
        <v>0.95124801559452332</v>
      </c>
      <c r="DO163" s="1998">
        <v>0.9058396986250824</v>
      </c>
      <c r="DP163" s="1998">
        <v>0.95381257676646014</v>
      </c>
      <c r="DQ163" s="1998">
        <v>0.90772824660459228</v>
      </c>
      <c r="DR163" s="1998">
        <v>0.95637713793839696</v>
      </c>
      <c r="DS163" s="1998">
        <v>0.90961679458410183</v>
      </c>
      <c r="GT163" s="1980"/>
      <c r="GU163" s="1980"/>
      <c r="GV163" s="1980"/>
      <c r="GW163" s="1980"/>
      <c r="GX163" s="1980"/>
      <c r="GY163" s="1980"/>
      <c r="GZ163" s="1980"/>
      <c r="HA163" s="1980"/>
      <c r="HB163" s="1980"/>
      <c r="HC163" s="1980"/>
      <c r="HD163" s="1980"/>
      <c r="HE163" s="1980"/>
      <c r="HF163" s="1980"/>
      <c r="HG163" s="1980"/>
      <c r="HH163" s="1980"/>
      <c r="HI163" s="1980"/>
      <c r="HJ163" s="1980"/>
      <c r="HK163" s="1980"/>
      <c r="HL163" s="1980"/>
      <c r="HM163" s="1980"/>
      <c r="HN163" s="1980"/>
      <c r="HO163" s="1980"/>
      <c r="HP163" s="1980"/>
      <c r="HQ163" s="1980"/>
      <c r="HR163" s="1980"/>
      <c r="HS163" s="1980"/>
      <c r="HT163" s="1980"/>
      <c r="HU163" s="1980"/>
      <c r="HV163" s="1980"/>
      <c r="HW163" s="1980"/>
      <c r="HX163" s="1980"/>
      <c r="HY163" s="1980"/>
      <c r="HZ163" s="1980"/>
      <c r="IA163" s="1980"/>
      <c r="IB163" s="1980"/>
      <c r="IC163" s="1980"/>
      <c r="ID163" s="1980"/>
      <c r="IE163" s="1980"/>
      <c r="IF163" s="1980"/>
      <c r="IG163" s="1980"/>
      <c r="IH163" s="1980"/>
      <c r="II163" s="1980"/>
      <c r="IJ163" s="1980"/>
      <c r="IK163" s="1980"/>
      <c r="IL163" s="1980"/>
      <c r="IM163" s="1980"/>
      <c r="IN163" s="1980"/>
      <c r="IO163" s="1980"/>
      <c r="IP163" s="1980"/>
      <c r="IQ163" s="1980"/>
      <c r="IR163" s="1980"/>
      <c r="IS163" s="1980"/>
      <c r="IT163" s="1980"/>
      <c r="IU163" s="1980"/>
      <c r="IV163" s="1980"/>
      <c r="IW163" s="1980"/>
      <c r="IX163" s="1980"/>
      <c r="IY163" s="1980"/>
      <c r="IZ163" s="1980"/>
      <c r="JA163" s="1980"/>
      <c r="JB163" s="1980"/>
      <c r="JC163" s="1980"/>
      <c r="JD163" s="1980"/>
      <c r="JE163" s="1980"/>
      <c r="JF163" s="1980"/>
      <c r="JG163" s="1980"/>
      <c r="JH163" s="1980"/>
      <c r="JI163" s="1980"/>
      <c r="JJ163" s="1980"/>
      <c r="JK163" s="1980"/>
      <c r="JL163" s="1980"/>
      <c r="JM163" s="1980"/>
      <c r="JN163" s="1980"/>
      <c r="JO163" s="1980"/>
      <c r="JP163" s="1980"/>
      <c r="JQ163" s="1980"/>
      <c r="JR163" s="1980"/>
      <c r="JS163" s="1980"/>
      <c r="JT163" s="1980"/>
      <c r="JU163" s="1980"/>
      <c r="JV163" s="1980"/>
      <c r="JW163" s="1980"/>
      <c r="JX163" s="1980"/>
      <c r="JY163" s="1980"/>
      <c r="JZ163" s="1980"/>
      <c r="KA163" s="1980"/>
      <c r="KB163" s="1980"/>
      <c r="KC163" s="1980"/>
      <c r="KD163" s="1980"/>
      <c r="KE163" s="1980"/>
      <c r="KF163" s="1980"/>
      <c r="KG163" s="1980"/>
      <c r="KH163" s="1980"/>
      <c r="KI163" s="1980"/>
      <c r="KJ163" s="1980"/>
      <c r="KK163" s="1980"/>
    </row>
    <row r="164" spans="1:297">
      <c r="A164" s="1997"/>
      <c r="B164" s="2">
        <v>22</v>
      </c>
      <c r="C164" s="2" t="str">
        <f>CONCATENATE($U$8," ",V$19)</f>
        <v>Proportion de fenêtres 90</v>
      </c>
      <c r="D164" s="1979">
        <v>0.96489623232004662</v>
      </c>
      <c r="E164" s="1979">
        <v>0.85641684162604204</v>
      </c>
      <c r="F164" s="1979">
        <v>0.96957419358594343</v>
      </c>
      <c r="G164" s="1979">
        <v>0.86264135953464582</v>
      </c>
      <c r="H164" s="1979">
        <v>0.97615758903721972</v>
      </c>
      <c r="I164" s="1979">
        <v>0.8706179997113096</v>
      </c>
      <c r="J164" s="1979">
        <v>0.98276509797169775</v>
      </c>
      <c r="K164" s="1979">
        <v>0.87861153806181702</v>
      </c>
      <c r="L164" s="1979">
        <v>0.98937260690617579</v>
      </c>
      <c r="M164" s="1979">
        <v>0.88660507641232433</v>
      </c>
      <c r="N164" s="2000">
        <v>0.99400244479041111</v>
      </c>
      <c r="O164" s="1998">
        <v>0.90580740972310747</v>
      </c>
      <c r="P164" s="1998">
        <v>0.99627331324709667</v>
      </c>
      <c r="Q164" s="1998">
        <v>0.90862256900617033</v>
      </c>
      <c r="R164" s="1998">
        <v>0.99928332983611023</v>
      </c>
      <c r="S164" s="1998">
        <v>0.91212742171253203</v>
      </c>
      <c r="T164" s="1998">
        <v>1.0023532616066206</v>
      </c>
      <c r="U164" s="1998">
        <v>0.9156742065606388</v>
      </c>
      <c r="V164" s="1998">
        <v>1.0054231933771312</v>
      </c>
      <c r="W164" s="1998">
        <v>0.91922099140874536</v>
      </c>
      <c r="X164" s="1999">
        <v>0.91540406615661296</v>
      </c>
      <c r="Y164" s="1979">
        <v>0.82204775458966062</v>
      </c>
      <c r="Z164" s="1979">
        <v>0.921586388755121</v>
      </c>
      <c r="AA164" s="1979">
        <v>0.82969267693241111</v>
      </c>
      <c r="AB164" s="1979">
        <v>0.91615668598342759</v>
      </c>
      <c r="AC164" s="1979">
        <v>0.82461111382810115</v>
      </c>
      <c r="AD164" s="1979">
        <v>0.91627555505105029</v>
      </c>
      <c r="AE164" s="1979">
        <v>0.82469571142761511</v>
      </c>
      <c r="AF164" s="1979">
        <v>0.91649348167502553</v>
      </c>
      <c r="AG164" s="1979">
        <v>0.82485080702672364</v>
      </c>
      <c r="AH164" s="2000">
        <v>0.94854034896676576</v>
      </c>
      <c r="AI164" s="1998">
        <v>0.86826827912699445</v>
      </c>
      <c r="AJ164" s="1998">
        <v>0.95188161326345999</v>
      </c>
      <c r="AK164" s="1998">
        <v>0.8723659217855303</v>
      </c>
      <c r="AL164" s="1998">
        <v>0.94923493495357802</v>
      </c>
      <c r="AM164" s="1998">
        <v>0.86982585745475938</v>
      </c>
      <c r="AN164" s="1998">
        <v>0.94944947410258584</v>
      </c>
      <c r="AO164" s="1998">
        <v>0.86998028887886913</v>
      </c>
      <c r="AP164" s="1998">
        <v>0.9498427958757667</v>
      </c>
      <c r="AQ164" s="1998">
        <v>0.87026341315640354</v>
      </c>
      <c r="AR164" s="1999">
        <v>0.90784168016776212</v>
      </c>
      <c r="AS164" s="1979">
        <v>0.82142516094146567</v>
      </c>
      <c r="AT164" s="1979">
        <v>0.91375273624064413</v>
      </c>
      <c r="AU164" s="1979">
        <v>0.8287386017226428</v>
      </c>
      <c r="AV164" s="1979">
        <v>0.90864601335540163</v>
      </c>
      <c r="AW164" s="1979">
        <v>0.82393102545007635</v>
      </c>
      <c r="AX164" s="1979">
        <v>0.90880391366119528</v>
      </c>
      <c r="AY164" s="1979">
        <v>0.82404382741185511</v>
      </c>
      <c r="AZ164" s="1979">
        <v>0.90909339755515017</v>
      </c>
      <c r="BA164" s="1979">
        <v>0.82425063100844964</v>
      </c>
      <c r="BB164" s="2000">
        <v>1.2489481333719392</v>
      </c>
      <c r="BC164" s="1998">
        <v>1.1589052586031563</v>
      </c>
      <c r="BD164" s="1998">
        <v>1.2497845962915259</v>
      </c>
      <c r="BE164" s="1998">
        <v>1.159482277202234</v>
      </c>
      <c r="BF164" s="1998">
        <v>1.2506210592111131</v>
      </c>
      <c r="BG164" s="1998">
        <v>1.1600592958013121</v>
      </c>
      <c r="BH164" s="1998">
        <v>1.2514575221306998</v>
      </c>
      <c r="BI164" s="1998">
        <v>1.1606363144003897</v>
      </c>
      <c r="BJ164" s="1998">
        <v>1.252991037483276</v>
      </c>
      <c r="BK164" s="1998">
        <v>1.1616941818320323</v>
      </c>
      <c r="BL164" s="1999">
        <v>0.91421194842908071</v>
      </c>
      <c r="BM164" s="1979">
        <v>0.79630764634365325</v>
      </c>
      <c r="BN164" s="1979">
        <v>0.91483730170765687</v>
      </c>
      <c r="BO164" s="1979">
        <v>0.79673771286927575</v>
      </c>
      <c r="BP164" s="1979">
        <v>0.91541054221301843</v>
      </c>
      <c r="BQ164" s="1979">
        <v>0.79713194051776304</v>
      </c>
      <c r="BR164" s="1979">
        <v>0.91603589549159481</v>
      </c>
      <c r="BS164" s="1979">
        <v>0.79756200704338531</v>
      </c>
      <c r="BT164" s="1979">
        <v>0.91754716591482088</v>
      </c>
      <c r="BU164" s="1979">
        <v>0.79860133448030612</v>
      </c>
      <c r="BV164" s="2000">
        <v>0.95312830808684079</v>
      </c>
      <c r="BW164" s="1998">
        <v>0.89283352715941866</v>
      </c>
      <c r="BX164" s="1998">
        <v>0.95665974370364171</v>
      </c>
      <c r="BY164" s="1998">
        <v>0.89770174003343772</v>
      </c>
      <c r="BZ164" s="1998">
        <v>0.9615911493078777</v>
      </c>
      <c r="CA164" s="1998">
        <v>0.90392039449212247</v>
      </c>
      <c r="CB164" s="1998">
        <v>0.96655844262943469</v>
      </c>
      <c r="CC164" s="1998">
        <v>0.91016535102526452</v>
      </c>
      <c r="CD164" s="1998">
        <v>0.97152573595099156</v>
      </c>
      <c r="CE164" s="1998">
        <v>0.9164103075584068</v>
      </c>
      <c r="CF164" s="1999">
        <v>0.90670025291940615</v>
      </c>
      <c r="CG164" s="1979">
        <v>0.84373764720682376</v>
      </c>
      <c r="CH164" s="1979">
        <v>0.9074010027203433</v>
      </c>
      <c r="CI164" s="1979">
        <v>0.84425274165425224</v>
      </c>
      <c r="CJ164" s="1979">
        <v>0.90804335670453595</v>
      </c>
      <c r="CK164" s="1979">
        <v>0.84472491156439511</v>
      </c>
      <c r="CL164" s="1979">
        <v>0.90874410650547321</v>
      </c>
      <c r="CM164" s="1979">
        <v>0.84524000601182347</v>
      </c>
      <c r="CN164" s="1979">
        <v>0.91043758519107165</v>
      </c>
      <c r="CO164" s="1979">
        <v>0.84648481759310878</v>
      </c>
      <c r="CP164" s="2000">
        <v>0.90595472893896267</v>
      </c>
      <c r="CQ164" s="1998">
        <v>0.83213199293354756</v>
      </c>
      <c r="CR164" s="1998">
        <v>0.90669017469293733</v>
      </c>
      <c r="CS164" s="1998">
        <v>0.83267134730866121</v>
      </c>
      <c r="CT164" s="1998">
        <v>0.90736433330074751</v>
      </c>
      <c r="CU164" s="1998">
        <v>0.8331657554858487</v>
      </c>
      <c r="CV164" s="1998">
        <v>0.90809977905472217</v>
      </c>
      <c r="CW164" s="1998">
        <v>0.83370510986096247</v>
      </c>
      <c r="CX164" s="1998">
        <v>0.90987710629349416</v>
      </c>
      <c r="CY164" s="1998">
        <v>0.83500854960082038</v>
      </c>
      <c r="CZ164" s="1999">
        <v>0.91714122695940425</v>
      </c>
      <c r="DA164" s="1979">
        <v>0.88689790270587288</v>
      </c>
      <c r="DB164" s="1979">
        <v>0.92004916873086107</v>
      </c>
      <c r="DC164" s="1979">
        <v>0.88901064625961357</v>
      </c>
      <c r="DD164" s="1979">
        <v>0.92295711050231766</v>
      </c>
      <c r="DE164" s="1979">
        <v>0.89112338981335459</v>
      </c>
      <c r="DF164" s="1979">
        <v>0.92586505227377447</v>
      </c>
      <c r="DG164" s="1979">
        <v>0.89323613336709529</v>
      </c>
      <c r="DH164" s="1979">
        <v>0.92877299404523139</v>
      </c>
      <c r="DI164" s="1979">
        <v>0.89534887692083631</v>
      </c>
      <c r="DJ164" s="2000">
        <v>0.9506555926789374</v>
      </c>
      <c r="DK164" s="1998">
        <v>0.90710076395638972</v>
      </c>
      <c r="DL164" s="1998">
        <v>0.953220153850874</v>
      </c>
      <c r="DM164" s="1998">
        <v>0.90898931193589938</v>
      </c>
      <c r="DN164" s="1998">
        <v>0.9557847150228107</v>
      </c>
      <c r="DO164" s="1998">
        <v>0.91087785991540937</v>
      </c>
      <c r="DP164" s="1998">
        <v>0.95834927619474741</v>
      </c>
      <c r="DQ164" s="1998">
        <v>0.91276640789491903</v>
      </c>
      <c r="DR164" s="1998">
        <v>0.96091383736668412</v>
      </c>
      <c r="DS164" s="1998">
        <v>0.9146549558744288</v>
      </c>
      <c r="GT164" s="1980"/>
      <c r="GU164" s="1980"/>
      <c r="GV164" s="1980"/>
      <c r="GW164" s="1980"/>
      <c r="GX164" s="1980"/>
      <c r="GY164" s="1980"/>
      <c r="GZ164" s="1980"/>
      <c r="HA164" s="1980"/>
      <c r="HB164" s="1980"/>
      <c r="HC164" s="1980"/>
      <c r="HD164" s="1980"/>
      <c r="HE164" s="1980"/>
      <c r="HF164" s="1980"/>
      <c r="HG164" s="1980"/>
      <c r="HH164" s="1980"/>
      <c r="HI164" s="1980"/>
      <c r="HJ164" s="1980"/>
      <c r="HK164" s="1980"/>
      <c r="HL164" s="1980"/>
      <c r="HM164" s="1980"/>
      <c r="HN164" s="1980"/>
      <c r="HO164" s="1980"/>
      <c r="HP164" s="1980"/>
      <c r="HQ164" s="1980"/>
      <c r="HR164" s="1980"/>
      <c r="HS164" s="1980"/>
      <c r="HT164" s="1980"/>
      <c r="HU164" s="1980"/>
      <c r="HV164" s="1980"/>
      <c r="HW164" s="1980"/>
      <c r="HX164" s="1980"/>
      <c r="HY164" s="1980"/>
      <c r="HZ164" s="1980"/>
      <c r="IA164" s="1980"/>
      <c r="IB164" s="1980"/>
      <c r="IC164" s="1980"/>
      <c r="ID164" s="1980"/>
      <c r="IE164" s="1980"/>
      <c r="IF164" s="1980"/>
      <c r="IG164" s="1980"/>
      <c r="IH164" s="1980"/>
      <c r="II164" s="1980"/>
      <c r="IJ164" s="1980"/>
      <c r="IK164" s="1980"/>
      <c r="IL164" s="1980"/>
      <c r="IM164" s="1980"/>
      <c r="IN164" s="1980"/>
      <c r="IO164" s="1980"/>
      <c r="IP164" s="1980"/>
      <c r="IQ164" s="1980"/>
      <c r="IR164" s="1980"/>
      <c r="IS164" s="1980"/>
      <c r="IT164" s="1980"/>
      <c r="IU164" s="1980"/>
      <c r="IV164" s="1980"/>
      <c r="IW164" s="1980"/>
      <c r="IX164" s="1980"/>
      <c r="IY164" s="1980"/>
      <c r="IZ164" s="1980"/>
      <c r="JA164" s="1980"/>
      <c r="JB164" s="1980"/>
      <c r="JC164" s="1980"/>
      <c r="JD164" s="1980"/>
      <c r="JE164" s="1980"/>
      <c r="JF164" s="1980"/>
      <c r="JG164" s="1980"/>
      <c r="JH164" s="1980"/>
      <c r="JI164" s="1980"/>
      <c r="JJ164" s="1980"/>
      <c r="JK164" s="1980"/>
      <c r="JL164" s="1980"/>
      <c r="JM164" s="1980"/>
      <c r="JN164" s="1980"/>
      <c r="JO164" s="1980"/>
      <c r="JP164" s="1980"/>
      <c r="JQ164" s="1980"/>
      <c r="JR164" s="1980"/>
      <c r="JS164" s="1980"/>
      <c r="JT164" s="1980"/>
      <c r="JU164" s="1980"/>
      <c r="JV164" s="1980"/>
      <c r="JW164" s="1980"/>
      <c r="JX164" s="1980"/>
      <c r="JY164" s="1980"/>
      <c r="JZ164" s="1980"/>
      <c r="KA164" s="1980"/>
      <c r="KB164" s="1980"/>
      <c r="KC164" s="1980"/>
      <c r="KD164" s="1980"/>
      <c r="KE164" s="1980"/>
      <c r="KF164" s="1980"/>
      <c r="KG164" s="1980"/>
      <c r="KH164" s="1980"/>
      <c r="KI164" s="1980"/>
      <c r="KJ164" s="1980"/>
      <c r="KK164" s="1980"/>
    </row>
    <row r="165" spans="1:297">
      <c r="A165" s="1997"/>
      <c r="B165" s="2">
        <v>23</v>
      </c>
      <c r="C165" s="2" t="str">
        <f>CONCATENATE($U$8," ",V$20)</f>
        <v>Proportion de fenêtres 100</v>
      </c>
      <c r="D165" s="1979">
        <v>0.97061186514704512</v>
      </c>
      <c r="E165" s="1979">
        <v>0.86238044289499738</v>
      </c>
      <c r="F165" s="1979">
        <v>0.97515280056401377</v>
      </c>
      <c r="G165" s="1979">
        <v>0.86847933471424854</v>
      </c>
      <c r="H165" s="1979">
        <v>0.98159917016636178</v>
      </c>
      <c r="I165" s="1979">
        <v>0.87633034880155969</v>
      </c>
      <c r="J165" s="1979">
        <v>0.98806965325191154</v>
      </c>
      <c r="K165" s="1979">
        <v>0.8841982610627146</v>
      </c>
      <c r="L165" s="1979">
        <v>0.99454013633746141</v>
      </c>
      <c r="M165" s="1979">
        <v>0.89206617332386928</v>
      </c>
      <c r="N165" s="2000">
        <v>0.99779001193315942</v>
      </c>
      <c r="O165" s="1998">
        <v>0.90975411737915701</v>
      </c>
      <c r="P165" s="1998">
        <v>0.99997007774054669</v>
      </c>
      <c r="Q165" s="1998">
        <v>0.91248613739346451</v>
      </c>
      <c r="R165" s="1998">
        <v>1.0028892916802619</v>
      </c>
      <c r="S165" s="1998">
        <v>0.91590785083107129</v>
      </c>
      <c r="T165" s="1998">
        <v>1.0058684208014741</v>
      </c>
      <c r="U165" s="1998">
        <v>0.91937149641042282</v>
      </c>
      <c r="V165" s="1998">
        <v>1.0088475499226863</v>
      </c>
      <c r="W165" s="1998">
        <v>0.92283514198977468</v>
      </c>
      <c r="X165" s="1999">
        <v>0.92027279232984005</v>
      </c>
      <c r="Y165" s="1979">
        <v>0.82725529762625105</v>
      </c>
      <c r="Z165" s="1979">
        <v>0.92645511492834809</v>
      </c>
      <c r="AA165" s="1979">
        <v>0.83490021996900154</v>
      </c>
      <c r="AB165" s="1979">
        <v>0.92102541215665468</v>
      </c>
      <c r="AC165" s="1979">
        <v>0.82981865686469136</v>
      </c>
      <c r="AD165" s="1979">
        <v>0.92114428122427738</v>
      </c>
      <c r="AE165" s="1979">
        <v>0.82990325446420521</v>
      </c>
      <c r="AF165" s="1979">
        <v>0.92136220784825262</v>
      </c>
      <c r="AG165" s="1979">
        <v>0.83005835006331408</v>
      </c>
      <c r="AH165" s="2000">
        <v>0.95395546181766766</v>
      </c>
      <c r="AI165" s="1998">
        <v>0.8741264895728269</v>
      </c>
      <c r="AJ165" s="1998">
        <v>0.9572967261143619</v>
      </c>
      <c r="AK165" s="1998">
        <v>0.87822413223136264</v>
      </c>
      <c r="AL165" s="1998">
        <v>0.95465004780447993</v>
      </c>
      <c r="AM165" s="1998">
        <v>0.87568406790059183</v>
      </c>
      <c r="AN165" s="1998">
        <v>0.95486458695348764</v>
      </c>
      <c r="AO165" s="1998">
        <v>0.87583849932470159</v>
      </c>
      <c r="AP165" s="1998">
        <v>0.95525790872666871</v>
      </c>
      <c r="AQ165" s="1998">
        <v>0.87612162360223589</v>
      </c>
      <c r="AR165" s="1999">
        <v>0.9118478943561833</v>
      </c>
      <c r="AS165" s="1979">
        <v>0.82572642574876787</v>
      </c>
      <c r="AT165" s="1979">
        <v>0.9177589504290653</v>
      </c>
      <c r="AU165" s="1979">
        <v>0.83303986652994488</v>
      </c>
      <c r="AV165" s="1979">
        <v>0.9126522275438228</v>
      </c>
      <c r="AW165" s="1979">
        <v>0.82823229025737843</v>
      </c>
      <c r="AX165" s="1979">
        <v>0.91281012784961646</v>
      </c>
      <c r="AY165" s="1979">
        <v>0.82834509221915742</v>
      </c>
      <c r="AZ165" s="1979">
        <v>0.91309961174357124</v>
      </c>
      <c r="BA165" s="1979">
        <v>0.82855189581575195</v>
      </c>
      <c r="BB165" s="2000">
        <v>1.2534826059889321</v>
      </c>
      <c r="BC165" s="1998">
        <v>1.1636063450412757</v>
      </c>
      <c r="BD165" s="1998">
        <v>1.2543190689085191</v>
      </c>
      <c r="BE165" s="1998">
        <v>1.1641833636403536</v>
      </c>
      <c r="BF165" s="1998">
        <v>1.255155531828106</v>
      </c>
      <c r="BG165" s="1998">
        <v>1.1647603822394317</v>
      </c>
      <c r="BH165" s="1998">
        <v>1.2559919947476932</v>
      </c>
      <c r="BI165" s="1998">
        <v>1.1653374008385093</v>
      </c>
      <c r="BJ165" s="1998">
        <v>1.2575255101002691</v>
      </c>
      <c r="BK165" s="1998">
        <v>1.1663952682701519</v>
      </c>
      <c r="BL165" s="1999">
        <v>0.91750693453319998</v>
      </c>
      <c r="BM165" s="1979">
        <v>0.7997249289544387</v>
      </c>
      <c r="BN165" s="1979">
        <v>0.91813228781177614</v>
      </c>
      <c r="BO165" s="1979">
        <v>0.80015499548006119</v>
      </c>
      <c r="BP165" s="1979">
        <v>0.91870552831713803</v>
      </c>
      <c r="BQ165" s="1979">
        <v>0.80054922312854837</v>
      </c>
      <c r="BR165" s="1979">
        <v>0.91933088159571419</v>
      </c>
      <c r="BS165" s="1979">
        <v>0.80097928965417076</v>
      </c>
      <c r="BT165" s="1979">
        <v>0.92084215201894026</v>
      </c>
      <c r="BU165" s="1979">
        <v>0.80201861709109168</v>
      </c>
      <c r="BV165" s="2000">
        <v>0.95499163366372197</v>
      </c>
      <c r="BW165" s="1998">
        <v>0.89486680798239993</v>
      </c>
      <c r="BX165" s="1998">
        <v>0.95847839815193059</v>
      </c>
      <c r="BY165" s="1998">
        <v>0.89969218883146851</v>
      </c>
      <c r="BZ165" s="1998">
        <v>0.96336513262757406</v>
      </c>
      <c r="CA165" s="1998">
        <v>0.90586801126520256</v>
      </c>
      <c r="CB165" s="1998">
        <v>0.96828775482053864</v>
      </c>
      <c r="CC165" s="1998">
        <v>0.91207013577339435</v>
      </c>
      <c r="CD165" s="1998">
        <v>0.9732103770135031</v>
      </c>
      <c r="CE165" s="1998">
        <v>0.91827226028158615</v>
      </c>
      <c r="CF165" s="1999">
        <v>0.90834498261710539</v>
      </c>
      <c r="CG165" s="1979">
        <v>0.8455608522749769</v>
      </c>
      <c r="CH165" s="1979">
        <v>0.90904573241804265</v>
      </c>
      <c r="CI165" s="1979">
        <v>0.84607594672240549</v>
      </c>
      <c r="CJ165" s="1979">
        <v>0.90968808640223531</v>
      </c>
      <c r="CK165" s="1979">
        <v>0.84654811663254814</v>
      </c>
      <c r="CL165" s="1979">
        <v>0.91038883620317246</v>
      </c>
      <c r="CM165" s="1979">
        <v>0.84706321107997651</v>
      </c>
      <c r="CN165" s="1979">
        <v>0.91208231488877112</v>
      </c>
      <c r="CO165" s="1979">
        <v>0.84830802266126193</v>
      </c>
      <c r="CP165" s="2000">
        <v>0.90775134919648337</v>
      </c>
      <c r="CQ165" s="1998">
        <v>0.83411898875191504</v>
      </c>
      <c r="CR165" s="1998">
        <v>0.90848679495045792</v>
      </c>
      <c r="CS165" s="1998">
        <v>0.83465834312702869</v>
      </c>
      <c r="CT165" s="1998">
        <v>0.90916095355826809</v>
      </c>
      <c r="CU165" s="1998">
        <v>0.83515275130421629</v>
      </c>
      <c r="CV165" s="1998">
        <v>0.90989639931224275</v>
      </c>
      <c r="CW165" s="1998">
        <v>0.83569210567932983</v>
      </c>
      <c r="CX165" s="1998">
        <v>0.91167372655101464</v>
      </c>
      <c r="CY165" s="1998">
        <v>0.83699554541918797</v>
      </c>
      <c r="CZ165" s="1999">
        <v>0.91981804109311116</v>
      </c>
      <c r="DA165" s="1979">
        <v>0.88983079690080757</v>
      </c>
      <c r="DB165" s="1979">
        <v>0.92272598286456797</v>
      </c>
      <c r="DC165" s="1979">
        <v>0.89194354045454849</v>
      </c>
      <c r="DD165" s="1979">
        <v>0.92563392463602467</v>
      </c>
      <c r="DE165" s="1979">
        <v>0.89405628400828918</v>
      </c>
      <c r="DF165" s="1979">
        <v>0.9285418664074816</v>
      </c>
      <c r="DG165" s="1979">
        <v>0.89616902756203021</v>
      </c>
      <c r="DH165" s="1979">
        <v>0.93144980817893841</v>
      </c>
      <c r="DI165" s="1979">
        <v>0.89828177111577101</v>
      </c>
      <c r="DJ165" s="2000">
        <v>0.95519229210722467</v>
      </c>
      <c r="DK165" s="1998">
        <v>0.91213892524671647</v>
      </c>
      <c r="DL165" s="1998">
        <v>0.95775685327916127</v>
      </c>
      <c r="DM165" s="1998">
        <v>0.91402747322622635</v>
      </c>
      <c r="DN165" s="1998">
        <v>0.96032141445109798</v>
      </c>
      <c r="DO165" s="1998">
        <v>0.91591602120573612</v>
      </c>
      <c r="DP165" s="1998">
        <v>0.96288597562303457</v>
      </c>
      <c r="DQ165" s="1998">
        <v>0.91780456918524578</v>
      </c>
      <c r="DR165" s="1998">
        <v>0.9654505367949715</v>
      </c>
      <c r="DS165" s="1998">
        <v>0.91969311716475566</v>
      </c>
      <c r="GQ165" s="1997"/>
      <c r="GT165" s="1980"/>
      <c r="GU165" s="1980"/>
      <c r="GV165" s="1980"/>
      <c r="GW165" s="1980"/>
      <c r="GX165" s="1980"/>
      <c r="GY165" s="1980"/>
      <c r="GZ165" s="1980"/>
      <c r="HA165" s="1980"/>
      <c r="HB165" s="1980"/>
      <c r="HC165" s="1980"/>
      <c r="HD165" s="1980"/>
      <c r="HE165" s="1980"/>
      <c r="HF165" s="1980"/>
      <c r="HG165" s="1980"/>
      <c r="HH165" s="1980"/>
      <c r="HI165" s="1980"/>
      <c r="HJ165" s="1980"/>
      <c r="HK165" s="1980"/>
      <c r="HL165" s="1980"/>
      <c r="HM165" s="1980"/>
      <c r="HN165" s="1980"/>
      <c r="HO165" s="1980"/>
      <c r="HP165" s="1980"/>
      <c r="HQ165" s="1980"/>
      <c r="HR165" s="1980"/>
      <c r="HS165" s="1980"/>
      <c r="HT165" s="1980"/>
      <c r="HU165" s="1980"/>
      <c r="HV165" s="1980"/>
      <c r="HW165" s="1980"/>
      <c r="HX165" s="1980"/>
      <c r="HY165" s="1980"/>
      <c r="HZ165" s="1980"/>
      <c r="IA165" s="1980"/>
      <c r="IB165" s="1980"/>
      <c r="IC165" s="1980"/>
      <c r="ID165" s="1980"/>
      <c r="IE165" s="1980"/>
      <c r="IF165" s="1980"/>
      <c r="IG165" s="1980"/>
      <c r="IH165" s="1980"/>
      <c r="II165" s="1980"/>
      <c r="IJ165" s="1980"/>
      <c r="IK165" s="1980"/>
      <c r="IL165" s="1980"/>
      <c r="IM165" s="1980"/>
      <c r="IN165" s="1980"/>
      <c r="IO165" s="1980"/>
      <c r="IP165" s="1980"/>
      <c r="IQ165" s="1980"/>
      <c r="IR165" s="1980"/>
      <c r="IS165" s="1980"/>
      <c r="IT165" s="1980"/>
      <c r="IU165" s="1980"/>
      <c r="IV165" s="1980"/>
      <c r="IW165" s="1980"/>
      <c r="IX165" s="1980"/>
      <c r="IY165" s="1980"/>
      <c r="IZ165" s="1980"/>
      <c r="JA165" s="1980"/>
      <c r="JB165" s="1980"/>
      <c r="JC165" s="1980"/>
      <c r="JD165" s="1980"/>
      <c r="JE165" s="1980"/>
      <c r="JF165" s="1980"/>
      <c r="JG165" s="1980"/>
      <c r="JH165" s="1980"/>
      <c r="JI165" s="1980"/>
      <c r="JJ165" s="1980"/>
      <c r="JK165" s="1980"/>
      <c r="JL165" s="1980"/>
      <c r="JM165" s="1980"/>
      <c r="JN165" s="1980"/>
      <c r="JO165" s="1980"/>
      <c r="JP165" s="1980"/>
      <c r="JQ165" s="1980"/>
      <c r="JR165" s="1980"/>
      <c r="JS165" s="1980"/>
      <c r="JT165" s="1980"/>
      <c r="JU165" s="1980"/>
      <c r="JV165" s="1980"/>
      <c r="JW165" s="1980"/>
      <c r="JX165" s="1980"/>
      <c r="JY165" s="1980"/>
      <c r="JZ165" s="1980"/>
      <c r="KA165" s="1980"/>
      <c r="KB165" s="1980"/>
      <c r="KC165" s="1980"/>
      <c r="KD165" s="1980"/>
      <c r="KE165" s="1980"/>
      <c r="KF165" s="1980"/>
      <c r="KG165" s="1980"/>
      <c r="KH165" s="1980"/>
      <c r="KI165" s="1980"/>
      <c r="KJ165" s="1980"/>
      <c r="KK165" s="1980"/>
    </row>
    <row r="166" spans="1:297">
      <c r="A166" s="1997"/>
      <c r="B166" s="2">
        <v>24</v>
      </c>
      <c r="C166" s="2" t="s">
        <v>4211</v>
      </c>
      <c r="D166" s="1979">
        <v>0.8826013366689236</v>
      </c>
      <c r="E166" s="1979">
        <v>0.88191265901315286</v>
      </c>
      <c r="F166" s="1979">
        <v>0.8826013366689236</v>
      </c>
      <c r="G166" s="1979">
        <v>0.88191265901315286</v>
      </c>
      <c r="H166" s="1979">
        <v>0.8826013366689236</v>
      </c>
      <c r="I166" s="1979">
        <v>0.88191265901315286</v>
      </c>
      <c r="J166" s="1979">
        <v>0.8826013366689236</v>
      </c>
      <c r="K166" s="1979">
        <v>0.88191265901315286</v>
      </c>
      <c r="L166" s="1979">
        <v>0.8826013366689236</v>
      </c>
      <c r="M166" s="1979">
        <v>0.88191265901315286</v>
      </c>
      <c r="N166" s="2000">
        <v>0.76334582665060702</v>
      </c>
      <c r="O166" s="1998">
        <v>0.76788521867535808</v>
      </c>
      <c r="P166" s="1998">
        <v>0.76334582665060702</v>
      </c>
      <c r="Q166" s="1998">
        <v>0.76788521867535808</v>
      </c>
      <c r="R166" s="1998">
        <v>0.76334582665060702</v>
      </c>
      <c r="S166" s="1998">
        <v>0.76788521867535808</v>
      </c>
      <c r="T166" s="1998">
        <v>0.76334582665060702</v>
      </c>
      <c r="U166" s="1998">
        <v>0.76788521867535808</v>
      </c>
      <c r="V166" s="1998">
        <v>0.76334582665060702</v>
      </c>
      <c r="W166" s="1998">
        <v>0.76788521867535808</v>
      </c>
      <c r="X166" s="1999">
        <v>0.92312868655307501</v>
      </c>
      <c r="Y166" s="1979">
        <v>0.91669361180519193</v>
      </c>
      <c r="Z166" s="1979">
        <v>0.92312868655307501</v>
      </c>
      <c r="AA166" s="1979">
        <v>0.91669361180519193</v>
      </c>
      <c r="AB166" s="1979">
        <v>0.92312868655307501</v>
      </c>
      <c r="AC166" s="1979">
        <v>0.91669361180519193</v>
      </c>
      <c r="AD166" s="1979">
        <v>0.92312868655307501</v>
      </c>
      <c r="AE166" s="1979">
        <v>0.91669361180519193</v>
      </c>
      <c r="AF166" s="1979">
        <v>0.92312868655307501</v>
      </c>
      <c r="AG166" s="1979">
        <v>0.91669361180519193</v>
      </c>
      <c r="AH166" s="2000">
        <v>0.83515927062346285</v>
      </c>
      <c r="AI166" s="1998">
        <v>0.82782218967614762</v>
      </c>
      <c r="AJ166" s="1998">
        <v>0.83515927062346285</v>
      </c>
      <c r="AK166" s="1998">
        <v>0.82782218967614762</v>
      </c>
      <c r="AL166" s="1998">
        <v>0.83515927062346285</v>
      </c>
      <c r="AM166" s="1998">
        <v>0.82782218967614762</v>
      </c>
      <c r="AN166" s="1998">
        <v>0.83515927062346285</v>
      </c>
      <c r="AO166" s="1998">
        <v>0.82782218967614762</v>
      </c>
      <c r="AP166" s="1998">
        <v>0.83515927062346285</v>
      </c>
      <c r="AQ166" s="1998">
        <v>0.82782218967614762</v>
      </c>
      <c r="AR166" s="1999">
        <v>0.91408103122428785</v>
      </c>
      <c r="AS166" s="1979">
        <v>0.91475539883448376</v>
      </c>
      <c r="AT166" s="1979">
        <v>0.91408103122428785</v>
      </c>
      <c r="AU166" s="1979">
        <v>0.91475539883448376</v>
      </c>
      <c r="AV166" s="1979">
        <v>0.91408103122428785</v>
      </c>
      <c r="AW166" s="1979">
        <v>0.91475539883448376</v>
      </c>
      <c r="AX166" s="1979">
        <v>0.91408103122428785</v>
      </c>
      <c r="AY166" s="1979">
        <v>0.91475539883448376</v>
      </c>
      <c r="AZ166" s="1979">
        <v>0.91408103122428785</v>
      </c>
      <c r="BA166" s="1979">
        <v>0.91475539883448376</v>
      </c>
      <c r="BB166" s="2000">
        <v>1.3779240903170769</v>
      </c>
      <c r="BC166" s="1998">
        <v>1.3862499617484139</v>
      </c>
      <c r="BD166" s="1998">
        <v>1.3779240903170769</v>
      </c>
      <c r="BE166" s="1998">
        <v>1.3862499617484139</v>
      </c>
      <c r="BF166" s="1998">
        <v>1.3779240903170769</v>
      </c>
      <c r="BG166" s="1998">
        <v>1.3862499617484139</v>
      </c>
      <c r="BH166" s="1998">
        <v>1.3779240903170769</v>
      </c>
      <c r="BI166" s="1998">
        <v>1.3862499617484139</v>
      </c>
      <c r="BJ166" s="1998">
        <v>1.3779240903170769</v>
      </c>
      <c r="BK166" s="1998">
        <v>1.3862499617484139</v>
      </c>
      <c r="BL166" s="1999">
        <v>0.81504532796908635</v>
      </c>
      <c r="BM166" s="1979">
        <v>0.81939147790231492</v>
      </c>
      <c r="BN166" s="1979">
        <v>0.81504532796908635</v>
      </c>
      <c r="BO166" s="1979">
        <v>0.81939147790231492</v>
      </c>
      <c r="BP166" s="1979">
        <v>0.81504532796908635</v>
      </c>
      <c r="BQ166" s="1979">
        <v>0.81939147790231492</v>
      </c>
      <c r="BR166" s="1979">
        <v>0.81504532796908635</v>
      </c>
      <c r="BS166" s="1979">
        <v>0.81939147790231492</v>
      </c>
      <c r="BT166" s="1979">
        <v>0.81504532796908635</v>
      </c>
      <c r="BU166" s="1979">
        <v>0.81939147790231492</v>
      </c>
      <c r="BV166" s="2000">
        <v>0.75818607942942884</v>
      </c>
      <c r="BW166" s="1998">
        <v>0.75642464860108916</v>
      </c>
      <c r="BX166" s="1998">
        <v>0.75818607942942884</v>
      </c>
      <c r="BY166" s="1998">
        <v>0.75642464860108916</v>
      </c>
      <c r="BZ166" s="1998">
        <v>0.75818607942942884</v>
      </c>
      <c r="CA166" s="1998">
        <v>0.75642464860108916</v>
      </c>
      <c r="CB166" s="1998">
        <v>0.75818607942942884</v>
      </c>
      <c r="CC166" s="1998">
        <v>0.75642464860108916</v>
      </c>
      <c r="CD166" s="1998">
        <v>0.75818607942942884</v>
      </c>
      <c r="CE166" s="1998">
        <v>0.75642464860108916</v>
      </c>
      <c r="CF166" s="1999">
        <v>0.80719296136381258</v>
      </c>
      <c r="CG166" s="1979">
        <v>0.81872288984299058</v>
      </c>
      <c r="CH166" s="1979">
        <v>0.80719296136381258</v>
      </c>
      <c r="CI166" s="1979">
        <v>0.81872288984299058</v>
      </c>
      <c r="CJ166" s="1979">
        <v>0.80719296136381258</v>
      </c>
      <c r="CK166" s="1979">
        <v>0.81872288984299058</v>
      </c>
      <c r="CL166" s="1979">
        <v>0.80719296136381258</v>
      </c>
      <c r="CM166" s="1979">
        <v>0.81872288984299058</v>
      </c>
      <c r="CN166" s="1979">
        <v>0.80719296136381258</v>
      </c>
      <c r="CO166" s="1979">
        <v>0.81872288984299058</v>
      </c>
      <c r="CP166" s="2000">
        <v>0.79813582946748696</v>
      </c>
      <c r="CQ166" s="1998">
        <v>0.81077198351634028</v>
      </c>
      <c r="CR166" s="1998">
        <v>0.79813582946748696</v>
      </c>
      <c r="CS166" s="1998">
        <v>0.81077198351634028</v>
      </c>
      <c r="CT166" s="1998">
        <v>0.79813582946748696</v>
      </c>
      <c r="CU166" s="1998">
        <v>0.81077198351634028</v>
      </c>
      <c r="CV166" s="1998">
        <v>0.79813582946748696</v>
      </c>
      <c r="CW166" s="1998">
        <v>0.81077198351634028</v>
      </c>
      <c r="CX166" s="1998">
        <v>0.79813582946748696</v>
      </c>
      <c r="CY166" s="1998">
        <v>0.81077198351634028</v>
      </c>
      <c r="CZ166" s="1999">
        <v>1</v>
      </c>
      <c r="DA166" s="1979">
        <v>1</v>
      </c>
      <c r="DB166" s="1979">
        <v>1</v>
      </c>
      <c r="DC166" s="1979">
        <v>1</v>
      </c>
      <c r="DD166" s="1979">
        <v>1</v>
      </c>
      <c r="DE166" s="1979">
        <v>1</v>
      </c>
      <c r="DF166" s="1979">
        <v>1</v>
      </c>
      <c r="DG166" s="1979">
        <v>1</v>
      </c>
      <c r="DH166" s="1979">
        <v>1</v>
      </c>
      <c r="DI166" s="1979">
        <v>1</v>
      </c>
      <c r="DJ166" s="2000">
        <v>1.0002450682306379</v>
      </c>
      <c r="DK166" s="1998">
        <v>1.0001651239704095</v>
      </c>
      <c r="DL166" s="1998">
        <v>1.0002450682306379</v>
      </c>
      <c r="DM166" s="1998">
        <v>1.0001651239704095</v>
      </c>
      <c r="DN166" s="1998">
        <v>1.0002450682306379</v>
      </c>
      <c r="DO166" s="1998">
        <v>1.0001651239704095</v>
      </c>
      <c r="DP166" s="1998">
        <v>1.0002450682306379</v>
      </c>
      <c r="DQ166" s="1998">
        <v>1.0001651239704095</v>
      </c>
      <c r="DR166" s="1998">
        <v>1.0002450682306379</v>
      </c>
      <c r="DS166" s="1998">
        <v>1.0001651239704095</v>
      </c>
      <c r="GQ166" s="1997"/>
      <c r="GT166" s="1980"/>
      <c r="GU166" s="1980"/>
      <c r="GV166" s="1980"/>
      <c r="GW166" s="1980"/>
      <c r="GX166" s="1980"/>
      <c r="GY166" s="1980"/>
      <c r="GZ166" s="1980"/>
      <c r="HA166" s="1980"/>
      <c r="HB166" s="1980"/>
      <c r="HC166" s="1980"/>
      <c r="HD166" s="1980"/>
      <c r="HE166" s="1980"/>
      <c r="HF166" s="1980"/>
      <c r="HG166" s="1980"/>
      <c r="HH166" s="1980"/>
      <c r="HI166" s="1980"/>
      <c r="HJ166" s="1980"/>
      <c r="HK166" s="1980"/>
      <c r="HL166" s="1980"/>
      <c r="HM166" s="1980"/>
      <c r="HN166" s="1980"/>
      <c r="HO166" s="1980"/>
      <c r="HP166" s="1980"/>
      <c r="HQ166" s="1980"/>
      <c r="HR166" s="1980"/>
      <c r="HS166" s="1980"/>
      <c r="HT166" s="1980"/>
      <c r="HU166" s="1980"/>
      <c r="HV166" s="1980"/>
      <c r="HW166" s="1980"/>
      <c r="HX166" s="1980"/>
      <c r="HY166" s="1980"/>
      <c r="HZ166" s="1980"/>
      <c r="IA166" s="1980"/>
      <c r="IB166" s="1980"/>
      <c r="IC166" s="1980"/>
      <c r="ID166" s="1980"/>
      <c r="IE166" s="1980"/>
      <c r="IF166" s="1980"/>
      <c r="IG166" s="1980"/>
      <c r="IH166" s="1980"/>
      <c r="II166" s="1980"/>
      <c r="IJ166" s="1980"/>
      <c r="IK166" s="1980"/>
      <c r="IL166" s="1980"/>
      <c r="IM166" s="1980"/>
      <c r="IN166" s="1980"/>
      <c r="IO166" s="1980"/>
      <c r="IP166" s="1980"/>
      <c r="IQ166" s="1980"/>
      <c r="IR166" s="1980"/>
      <c r="IS166" s="1980"/>
      <c r="IT166" s="1980"/>
      <c r="IU166" s="1980"/>
      <c r="IV166" s="1980"/>
      <c r="IW166" s="1980"/>
      <c r="IX166" s="1980"/>
      <c r="IY166" s="1980"/>
      <c r="IZ166" s="1980"/>
      <c r="JA166" s="1980"/>
      <c r="JB166" s="1980"/>
      <c r="JC166" s="1980"/>
      <c r="JD166" s="1980"/>
      <c r="JE166" s="1980"/>
      <c r="JF166" s="1980"/>
      <c r="JG166" s="1980"/>
      <c r="JH166" s="1980"/>
      <c r="JI166" s="1980"/>
      <c r="JJ166" s="1980"/>
      <c r="JK166" s="1980"/>
      <c r="JL166" s="1980"/>
      <c r="JM166" s="1980"/>
      <c r="JN166" s="1980"/>
      <c r="JO166" s="1980"/>
      <c r="JP166" s="1980"/>
      <c r="JQ166" s="1980"/>
      <c r="JR166" s="1980"/>
      <c r="JS166" s="1980"/>
      <c r="JT166" s="1980"/>
      <c r="JU166" s="1980"/>
      <c r="JV166" s="1980"/>
      <c r="JW166" s="1980"/>
      <c r="JX166" s="1980"/>
      <c r="JY166" s="1980"/>
      <c r="JZ166" s="1980"/>
      <c r="KA166" s="1980"/>
      <c r="KB166" s="1980"/>
      <c r="KC166" s="1980"/>
      <c r="KD166" s="1980"/>
      <c r="KE166" s="1980"/>
      <c r="KF166" s="1980"/>
      <c r="KG166" s="1980"/>
      <c r="KH166" s="1980"/>
      <c r="KI166" s="1980"/>
      <c r="KJ166" s="1980"/>
      <c r="KK166" s="1980"/>
    </row>
    <row r="167" spans="1:297">
      <c r="A167" s="1997"/>
      <c r="B167" s="2">
        <v>25</v>
      </c>
      <c r="C167" s="2" t="s">
        <v>4229</v>
      </c>
      <c r="D167" s="1979">
        <v>0.91292982313176918</v>
      </c>
      <c r="E167" s="1979">
        <v>0.9125827720671047</v>
      </c>
      <c r="F167" s="1979">
        <v>0.91292982313176918</v>
      </c>
      <c r="G167" s="1979">
        <v>0.9125827720671047</v>
      </c>
      <c r="H167" s="1979">
        <v>0.91292982313176918</v>
      </c>
      <c r="I167" s="1979">
        <v>0.9125827720671047</v>
      </c>
      <c r="J167" s="1979">
        <v>0.91292982313176918</v>
      </c>
      <c r="K167" s="1979">
        <v>0.9125827720671047</v>
      </c>
      <c r="L167" s="1979">
        <v>0.91292982313176918</v>
      </c>
      <c r="M167" s="1979">
        <v>0.9125827720671047</v>
      </c>
      <c r="N167" s="2000">
        <v>0.85169000385791704</v>
      </c>
      <c r="O167" s="1998">
        <v>0.85830731292323603</v>
      </c>
      <c r="P167" s="1998">
        <v>0.85169000385791704</v>
      </c>
      <c r="Q167" s="1998">
        <v>0.85830731292323603</v>
      </c>
      <c r="R167" s="1998">
        <v>0.85169000385791704</v>
      </c>
      <c r="S167" s="1998">
        <v>0.85830731292323603</v>
      </c>
      <c r="T167" s="1998">
        <v>0.85169000385791704</v>
      </c>
      <c r="U167" s="1998">
        <v>0.85830731292323603</v>
      </c>
      <c r="V167" s="1998">
        <v>0.85169000385791704</v>
      </c>
      <c r="W167" s="1998">
        <v>0.85830731292323603</v>
      </c>
      <c r="X167" s="1999">
        <v>0.96981513216885551</v>
      </c>
      <c r="Y167" s="1979">
        <v>0.96505817916298342</v>
      </c>
      <c r="Z167" s="1979">
        <v>0.96981513216885551</v>
      </c>
      <c r="AA167" s="1979">
        <v>0.96505817916298342</v>
      </c>
      <c r="AB167" s="1979">
        <v>0.96981513216885551</v>
      </c>
      <c r="AC167" s="1979">
        <v>0.96505817916298342</v>
      </c>
      <c r="AD167" s="1979">
        <v>0.96981513216885551</v>
      </c>
      <c r="AE167" s="1979">
        <v>0.96505817916298342</v>
      </c>
      <c r="AF167" s="1979">
        <v>0.96981513216885551</v>
      </c>
      <c r="AG167" s="1979">
        <v>0.96505817916298342</v>
      </c>
      <c r="AH167" s="2000">
        <v>0.93871649296211201</v>
      </c>
      <c r="AI167" s="1998">
        <v>0.93819824274275199</v>
      </c>
      <c r="AJ167" s="1998">
        <v>0.93871649296211201</v>
      </c>
      <c r="AK167" s="1998">
        <v>0.93819824274275199</v>
      </c>
      <c r="AL167" s="1998">
        <v>0.93871649296211201</v>
      </c>
      <c r="AM167" s="1998">
        <v>0.93819824274275199</v>
      </c>
      <c r="AN167" s="1998">
        <v>0.93871649296211201</v>
      </c>
      <c r="AO167" s="1998">
        <v>0.93819824274275199</v>
      </c>
      <c r="AP167" s="1998">
        <v>0.93871649296211201</v>
      </c>
      <c r="AQ167" s="1998">
        <v>0.93819824274275199</v>
      </c>
      <c r="AR167" s="1999">
        <v>0.96312340480789194</v>
      </c>
      <c r="AS167" s="1979">
        <v>0.96438239521439473</v>
      </c>
      <c r="AT167" s="1979">
        <v>0.96312340480789194</v>
      </c>
      <c r="AU167" s="1979">
        <v>0.96438239521439473</v>
      </c>
      <c r="AV167" s="1979">
        <v>0.96312340480789194</v>
      </c>
      <c r="AW167" s="1979">
        <v>0.96438239521439473</v>
      </c>
      <c r="AX167" s="1979">
        <v>0.96312340480789194</v>
      </c>
      <c r="AY167" s="1979">
        <v>0.96438239521439473</v>
      </c>
      <c r="AZ167" s="1979">
        <v>0.96312340480789194</v>
      </c>
      <c r="BA167" s="1979">
        <v>0.96438239521439473</v>
      </c>
      <c r="BB167" s="2000">
        <v>1.6633162050082382</v>
      </c>
      <c r="BC167" s="1998">
        <v>1.6684354677572975</v>
      </c>
      <c r="BD167" s="1998">
        <v>1.6633162050082382</v>
      </c>
      <c r="BE167" s="1998">
        <v>1.6684354677572975</v>
      </c>
      <c r="BF167" s="1998">
        <v>1.6633162050082382</v>
      </c>
      <c r="BG167" s="1998">
        <v>1.6684354677572975</v>
      </c>
      <c r="BH167" s="1998">
        <v>1.6633162050082382</v>
      </c>
      <c r="BI167" s="1998">
        <v>1.6684354677572975</v>
      </c>
      <c r="BJ167" s="1998">
        <v>1.6633162050082382</v>
      </c>
      <c r="BK167" s="1998">
        <v>1.6684354677572975</v>
      </c>
      <c r="BL167" s="1999">
        <v>0.92257945362571736</v>
      </c>
      <c r="BM167" s="1979">
        <v>0.92638696675106547</v>
      </c>
      <c r="BN167" s="1979">
        <v>0.92257945362571736</v>
      </c>
      <c r="BO167" s="1979">
        <v>0.92638696675106547</v>
      </c>
      <c r="BP167" s="1979">
        <v>0.92257945362571736</v>
      </c>
      <c r="BQ167" s="1979">
        <v>0.92638696675106547</v>
      </c>
      <c r="BR167" s="1979">
        <v>0.92257945362571736</v>
      </c>
      <c r="BS167" s="1979">
        <v>0.92638696675106547</v>
      </c>
      <c r="BT167" s="1979">
        <v>0.92257945362571736</v>
      </c>
      <c r="BU167" s="1979">
        <v>0.92638696675106547</v>
      </c>
      <c r="BV167" s="2000">
        <v>0.82284332182257303</v>
      </c>
      <c r="BW167" s="1998">
        <v>0.82198011587613595</v>
      </c>
      <c r="BX167" s="1998">
        <v>0.82284332182257303</v>
      </c>
      <c r="BY167" s="1998">
        <v>0.82198011587613595</v>
      </c>
      <c r="BZ167" s="1998">
        <v>0.82284332182257303</v>
      </c>
      <c r="CA167" s="1998">
        <v>0.82198011587613595</v>
      </c>
      <c r="CB167" s="1998">
        <v>0.82284332182257303</v>
      </c>
      <c r="CC167" s="1998">
        <v>0.82198011587613595</v>
      </c>
      <c r="CD167" s="1998">
        <v>0.82284332182257303</v>
      </c>
      <c r="CE167" s="1998">
        <v>0.82198011587613595</v>
      </c>
      <c r="CF167" s="1999">
        <v>0.86128226688212361</v>
      </c>
      <c r="CG167" s="1979">
        <v>0.87102719352858338</v>
      </c>
      <c r="CH167" s="1979">
        <v>0.86128226688212361</v>
      </c>
      <c r="CI167" s="1979">
        <v>0.87102719352858338</v>
      </c>
      <c r="CJ167" s="1979">
        <v>0.86128226688212361</v>
      </c>
      <c r="CK167" s="1979">
        <v>0.87102719352858338</v>
      </c>
      <c r="CL167" s="1979">
        <v>0.86128226688212361</v>
      </c>
      <c r="CM167" s="1979">
        <v>0.87102719352858338</v>
      </c>
      <c r="CN167" s="1979">
        <v>0.86128226688212361</v>
      </c>
      <c r="CO167" s="1979">
        <v>0.87102719352858338</v>
      </c>
      <c r="CP167" s="2000">
        <v>0.85466392119864998</v>
      </c>
      <c r="CQ167" s="1998">
        <v>0.86524983451263915</v>
      </c>
      <c r="CR167" s="1998">
        <v>0.85466392119864998</v>
      </c>
      <c r="CS167" s="1998">
        <v>0.86524983451263915</v>
      </c>
      <c r="CT167" s="1998">
        <v>0.85466392119864998</v>
      </c>
      <c r="CU167" s="1998">
        <v>0.86524983451263915</v>
      </c>
      <c r="CV167" s="1998">
        <v>0.85466392119864998</v>
      </c>
      <c r="CW167" s="1998">
        <v>0.86524983451263915</v>
      </c>
      <c r="CX167" s="1998">
        <v>0.85466392119864998</v>
      </c>
      <c r="CY167" s="1998">
        <v>0.86524983451263915</v>
      </c>
      <c r="CZ167" s="1999">
        <v>1.0931272105979928</v>
      </c>
      <c r="DA167" s="1979">
        <v>1.0890508106235626</v>
      </c>
      <c r="DB167" s="1979">
        <v>1.0931272105979928</v>
      </c>
      <c r="DC167" s="1979">
        <v>1.0890508106235626</v>
      </c>
      <c r="DD167" s="1979">
        <v>1.0931272105979928</v>
      </c>
      <c r="DE167" s="1979">
        <v>1.0890508106235626</v>
      </c>
      <c r="DF167" s="1979">
        <v>1.0931272105979928</v>
      </c>
      <c r="DG167" s="1979">
        <v>1.0890508106235626</v>
      </c>
      <c r="DH167" s="1979">
        <v>1.0931272105979928</v>
      </c>
      <c r="DI167" s="1979">
        <v>1.0890508106235626</v>
      </c>
      <c r="DJ167" s="2000">
        <v>1.0889013725521897</v>
      </c>
      <c r="DK167" s="1998">
        <v>1.0876218473174644</v>
      </c>
      <c r="DL167" s="1998">
        <v>1.0889013725521897</v>
      </c>
      <c r="DM167" s="1998">
        <v>1.0876218473174644</v>
      </c>
      <c r="DN167" s="1998">
        <v>1.0889013725521897</v>
      </c>
      <c r="DO167" s="1998">
        <v>1.0876218473174644</v>
      </c>
      <c r="DP167" s="1998">
        <v>1.0889013725521897</v>
      </c>
      <c r="DQ167" s="1998">
        <v>1.0876218473174644</v>
      </c>
      <c r="DR167" s="1998">
        <v>1.0889013725521897</v>
      </c>
      <c r="DS167" s="1998">
        <v>1.0876218473174644</v>
      </c>
      <c r="GQ167" s="1997"/>
      <c r="GT167" s="1980"/>
      <c r="GU167" s="1980"/>
      <c r="GV167" s="1980"/>
      <c r="GW167" s="1980"/>
      <c r="GX167" s="1980"/>
      <c r="GY167" s="1980"/>
      <c r="GZ167" s="1980"/>
      <c r="HA167" s="1980"/>
      <c r="HB167" s="1980"/>
      <c r="HC167" s="1980"/>
      <c r="HD167" s="1980"/>
      <c r="HE167" s="1980"/>
      <c r="HF167" s="1980"/>
      <c r="HG167" s="1980"/>
      <c r="HH167" s="1980"/>
      <c r="HI167" s="1980"/>
      <c r="HJ167" s="1980"/>
      <c r="HK167" s="1980"/>
      <c r="HL167" s="1980"/>
      <c r="HM167" s="1980"/>
      <c r="HN167" s="1980"/>
      <c r="HO167" s="1980"/>
      <c r="HP167" s="1980"/>
      <c r="HQ167" s="1980"/>
      <c r="HR167" s="1980"/>
      <c r="HS167" s="1980"/>
      <c r="HT167" s="1980"/>
      <c r="HU167" s="1980"/>
      <c r="HV167" s="1980"/>
      <c r="HW167" s="1980"/>
      <c r="HX167" s="1980"/>
      <c r="HY167" s="1980"/>
      <c r="HZ167" s="1980"/>
      <c r="IA167" s="1980"/>
      <c r="IB167" s="1980"/>
      <c r="IC167" s="1980"/>
      <c r="ID167" s="1980"/>
      <c r="IE167" s="1980"/>
      <c r="IF167" s="1980"/>
      <c r="IG167" s="1980"/>
      <c r="IH167" s="1980"/>
      <c r="II167" s="1980"/>
      <c r="IJ167" s="1980"/>
      <c r="IK167" s="1980"/>
      <c r="IL167" s="1980"/>
      <c r="IM167" s="1980"/>
      <c r="IN167" s="1980"/>
      <c r="IO167" s="1980"/>
      <c r="IP167" s="1980"/>
      <c r="IQ167" s="1980"/>
      <c r="IR167" s="1980"/>
      <c r="IS167" s="1980"/>
      <c r="IT167" s="1980"/>
      <c r="IU167" s="1980"/>
      <c r="IV167" s="1980"/>
      <c r="IW167" s="1980"/>
      <c r="IX167" s="1980"/>
      <c r="IY167" s="1980"/>
      <c r="IZ167" s="1980"/>
      <c r="JA167" s="1980"/>
      <c r="JB167" s="1980"/>
      <c r="JC167" s="1980"/>
      <c r="JD167" s="1980"/>
      <c r="JE167" s="1980"/>
      <c r="JF167" s="1980"/>
      <c r="JG167" s="1980"/>
      <c r="JH167" s="1980"/>
      <c r="JI167" s="1980"/>
      <c r="JJ167" s="1980"/>
      <c r="JK167" s="1980"/>
      <c r="JL167" s="1980"/>
      <c r="JM167" s="1980"/>
      <c r="JN167" s="1980"/>
      <c r="JO167" s="1980"/>
      <c r="JP167" s="1980"/>
      <c r="JQ167" s="1980"/>
      <c r="JR167" s="1980"/>
      <c r="JS167" s="1980"/>
      <c r="JT167" s="1980"/>
      <c r="JU167" s="1980"/>
      <c r="JV167" s="1980"/>
      <c r="JW167" s="1980"/>
      <c r="JX167" s="1980"/>
      <c r="JY167" s="1980"/>
      <c r="JZ167" s="1980"/>
      <c r="KA167" s="1980"/>
      <c r="KB167" s="1980"/>
      <c r="KC167" s="1980"/>
      <c r="KD167" s="1980"/>
      <c r="KE167" s="1980"/>
      <c r="KF167" s="1980"/>
      <c r="KG167" s="1980"/>
      <c r="KH167" s="1980"/>
      <c r="KI167" s="1980"/>
      <c r="KJ167" s="1980"/>
      <c r="KK167" s="1980"/>
    </row>
    <row r="168" spans="1:297">
      <c r="A168" s="1997"/>
      <c r="B168" s="2">
        <v>26</v>
      </c>
      <c r="C168" s="2" t="s">
        <v>4244</v>
      </c>
      <c r="D168" s="1979">
        <v>0.96772783265384288</v>
      </c>
      <c r="E168" s="1979">
        <v>0.96412957065102256</v>
      </c>
      <c r="F168" s="1979">
        <v>0.96772783265384288</v>
      </c>
      <c r="G168" s="1979">
        <v>0.96412957065102256</v>
      </c>
      <c r="H168" s="1979">
        <v>0.96772783265384288</v>
      </c>
      <c r="I168" s="1979">
        <v>0.96412957065102256</v>
      </c>
      <c r="J168" s="1979">
        <v>0.96772783265384288</v>
      </c>
      <c r="K168" s="1979">
        <v>0.96412957065102256</v>
      </c>
      <c r="L168" s="1979">
        <v>0.96772783265384288</v>
      </c>
      <c r="M168" s="1979">
        <v>0.96412957065102256</v>
      </c>
      <c r="N168" s="2000">
        <v>1</v>
      </c>
      <c r="O168" s="1998">
        <v>1</v>
      </c>
      <c r="P168" s="1998">
        <v>1</v>
      </c>
      <c r="Q168" s="1998">
        <v>1</v>
      </c>
      <c r="R168" s="1998">
        <v>1</v>
      </c>
      <c r="S168" s="1998">
        <v>1</v>
      </c>
      <c r="T168" s="1998">
        <v>1</v>
      </c>
      <c r="U168" s="1998">
        <v>1</v>
      </c>
      <c r="V168" s="1998">
        <v>1</v>
      </c>
      <c r="W168" s="1998">
        <v>1</v>
      </c>
      <c r="X168" s="1999">
        <v>1</v>
      </c>
      <c r="Y168" s="1979">
        <v>0.99456526585057647</v>
      </c>
      <c r="Z168" s="1979">
        <v>1</v>
      </c>
      <c r="AA168" s="1979">
        <v>0.99456526585057647</v>
      </c>
      <c r="AB168" s="1979">
        <v>1</v>
      </c>
      <c r="AC168" s="1979">
        <v>0.99456526585057647</v>
      </c>
      <c r="AD168" s="1979">
        <v>1</v>
      </c>
      <c r="AE168" s="1979">
        <v>0.99456526585057647</v>
      </c>
      <c r="AF168" s="1979">
        <v>1</v>
      </c>
      <c r="AG168" s="1979">
        <v>0.99456526585057647</v>
      </c>
      <c r="AH168" s="2000">
        <v>1</v>
      </c>
      <c r="AI168" s="1998">
        <v>1</v>
      </c>
      <c r="AJ168" s="1998">
        <v>1</v>
      </c>
      <c r="AK168" s="1998">
        <v>1</v>
      </c>
      <c r="AL168" s="1998">
        <v>1</v>
      </c>
      <c r="AM168" s="1998">
        <v>1</v>
      </c>
      <c r="AN168" s="1998">
        <v>1</v>
      </c>
      <c r="AO168" s="1998">
        <v>1</v>
      </c>
      <c r="AP168" s="1998">
        <v>1</v>
      </c>
      <c r="AQ168" s="1998">
        <v>1</v>
      </c>
      <c r="AR168" s="1999">
        <v>1</v>
      </c>
      <c r="AS168" s="1979">
        <v>1</v>
      </c>
      <c r="AT168" s="1979">
        <v>1</v>
      </c>
      <c r="AU168" s="1979">
        <v>1</v>
      </c>
      <c r="AV168" s="1979">
        <v>1</v>
      </c>
      <c r="AW168" s="1979">
        <v>1</v>
      </c>
      <c r="AX168" s="1979">
        <v>1</v>
      </c>
      <c r="AY168" s="1979">
        <v>1</v>
      </c>
      <c r="AZ168" s="1979">
        <v>1</v>
      </c>
      <c r="BA168" s="1979">
        <v>1</v>
      </c>
      <c r="BB168" s="2000">
        <v>1.8677630614880787</v>
      </c>
      <c r="BC168" s="1998">
        <v>1.8607989021595341</v>
      </c>
      <c r="BD168" s="1998">
        <v>1.8677630614880787</v>
      </c>
      <c r="BE168" s="1998">
        <v>1.8607989021595341</v>
      </c>
      <c r="BF168" s="1998">
        <v>1.8677630614880787</v>
      </c>
      <c r="BG168" s="1998">
        <v>1.8607989021595341</v>
      </c>
      <c r="BH168" s="1998">
        <v>1.8677630614880787</v>
      </c>
      <c r="BI168" s="1998">
        <v>1.8607989021595341</v>
      </c>
      <c r="BJ168" s="1998">
        <v>1.8677630614880787</v>
      </c>
      <c r="BK168" s="1998">
        <v>1.8607989021595341</v>
      </c>
      <c r="BL168" s="1999">
        <v>1</v>
      </c>
      <c r="BM168" s="1979">
        <v>1</v>
      </c>
      <c r="BN168" s="1979">
        <v>1</v>
      </c>
      <c r="BO168" s="1979">
        <v>1</v>
      </c>
      <c r="BP168" s="1979">
        <v>1</v>
      </c>
      <c r="BQ168" s="1979">
        <v>1</v>
      </c>
      <c r="BR168" s="1979">
        <v>1</v>
      </c>
      <c r="BS168" s="1979">
        <v>1</v>
      </c>
      <c r="BT168" s="1979">
        <v>1</v>
      </c>
      <c r="BU168" s="1979">
        <v>1</v>
      </c>
      <c r="BV168" s="2000">
        <v>1</v>
      </c>
      <c r="BW168" s="1998">
        <v>1</v>
      </c>
      <c r="BX168" s="1998">
        <v>1</v>
      </c>
      <c r="BY168" s="1998">
        <v>1</v>
      </c>
      <c r="BZ168" s="1998">
        <v>1</v>
      </c>
      <c r="CA168" s="1998">
        <v>1</v>
      </c>
      <c r="CB168" s="1998">
        <v>1</v>
      </c>
      <c r="CC168" s="1998">
        <v>1</v>
      </c>
      <c r="CD168" s="1998">
        <v>1</v>
      </c>
      <c r="CE168" s="1998">
        <v>1</v>
      </c>
      <c r="CF168" s="1999">
        <v>1</v>
      </c>
      <c r="CG168" s="1979">
        <v>1</v>
      </c>
      <c r="CH168" s="1979">
        <v>1</v>
      </c>
      <c r="CI168" s="1979">
        <v>1</v>
      </c>
      <c r="CJ168" s="1979">
        <v>1</v>
      </c>
      <c r="CK168" s="1979">
        <v>1</v>
      </c>
      <c r="CL168" s="1979">
        <v>1</v>
      </c>
      <c r="CM168" s="1979">
        <v>1</v>
      </c>
      <c r="CN168" s="1979">
        <v>1</v>
      </c>
      <c r="CO168" s="1979">
        <v>1</v>
      </c>
      <c r="CP168" s="2000">
        <v>1</v>
      </c>
      <c r="CQ168" s="1998">
        <v>1</v>
      </c>
      <c r="CR168" s="1998">
        <v>1</v>
      </c>
      <c r="CS168" s="1998">
        <v>1</v>
      </c>
      <c r="CT168" s="1998">
        <v>1</v>
      </c>
      <c r="CU168" s="1998">
        <v>1</v>
      </c>
      <c r="CV168" s="1998">
        <v>1</v>
      </c>
      <c r="CW168" s="1998">
        <v>1</v>
      </c>
      <c r="CX168" s="1998">
        <v>1</v>
      </c>
      <c r="CY168" s="1998">
        <v>1</v>
      </c>
      <c r="CZ168" s="1999">
        <v>1.3315453130345394</v>
      </c>
      <c r="DA168" s="1979">
        <v>1.3082077926656719</v>
      </c>
      <c r="DB168" s="1979">
        <v>1.3315453130345394</v>
      </c>
      <c r="DC168" s="1979">
        <v>1.3082077926656719</v>
      </c>
      <c r="DD168" s="1979">
        <v>1.3315453130345394</v>
      </c>
      <c r="DE168" s="1979">
        <v>1.3082077926656719</v>
      </c>
      <c r="DF168" s="1979">
        <v>1.3315453130345394</v>
      </c>
      <c r="DG168" s="1979">
        <v>1.3082077926656719</v>
      </c>
      <c r="DH168" s="1979">
        <v>1.3315453130345394</v>
      </c>
      <c r="DI168" s="1979">
        <v>1.3082077926656719</v>
      </c>
      <c r="DJ168" s="2000">
        <v>1.3058240386588684</v>
      </c>
      <c r="DK168" s="1998">
        <v>1.291467328254273</v>
      </c>
      <c r="DL168" s="1998">
        <v>1.3058240386588684</v>
      </c>
      <c r="DM168" s="1998">
        <v>1.291467328254273</v>
      </c>
      <c r="DN168" s="1998">
        <v>1.3058240386588684</v>
      </c>
      <c r="DO168" s="1998">
        <v>1.291467328254273</v>
      </c>
      <c r="DP168" s="1998">
        <v>1.3058240386588684</v>
      </c>
      <c r="DQ168" s="1998">
        <v>1.291467328254273</v>
      </c>
      <c r="DR168" s="1998">
        <v>1.3058240386588684</v>
      </c>
      <c r="DS168" s="1998">
        <v>1.291467328254273</v>
      </c>
      <c r="GQ168" s="1997"/>
      <c r="GT168" s="1980"/>
      <c r="GU168" s="1980"/>
      <c r="GV168" s="1980"/>
      <c r="GW168" s="1980"/>
      <c r="GX168" s="1980"/>
      <c r="GY168" s="1980"/>
      <c r="GZ168" s="1980"/>
      <c r="HA168" s="1980"/>
      <c r="HB168" s="1980"/>
      <c r="HC168" s="1980"/>
      <c r="HD168" s="1980"/>
      <c r="HE168" s="1980"/>
      <c r="HF168" s="1980"/>
      <c r="HG168" s="1980"/>
      <c r="HH168" s="1980"/>
      <c r="HI168" s="1980"/>
      <c r="HJ168" s="1980"/>
      <c r="HK168" s="1980"/>
      <c r="HL168" s="1980"/>
      <c r="HM168" s="1980"/>
      <c r="HN168" s="1980"/>
      <c r="HO168" s="1980"/>
      <c r="HP168" s="1980"/>
      <c r="HQ168" s="1980"/>
      <c r="HR168" s="1980"/>
      <c r="HS168" s="1980"/>
      <c r="HT168" s="1980"/>
      <c r="HU168" s="1980"/>
      <c r="HV168" s="1980"/>
      <c r="HW168" s="1980"/>
      <c r="HX168" s="1980"/>
      <c r="HY168" s="1980"/>
      <c r="HZ168" s="1980"/>
      <c r="IA168" s="1980"/>
      <c r="IB168" s="1980"/>
      <c r="IC168" s="1980"/>
      <c r="ID168" s="1980"/>
      <c r="IE168" s="1980"/>
      <c r="IF168" s="1980"/>
      <c r="IG168" s="1980"/>
      <c r="IH168" s="1980"/>
      <c r="II168" s="1980"/>
      <c r="IJ168" s="1980"/>
      <c r="IK168" s="1980"/>
      <c r="IL168" s="1980"/>
      <c r="IM168" s="1980"/>
      <c r="IN168" s="1980"/>
      <c r="IO168" s="1980"/>
      <c r="IP168" s="1980"/>
      <c r="IQ168" s="1980"/>
      <c r="IR168" s="1980"/>
      <c r="IS168" s="1980"/>
      <c r="IT168" s="1980"/>
      <c r="IU168" s="1980"/>
      <c r="IV168" s="1980"/>
      <c r="IW168" s="1980"/>
      <c r="IX168" s="1980"/>
      <c r="IY168" s="1980"/>
      <c r="IZ168" s="1980"/>
      <c r="JA168" s="1980"/>
      <c r="JB168" s="1980"/>
      <c r="JC168" s="1980"/>
      <c r="JD168" s="1980"/>
      <c r="JE168" s="1980"/>
      <c r="JF168" s="1980"/>
      <c r="JG168" s="1980"/>
      <c r="JH168" s="1980"/>
      <c r="JI168" s="1980"/>
      <c r="JJ168" s="1980"/>
      <c r="JK168" s="1980"/>
      <c r="JL168" s="1980"/>
      <c r="JM168" s="1980"/>
      <c r="JN168" s="1980"/>
      <c r="JO168" s="1980"/>
      <c r="JP168" s="1980"/>
      <c r="JQ168" s="1980"/>
      <c r="JR168" s="1980"/>
      <c r="JS168" s="1980"/>
      <c r="JT168" s="1980"/>
      <c r="JU168" s="1980"/>
      <c r="JV168" s="1980"/>
      <c r="JW168" s="1980"/>
      <c r="JX168" s="1980"/>
      <c r="JY168" s="1980"/>
      <c r="JZ168" s="1980"/>
      <c r="KA168" s="1980"/>
      <c r="KB168" s="1980"/>
      <c r="KC168" s="1980"/>
      <c r="KD168" s="1980"/>
      <c r="KE168" s="1980"/>
      <c r="KF168" s="1980"/>
      <c r="KG168" s="1980"/>
      <c r="KH168" s="1980"/>
      <c r="KI168" s="1980"/>
      <c r="KJ168" s="1980"/>
      <c r="KK168" s="1980"/>
    </row>
    <row r="169" spans="1:297">
      <c r="A169" s="1997"/>
      <c r="B169" s="2">
        <v>27</v>
      </c>
      <c r="C169" s="2" t="s">
        <v>4259</v>
      </c>
      <c r="D169" s="1979">
        <v>1.0276667149414613</v>
      </c>
      <c r="E169" s="1979">
        <v>1.0319187461350141</v>
      </c>
      <c r="F169" s="1979">
        <v>1.0276667149414613</v>
      </c>
      <c r="G169" s="1979">
        <v>1.0319187461350141</v>
      </c>
      <c r="H169" s="1979">
        <v>1.0276667149414613</v>
      </c>
      <c r="I169" s="1979">
        <v>1.0319187461350141</v>
      </c>
      <c r="J169" s="1979">
        <v>1.0276667149414613</v>
      </c>
      <c r="K169" s="1979">
        <v>1.0319187461350141</v>
      </c>
      <c r="L169" s="1979">
        <v>1.0276667149414613</v>
      </c>
      <c r="M169" s="1979">
        <v>1.0319187461350141</v>
      </c>
      <c r="N169" s="2000">
        <v>1.1584921603271991</v>
      </c>
      <c r="O169" s="1998">
        <v>1.1790586861653303</v>
      </c>
      <c r="P169" s="1998">
        <v>1.1584921603271991</v>
      </c>
      <c r="Q169" s="1998">
        <v>1.1790586861653303</v>
      </c>
      <c r="R169" s="1998">
        <v>1.1584921603271991</v>
      </c>
      <c r="S169" s="1998">
        <v>1.1790586861653303</v>
      </c>
      <c r="T169" s="1998">
        <v>1.1584921603271991</v>
      </c>
      <c r="U169" s="1998">
        <v>1.1790586861653303</v>
      </c>
      <c r="V169" s="1998">
        <v>1.1584921603271991</v>
      </c>
      <c r="W169" s="1998">
        <v>1.1790586861653303</v>
      </c>
      <c r="X169" s="1999">
        <v>1.0499831390527208</v>
      </c>
      <c r="Y169" s="1979">
        <v>1.0519782901065435</v>
      </c>
      <c r="Z169" s="1979">
        <v>1.0499831390527208</v>
      </c>
      <c r="AA169" s="1979">
        <v>1.0519782901065435</v>
      </c>
      <c r="AB169" s="1979">
        <v>1.0499831390527208</v>
      </c>
      <c r="AC169" s="1979">
        <v>1.0519782901065435</v>
      </c>
      <c r="AD169" s="1979">
        <v>1.0499831390527208</v>
      </c>
      <c r="AE169" s="1979">
        <v>1.0519782901065435</v>
      </c>
      <c r="AF169" s="1979">
        <v>1.0499831390527208</v>
      </c>
      <c r="AG169" s="1979">
        <v>1.0519782901065435</v>
      </c>
      <c r="AH169" s="2000">
        <v>1.0970161357582471</v>
      </c>
      <c r="AI169" s="1998">
        <v>1.1127435535323817</v>
      </c>
      <c r="AJ169" s="1998">
        <v>1.0970161357582471</v>
      </c>
      <c r="AK169" s="1998">
        <v>1.1127435535323817</v>
      </c>
      <c r="AL169" s="1998">
        <v>1.0970161357582471</v>
      </c>
      <c r="AM169" s="1998">
        <v>1.1127435535323817</v>
      </c>
      <c r="AN169" s="1998">
        <v>1.0970161357582471</v>
      </c>
      <c r="AO169" s="1998">
        <v>1.1127435535323817</v>
      </c>
      <c r="AP169" s="1998">
        <v>1.0970161357582471</v>
      </c>
      <c r="AQ169" s="1998">
        <v>1.1127435535323817</v>
      </c>
      <c r="AR169" s="1999">
        <v>1.0631757253408356</v>
      </c>
      <c r="AS169" s="1979">
        <v>1.0728272244566142</v>
      </c>
      <c r="AT169" s="1979">
        <v>1.0631757253408356</v>
      </c>
      <c r="AU169" s="1979">
        <v>1.0728272244566142</v>
      </c>
      <c r="AV169" s="1979">
        <v>1.0631757253408356</v>
      </c>
      <c r="AW169" s="1979">
        <v>1.0728272244566142</v>
      </c>
      <c r="AX169" s="1979">
        <v>1.0631757253408356</v>
      </c>
      <c r="AY169" s="1979">
        <v>1.0728272244566142</v>
      </c>
      <c r="AZ169" s="1979">
        <v>1.0631757253408356</v>
      </c>
      <c r="BA169" s="1979">
        <v>1.0728272244566142</v>
      </c>
      <c r="BB169" s="2000">
        <v>2.2115272364255643</v>
      </c>
      <c r="BC169" s="1998">
        <v>2.2435016026188501</v>
      </c>
      <c r="BD169" s="1998">
        <v>2.2115272364255643</v>
      </c>
      <c r="BE169" s="1998">
        <v>2.2435016026188501</v>
      </c>
      <c r="BF169" s="1998">
        <v>2.2115272364255643</v>
      </c>
      <c r="BG169" s="1998">
        <v>2.2435016026188501</v>
      </c>
      <c r="BH169" s="1998">
        <v>2.2115272364255643</v>
      </c>
      <c r="BI169" s="1998">
        <v>2.2435016026188501</v>
      </c>
      <c r="BJ169" s="1998">
        <v>2.2115272364255643</v>
      </c>
      <c r="BK169" s="1998">
        <v>2.2435016026188501</v>
      </c>
      <c r="BL169" s="1999">
        <v>1.1251015530646817</v>
      </c>
      <c r="BM169" s="1979">
        <v>1.1388298168705033</v>
      </c>
      <c r="BN169" s="1979">
        <v>1.1251015530646817</v>
      </c>
      <c r="BO169" s="1979">
        <v>1.1388298168705033</v>
      </c>
      <c r="BP169" s="1979">
        <v>1.1251015530646817</v>
      </c>
      <c r="BQ169" s="1979">
        <v>1.1388298168705033</v>
      </c>
      <c r="BR169" s="1979">
        <v>1.1251015530646817</v>
      </c>
      <c r="BS169" s="1979">
        <v>1.1388298168705033</v>
      </c>
      <c r="BT169" s="1979">
        <v>1.1251015530646817</v>
      </c>
      <c r="BU169" s="1979">
        <v>1.1388298168705033</v>
      </c>
      <c r="BV169" s="2000">
        <v>1.143377194782732</v>
      </c>
      <c r="BW169" s="1998">
        <v>1.1592778053690169</v>
      </c>
      <c r="BX169" s="1998">
        <v>1.143377194782732</v>
      </c>
      <c r="BY169" s="1998">
        <v>1.1592778053690169</v>
      </c>
      <c r="BZ169" s="1998">
        <v>1.143377194782732</v>
      </c>
      <c r="CA169" s="1998">
        <v>1.1592778053690169</v>
      </c>
      <c r="CB169" s="1998">
        <v>1.143377194782732</v>
      </c>
      <c r="CC169" s="1998">
        <v>1.1592778053690169</v>
      </c>
      <c r="CD169" s="1998">
        <v>1.143377194782732</v>
      </c>
      <c r="CE169" s="1998">
        <v>1.1592778053690169</v>
      </c>
      <c r="CF169" s="1999">
        <v>1.1339929256890262</v>
      </c>
      <c r="CG169" s="1979">
        <v>1.1589029071489558</v>
      </c>
      <c r="CH169" s="1979">
        <v>1.1339929256890262</v>
      </c>
      <c r="CI169" s="1979">
        <v>1.1589029071489558</v>
      </c>
      <c r="CJ169" s="1979">
        <v>1.1339929256890262</v>
      </c>
      <c r="CK169" s="1979">
        <v>1.1589029071489558</v>
      </c>
      <c r="CL169" s="1979">
        <v>1.1339929256890262</v>
      </c>
      <c r="CM169" s="1979">
        <v>1.1589029071489558</v>
      </c>
      <c r="CN169" s="1979">
        <v>1.1339929256890262</v>
      </c>
      <c r="CO169" s="1979">
        <v>1.1589029071489558</v>
      </c>
      <c r="CP169" s="2000">
        <v>1.1421268551603387</v>
      </c>
      <c r="CQ169" s="1998">
        <v>1.1681689466314089</v>
      </c>
      <c r="CR169" s="1998">
        <v>1.1421268551603387</v>
      </c>
      <c r="CS169" s="1998">
        <v>1.1681689466314089</v>
      </c>
      <c r="CT169" s="1998">
        <v>1.1421268551603387</v>
      </c>
      <c r="CU169" s="1998">
        <v>1.1681689466314089</v>
      </c>
      <c r="CV169" s="1998">
        <v>1.1421268551603387</v>
      </c>
      <c r="CW169" s="1998">
        <v>1.1681689466314089</v>
      </c>
      <c r="CX169" s="1998">
        <v>1.1421268551603387</v>
      </c>
      <c r="CY169" s="1998">
        <v>1.1681689466314089</v>
      </c>
      <c r="CZ169" s="1999">
        <v>1.5647127023350567</v>
      </c>
      <c r="DA169" s="1979">
        <v>1.5815332278221961</v>
      </c>
      <c r="DB169" s="1979">
        <v>1.5647127023350567</v>
      </c>
      <c r="DC169" s="1979">
        <v>1.5815332278221961</v>
      </c>
      <c r="DD169" s="1979">
        <v>1.5647127023350567</v>
      </c>
      <c r="DE169" s="1979">
        <v>1.5815332278221961</v>
      </c>
      <c r="DF169" s="1979">
        <v>1.5647127023350567</v>
      </c>
      <c r="DG169" s="1979">
        <v>1.5815332278221961</v>
      </c>
      <c r="DH169" s="1979">
        <v>1.5647127023350567</v>
      </c>
      <c r="DI169" s="1979">
        <v>1.5815332278221961</v>
      </c>
      <c r="DJ169" s="2000">
        <v>1.5137884053841772</v>
      </c>
      <c r="DK169" s="1998">
        <v>1.5385691878013936</v>
      </c>
      <c r="DL169" s="1998">
        <v>1.5137884053841772</v>
      </c>
      <c r="DM169" s="1998">
        <v>1.5385691878013936</v>
      </c>
      <c r="DN169" s="1998">
        <v>1.5137884053841772</v>
      </c>
      <c r="DO169" s="1998">
        <v>1.5385691878013936</v>
      </c>
      <c r="DP169" s="1998">
        <v>1.5137884053841772</v>
      </c>
      <c r="DQ169" s="1998">
        <v>1.5385691878013936</v>
      </c>
      <c r="DR169" s="1998">
        <v>1.5137884053841772</v>
      </c>
      <c r="DS169" s="1998">
        <v>1.5385691878013936</v>
      </c>
      <c r="GQ169" s="1997"/>
      <c r="GT169" s="1980"/>
      <c r="GU169" s="1980"/>
      <c r="GV169" s="1980"/>
      <c r="GW169" s="1980"/>
      <c r="GX169" s="1980"/>
      <c r="GY169" s="1980"/>
      <c r="GZ169" s="1980"/>
      <c r="HA169" s="1980"/>
      <c r="HB169" s="1980"/>
      <c r="HC169" s="1980"/>
      <c r="HD169" s="1980"/>
      <c r="HE169" s="1980"/>
      <c r="HF169" s="1980"/>
      <c r="HG169" s="1980"/>
      <c r="HH169" s="1980"/>
      <c r="HI169" s="1980"/>
      <c r="HJ169" s="1980"/>
      <c r="HK169" s="1980"/>
      <c r="HL169" s="1980"/>
      <c r="HM169" s="1980"/>
      <c r="HN169" s="1980"/>
      <c r="HO169" s="1980"/>
      <c r="HP169" s="1980"/>
      <c r="HQ169" s="1980"/>
      <c r="HR169" s="1980"/>
      <c r="HS169" s="1980"/>
      <c r="HT169" s="1980"/>
      <c r="HU169" s="1980"/>
      <c r="HV169" s="1980"/>
      <c r="HW169" s="1980"/>
      <c r="HX169" s="1980"/>
      <c r="HY169" s="1980"/>
      <c r="HZ169" s="1980"/>
      <c r="IA169" s="1980"/>
      <c r="IB169" s="1980"/>
      <c r="IC169" s="1980"/>
      <c r="ID169" s="1980"/>
      <c r="IE169" s="1980"/>
      <c r="IF169" s="1980"/>
      <c r="IG169" s="1980"/>
      <c r="IH169" s="1980"/>
      <c r="II169" s="1980"/>
      <c r="IJ169" s="1980"/>
      <c r="IK169" s="1980"/>
      <c r="IL169" s="1980"/>
      <c r="IM169" s="1980"/>
      <c r="IN169" s="1980"/>
      <c r="IO169" s="1980"/>
      <c r="IP169" s="1980"/>
      <c r="IQ169" s="1980"/>
      <c r="IR169" s="1980"/>
      <c r="IS169" s="1980"/>
      <c r="IT169" s="1980"/>
      <c r="IU169" s="1980"/>
      <c r="IV169" s="1980"/>
      <c r="IW169" s="1980"/>
      <c r="IX169" s="1980"/>
      <c r="IY169" s="1980"/>
      <c r="IZ169" s="1980"/>
      <c r="JA169" s="1980"/>
      <c r="JB169" s="1980"/>
      <c r="JC169" s="1980"/>
      <c r="JD169" s="1980"/>
      <c r="JE169" s="1980"/>
      <c r="JF169" s="1980"/>
      <c r="JG169" s="1980"/>
      <c r="JH169" s="1980"/>
      <c r="JI169" s="1980"/>
      <c r="JJ169" s="1980"/>
      <c r="JK169" s="1980"/>
      <c r="JL169" s="1980"/>
      <c r="JM169" s="1980"/>
      <c r="JN169" s="1980"/>
      <c r="JO169" s="1980"/>
      <c r="JP169" s="1980"/>
      <c r="JQ169" s="1980"/>
      <c r="JR169" s="1980"/>
      <c r="JS169" s="1980"/>
      <c r="JT169" s="1980"/>
      <c r="JU169" s="1980"/>
      <c r="JV169" s="1980"/>
      <c r="JW169" s="1980"/>
      <c r="JX169" s="1980"/>
      <c r="JY169" s="1980"/>
      <c r="JZ169" s="1980"/>
      <c r="KA169" s="1980"/>
      <c r="KB169" s="1980"/>
      <c r="KC169" s="1980"/>
      <c r="KD169" s="1980"/>
      <c r="KE169" s="1980"/>
      <c r="KF169" s="1980"/>
      <c r="KG169" s="1980"/>
      <c r="KH169" s="1980"/>
      <c r="KI169" s="1980"/>
      <c r="KJ169" s="1980"/>
      <c r="KK169" s="1980"/>
    </row>
    <row r="170" spans="1:297">
      <c r="A170" s="1997"/>
      <c r="B170" s="2">
        <v>28</v>
      </c>
      <c r="C170" s="2" t="s">
        <v>4274</v>
      </c>
      <c r="D170" s="1979">
        <v>1.2677409788794161</v>
      </c>
      <c r="E170" s="1979">
        <v>1.2768871008274929</v>
      </c>
      <c r="F170" s="1979">
        <v>1.2677409788794161</v>
      </c>
      <c r="G170" s="1979">
        <v>1.2768871008274929</v>
      </c>
      <c r="H170" s="1979">
        <v>1.2677409788794161</v>
      </c>
      <c r="I170" s="1979">
        <v>1.2768871008274929</v>
      </c>
      <c r="J170" s="1979">
        <v>1.2677409788794161</v>
      </c>
      <c r="K170" s="1979">
        <v>1.2768871008274929</v>
      </c>
      <c r="L170" s="1979">
        <v>1.2677409788794161</v>
      </c>
      <c r="M170" s="1979">
        <v>1.2768871008274929</v>
      </c>
      <c r="N170" s="2000">
        <v>1.3169843206543983</v>
      </c>
      <c r="O170" s="1998">
        <v>1.3581173723306608</v>
      </c>
      <c r="P170" s="1998">
        <v>1.3169843206543983</v>
      </c>
      <c r="Q170" s="1998">
        <v>1.3581173723306608</v>
      </c>
      <c r="R170" s="1998">
        <v>1.3169843206543983</v>
      </c>
      <c r="S170" s="1998">
        <v>1.3581173723306608</v>
      </c>
      <c r="T170" s="1998">
        <v>1.3169843206543983</v>
      </c>
      <c r="U170" s="1998">
        <v>1.3581173723306608</v>
      </c>
      <c r="V170" s="1998">
        <v>1.3169843206543983</v>
      </c>
      <c r="W170" s="1998">
        <v>1.3581173723306608</v>
      </c>
      <c r="X170" s="1999">
        <v>1.099966278105442</v>
      </c>
      <c r="Y170" s="1979">
        <v>1.1093913143625103</v>
      </c>
      <c r="Z170" s="1979">
        <v>1.099966278105442</v>
      </c>
      <c r="AA170" s="1979">
        <v>1.1093913143625103</v>
      </c>
      <c r="AB170" s="1979">
        <v>1.099966278105442</v>
      </c>
      <c r="AC170" s="1979">
        <v>1.1093913143625103</v>
      </c>
      <c r="AD170" s="1979">
        <v>1.099966278105442</v>
      </c>
      <c r="AE170" s="1979">
        <v>1.1093913143625103</v>
      </c>
      <c r="AF170" s="1979">
        <v>1.099966278105442</v>
      </c>
      <c r="AG170" s="1979">
        <v>1.1093913143625103</v>
      </c>
      <c r="AH170" s="2000">
        <v>1.1940322715164942</v>
      </c>
      <c r="AI170" s="1998">
        <v>1.2254871070647639</v>
      </c>
      <c r="AJ170" s="1998">
        <v>1.1940322715164942</v>
      </c>
      <c r="AK170" s="1998">
        <v>1.2254871070647639</v>
      </c>
      <c r="AL170" s="1998">
        <v>1.1940322715164942</v>
      </c>
      <c r="AM170" s="1998">
        <v>1.2254871070647639</v>
      </c>
      <c r="AN170" s="1998">
        <v>1.1940322715164942</v>
      </c>
      <c r="AO170" s="1998">
        <v>1.2254871070647639</v>
      </c>
      <c r="AP170" s="1998">
        <v>1.1940322715164942</v>
      </c>
      <c r="AQ170" s="1998">
        <v>1.2254871070647639</v>
      </c>
      <c r="AR170" s="1999">
        <v>1.1263514506816714</v>
      </c>
      <c r="AS170" s="1979">
        <v>1.1456544489132279</v>
      </c>
      <c r="AT170" s="1979">
        <v>1.1263514506816714</v>
      </c>
      <c r="AU170" s="1979">
        <v>1.1456544489132279</v>
      </c>
      <c r="AV170" s="1979">
        <v>1.1263514506816714</v>
      </c>
      <c r="AW170" s="1979">
        <v>1.1456544489132279</v>
      </c>
      <c r="AX170" s="1979">
        <v>1.1263514506816714</v>
      </c>
      <c r="AY170" s="1979">
        <v>1.1456544489132279</v>
      </c>
      <c r="AZ170" s="1979">
        <v>1.1263514506816714</v>
      </c>
      <c r="BA170" s="1979">
        <v>1.1456544489132279</v>
      </c>
      <c r="BB170" s="2000">
        <v>2.5552914113630503</v>
      </c>
      <c r="BC170" s="1998">
        <v>2.6262043030781661</v>
      </c>
      <c r="BD170" s="1998">
        <v>2.5552914113630503</v>
      </c>
      <c r="BE170" s="1998">
        <v>2.6262043030781661</v>
      </c>
      <c r="BF170" s="1998">
        <v>2.5552914113630503</v>
      </c>
      <c r="BG170" s="1998">
        <v>2.6262043030781661</v>
      </c>
      <c r="BH170" s="1998">
        <v>2.5552914113630503</v>
      </c>
      <c r="BI170" s="1998">
        <v>2.6262043030781661</v>
      </c>
      <c r="BJ170" s="1998">
        <v>2.5552914113630503</v>
      </c>
      <c r="BK170" s="1998">
        <v>2.6262043030781661</v>
      </c>
      <c r="BL170" s="1999">
        <v>1.2502031061293635</v>
      </c>
      <c r="BM170" s="1979">
        <v>1.2776596337410064</v>
      </c>
      <c r="BN170" s="1979">
        <v>1.2502031061293635</v>
      </c>
      <c r="BO170" s="1979">
        <v>1.2776596337410064</v>
      </c>
      <c r="BP170" s="1979">
        <v>1.2502031061293635</v>
      </c>
      <c r="BQ170" s="1979">
        <v>1.2776596337410064</v>
      </c>
      <c r="BR170" s="1979">
        <v>1.2502031061293635</v>
      </c>
      <c r="BS170" s="1979">
        <v>1.2776596337410064</v>
      </c>
      <c r="BT170" s="1979">
        <v>1.2502031061293635</v>
      </c>
      <c r="BU170" s="1979">
        <v>1.2776596337410064</v>
      </c>
      <c r="BV170" s="2000">
        <v>1.2867543895654641</v>
      </c>
      <c r="BW170" s="1998">
        <v>1.3185556107380338</v>
      </c>
      <c r="BX170" s="1998">
        <v>1.2867543895654641</v>
      </c>
      <c r="BY170" s="1998">
        <v>1.3185556107380338</v>
      </c>
      <c r="BZ170" s="1998">
        <v>1.2867543895654641</v>
      </c>
      <c r="CA170" s="1998">
        <v>1.3185556107380338</v>
      </c>
      <c r="CB170" s="1998">
        <v>1.2867543895654641</v>
      </c>
      <c r="CC170" s="1998">
        <v>1.3185556107380338</v>
      </c>
      <c r="CD170" s="1998">
        <v>1.2867543895654641</v>
      </c>
      <c r="CE170" s="1998">
        <v>1.3185556107380338</v>
      </c>
      <c r="CF170" s="1999">
        <v>1.2679858513780522</v>
      </c>
      <c r="CG170" s="1979">
        <v>1.3178058142979114</v>
      </c>
      <c r="CH170" s="1979">
        <v>1.2679858513780522</v>
      </c>
      <c r="CI170" s="1979">
        <v>1.3178058142979114</v>
      </c>
      <c r="CJ170" s="1979">
        <v>1.2679858513780522</v>
      </c>
      <c r="CK170" s="1979">
        <v>1.3178058142979114</v>
      </c>
      <c r="CL170" s="1979">
        <v>1.2679858513780522</v>
      </c>
      <c r="CM170" s="1979">
        <v>1.3178058142979114</v>
      </c>
      <c r="CN170" s="1979">
        <v>1.2679858513780522</v>
      </c>
      <c r="CO170" s="1979">
        <v>1.3178058142979114</v>
      </c>
      <c r="CP170" s="2000">
        <v>1.284253710320677</v>
      </c>
      <c r="CQ170" s="1998">
        <v>1.3363378932628178</v>
      </c>
      <c r="CR170" s="1998">
        <v>1.284253710320677</v>
      </c>
      <c r="CS170" s="1998">
        <v>1.3363378932628178</v>
      </c>
      <c r="CT170" s="1998">
        <v>1.284253710320677</v>
      </c>
      <c r="CU170" s="1998">
        <v>1.3363378932628178</v>
      </c>
      <c r="CV170" s="1998">
        <v>1.284253710320677</v>
      </c>
      <c r="CW170" s="1998">
        <v>1.3363378932628178</v>
      </c>
      <c r="CX170" s="1998">
        <v>1.284253710320677</v>
      </c>
      <c r="CY170" s="1998">
        <v>1.3363378932628178</v>
      </c>
      <c r="CZ170" s="1999">
        <v>1.7978800916355735</v>
      </c>
      <c r="DA170" s="1979">
        <v>1.8548586629787203</v>
      </c>
      <c r="DB170" s="1979">
        <v>1.7978800916355735</v>
      </c>
      <c r="DC170" s="1979">
        <v>1.8548586629787203</v>
      </c>
      <c r="DD170" s="1979">
        <v>1.7978800916355735</v>
      </c>
      <c r="DE170" s="1979">
        <v>1.8548586629787203</v>
      </c>
      <c r="DF170" s="1979">
        <v>1.7978800916355735</v>
      </c>
      <c r="DG170" s="1979">
        <v>1.8548586629787203</v>
      </c>
      <c r="DH170" s="1979">
        <v>1.7978800916355735</v>
      </c>
      <c r="DI170" s="1979">
        <v>1.8548586629787203</v>
      </c>
      <c r="DJ170" s="2000">
        <v>1.7217527721094865</v>
      </c>
      <c r="DK170" s="1998">
        <v>1.7856710473485147</v>
      </c>
      <c r="DL170" s="1998">
        <v>1.7217527721094865</v>
      </c>
      <c r="DM170" s="1998">
        <v>1.7856710473485147</v>
      </c>
      <c r="DN170" s="1998">
        <v>1.7217527721094865</v>
      </c>
      <c r="DO170" s="1998">
        <v>1.7856710473485147</v>
      </c>
      <c r="DP170" s="1998">
        <v>1.7217527721094865</v>
      </c>
      <c r="DQ170" s="1998">
        <v>1.7856710473485147</v>
      </c>
      <c r="DR170" s="1998">
        <v>1.7217527721094865</v>
      </c>
      <c r="DS170" s="1998">
        <v>1.7856710473485147</v>
      </c>
      <c r="GQ170" s="1997"/>
      <c r="GT170" s="1980"/>
      <c r="GU170" s="1980"/>
      <c r="GV170" s="1980"/>
      <c r="GW170" s="1980"/>
      <c r="GX170" s="1980"/>
      <c r="GY170" s="1980"/>
      <c r="GZ170" s="1980"/>
      <c r="HA170" s="1980"/>
      <c r="HB170" s="1980"/>
      <c r="HC170" s="1980"/>
      <c r="HD170" s="1980"/>
      <c r="HE170" s="1980"/>
      <c r="HF170" s="1980"/>
      <c r="HG170" s="1980"/>
      <c r="HH170" s="1980"/>
      <c r="HI170" s="1980"/>
      <c r="HJ170" s="1980"/>
      <c r="HK170" s="1980"/>
      <c r="HL170" s="1980"/>
      <c r="HM170" s="1980"/>
      <c r="HN170" s="1980"/>
      <c r="HO170" s="1980"/>
      <c r="HP170" s="1980"/>
      <c r="HQ170" s="1980"/>
      <c r="HR170" s="1980"/>
      <c r="HS170" s="1980"/>
      <c r="HT170" s="1980"/>
      <c r="HU170" s="1980"/>
      <c r="HV170" s="1980"/>
      <c r="HW170" s="1980"/>
      <c r="HX170" s="1980"/>
      <c r="HY170" s="1980"/>
      <c r="HZ170" s="1980"/>
      <c r="IA170" s="1980"/>
      <c r="IB170" s="1980"/>
      <c r="IC170" s="1980"/>
      <c r="ID170" s="1980"/>
      <c r="IE170" s="1980"/>
      <c r="IF170" s="1980"/>
      <c r="IG170" s="1980"/>
      <c r="IH170" s="1980"/>
      <c r="II170" s="1980"/>
      <c r="IJ170" s="1980"/>
      <c r="IK170" s="1980"/>
      <c r="IL170" s="1980"/>
      <c r="IM170" s="1980"/>
      <c r="IN170" s="1980"/>
      <c r="IO170" s="1980"/>
      <c r="IP170" s="1980"/>
      <c r="IQ170" s="1980"/>
      <c r="IR170" s="1980"/>
      <c r="IS170" s="1980"/>
      <c r="IT170" s="1980"/>
      <c r="IU170" s="1980"/>
      <c r="IV170" s="1980"/>
      <c r="IW170" s="1980"/>
      <c r="IX170" s="1980"/>
      <c r="IY170" s="1980"/>
      <c r="IZ170" s="1980"/>
      <c r="JA170" s="1980"/>
      <c r="JB170" s="1980"/>
      <c r="JC170" s="1980"/>
      <c r="JD170" s="1980"/>
      <c r="JE170" s="1980"/>
      <c r="JF170" s="1980"/>
      <c r="JG170" s="1980"/>
      <c r="JH170" s="1980"/>
      <c r="JI170" s="1980"/>
      <c r="JJ170" s="1980"/>
      <c r="JK170" s="1980"/>
      <c r="JL170" s="1980"/>
      <c r="JM170" s="1980"/>
      <c r="JN170" s="1980"/>
      <c r="JO170" s="1980"/>
      <c r="JP170" s="1980"/>
      <c r="JQ170" s="1980"/>
      <c r="JR170" s="1980"/>
      <c r="JS170" s="1980"/>
      <c r="JT170" s="1980"/>
      <c r="JU170" s="1980"/>
      <c r="JV170" s="1980"/>
      <c r="JW170" s="1980"/>
      <c r="JX170" s="1980"/>
      <c r="JY170" s="1980"/>
      <c r="JZ170" s="1980"/>
      <c r="KA170" s="1980"/>
      <c r="KB170" s="1980"/>
      <c r="KC170" s="1980"/>
      <c r="KD170" s="1980"/>
      <c r="KE170" s="1980"/>
      <c r="KF170" s="1980"/>
      <c r="KG170" s="1980"/>
      <c r="KH170" s="1980"/>
      <c r="KI170" s="1980"/>
      <c r="KJ170" s="1980"/>
      <c r="KK170" s="1980"/>
    </row>
    <row r="171" spans="1:297">
      <c r="A171" s="1997"/>
      <c r="B171" s="2">
        <v>29</v>
      </c>
      <c r="C171" s="2" t="str">
        <f>AD$13</f>
        <v>Fondation superficielle</v>
      </c>
      <c r="D171" s="1979">
        <v>0.96772783265384288</v>
      </c>
      <c r="E171" s="1979">
        <v>0.96412957065102256</v>
      </c>
      <c r="F171" s="1979">
        <v>0.96772783265384288</v>
      </c>
      <c r="G171" s="1979">
        <v>0.96412957065102256</v>
      </c>
      <c r="H171" s="1979">
        <v>0.96772783265384288</v>
      </c>
      <c r="I171" s="1979">
        <v>0.96412957065102256</v>
      </c>
      <c r="J171" s="1979">
        <v>0.96772783265384288</v>
      </c>
      <c r="K171" s="1979">
        <v>0.96412957065102256</v>
      </c>
      <c r="L171" s="1979">
        <v>0.96772783265384288</v>
      </c>
      <c r="M171" s="1979">
        <v>0.96412957065102256</v>
      </c>
      <c r="N171" s="2000">
        <v>1</v>
      </c>
      <c r="O171" s="1998">
        <v>1</v>
      </c>
      <c r="P171" s="1998">
        <v>1</v>
      </c>
      <c r="Q171" s="1998">
        <v>1</v>
      </c>
      <c r="R171" s="1998">
        <v>1</v>
      </c>
      <c r="S171" s="1998">
        <v>1</v>
      </c>
      <c r="T171" s="1998">
        <v>1</v>
      </c>
      <c r="U171" s="1998">
        <v>1</v>
      </c>
      <c r="V171" s="1998">
        <v>1</v>
      </c>
      <c r="W171" s="1998">
        <v>1</v>
      </c>
      <c r="X171" s="1999">
        <v>1</v>
      </c>
      <c r="Y171" s="1979">
        <v>0.99456526585057647</v>
      </c>
      <c r="Z171" s="1979">
        <v>1</v>
      </c>
      <c r="AA171" s="1979">
        <v>0.99456526585057647</v>
      </c>
      <c r="AB171" s="1979">
        <v>1</v>
      </c>
      <c r="AC171" s="1979">
        <v>0.99456526585057647</v>
      </c>
      <c r="AD171" s="1979">
        <v>1</v>
      </c>
      <c r="AE171" s="1979">
        <v>0.99456526585057647</v>
      </c>
      <c r="AF171" s="1979">
        <v>1</v>
      </c>
      <c r="AG171" s="1979">
        <v>0.99456526585057647</v>
      </c>
      <c r="AH171" s="2000">
        <v>1</v>
      </c>
      <c r="AI171" s="1998">
        <v>1</v>
      </c>
      <c r="AJ171" s="1998">
        <v>1</v>
      </c>
      <c r="AK171" s="1998">
        <v>1</v>
      </c>
      <c r="AL171" s="1998">
        <v>1</v>
      </c>
      <c r="AM171" s="1998">
        <v>1</v>
      </c>
      <c r="AN171" s="1998">
        <v>1</v>
      </c>
      <c r="AO171" s="1998">
        <v>1</v>
      </c>
      <c r="AP171" s="1998">
        <v>1</v>
      </c>
      <c r="AQ171" s="1998">
        <v>1</v>
      </c>
      <c r="AR171" s="1999">
        <v>1</v>
      </c>
      <c r="AS171" s="1979">
        <v>1</v>
      </c>
      <c r="AT171" s="1979">
        <v>1</v>
      </c>
      <c r="AU171" s="1979">
        <v>1</v>
      </c>
      <c r="AV171" s="1979">
        <v>1</v>
      </c>
      <c r="AW171" s="1979">
        <v>1</v>
      </c>
      <c r="AX171" s="1979">
        <v>1</v>
      </c>
      <c r="AY171" s="1979">
        <v>1</v>
      </c>
      <c r="AZ171" s="1979">
        <v>1</v>
      </c>
      <c r="BA171" s="1979">
        <v>1</v>
      </c>
      <c r="BB171" s="2000">
        <v>1.3180265000109936</v>
      </c>
      <c r="BC171" s="1998">
        <v>1.3308586370188196</v>
      </c>
      <c r="BD171" s="1998">
        <v>1.3180265000109936</v>
      </c>
      <c r="BE171" s="1998">
        <v>1.3308586370188196</v>
      </c>
      <c r="BF171" s="1998">
        <v>1.3180265000109936</v>
      </c>
      <c r="BG171" s="1998">
        <v>1.3308586370188196</v>
      </c>
      <c r="BH171" s="1998">
        <v>1.3180265000109936</v>
      </c>
      <c r="BI171" s="1998">
        <v>1.3308586370188196</v>
      </c>
      <c r="BJ171" s="1998">
        <v>1.3180265000109936</v>
      </c>
      <c r="BK171" s="1998">
        <v>1.3308586370188196</v>
      </c>
      <c r="BL171" s="1999">
        <v>1</v>
      </c>
      <c r="BM171" s="1979">
        <v>1</v>
      </c>
      <c r="BN171" s="1979">
        <v>1</v>
      </c>
      <c r="BO171" s="1979">
        <v>1</v>
      </c>
      <c r="BP171" s="1979">
        <v>1</v>
      </c>
      <c r="BQ171" s="1979">
        <v>1</v>
      </c>
      <c r="BR171" s="1979">
        <v>1</v>
      </c>
      <c r="BS171" s="1979">
        <v>1</v>
      </c>
      <c r="BT171" s="1979">
        <v>1</v>
      </c>
      <c r="BU171" s="1979">
        <v>1</v>
      </c>
      <c r="BV171" s="2000">
        <v>1</v>
      </c>
      <c r="BW171" s="1998">
        <v>1</v>
      </c>
      <c r="BX171" s="1998">
        <v>1</v>
      </c>
      <c r="BY171" s="1998">
        <v>1</v>
      </c>
      <c r="BZ171" s="1998">
        <v>1</v>
      </c>
      <c r="CA171" s="1998">
        <v>1</v>
      </c>
      <c r="CB171" s="1998">
        <v>1</v>
      </c>
      <c r="CC171" s="1998">
        <v>1</v>
      </c>
      <c r="CD171" s="1998">
        <v>1</v>
      </c>
      <c r="CE171" s="1998">
        <v>1</v>
      </c>
      <c r="CF171" s="1999">
        <v>1</v>
      </c>
      <c r="CG171" s="1979">
        <v>1</v>
      </c>
      <c r="CH171" s="1979">
        <v>1</v>
      </c>
      <c r="CI171" s="1979">
        <v>1</v>
      </c>
      <c r="CJ171" s="1979">
        <v>1</v>
      </c>
      <c r="CK171" s="1979">
        <v>1</v>
      </c>
      <c r="CL171" s="1979">
        <v>1</v>
      </c>
      <c r="CM171" s="1979">
        <v>1</v>
      </c>
      <c r="CN171" s="1979">
        <v>1</v>
      </c>
      <c r="CO171" s="1979">
        <v>1</v>
      </c>
      <c r="CP171" s="2000">
        <v>1</v>
      </c>
      <c r="CQ171" s="1998">
        <v>1</v>
      </c>
      <c r="CR171" s="1998">
        <v>1</v>
      </c>
      <c r="CS171" s="1998">
        <v>1</v>
      </c>
      <c r="CT171" s="1998">
        <v>1</v>
      </c>
      <c r="CU171" s="1998">
        <v>1</v>
      </c>
      <c r="CV171" s="1998">
        <v>1</v>
      </c>
      <c r="CW171" s="1998">
        <v>1</v>
      </c>
      <c r="CX171" s="1998">
        <v>1</v>
      </c>
      <c r="CY171" s="1998">
        <v>1</v>
      </c>
      <c r="CZ171" s="1999">
        <v>1</v>
      </c>
      <c r="DA171" s="1979">
        <v>1</v>
      </c>
      <c r="DB171" s="1979">
        <v>1</v>
      </c>
      <c r="DC171" s="1979">
        <v>1</v>
      </c>
      <c r="DD171" s="1979">
        <v>1</v>
      </c>
      <c r="DE171" s="1979">
        <v>1</v>
      </c>
      <c r="DF171" s="1979">
        <v>1</v>
      </c>
      <c r="DG171" s="1979">
        <v>1</v>
      </c>
      <c r="DH171" s="1979">
        <v>1</v>
      </c>
      <c r="DI171" s="1979">
        <v>1</v>
      </c>
      <c r="DJ171" s="2000">
        <v>1.0002450682306379</v>
      </c>
      <c r="DK171" s="1998">
        <v>1.0001651239704095</v>
      </c>
      <c r="DL171" s="1998">
        <v>1.0002450682306379</v>
      </c>
      <c r="DM171" s="1998">
        <v>1.0001651239704095</v>
      </c>
      <c r="DN171" s="1998">
        <v>1.0002450682306379</v>
      </c>
      <c r="DO171" s="1998">
        <v>1.0001651239704095</v>
      </c>
      <c r="DP171" s="1998">
        <v>1.0002450682306379</v>
      </c>
      <c r="DQ171" s="1998">
        <v>1.0001651239704095</v>
      </c>
      <c r="DR171" s="1998">
        <v>1.0002450682306379</v>
      </c>
      <c r="DS171" s="1998">
        <v>1.0001651239704095</v>
      </c>
      <c r="GQ171" s="1997"/>
      <c r="GT171" s="1980"/>
      <c r="GU171" s="1980"/>
      <c r="GV171" s="1980"/>
      <c r="GW171" s="1980"/>
      <c r="GX171" s="1980"/>
      <c r="GY171" s="1980"/>
      <c r="GZ171" s="1980"/>
      <c r="HA171" s="1980"/>
      <c r="HB171" s="1980"/>
      <c r="HC171" s="1980"/>
      <c r="HD171" s="1980"/>
      <c r="HE171" s="1980"/>
      <c r="HF171" s="1980"/>
      <c r="HG171" s="1980"/>
      <c r="HH171" s="1980"/>
      <c r="HI171" s="1980"/>
      <c r="HJ171" s="1980"/>
      <c r="HK171" s="1980"/>
      <c r="HL171" s="1980"/>
      <c r="HM171" s="1980"/>
      <c r="HN171" s="1980"/>
      <c r="HO171" s="1980"/>
      <c r="HP171" s="1980"/>
      <c r="HQ171" s="1980"/>
      <c r="HR171" s="1980"/>
      <c r="HS171" s="1980"/>
      <c r="HT171" s="1980"/>
      <c r="HU171" s="1980"/>
      <c r="HV171" s="1980"/>
      <c r="HW171" s="1980"/>
      <c r="HX171" s="1980"/>
      <c r="HY171" s="1980"/>
      <c r="HZ171" s="1980"/>
      <c r="IA171" s="1980"/>
      <c r="IB171" s="1980"/>
      <c r="IC171" s="1980"/>
      <c r="ID171" s="1980"/>
      <c r="IE171" s="1980"/>
      <c r="IF171" s="1980"/>
      <c r="IG171" s="1980"/>
      <c r="IH171" s="1980"/>
      <c r="II171" s="1980"/>
      <c r="IJ171" s="1980"/>
      <c r="IK171" s="1980"/>
      <c r="IL171" s="1980"/>
      <c r="IM171" s="1980"/>
      <c r="IN171" s="1980"/>
      <c r="IO171" s="1980"/>
      <c r="IP171" s="1980"/>
      <c r="IQ171" s="1980"/>
      <c r="IR171" s="1980"/>
      <c r="IS171" s="1980"/>
      <c r="IT171" s="1980"/>
      <c r="IU171" s="1980"/>
      <c r="IV171" s="1980"/>
      <c r="IW171" s="1980"/>
      <c r="IX171" s="1980"/>
      <c r="IY171" s="1980"/>
      <c r="IZ171" s="1980"/>
      <c r="JA171" s="1980"/>
      <c r="JB171" s="1980"/>
      <c r="JC171" s="1980"/>
      <c r="JD171" s="1980"/>
      <c r="JE171" s="1980"/>
      <c r="JF171" s="1980"/>
      <c r="JG171" s="1980"/>
      <c r="JH171" s="1980"/>
      <c r="JI171" s="1980"/>
      <c r="JJ171" s="1980"/>
      <c r="JK171" s="1980"/>
      <c r="JL171" s="1980"/>
      <c r="JM171" s="1980"/>
      <c r="JN171" s="1980"/>
      <c r="JO171" s="1980"/>
      <c r="JP171" s="1980"/>
      <c r="JQ171" s="1980"/>
      <c r="JR171" s="1980"/>
      <c r="JS171" s="1980"/>
      <c r="JT171" s="1980"/>
      <c r="JU171" s="1980"/>
      <c r="JV171" s="1980"/>
      <c r="JW171" s="1980"/>
      <c r="JX171" s="1980"/>
      <c r="JY171" s="1980"/>
      <c r="JZ171" s="1980"/>
      <c r="KA171" s="1980"/>
      <c r="KB171" s="1980"/>
      <c r="KC171" s="1980"/>
      <c r="KD171" s="1980"/>
      <c r="KE171" s="1980"/>
      <c r="KF171" s="1980"/>
      <c r="KG171" s="1980"/>
      <c r="KH171" s="1980"/>
      <c r="KI171" s="1980"/>
      <c r="KJ171" s="1980"/>
      <c r="KK171" s="1980"/>
    </row>
    <row r="172" spans="1:297">
      <c r="A172" s="1997"/>
      <c r="B172" s="2">
        <v>30</v>
      </c>
      <c r="C172" s="2" t="str">
        <f>AD$14</f>
        <v>Micro-pieux</v>
      </c>
      <c r="D172" s="1979">
        <v>0.98215194558222918</v>
      </c>
      <c r="E172" s="1979">
        <v>0.97790342861972512</v>
      </c>
      <c r="F172" s="1979">
        <v>0.98215194558222918</v>
      </c>
      <c r="G172" s="1979">
        <v>0.97790342861972512</v>
      </c>
      <c r="H172" s="1979">
        <v>0.98215194558222918</v>
      </c>
      <c r="I172" s="1979">
        <v>0.97790342861972512</v>
      </c>
      <c r="J172" s="1979">
        <v>0.98215194558222918</v>
      </c>
      <c r="K172" s="1979">
        <v>0.97790342861972512</v>
      </c>
      <c r="L172" s="1979">
        <v>0.98215194558222918</v>
      </c>
      <c r="M172" s="1979">
        <v>0.97790342861972512</v>
      </c>
      <c r="N172" s="2000">
        <v>1.0358398385172327</v>
      </c>
      <c r="O172" s="1998">
        <v>1.034179277007147</v>
      </c>
      <c r="P172" s="1998">
        <v>1.0358398385172327</v>
      </c>
      <c r="Q172" s="1998">
        <v>1.034179277007147</v>
      </c>
      <c r="R172" s="1998">
        <v>1.0358398385172327</v>
      </c>
      <c r="S172" s="1998">
        <v>1.034179277007147</v>
      </c>
      <c r="T172" s="1998">
        <v>1.0358398385172327</v>
      </c>
      <c r="U172" s="1998">
        <v>1.034179277007147</v>
      </c>
      <c r="V172" s="1998">
        <v>1.0358398385172327</v>
      </c>
      <c r="W172" s="1998">
        <v>1.034179277007147</v>
      </c>
      <c r="X172" s="1999">
        <v>1.0118507754959125</v>
      </c>
      <c r="Y172" s="1979">
        <v>1.0060579802998373</v>
      </c>
      <c r="Z172" s="1979">
        <v>1.0118507754959125</v>
      </c>
      <c r="AA172" s="1979">
        <v>1.0060579802998373</v>
      </c>
      <c r="AB172" s="1979">
        <v>1.0118507754959125</v>
      </c>
      <c r="AC172" s="1979">
        <v>1.0060579802998373</v>
      </c>
      <c r="AD172" s="1979">
        <v>1.0118507754959125</v>
      </c>
      <c r="AE172" s="1979">
        <v>1.0060579802998373</v>
      </c>
      <c r="AF172" s="1979">
        <v>1.0118507754959125</v>
      </c>
      <c r="AG172" s="1979">
        <v>1.0060579802998373</v>
      </c>
      <c r="AH172" s="2000">
        <v>1.0213887038976559</v>
      </c>
      <c r="AI172" s="1998">
        <v>1.0209797472917035</v>
      </c>
      <c r="AJ172" s="1998">
        <v>1.0213887038976559</v>
      </c>
      <c r="AK172" s="1998">
        <v>1.0209797472917035</v>
      </c>
      <c r="AL172" s="1998">
        <v>1.0213887038976559</v>
      </c>
      <c r="AM172" s="1998">
        <v>1.0209797472917035</v>
      </c>
      <c r="AN172" s="1998">
        <v>1.0213887038976559</v>
      </c>
      <c r="AO172" s="1998">
        <v>1.0209797472917035</v>
      </c>
      <c r="AP172" s="1998">
        <v>1.0213887038976559</v>
      </c>
      <c r="AQ172" s="1998">
        <v>1.0209797472917035</v>
      </c>
      <c r="AR172" s="1999">
        <v>1.0157420354354325</v>
      </c>
      <c r="AS172" s="1979">
        <v>1.0153243205893627</v>
      </c>
      <c r="AT172" s="1979">
        <v>1.0157420354354325</v>
      </c>
      <c r="AU172" s="1979">
        <v>1.0153243205893627</v>
      </c>
      <c r="AV172" s="1979">
        <v>1.0157420354354325</v>
      </c>
      <c r="AW172" s="1979">
        <v>1.0153243205893627</v>
      </c>
      <c r="AX172" s="1979">
        <v>1.0157420354354325</v>
      </c>
      <c r="AY172" s="1979">
        <v>1.0153243205893627</v>
      </c>
      <c r="AZ172" s="1979">
        <v>1.0157420354354325</v>
      </c>
      <c r="BA172" s="1979">
        <v>1.0153243205893627</v>
      </c>
      <c r="BB172" s="2000">
        <v>1.40141854193508</v>
      </c>
      <c r="BC172" s="1998">
        <v>1.4092475041878993</v>
      </c>
      <c r="BD172" s="1998">
        <v>1.40141854193508</v>
      </c>
      <c r="BE172" s="1998">
        <v>1.4092475041878993</v>
      </c>
      <c r="BF172" s="1998">
        <v>1.40141854193508</v>
      </c>
      <c r="BG172" s="1998">
        <v>1.4092475041878993</v>
      </c>
      <c r="BH172" s="1998">
        <v>1.40141854193508</v>
      </c>
      <c r="BI172" s="1998">
        <v>1.4092475041878993</v>
      </c>
      <c r="BJ172" s="1998">
        <v>1.40141854193508</v>
      </c>
      <c r="BK172" s="1998">
        <v>1.4092475041878993</v>
      </c>
      <c r="BL172" s="1999">
        <v>1.0311726231989757</v>
      </c>
      <c r="BM172" s="1979">
        <v>1.0292126006031375</v>
      </c>
      <c r="BN172" s="1979">
        <v>1.0311726231989757</v>
      </c>
      <c r="BO172" s="1979">
        <v>1.0292126006031375</v>
      </c>
      <c r="BP172" s="1979">
        <v>1.0311726231989757</v>
      </c>
      <c r="BQ172" s="1979">
        <v>1.0292126006031375</v>
      </c>
      <c r="BR172" s="1979">
        <v>1.0311726231989757</v>
      </c>
      <c r="BS172" s="1979">
        <v>1.0292126006031375</v>
      </c>
      <c r="BT172" s="1979">
        <v>1.0311726231989757</v>
      </c>
      <c r="BU172" s="1979">
        <v>1.0292126006031375</v>
      </c>
      <c r="BV172" s="2000">
        <v>1.0214671801269579</v>
      </c>
      <c r="BW172" s="1998">
        <v>1.0214390644346296</v>
      </c>
      <c r="BX172" s="1998">
        <v>1.0214671801269579</v>
      </c>
      <c r="BY172" s="1998">
        <v>1.0214390644346296</v>
      </c>
      <c r="BZ172" s="1998">
        <v>1.0214671801269579</v>
      </c>
      <c r="CA172" s="1998">
        <v>1.0214390644346296</v>
      </c>
      <c r="CB172" s="1998">
        <v>1.0214671801269579</v>
      </c>
      <c r="CC172" s="1998">
        <v>1.0214390644346296</v>
      </c>
      <c r="CD172" s="1998">
        <v>1.0214671801269579</v>
      </c>
      <c r="CE172" s="1998">
        <v>1.0214390644346296</v>
      </c>
      <c r="CF172" s="1999">
        <v>1.0349309906091928</v>
      </c>
      <c r="CG172" s="1979">
        <v>1.0349881878015106</v>
      </c>
      <c r="CH172" s="1979">
        <v>1.0349309906091928</v>
      </c>
      <c r="CI172" s="1979">
        <v>1.0349881878015106</v>
      </c>
      <c r="CJ172" s="1979">
        <v>1.0349309906091928</v>
      </c>
      <c r="CK172" s="1979">
        <v>1.0349881878015106</v>
      </c>
      <c r="CL172" s="1979">
        <v>1.0349309906091928</v>
      </c>
      <c r="CM172" s="1979">
        <v>1.0349881878015106</v>
      </c>
      <c r="CN172" s="1979">
        <v>1.0349309906091928</v>
      </c>
      <c r="CO172" s="1979">
        <v>1.0349881878015106</v>
      </c>
      <c r="CP172" s="2000">
        <v>1.0366605151957169</v>
      </c>
      <c r="CQ172" s="1998">
        <v>1.0366360621091044</v>
      </c>
      <c r="CR172" s="1998">
        <v>1.0366605151957169</v>
      </c>
      <c r="CS172" s="1998">
        <v>1.0366360621091044</v>
      </c>
      <c r="CT172" s="1998">
        <v>1.0366605151957169</v>
      </c>
      <c r="CU172" s="1998">
        <v>1.0366360621091044</v>
      </c>
      <c r="CV172" s="1998">
        <v>1.0366605151957169</v>
      </c>
      <c r="CW172" s="1998">
        <v>1.0366360621091044</v>
      </c>
      <c r="CX172" s="1998">
        <v>1.0366605151957169</v>
      </c>
      <c r="CY172" s="1998">
        <v>1.0366360621091044</v>
      </c>
      <c r="CZ172" s="1999">
        <v>1.059981437956472</v>
      </c>
      <c r="DA172" s="1979">
        <v>1.0593833390900691</v>
      </c>
      <c r="DB172" s="1979">
        <v>1.059981437956472</v>
      </c>
      <c r="DC172" s="1979">
        <v>1.0593833390900691</v>
      </c>
      <c r="DD172" s="1979">
        <v>1.059981437956472</v>
      </c>
      <c r="DE172" s="1979">
        <v>1.0593833390900691</v>
      </c>
      <c r="DF172" s="1979">
        <v>1.059981437956472</v>
      </c>
      <c r="DG172" s="1979">
        <v>1.0593833390900691</v>
      </c>
      <c r="DH172" s="1979">
        <v>1.059981437956472</v>
      </c>
      <c r="DI172" s="1979">
        <v>1.0593833390900691</v>
      </c>
      <c r="DJ172" s="2000">
        <v>1.0531436744991662</v>
      </c>
      <c r="DK172" s="1998">
        <v>1.0532469496640777</v>
      </c>
      <c r="DL172" s="1998">
        <v>1.0531436744991662</v>
      </c>
      <c r="DM172" s="1998">
        <v>1.0532469496640777</v>
      </c>
      <c r="DN172" s="1998">
        <v>1.0531436744991662</v>
      </c>
      <c r="DO172" s="1998">
        <v>1.0532469496640777</v>
      </c>
      <c r="DP172" s="1998">
        <v>1.0531436744991662</v>
      </c>
      <c r="DQ172" s="1998">
        <v>1.0532469496640777</v>
      </c>
      <c r="DR172" s="1998">
        <v>1.0531436744991662</v>
      </c>
      <c r="DS172" s="1998">
        <v>1.0532469496640777</v>
      </c>
      <c r="GQ172" s="1997"/>
      <c r="GT172" s="1980"/>
      <c r="GU172" s="1980"/>
      <c r="GV172" s="1980"/>
      <c r="GW172" s="1980"/>
      <c r="GX172" s="1980"/>
      <c r="GY172" s="1980"/>
      <c r="GZ172" s="1980"/>
      <c r="HA172" s="1980"/>
      <c r="HB172" s="1980"/>
      <c r="HC172" s="1980"/>
      <c r="HD172" s="1980"/>
      <c r="HE172" s="1980"/>
      <c r="HF172" s="1980"/>
      <c r="HG172" s="1980"/>
      <c r="HH172" s="1980"/>
      <c r="HI172" s="1980"/>
      <c r="HJ172" s="1980"/>
      <c r="HK172" s="1980"/>
      <c r="HL172" s="1980"/>
      <c r="HM172" s="1980"/>
      <c r="HN172" s="1980"/>
      <c r="HO172" s="1980"/>
      <c r="HP172" s="1980"/>
      <c r="HQ172" s="1980"/>
      <c r="HR172" s="1980"/>
      <c r="HS172" s="1980"/>
      <c r="HT172" s="1980"/>
      <c r="HU172" s="1980"/>
      <c r="HV172" s="1980"/>
      <c r="HW172" s="1980"/>
      <c r="HX172" s="1980"/>
      <c r="HY172" s="1980"/>
      <c r="HZ172" s="1980"/>
      <c r="IA172" s="1980"/>
      <c r="IB172" s="1980"/>
      <c r="IC172" s="1980"/>
      <c r="ID172" s="1980"/>
      <c r="IE172" s="1980"/>
      <c r="IF172" s="1980"/>
      <c r="IG172" s="1980"/>
      <c r="IH172" s="1980"/>
      <c r="II172" s="1980"/>
      <c r="IJ172" s="1980"/>
      <c r="IK172" s="1980"/>
      <c r="IL172" s="1980"/>
      <c r="IM172" s="1980"/>
      <c r="IN172" s="1980"/>
      <c r="IO172" s="1980"/>
      <c r="IP172" s="1980"/>
      <c r="IQ172" s="1980"/>
      <c r="IR172" s="1980"/>
      <c r="IS172" s="1980"/>
      <c r="IT172" s="1980"/>
      <c r="IU172" s="1980"/>
      <c r="IV172" s="1980"/>
      <c r="IW172" s="1980"/>
      <c r="IX172" s="1980"/>
      <c r="IY172" s="1980"/>
      <c r="IZ172" s="1980"/>
      <c r="JA172" s="1980"/>
      <c r="JB172" s="1980"/>
      <c r="JC172" s="1980"/>
      <c r="JD172" s="1980"/>
      <c r="JE172" s="1980"/>
      <c r="JF172" s="1980"/>
      <c r="JG172" s="1980"/>
      <c r="JH172" s="1980"/>
      <c r="JI172" s="1980"/>
      <c r="JJ172" s="1980"/>
      <c r="JK172" s="1980"/>
      <c r="JL172" s="1980"/>
      <c r="JM172" s="1980"/>
      <c r="JN172" s="1980"/>
      <c r="JO172" s="1980"/>
      <c r="JP172" s="1980"/>
      <c r="JQ172" s="1980"/>
      <c r="JR172" s="1980"/>
      <c r="JS172" s="1980"/>
      <c r="JT172" s="1980"/>
      <c r="JU172" s="1980"/>
      <c r="JV172" s="1980"/>
      <c r="JW172" s="1980"/>
      <c r="JX172" s="1980"/>
      <c r="JY172" s="1980"/>
      <c r="JZ172" s="1980"/>
      <c r="KA172" s="1980"/>
      <c r="KB172" s="1980"/>
      <c r="KC172" s="1980"/>
      <c r="KD172" s="1980"/>
      <c r="KE172" s="1980"/>
      <c r="KF172" s="1980"/>
      <c r="KG172" s="1980"/>
      <c r="KH172" s="1980"/>
      <c r="KI172" s="1980"/>
      <c r="KJ172" s="1980"/>
      <c r="KK172" s="1980"/>
    </row>
    <row r="173" spans="1:297">
      <c r="A173" s="1997"/>
      <c r="B173" s="2">
        <v>31</v>
      </c>
      <c r="C173" s="2" t="str">
        <f>AD$15</f>
        <v>Pieux en béton coulé sur place</v>
      </c>
      <c r="D173" s="1979">
        <v>1.0037284271901226</v>
      </c>
      <c r="E173" s="1979">
        <v>1.0087568640961355</v>
      </c>
      <c r="F173" s="1979">
        <v>1.0037284271901226</v>
      </c>
      <c r="G173" s="1979">
        <v>1.0087568640961355</v>
      </c>
      <c r="H173" s="1979">
        <v>1.0037284271901226</v>
      </c>
      <c r="I173" s="1979">
        <v>1.0087568640961355</v>
      </c>
      <c r="J173" s="1979">
        <v>1.0037284271901226</v>
      </c>
      <c r="K173" s="1979">
        <v>1.0087568640961355</v>
      </c>
      <c r="L173" s="1979">
        <v>1.0037284271901226</v>
      </c>
      <c r="M173" s="1979">
        <v>1.0087568640961355</v>
      </c>
      <c r="N173" s="2000">
        <v>1.0894512890401353</v>
      </c>
      <c r="O173" s="1998">
        <v>1.1107408416876123</v>
      </c>
      <c r="P173" s="1998">
        <v>1.0894512890401353</v>
      </c>
      <c r="Q173" s="1998">
        <v>1.1107408416876123</v>
      </c>
      <c r="R173" s="1998">
        <v>1.0894512890401353</v>
      </c>
      <c r="S173" s="1998">
        <v>1.1107408416876123</v>
      </c>
      <c r="T173" s="1998">
        <v>1.0894512890401353</v>
      </c>
      <c r="U173" s="1998">
        <v>1.1107408416876123</v>
      </c>
      <c r="V173" s="1998">
        <v>1.0894512890401353</v>
      </c>
      <c r="W173" s="1998">
        <v>1.1107408416876123</v>
      </c>
      <c r="X173" s="1999">
        <v>1.0295778995690765</v>
      </c>
      <c r="Y173" s="1979">
        <v>1.0318016553482365</v>
      </c>
      <c r="Z173" s="1979">
        <v>1.0295778995690765</v>
      </c>
      <c r="AA173" s="1979">
        <v>1.0318016553482365</v>
      </c>
      <c r="AB173" s="1979">
        <v>1.0295778995690765</v>
      </c>
      <c r="AC173" s="1979">
        <v>1.0318016553482365</v>
      </c>
      <c r="AD173" s="1979">
        <v>1.0295778995690765</v>
      </c>
      <c r="AE173" s="1979">
        <v>1.0318016553482365</v>
      </c>
      <c r="AF173" s="1979">
        <v>1.0295778995690765</v>
      </c>
      <c r="AG173" s="1979">
        <v>1.0318016553482365</v>
      </c>
      <c r="AH173" s="2000">
        <v>1.0533832520931459</v>
      </c>
      <c r="AI173" s="1998">
        <v>1.067974371517304</v>
      </c>
      <c r="AJ173" s="1998">
        <v>1.0533832520931459</v>
      </c>
      <c r="AK173" s="1998">
        <v>1.067974371517304</v>
      </c>
      <c r="AL173" s="1998">
        <v>1.0533832520931459</v>
      </c>
      <c r="AM173" s="1998">
        <v>1.067974371517304</v>
      </c>
      <c r="AN173" s="1998">
        <v>1.0533832520931459</v>
      </c>
      <c r="AO173" s="1998">
        <v>1.067974371517304</v>
      </c>
      <c r="AP173" s="1998">
        <v>1.0533832520931459</v>
      </c>
      <c r="AQ173" s="1998">
        <v>1.067974371517304</v>
      </c>
      <c r="AR173" s="1999">
        <v>1.039289947166973</v>
      </c>
      <c r="AS173" s="1979">
        <v>1.0496507916186171</v>
      </c>
      <c r="AT173" s="1979">
        <v>1.039289947166973</v>
      </c>
      <c r="AU173" s="1979">
        <v>1.0496507916186171</v>
      </c>
      <c r="AV173" s="1979">
        <v>1.039289947166973</v>
      </c>
      <c r="AW173" s="1979">
        <v>1.0496507916186171</v>
      </c>
      <c r="AX173" s="1979">
        <v>1.039289947166973</v>
      </c>
      <c r="AY173" s="1979">
        <v>1.0496507916186171</v>
      </c>
      <c r="AZ173" s="1979">
        <v>1.039289947166973</v>
      </c>
      <c r="BA173" s="1979">
        <v>1.0496507916186171</v>
      </c>
      <c r="BB173" s="2000">
        <v>1.5261615238954289</v>
      </c>
      <c r="BC173" s="1998">
        <v>1.5848385303742931</v>
      </c>
      <c r="BD173" s="1998">
        <v>1.5261615238954289</v>
      </c>
      <c r="BE173" s="1998">
        <v>1.5848385303742931</v>
      </c>
      <c r="BF173" s="1998">
        <v>1.5261615238954289</v>
      </c>
      <c r="BG173" s="1998">
        <v>1.5848385303742931</v>
      </c>
      <c r="BH173" s="1998">
        <v>1.5261615238954289</v>
      </c>
      <c r="BI173" s="1998">
        <v>1.5848385303742931</v>
      </c>
      <c r="BJ173" s="1998">
        <v>1.5261615238954289</v>
      </c>
      <c r="BK173" s="1998">
        <v>1.5848385303742931</v>
      </c>
      <c r="BL173" s="1999">
        <v>1.0778025639420794</v>
      </c>
      <c r="BM173" s="1979">
        <v>1.0946488124368183</v>
      </c>
      <c r="BN173" s="1979">
        <v>1.0778025639420794</v>
      </c>
      <c r="BO173" s="1979">
        <v>1.0946488124368183</v>
      </c>
      <c r="BP173" s="1979">
        <v>1.0778025639420794</v>
      </c>
      <c r="BQ173" s="1979">
        <v>1.0946488124368183</v>
      </c>
      <c r="BR173" s="1979">
        <v>1.0778025639420794</v>
      </c>
      <c r="BS173" s="1979">
        <v>1.0946488124368183</v>
      </c>
      <c r="BT173" s="1979">
        <v>1.0778025639420794</v>
      </c>
      <c r="BU173" s="1979">
        <v>1.0946488124368183</v>
      </c>
      <c r="BV173" s="2000">
        <v>1.0535791179273823</v>
      </c>
      <c r="BW173" s="1998">
        <v>1.0694625588478481</v>
      </c>
      <c r="BX173" s="1998">
        <v>1.0535791179273823</v>
      </c>
      <c r="BY173" s="1998">
        <v>1.0694625588478481</v>
      </c>
      <c r="BZ173" s="1998">
        <v>1.0535791179273823</v>
      </c>
      <c r="CA173" s="1998">
        <v>1.0694625588478481</v>
      </c>
      <c r="CB173" s="1998">
        <v>1.0535791179273823</v>
      </c>
      <c r="CC173" s="1998">
        <v>1.0694625588478481</v>
      </c>
      <c r="CD173" s="1998">
        <v>1.0535791179273823</v>
      </c>
      <c r="CE173" s="1998">
        <v>1.0694625588478481</v>
      </c>
      <c r="CF173" s="1999">
        <v>1.0871829301334257</v>
      </c>
      <c r="CG173" s="1979">
        <v>1.1133617122870485</v>
      </c>
      <c r="CH173" s="1979">
        <v>1.0871829301334257</v>
      </c>
      <c r="CI173" s="1979">
        <v>1.1133617122870485</v>
      </c>
      <c r="CJ173" s="1979">
        <v>1.0871829301334257</v>
      </c>
      <c r="CK173" s="1979">
        <v>1.1133617122870485</v>
      </c>
      <c r="CL173" s="1979">
        <v>1.0871829301334257</v>
      </c>
      <c r="CM173" s="1979">
        <v>1.1133617122870485</v>
      </c>
      <c r="CN173" s="1979">
        <v>1.0871829301334257</v>
      </c>
      <c r="CO173" s="1979">
        <v>1.1133617122870485</v>
      </c>
      <c r="CP173" s="2000">
        <v>1.0914995847304267</v>
      </c>
      <c r="CQ173" s="1998">
        <v>1.1187008242811434</v>
      </c>
      <c r="CR173" s="1998">
        <v>1.0914995847304267</v>
      </c>
      <c r="CS173" s="1998">
        <v>1.1187008242811434</v>
      </c>
      <c r="CT173" s="1998">
        <v>1.0914995847304267</v>
      </c>
      <c r="CU173" s="1998">
        <v>1.1187008242811434</v>
      </c>
      <c r="CV173" s="1998">
        <v>1.0914995847304267</v>
      </c>
      <c r="CW173" s="1998">
        <v>1.1187008242811434</v>
      </c>
      <c r="CX173" s="1998">
        <v>1.0914995847304267</v>
      </c>
      <c r="CY173" s="1998">
        <v>1.1187008242811434</v>
      </c>
      <c r="CZ173" s="1999">
        <v>1.1497053883517772</v>
      </c>
      <c r="DA173" s="1979">
        <v>1.1924019911737775</v>
      </c>
      <c r="DB173" s="1979">
        <v>1.1497053883517772</v>
      </c>
      <c r="DC173" s="1979">
        <v>1.1924019911737775</v>
      </c>
      <c r="DD173" s="1979">
        <v>1.1497053883517772</v>
      </c>
      <c r="DE173" s="1979">
        <v>1.1924019911737775</v>
      </c>
      <c r="DF173" s="1979">
        <v>1.1497053883517772</v>
      </c>
      <c r="DG173" s="1979">
        <v>1.1924019911737775</v>
      </c>
      <c r="DH173" s="1979">
        <v>1.1497053883517772</v>
      </c>
      <c r="DI173" s="1979">
        <v>1.1924019911737775</v>
      </c>
      <c r="DJ173" s="2000">
        <v>1.1322726865155595</v>
      </c>
      <c r="DK173" s="1998">
        <v>1.1721502146557041</v>
      </c>
      <c r="DL173" s="1998">
        <v>1.1322726865155595</v>
      </c>
      <c r="DM173" s="1998">
        <v>1.1721502146557041</v>
      </c>
      <c r="DN173" s="1998">
        <v>1.1322726865155595</v>
      </c>
      <c r="DO173" s="1998">
        <v>1.1721502146557041</v>
      </c>
      <c r="DP173" s="1998">
        <v>1.1322726865155595</v>
      </c>
      <c r="DQ173" s="1998">
        <v>1.1721502146557041</v>
      </c>
      <c r="DR173" s="1998">
        <v>1.1322726865155595</v>
      </c>
      <c r="DS173" s="1998">
        <v>1.1721502146557041</v>
      </c>
      <c r="GQ173" s="1997"/>
      <c r="GT173" s="1980"/>
      <c r="GU173" s="1980"/>
      <c r="GV173" s="1980"/>
      <c r="GW173" s="1980"/>
      <c r="GX173" s="1980"/>
      <c r="GY173" s="1980"/>
      <c r="GZ173" s="1980"/>
      <c r="HA173" s="1980"/>
      <c r="HB173" s="1980"/>
      <c r="HC173" s="1980"/>
      <c r="HD173" s="1980"/>
      <c r="HE173" s="1980"/>
      <c r="HF173" s="1980"/>
      <c r="HG173" s="1980"/>
      <c r="HH173" s="1980"/>
      <c r="HI173" s="1980"/>
      <c r="HJ173" s="1980"/>
      <c r="HK173" s="1980"/>
      <c r="HL173" s="1980"/>
      <c r="HM173" s="1980"/>
      <c r="HN173" s="1980"/>
      <c r="HO173" s="1980"/>
      <c r="HP173" s="1980"/>
      <c r="HQ173" s="1980"/>
      <c r="HR173" s="1980"/>
      <c r="HS173" s="1980"/>
      <c r="HT173" s="1980"/>
      <c r="HU173" s="1980"/>
      <c r="HV173" s="1980"/>
      <c r="HW173" s="1980"/>
      <c r="HX173" s="1980"/>
      <c r="HY173" s="1980"/>
      <c r="HZ173" s="1980"/>
      <c r="IA173" s="1980"/>
      <c r="IB173" s="1980"/>
      <c r="IC173" s="1980"/>
      <c r="ID173" s="1980"/>
      <c r="IE173" s="1980"/>
      <c r="IF173" s="1980"/>
      <c r="IG173" s="1980"/>
      <c r="IH173" s="1980"/>
      <c r="II173" s="1980"/>
      <c r="IJ173" s="1980"/>
      <c r="IK173" s="1980"/>
      <c r="IL173" s="1980"/>
      <c r="IM173" s="1980"/>
      <c r="IN173" s="1980"/>
      <c r="IO173" s="1980"/>
      <c r="IP173" s="1980"/>
      <c r="IQ173" s="1980"/>
      <c r="IR173" s="1980"/>
      <c r="IS173" s="1980"/>
      <c r="IT173" s="1980"/>
      <c r="IU173" s="1980"/>
      <c r="IV173" s="1980"/>
      <c r="IW173" s="1980"/>
      <c r="IX173" s="1980"/>
      <c r="IY173" s="1980"/>
      <c r="IZ173" s="1980"/>
      <c r="JA173" s="1980"/>
      <c r="JB173" s="1980"/>
      <c r="JC173" s="1980"/>
      <c r="JD173" s="1980"/>
      <c r="JE173" s="1980"/>
      <c r="JF173" s="1980"/>
      <c r="JG173" s="1980"/>
      <c r="JH173" s="1980"/>
      <c r="JI173" s="1980"/>
      <c r="JJ173" s="1980"/>
      <c r="JK173" s="1980"/>
      <c r="JL173" s="1980"/>
      <c r="JM173" s="1980"/>
      <c r="JN173" s="1980"/>
      <c r="JO173" s="1980"/>
      <c r="JP173" s="1980"/>
      <c r="JQ173" s="1980"/>
      <c r="JR173" s="1980"/>
      <c r="JS173" s="1980"/>
      <c r="JT173" s="1980"/>
      <c r="JU173" s="1980"/>
      <c r="JV173" s="1980"/>
      <c r="JW173" s="1980"/>
      <c r="JX173" s="1980"/>
      <c r="JY173" s="1980"/>
      <c r="JZ173" s="1980"/>
      <c r="KA173" s="1980"/>
      <c r="KB173" s="1980"/>
      <c r="KC173" s="1980"/>
      <c r="KD173" s="1980"/>
      <c r="KE173" s="1980"/>
      <c r="KF173" s="1980"/>
      <c r="KG173" s="1980"/>
      <c r="KH173" s="1980"/>
      <c r="KI173" s="1980"/>
      <c r="KJ173" s="1980"/>
      <c r="KK173" s="1980"/>
    </row>
    <row r="174" spans="1:297">
      <c r="A174" s="1997"/>
      <c r="B174" s="2">
        <v>32</v>
      </c>
      <c r="C174" s="2" t="str">
        <f>AD$16</f>
        <v>Colonnes ballastées</v>
      </c>
      <c r="D174" s="1979">
        <v>0.97125110674546655</v>
      </c>
      <c r="E174" s="1979">
        <v>0.96679150843935979</v>
      </c>
      <c r="F174" s="1979">
        <v>0.97125110674546655</v>
      </c>
      <c r="G174" s="1979">
        <v>0.96679150843935979</v>
      </c>
      <c r="H174" s="1979">
        <v>0.97125110674546655</v>
      </c>
      <c r="I174" s="1979">
        <v>0.96679150843935979</v>
      </c>
      <c r="J174" s="1979">
        <v>0.97125110674546655</v>
      </c>
      <c r="K174" s="1979">
        <v>0.96679150843935979</v>
      </c>
      <c r="L174" s="1979">
        <v>0.97125110674546655</v>
      </c>
      <c r="M174" s="1979">
        <v>0.96679150843935979</v>
      </c>
      <c r="N174" s="2000">
        <v>1.0087543390101477</v>
      </c>
      <c r="O174" s="1998">
        <v>1.006605492030636</v>
      </c>
      <c r="P174" s="1998">
        <v>1.0087543390101477</v>
      </c>
      <c r="Q174" s="1998">
        <v>1.006605492030636</v>
      </c>
      <c r="R174" s="1998">
        <v>1.0087543390101477</v>
      </c>
      <c r="S174" s="1998">
        <v>1.006605492030636</v>
      </c>
      <c r="T174" s="1998">
        <v>1.0087543390101477</v>
      </c>
      <c r="U174" s="1998">
        <v>1.006605492030636</v>
      </c>
      <c r="V174" s="1998">
        <v>1.0087543390101477</v>
      </c>
      <c r="W174" s="1998">
        <v>1.006605492030636</v>
      </c>
      <c r="X174" s="1999">
        <v>1.0028947035063922</v>
      </c>
      <c r="Y174" s="1979">
        <v>0.99678634951156475</v>
      </c>
      <c r="Z174" s="1979">
        <v>1.0028947035063922</v>
      </c>
      <c r="AA174" s="1979">
        <v>0.99678634951156475</v>
      </c>
      <c r="AB174" s="1979">
        <v>1.0028947035063922</v>
      </c>
      <c r="AC174" s="1979">
        <v>0.99678634951156475</v>
      </c>
      <c r="AD174" s="1979">
        <v>1.0028947035063922</v>
      </c>
      <c r="AE174" s="1979">
        <v>0.99678634951156475</v>
      </c>
      <c r="AF174" s="1979">
        <v>1.0028947035063922</v>
      </c>
      <c r="AG174" s="1979">
        <v>0.99678634951156475</v>
      </c>
      <c r="AH174" s="2000">
        <v>1.0052244645247972</v>
      </c>
      <c r="AI174" s="1998">
        <v>1.0040545490038051</v>
      </c>
      <c r="AJ174" s="1998">
        <v>1.0052244645247972</v>
      </c>
      <c r="AK174" s="1998">
        <v>1.0040545490038051</v>
      </c>
      <c r="AL174" s="1998">
        <v>1.0052244645247972</v>
      </c>
      <c r="AM174" s="1998">
        <v>1.0040545490038051</v>
      </c>
      <c r="AN174" s="1998">
        <v>1.0052244645247972</v>
      </c>
      <c r="AO174" s="1998">
        <v>1.0040545490038051</v>
      </c>
      <c r="AP174" s="1998">
        <v>1.0052244645247972</v>
      </c>
      <c r="AQ174" s="1998">
        <v>1.0040545490038051</v>
      </c>
      <c r="AR174" s="1999">
        <v>1.0038451935224337</v>
      </c>
      <c r="AS174" s="1979">
        <v>1.002961580419234</v>
      </c>
      <c r="AT174" s="1979">
        <v>1.0038451935224337</v>
      </c>
      <c r="AU174" s="1979">
        <v>1.002961580419234</v>
      </c>
      <c r="AV174" s="1979">
        <v>1.0038451935224337</v>
      </c>
      <c r="AW174" s="1979">
        <v>1.002961580419234</v>
      </c>
      <c r="AX174" s="1979">
        <v>1.0038451935224337</v>
      </c>
      <c r="AY174" s="1979">
        <v>1.002961580419234</v>
      </c>
      <c r="AZ174" s="1979">
        <v>1.0038451935224337</v>
      </c>
      <c r="BA174" s="1979">
        <v>1.002961580419234</v>
      </c>
      <c r="BB174" s="2000">
        <v>1.338396072976588</v>
      </c>
      <c r="BC174" s="1998">
        <v>1.3460080808548507</v>
      </c>
      <c r="BD174" s="1998">
        <v>1.338396072976588</v>
      </c>
      <c r="BE174" s="1998">
        <v>1.3460080808548507</v>
      </c>
      <c r="BF174" s="1998">
        <v>1.338396072976588</v>
      </c>
      <c r="BG174" s="1998">
        <v>1.3460080808548507</v>
      </c>
      <c r="BH174" s="1998">
        <v>1.338396072976588</v>
      </c>
      <c r="BI174" s="1998">
        <v>1.3460080808548507</v>
      </c>
      <c r="BJ174" s="1998">
        <v>1.338396072976588</v>
      </c>
      <c r="BK174" s="1998">
        <v>1.3460080808548507</v>
      </c>
      <c r="BL174" s="1999">
        <v>1.0076143119670644</v>
      </c>
      <c r="BM174" s="1979">
        <v>1.0056456314285942</v>
      </c>
      <c r="BN174" s="1979">
        <v>1.0076143119670644</v>
      </c>
      <c r="BO174" s="1979">
        <v>1.0056456314285942</v>
      </c>
      <c r="BP174" s="1979">
        <v>1.0076143119670644</v>
      </c>
      <c r="BQ174" s="1979">
        <v>1.0056456314285942</v>
      </c>
      <c r="BR174" s="1979">
        <v>1.0076143119670644</v>
      </c>
      <c r="BS174" s="1979">
        <v>1.0056456314285942</v>
      </c>
      <c r="BT174" s="1979">
        <v>1.0076143119670644</v>
      </c>
      <c r="BU174" s="1979">
        <v>1.0056456314285942</v>
      </c>
      <c r="BV174" s="2000">
        <v>1.0052436333476482</v>
      </c>
      <c r="BW174" s="1998">
        <v>1.0041433167014511</v>
      </c>
      <c r="BX174" s="1998">
        <v>1.0052436333476482</v>
      </c>
      <c r="BY174" s="1998">
        <v>1.0041433167014511</v>
      </c>
      <c r="BZ174" s="1998">
        <v>1.0052436333476482</v>
      </c>
      <c r="CA174" s="1998">
        <v>1.0041433167014511</v>
      </c>
      <c r="CB174" s="1998">
        <v>1.0052436333476482</v>
      </c>
      <c r="CC174" s="1998">
        <v>1.0041433167014511</v>
      </c>
      <c r="CD174" s="1998">
        <v>1.0052436333476482</v>
      </c>
      <c r="CE174" s="1998">
        <v>1.0041433167014511</v>
      </c>
      <c r="CF174" s="1999">
        <v>1.0085323412829028</v>
      </c>
      <c r="CG174" s="1979">
        <v>1.0067618222480523</v>
      </c>
      <c r="CH174" s="1979">
        <v>1.0085323412829028</v>
      </c>
      <c r="CI174" s="1979">
        <v>1.0067618222480523</v>
      </c>
      <c r="CJ174" s="1979">
        <v>1.0085323412829028</v>
      </c>
      <c r="CK174" s="1979">
        <v>1.0067618222480523</v>
      </c>
      <c r="CL174" s="1979">
        <v>1.0085323412829028</v>
      </c>
      <c r="CM174" s="1979">
        <v>1.0067618222480523</v>
      </c>
      <c r="CN174" s="1979">
        <v>1.0085323412829028</v>
      </c>
      <c r="CO174" s="1979">
        <v>1.0067618222480523</v>
      </c>
      <c r="CP174" s="2000">
        <v>1.0089547997867139</v>
      </c>
      <c r="CQ174" s="1998">
        <v>1.0070802906756915</v>
      </c>
      <c r="CR174" s="1998">
        <v>1.0089547997867139</v>
      </c>
      <c r="CS174" s="1998">
        <v>1.0070802906756915</v>
      </c>
      <c r="CT174" s="1998">
        <v>1.0089547997867139</v>
      </c>
      <c r="CU174" s="1998">
        <v>1.0070802906756915</v>
      </c>
      <c r="CV174" s="1998">
        <v>1.0089547997867139</v>
      </c>
      <c r="CW174" s="1998">
        <v>1.0070802906756915</v>
      </c>
      <c r="CX174" s="1998">
        <v>1.0089547997867139</v>
      </c>
      <c r="CY174" s="1998">
        <v>1.0070802906756915</v>
      </c>
      <c r="CZ174" s="1999">
        <v>1.0146512334851789</v>
      </c>
      <c r="DA174" s="1979">
        <v>1.011476432723547</v>
      </c>
      <c r="DB174" s="1979">
        <v>1.0146512334851789</v>
      </c>
      <c r="DC174" s="1979">
        <v>1.011476432723547</v>
      </c>
      <c r="DD174" s="1979">
        <v>1.0146512334851789</v>
      </c>
      <c r="DE174" s="1979">
        <v>1.011476432723547</v>
      </c>
      <c r="DF174" s="1979">
        <v>1.0146512334851789</v>
      </c>
      <c r="DG174" s="1979">
        <v>1.011476432723547</v>
      </c>
      <c r="DH174" s="1979">
        <v>1.0146512334851789</v>
      </c>
      <c r="DI174" s="1979">
        <v>1.011476432723547</v>
      </c>
      <c r="DJ174" s="2000">
        <v>1.0131662294746078</v>
      </c>
      <c r="DK174" s="1998">
        <v>1.0104237253012045</v>
      </c>
      <c r="DL174" s="1998">
        <v>1.0131662294746078</v>
      </c>
      <c r="DM174" s="1998">
        <v>1.0104237253012045</v>
      </c>
      <c r="DN174" s="1998">
        <v>1.0131662294746078</v>
      </c>
      <c r="DO174" s="1998">
        <v>1.0104237253012045</v>
      </c>
      <c r="DP174" s="1998">
        <v>1.0131662294746078</v>
      </c>
      <c r="DQ174" s="1998">
        <v>1.0104237253012045</v>
      </c>
      <c r="DR174" s="1998">
        <v>1.0131662294746078</v>
      </c>
      <c r="DS174" s="1998">
        <v>1.0104237253012045</v>
      </c>
      <c r="GQ174" s="1997"/>
      <c r="GT174" s="1980"/>
      <c r="GU174" s="1980"/>
      <c r="GV174" s="1980"/>
      <c r="GW174" s="1980"/>
      <c r="GX174" s="1980"/>
      <c r="GY174" s="1980"/>
      <c r="GZ174" s="1980"/>
      <c r="HA174" s="1980"/>
      <c r="HB174" s="1980"/>
      <c r="HC174" s="1980"/>
      <c r="HD174" s="1980"/>
      <c r="HE174" s="1980"/>
      <c r="HF174" s="1980"/>
      <c r="HG174" s="1980"/>
      <c r="HH174" s="1980"/>
      <c r="HI174" s="1980"/>
      <c r="HJ174" s="1980"/>
      <c r="HK174" s="1980"/>
      <c r="HL174" s="1980"/>
      <c r="HM174" s="1980"/>
      <c r="HN174" s="1980"/>
      <c r="HO174" s="1980"/>
      <c r="HP174" s="1980"/>
      <c r="HQ174" s="1980"/>
      <c r="HR174" s="1980"/>
      <c r="HS174" s="1980"/>
      <c r="HT174" s="1980"/>
      <c r="HU174" s="1980"/>
      <c r="HV174" s="1980"/>
      <c r="HW174" s="1980"/>
      <c r="HX174" s="1980"/>
      <c r="HY174" s="1980"/>
      <c r="HZ174" s="1980"/>
      <c r="IA174" s="1980"/>
      <c r="IB174" s="1980"/>
      <c r="IC174" s="1980"/>
      <c r="ID174" s="1980"/>
      <c r="IE174" s="1980"/>
      <c r="IF174" s="1980"/>
      <c r="IG174" s="1980"/>
      <c r="IH174" s="1980"/>
      <c r="II174" s="1980"/>
      <c r="IJ174" s="1980"/>
      <c r="IK174" s="1980"/>
      <c r="IL174" s="1980"/>
      <c r="IM174" s="1980"/>
      <c r="IN174" s="1980"/>
      <c r="IO174" s="1980"/>
      <c r="IP174" s="1980"/>
      <c r="IQ174" s="1980"/>
      <c r="IR174" s="1980"/>
      <c r="IS174" s="1980"/>
      <c r="IT174" s="1980"/>
      <c r="IU174" s="1980"/>
      <c r="IV174" s="1980"/>
      <c r="IW174" s="1980"/>
      <c r="IX174" s="1980"/>
      <c r="IY174" s="1980"/>
      <c r="IZ174" s="1980"/>
      <c r="JA174" s="1980"/>
      <c r="JB174" s="1980"/>
      <c r="JC174" s="1980"/>
      <c r="JD174" s="1980"/>
      <c r="JE174" s="1980"/>
      <c r="JF174" s="1980"/>
      <c r="JG174" s="1980"/>
      <c r="JH174" s="1980"/>
      <c r="JI174" s="1980"/>
      <c r="JJ174" s="1980"/>
      <c r="JK174" s="1980"/>
      <c r="JL174" s="1980"/>
      <c r="JM174" s="1980"/>
      <c r="JN174" s="1980"/>
      <c r="JO174" s="1980"/>
      <c r="JP174" s="1980"/>
      <c r="JQ174" s="1980"/>
      <c r="JR174" s="1980"/>
      <c r="JS174" s="1980"/>
      <c r="JT174" s="1980"/>
      <c r="JU174" s="1980"/>
      <c r="JV174" s="1980"/>
      <c r="JW174" s="1980"/>
      <c r="JX174" s="1980"/>
      <c r="JY174" s="1980"/>
      <c r="JZ174" s="1980"/>
      <c r="KA174" s="1980"/>
      <c r="KB174" s="1980"/>
      <c r="KC174" s="1980"/>
      <c r="KD174" s="1980"/>
      <c r="KE174" s="1980"/>
      <c r="KF174" s="1980"/>
      <c r="KG174" s="1980"/>
      <c r="KH174" s="1980"/>
      <c r="KI174" s="1980"/>
      <c r="KJ174" s="1980"/>
      <c r="KK174" s="1980"/>
    </row>
    <row r="175" spans="1:297">
      <c r="A175" s="1997"/>
      <c r="B175" s="2">
        <v>33</v>
      </c>
      <c r="C175" s="2" t="str">
        <f>AD$17</f>
        <v>Pieu en béton préfabriqué (battus)</v>
      </c>
      <c r="D175" s="1979">
        <v>0.97582476936753082</v>
      </c>
      <c r="E175" s="1979">
        <v>0.97696278685316518</v>
      </c>
      <c r="F175" s="1979">
        <v>0.97582476936753082</v>
      </c>
      <c r="G175" s="1979">
        <v>0.97696278685316518</v>
      </c>
      <c r="H175" s="1979">
        <v>0.97582476936753082</v>
      </c>
      <c r="I175" s="1979">
        <v>0.97696278685316518</v>
      </c>
      <c r="J175" s="1979">
        <v>0.97582476936753082</v>
      </c>
      <c r="K175" s="1979">
        <v>0.97696278685316518</v>
      </c>
      <c r="L175" s="1979">
        <v>0.97582476936753082</v>
      </c>
      <c r="M175" s="1979">
        <v>0.97696278685316518</v>
      </c>
      <c r="N175" s="2000">
        <v>1.0201185962522339</v>
      </c>
      <c r="O175" s="1998">
        <v>1.031845112129246</v>
      </c>
      <c r="P175" s="1998">
        <v>1.0201185962522339</v>
      </c>
      <c r="Q175" s="1998">
        <v>1.031845112129246</v>
      </c>
      <c r="R175" s="1998">
        <v>1.0201185962522339</v>
      </c>
      <c r="S175" s="1998">
        <v>1.031845112129246</v>
      </c>
      <c r="T175" s="1998">
        <v>1.0201185962522339</v>
      </c>
      <c r="U175" s="1998">
        <v>1.031845112129246</v>
      </c>
      <c r="V175" s="1998">
        <v>1.0201185962522339</v>
      </c>
      <c r="W175" s="1998">
        <v>1.031845112129246</v>
      </c>
      <c r="X175" s="1999">
        <v>1.0066524007178073</v>
      </c>
      <c r="Y175" s="1979">
        <v>1.0052731219655431</v>
      </c>
      <c r="Z175" s="1979">
        <v>1.0066524007178073</v>
      </c>
      <c r="AA175" s="1979">
        <v>1.0052731219655431</v>
      </c>
      <c r="AB175" s="1979">
        <v>1.0066524007178073</v>
      </c>
      <c r="AC175" s="1979">
        <v>1.0052731219655431</v>
      </c>
      <c r="AD175" s="1979">
        <v>1.0066524007178073</v>
      </c>
      <c r="AE175" s="1979">
        <v>1.0052731219655431</v>
      </c>
      <c r="AF175" s="1979">
        <v>1.0066524007178073</v>
      </c>
      <c r="AG175" s="1979">
        <v>1.0052731219655431</v>
      </c>
      <c r="AH175" s="2000">
        <v>1.0120064909854047</v>
      </c>
      <c r="AI175" s="1998">
        <v>1.0195470022612778</v>
      </c>
      <c r="AJ175" s="1998">
        <v>1.0120064909854047</v>
      </c>
      <c r="AK175" s="1998">
        <v>1.0195470022612778</v>
      </c>
      <c r="AL175" s="1998">
        <v>1.0120064909854047</v>
      </c>
      <c r="AM175" s="1998">
        <v>1.0195470022612778</v>
      </c>
      <c r="AN175" s="1998">
        <v>1.0120064909854047</v>
      </c>
      <c r="AO175" s="1998">
        <v>1.0195470022612778</v>
      </c>
      <c r="AP175" s="1998">
        <v>1.0120064909854047</v>
      </c>
      <c r="AQ175" s="1998">
        <v>1.0195470022612778</v>
      </c>
      <c r="AR175" s="1999">
        <v>1.0088367489424246</v>
      </c>
      <c r="AS175" s="1979">
        <v>1.0142777949156363</v>
      </c>
      <c r="AT175" s="1979">
        <v>1.0088367489424246</v>
      </c>
      <c r="AU175" s="1979">
        <v>1.0142777949156363</v>
      </c>
      <c r="AV175" s="1979">
        <v>1.0088367489424246</v>
      </c>
      <c r="AW175" s="1979">
        <v>1.0142777949156363</v>
      </c>
      <c r="AX175" s="1979">
        <v>1.0088367489424246</v>
      </c>
      <c r="AY175" s="1979">
        <v>1.0142777949156363</v>
      </c>
      <c r="AZ175" s="1979">
        <v>1.0088367489424246</v>
      </c>
      <c r="BA175" s="1979">
        <v>1.0142777949156363</v>
      </c>
      <c r="BB175" s="2000">
        <v>1.3648383968144167</v>
      </c>
      <c r="BC175" s="1998">
        <v>1.4038941861371332</v>
      </c>
      <c r="BD175" s="1998">
        <v>1.3648383968144167</v>
      </c>
      <c r="BE175" s="1998">
        <v>1.4038941861371332</v>
      </c>
      <c r="BF175" s="1998">
        <v>1.3648383968144167</v>
      </c>
      <c r="BG175" s="1998">
        <v>1.4038941861371332</v>
      </c>
      <c r="BH175" s="1998">
        <v>1.3648383968144167</v>
      </c>
      <c r="BI175" s="1998">
        <v>1.4038941861371332</v>
      </c>
      <c r="BJ175" s="1998">
        <v>1.3648383968144167</v>
      </c>
      <c r="BK175" s="1998">
        <v>1.4038941861371332</v>
      </c>
      <c r="BL175" s="1999">
        <v>1.0174986675780264</v>
      </c>
      <c r="BM175" s="1979">
        <v>1.027217619073665</v>
      </c>
      <c r="BN175" s="1979">
        <v>1.0174986675780264</v>
      </c>
      <c r="BO175" s="1979">
        <v>1.027217619073665</v>
      </c>
      <c r="BP175" s="1979">
        <v>1.0174986675780264</v>
      </c>
      <c r="BQ175" s="1979">
        <v>1.027217619073665</v>
      </c>
      <c r="BR175" s="1979">
        <v>1.0174986675780264</v>
      </c>
      <c r="BS175" s="1979">
        <v>1.027217619073665</v>
      </c>
      <c r="BT175" s="1979">
        <v>1.0174986675780264</v>
      </c>
      <c r="BU175" s="1979">
        <v>1.027217619073665</v>
      </c>
      <c r="BV175" s="2000">
        <v>1.0120505434041112</v>
      </c>
      <c r="BW175" s="1998">
        <v>1.019974951802642</v>
      </c>
      <c r="BX175" s="1998">
        <v>1.0120505434041112</v>
      </c>
      <c r="BY175" s="1998">
        <v>1.019974951802642</v>
      </c>
      <c r="BZ175" s="1998">
        <v>1.0120505434041112</v>
      </c>
      <c r="CA175" s="1998">
        <v>1.019974951802642</v>
      </c>
      <c r="CB175" s="1998">
        <v>1.0120505434041112</v>
      </c>
      <c r="CC175" s="1998">
        <v>1.019974951802642</v>
      </c>
      <c r="CD175" s="1998">
        <v>1.0120505434041112</v>
      </c>
      <c r="CE175" s="1998">
        <v>1.019974951802642</v>
      </c>
      <c r="CF175" s="1999">
        <v>1.0196084169413604</v>
      </c>
      <c r="CG175" s="1979">
        <v>1.0325987809369181</v>
      </c>
      <c r="CH175" s="1979">
        <v>1.0196084169413604</v>
      </c>
      <c r="CI175" s="1979">
        <v>1.0325987809369181</v>
      </c>
      <c r="CJ175" s="1979">
        <v>1.0196084169413604</v>
      </c>
      <c r="CK175" s="1979">
        <v>1.0325987809369181</v>
      </c>
      <c r="CL175" s="1979">
        <v>1.0196084169413604</v>
      </c>
      <c r="CM175" s="1979">
        <v>1.0325987809369181</v>
      </c>
      <c r="CN175" s="1979">
        <v>1.0196084169413604</v>
      </c>
      <c r="CO175" s="1979">
        <v>1.0325987809369181</v>
      </c>
      <c r="CP175" s="2000">
        <v>1.0205792808822751</v>
      </c>
      <c r="CQ175" s="1998">
        <v>1.0341341189163979</v>
      </c>
      <c r="CR175" s="1998">
        <v>1.0205792808822751</v>
      </c>
      <c r="CS175" s="1998">
        <v>1.0341341189163979</v>
      </c>
      <c r="CT175" s="1998">
        <v>1.0205792808822751</v>
      </c>
      <c r="CU175" s="1998">
        <v>1.0341341189163979</v>
      </c>
      <c r="CV175" s="1998">
        <v>1.0205792808822751</v>
      </c>
      <c r="CW175" s="1998">
        <v>1.0341341189163979</v>
      </c>
      <c r="CX175" s="1998">
        <v>1.0205792808822751</v>
      </c>
      <c r="CY175" s="1998">
        <v>1.0341341189163979</v>
      </c>
      <c r="CZ175" s="1999">
        <v>1.0336704176915985</v>
      </c>
      <c r="DA175" s="1979">
        <v>1.0553279430555793</v>
      </c>
      <c r="DB175" s="1979">
        <v>1.0336704176915985</v>
      </c>
      <c r="DC175" s="1979">
        <v>1.0553279430555793</v>
      </c>
      <c r="DD175" s="1979">
        <v>1.0336704176915985</v>
      </c>
      <c r="DE175" s="1979">
        <v>1.0553279430555793</v>
      </c>
      <c r="DF175" s="1979">
        <v>1.0336704176915985</v>
      </c>
      <c r="DG175" s="1979">
        <v>1.0553279430555793</v>
      </c>
      <c r="DH175" s="1979">
        <v>1.0336704176915985</v>
      </c>
      <c r="DI175" s="1979">
        <v>1.0553279430555793</v>
      </c>
      <c r="DJ175" s="2000">
        <v>1.0299395575434369</v>
      </c>
      <c r="DK175" s="1998">
        <v>1.0496218954195684</v>
      </c>
      <c r="DL175" s="1998">
        <v>1.0299395575434369</v>
      </c>
      <c r="DM175" s="1998">
        <v>1.0496218954195684</v>
      </c>
      <c r="DN175" s="1998">
        <v>1.0299395575434369</v>
      </c>
      <c r="DO175" s="1998">
        <v>1.0496218954195684</v>
      </c>
      <c r="DP175" s="1998">
        <v>1.0299395575434369</v>
      </c>
      <c r="DQ175" s="1998">
        <v>1.0496218954195684</v>
      </c>
      <c r="DR175" s="1998">
        <v>1.0299395575434369</v>
      </c>
      <c r="DS175" s="1998">
        <v>1.0496218954195684</v>
      </c>
      <c r="GQ175" s="1997"/>
      <c r="GT175" s="1980"/>
      <c r="GU175" s="1980"/>
      <c r="GV175" s="1980"/>
      <c r="GW175" s="1980"/>
      <c r="GX175" s="1980"/>
      <c r="GY175" s="1980"/>
      <c r="GZ175" s="1980"/>
      <c r="HA175" s="1980"/>
      <c r="HB175" s="1980"/>
      <c r="HC175" s="1980"/>
      <c r="HD175" s="1980"/>
      <c r="HE175" s="1980"/>
      <c r="HF175" s="1980"/>
      <c r="HG175" s="1980"/>
      <c r="HH175" s="1980"/>
      <c r="HI175" s="1980"/>
      <c r="HJ175" s="1980"/>
      <c r="HK175" s="1980"/>
      <c r="HL175" s="1980"/>
      <c r="HM175" s="1980"/>
      <c r="HN175" s="1980"/>
      <c r="HO175" s="1980"/>
      <c r="HP175" s="1980"/>
      <c r="HQ175" s="1980"/>
      <c r="HR175" s="1980"/>
      <c r="HS175" s="1980"/>
      <c r="HT175" s="1980"/>
      <c r="HU175" s="1980"/>
      <c r="HV175" s="1980"/>
      <c r="HW175" s="1980"/>
      <c r="HX175" s="1980"/>
      <c r="HY175" s="1980"/>
      <c r="HZ175" s="1980"/>
      <c r="IA175" s="1980"/>
      <c r="IB175" s="1980"/>
      <c r="IC175" s="1980"/>
      <c r="ID175" s="1980"/>
      <c r="IE175" s="1980"/>
      <c r="IF175" s="1980"/>
      <c r="IG175" s="1980"/>
      <c r="IH175" s="1980"/>
      <c r="II175" s="1980"/>
      <c r="IJ175" s="1980"/>
      <c r="IK175" s="1980"/>
      <c r="IL175" s="1980"/>
      <c r="IM175" s="1980"/>
      <c r="IN175" s="1980"/>
      <c r="IO175" s="1980"/>
      <c r="IP175" s="1980"/>
      <c r="IQ175" s="1980"/>
      <c r="IR175" s="1980"/>
      <c r="IS175" s="1980"/>
      <c r="IT175" s="1980"/>
      <c r="IU175" s="1980"/>
      <c r="IV175" s="1980"/>
      <c r="IW175" s="1980"/>
      <c r="IX175" s="1980"/>
      <c r="IY175" s="1980"/>
      <c r="IZ175" s="1980"/>
      <c r="JA175" s="1980"/>
      <c r="JB175" s="1980"/>
      <c r="JC175" s="1980"/>
      <c r="JD175" s="1980"/>
      <c r="JE175" s="1980"/>
      <c r="JF175" s="1980"/>
      <c r="JG175" s="1980"/>
      <c r="JH175" s="1980"/>
      <c r="JI175" s="1980"/>
      <c r="JJ175" s="1980"/>
      <c r="JK175" s="1980"/>
      <c r="JL175" s="1980"/>
      <c r="JM175" s="1980"/>
      <c r="JN175" s="1980"/>
      <c r="JO175" s="1980"/>
      <c r="JP175" s="1980"/>
      <c r="JQ175" s="1980"/>
      <c r="JR175" s="1980"/>
      <c r="JS175" s="1980"/>
      <c r="JT175" s="1980"/>
      <c r="JU175" s="1980"/>
      <c r="JV175" s="1980"/>
      <c r="JW175" s="1980"/>
      <c r="JX175" s="1980"/>
      <c r="JY175" s="1980"/>
      <c r="JZ175" s="1980"/>
      <c r="KA175" s="1980"/>
      <c r="KB175" s="1980"/>
      <c r="KC175" s="1980"/>
      <c r="KD175" s="1980"/>
      <c r="KE175" s="1980"/>
      <c r="KF175" s="1980"/>
      <c r="KG175" s="1980"/>
      <c r="KH175" s="1980"/>
      <c r="KI175" s="1980"/>
      <c r="KJ175" s="1980"/>
      <c r="KK175" s="1980"/>
    </row>
    <row r="176" spans="1:297">
      <c r="A176" s="1997"/>
      <c r="B176" s="2">
        <v>34</v>
      </c>
      <c r="C176" s="2" t="str">
        <f>AF$13</f>
        <v/>
      </c>
      <c r="D176" s="1979">
        <v>0.96772783265384288</v>
      </c>
      <c r="E176" s="1979">
        <v>0.96412957065102256</v>
      </c>
      <c r="F176" s="1979">
        <v>0.96772783265384288</v>
      </c>
      <c r="G176" s="1979">
        <v>0.96412957065102256</v>
      </c>
      <c r="H176" s="1979">
        <v>0.96772783265384288</v>
      </c>
      <c r="I176" s="1979">
        <v>0.96412957065102256</v>
      </c>
      <c r="J176" s="1979">
        <v>0.96772783265384288</v>
      </c>
      <c r="K176" s="1979">
        <v>0.96412957065102256</v>
      </c>
      <c r="L176" s="1979">
        <v>0.96772783265384288</v>
      </c>
      <c r="M176" s="1979">
        <v>0.96412957065102256</v>
      </c>
      <c r="N176" s="2000">
        <v>1</v>
      </c>
      <c r="O176" s="1998">
        <v>1</v>
      </c>
      <c r="P176" s="1998">
        <v>1</v>
      </c>
      <c r="Q176" s="1998">
        <v>1</v>
      </c>
      <c r="R176" s="1998">
        <v>1</v>
      </c>
      <c r="S176" s="1998">
        <v>1</v>
      </c>
      <c r="T176" s="1998">
        <v>1</v>
      </c>
      <c r="U176" s="1998">
        <v>1</v>
      </c>
      <c r="V176" s="1998">
        <v>1</v>
      </c>
      <c r="W176" s="1998">
        <v>1</v>
      </c>
      <c r="X176" s="1999">
        <v>1</v>
      </c>
      <c r="Y176" s="1979">
        <v>0.99456526585057647</v>
      </c>
      <c r="Z176" s="1979">
        <v>1</v>
      </c>
      <c r="AA176" s="1979">
        <v>0.99456526585057647</v>
      </c>
      <c r="AB176" s="1979">
        <v>1</v>
      </c>
      <c r="AC176" s="1979">
        <v>0.99456526585057647</v>
      </c>
      <c r="AD176" s="1979">
        <v>1</v>
      </c>
      <c r="AE176" s="1979">
        <v>0.99456526585057647</v>
      </c>
      <c r="AF176" s="1979">
        <v>1</v>
      </c>
      <c r="AG176" s="1979">
        <v>0.99456526585057647</v>
      </c>
      <c r="AH176" s="2000">
        <v>1</v>
      </c>
      <c r="AI176" s="1998">
        <v>1</v>
      </c>
      <c r="AJ176" s="1998">
        <v>1</v>
      </c>
      <c r="AK176" s="1998">
        <v>1</v>
      </c>
      <c r="AL176" s="1998">
        <v>1</v>
      </c>
      <c r="AM176" s="1998">
        <v>1</v>
      </c>
      <c r="AN176" s="1998">
        <v>1</v>
      </c>
      <c r="AO176" s="1998">
        <v>1</v>
      </c>
      <c r="AP176" s="1998">
        <v>1</v>
      </c>
      <c r="AQ176" s="1998">
        <v>1</v>
      </c>
      <c r="AR176" s="1999">
        <v>1</v>
      </c>
      <c r="AS176" s="1979">
        <v>1</v>
      </c>
      <c r="AT176" s="1979">
        <v>1</v>
      </c>
      <c r="AU176" s="1979">
        <v>1</v>
      </c>
      <c r="AV176" s="1979">
        <v>1</v>
      </c>
      <c r="AW176" s="1979">
        <v>1</v>
      </c>
      <c r="AX176" s="1979">
        <v>1</v>
      </c>
      <c r="AY176" s="1979">
        <v>1</v>
      </c>
      <c r="AZ176" s="1979">
        <v>1</v>
      </c>
      <c r="BA176" s="1979">
        <v>1</v>
      </c>
      <c r="BB176" s="2000">
        <v>1.3180265000109936</v>
      </c>
      <c r="BC176" s="1998">
        <v>1.3308586370188196</v>
      </c>
      <c r="BD176" s="1998">
        <v>1.3180265000109936</v>
      </c>
      <c r="BE176" s="1998">
        <v>1.3308586370188196</v>
      </c>
      <c r="BF176" s="1998">
        <v>1.3180265000109936</v>
      </c>
      <c r="BG176" s="1998">
        <v>1.3308586370188196</v>
      </c>
      <c r="BH176" s="1998">
        <v>1.3180265000109936</v>
      </c>
      <c r="BI176" s="1998">
        <v>1.3308586370188196</v>
      </c>
      <c r="BJ176" s="1998">
        <v>1.3180265000109936</v>
      </c>
      <c r="BK176" s="1998">
        <v>1.3308586370188196</v>
      </c>
      <c r="BL176" s="1999">
        <v>1</v>
      </c>
      <c r="BM176" s="1979">
        <v>1</v>
      </c>
      <c r="BN176" s="1979">
        <v>1</v>
      </c>
      <c r="BO176" s="1979">
        <v>1</v>
      </c>
      <c r="BP176" s="1979">
        <v>1</v>
      </c>
      <c r="BQ176" s="1979">
        <v>1</v>
      </c>
      <c r="BR176" s="1979">
        <v>1</v>
      </c>
      <c r="BS176" s="1979">
        <v>1</v>
      </c>
      <c r="BT176" s="1979">
        <v>1</v>
      </c>
      <c r="BU176" s="1979">
        <v>1</v>
      </c>
      <c r="BV176" s="2000">
        <v>1</v>
      </c>
      <c r="BW176" s="1998">
        <v>1</v>
      </c>
      <c r="BX176" s="1998">
        <v>1</v>
      </c>
      <c r="BY176" s="1998">
        <v>1</v>
      </c>
      <c r="BZ176" s="1998">
        <v>1</v>
      </c>
      <c r="CA176" s="1998">
        <v>1</v>
      </c>
      <c r="CB176" s="1998">
        <v>1</v>
      </c>
      <c r="CC176" s="1998">
        <v>1</v>
      </c>
      <c r="CD176" s="1998">
        <v>1</v>
      </c>
      <c r="CE176" s="1998">
        <v>1</v>
      </c>
      <c r="CF176" s="1999">
        <v>1</v>
      </c>
      <c r="CG176" s="1979">
        <v>1</v>
      </c>
      <c r="CH176" s="1979">
        <v>1</v>
      </c>
      <c r="CI176" s="1979">
        <v>1</v>
      </c>
      <c r="CJ176" s="1979">
        <v>1</v>
      </c>
      <c r="CK176" s="1979">
        <v>1</v>
      </c>
      <c r="CL176" s="1979">
        <v>1</v>
      </c>
      <c r="CM176" s="1979">
        <v>1</v>
      </c>
      <c r="CN176" s="1979">
        <v>1</v>
      </c>
      <c r="CO176" s="1979">
        <v>1</v>
      </c>
      <c r="CP176" s="2000">
        <v>1</v>
      </c>
      <c r="CQ176" s="1998">
        <v>1</v>
      </c>
      <c r="CR176" s="1998">
        <v>1</v>
      </c>
      <c r="CS176" s="1998">
        <v>1</v>
      </c>
      <c r="CT176" s="1998">
        <v>1</v>
      </c>
      <c r="CU176" s="1998">
        <v>1</v>
      </c>
      <c r="CV176" s="1998">
        <v>1</v>
      </c>
      <c r="CW176" s="1998">
        <v>1</v>
      </c>
      <c r="CX176" s="1998">
        <v>1</v>
      </c>
      <c r="CY176" s="1998">
        <v>1</v>
      </c>
      <c r="CZ176" s="1999">
        <v>1</v>
      </c>
      <c r="DA176" s="1979">
        <v>1</v>
      </c>
      <c r="DB176" s="1979">
        <v>1</v>
      </c>
      <c r="DC176" s="1979">
        <v>1</v>
      </c>
      <c r="DD176" s="1979">
        <v>1</v>
      </c>
      <c r="DE176" s="1979">
        <v>1</v>
      </c>
      <c r="DF176" s="1979">
        <v>1</v>
      </c>
      <c r="DG176" s="1979">
        <v>1</v>
      </c>
      <c r="DH176" s="1979">
        <v>1</v>
      </c>
      <c r="DI176" s="1979">
        <v>1</v>
      </c>
      <c r="DJ176" s="2000">
        <v>1.0002450682306379</v>
      </c>
      <c r="DK176" s="1998">
        <v>1.0001651239704095</v>
      </c>
      <c r="DL176" s="1998">
        <v>1.0002450682306379</v>
      </c>
      <c r="DM176" s="1998">
        <v>1.0001651239704095</v>
      </c>
      <c r="DN176" s="1998">
        <v>1.0002450682306379</v>
      </c>
      <c r="DO176" s="1998">
        <v>1.0001651239704095</v>
      </c>
      <c r="DP176" s="1998">
        <v>1.0002450682306379</v>
      </c>
      <c r="DQ176" s="1998">
        <v>1.0001651239704095</v>
      </c>
      <c r="DR176" s="1998">
        <v>1.0002450682306379</v>
      </c>
      <c r="DS176" s="1998">
        <v>1.0001651239704095</v>
      </c>
      <c r="GQ176" s="1997"/>
      <c r="GT176" s="1979"/>
      <c r="GU176" s="1979"/>
      <c r="GV176" s="1979"/>
      <c r="GW176" s="1979"/>
      <c r="GX176" s="1979"/>
      <c r="GY176" s="1979"/>
      <c r="GZ176" s="1979"/>
      <c r="HA176" s="1979"/>
      <c r="HB176" s="1979"/>
      <c r="HC176" s="1979"/>
      <c r="HD176" s="1979"/>
      <c r="HE176" s="1979"/>
      <c r="HF176" s="1979"/>
      <c r="HG176" s="1979"/>
      <c r="HH176" s="1979"/>
      <c r="HI176" s="1979"/>
      <c r="HJ176" s="1979"/>
      <c r="HK176" s="1979"/>
      <c r="HL176" s="1979"/>
      <c r="HM176" s="1979"/>
      <c r="HN176" s="1979"/>
      <c r="HO176" s="1979"/>
      <c r="HP176" s="1979"/>
      <c r="HQ176" s="1979"/>
      <c r="HR176" s="1979"/>
      <c r="HS176" s="1979"/>
      <c r="HT176" s="1979"/>
      <c r="HU176" s="1979"/>
      <c r="HV176" s="1979"/>
      <c r="HW176" s="1979"/>
      <c r="HX176" s="1979"/>
      <c r="HY176" s="1979"/>
      <c r="HZ176" s="1979"/>
      <c r="IA176" s="1979"/>
      <c r="IB176" s="1979"/>
      <c r="IC176" s="1979"/>
      <c r="ID176" s="1979"/>
      <c r="IE176" s="1979"/>
      <c r="IF176" s="1979"/>
      <c r="IG176" s="1979"/>
      <c r="IH176" s="1979"/>
      <c r="II176" s="1979"/>
      <c r="IJ176" s="1979"/>
      <c r="IK176" s="1979"/>
      <c r="IL176" s="1979"/>
      <c r="IM176" s="1979"/>
      <c r="IN176" s="1979"/>
      <c r="IO176" s="1979"/>
      <c r="IP176" s="1979"/>
      <c r="IQ176" s="1979"/>
      <c r="IR176" s="1979"/>
      <c r="IS176" s="1979"/>
      <c r="IT176" s="1979"/>
      <c r="IU176" s="1979"/>
      <c r="IV176" s="1979"/>
      <c r="IW176" s="1979"/>
      <c r="IX176" s="1979"/>
      <c r="IY176" s="1979"/>
      <c r="IZ176" s="1979"/>
      <c r="JA176" s="1979"/>
      <c r="JB176" s="1979"/>
      <c r="JC176" s="1979"/>
      <c r="JD176" s="1979"/>
      <c r="JE176" s="1979"/>
      <c r="JF176" s="1979"/>
      <c r="JG176" s="1979"/>
      <c r="JH176" s="1979"/>
      <c r="JI176" s="1979"/>
      <c r="JJ176" s="1979"/>
      <c r="JK176" s="1979"/>
      <c r="JL176" s="1979"/>
      <c r="JM176" s="1979"/>
      <c r="JN176" s="1979"/>
      <c r="JO176" s="1979"/>
      <c r="JP176" s="1979"/>
      <c r="JQ176" s="1979"/>
      <c r="JR176" s="1979"/>
      <c r="JS176" s="1979"/>
      <c r="JT176" s="1979"/>
      <c r="JU176" s="1979"/>
      <c r="JV176" s="1979"/>
      <c r="JW176" s="1979"/>
      <c r="JX176" s="1979"/>
      <c r="JY176" s="1979"/>
      <c r="JZ176" s="1979"/>
      <c r="KA176" s="1979"/>
      <c r="KB176" s="1979"/>
      <c r="KC176" s="1979"/>
      <c r="KD176" s="1979"/>
      <c r="KE176" s="1979"/>
      <c r="KF176" s="1979"/>
      <c r="KG176" s="1979"/>
      <c r="KH176" s="1979"/>
      <c r="KI176" s="1979"/>
      <c r="KJ176" s="1979"/>
      <c r="KK176" s="1979"/>
    </row>
    <row r="177" spans="1:297">
      <c r="A177" s="1997"/>
      <c r="B177" s="2">
        <v>35</v>
      </c>
      <c r="C177" s="2" t="str">
        <f>AF$14</f>
        <v/>
      </c>
      <c r="D177" s="1979">
        <v>1.1085004672486292</v>
      </c>
      <c r="E177" s="1979">
        <v>1.1563231854497538</v>
      </c>
      <c r="F177" s="1979">
        <v>1.1085004672486292</v>
      </c>
      <c r="G177" s="1979">
        <v>1.1563231854497538</v>
      </c>
      <c r="H177" s="1979">
        <v>1.1085004672486292</v>
      </c>
      <c r="I177" s="1979">
        <v>1.1563231854497538</v>
      </c>
      <c r="J177" s="1979">
        <v>1.1085004672486292</v>
      </c>
      <c r="K177" s="1979">
        <v>1.1563231854497538</v>
      </c>
      <c r="L177" s="1979">
        <v>1.1085004672486292</v>
      </c>
      <c r="M177" s="1979">
        <v>1.1563231854497538</v>
      </c>
      <c r="N177" s="2000">
        <v>1.4661405894816513</v>
      </c>
      <c r="O177" s="1998">
        <v>1.6355767160242427</v>
      </c>
      <c r="P177" s="1998">
        <v>1.4661405894816513</v>
      </c>
      <c r="Q177" s="1998">
        <v>1.6355767160242427</v>
      </c>
      <c r="R177" s="1998">
        <v>1.4661405894816513</v>
      </c>
      <c r="S177" s="1998">
        <v>1.6355767160242427</v>
      </c>
      <c r="T177" s="1998">
        <v>1.4661405894816513</v>
      </c>
      <c r="U177" s="1998">
        <v>1.6355767160242427</v>
      </c>
      <c r="V177" s="1998">
        <v>1.4661405894816513</v>
      </c>
      <c r="W177" s="1998">
        <v>1.6355767160242427</v>
      </c>
      <c r="X177" s="1999">
        <v>1.1110825743123112</v>
      </c>
      <c r="Y177" s="1979">
        <v>1.1485848729928583</v>
      </c>
      <c r="Z177" s="1979">
        <v>1.1110825743123112</v>
      </c>
      <c r="AA177" s="1979">
        <v>1.1485848729928583</v>
      </c>
      <c r="AB177" s="1979">
        <v>1.1110825743123112</v>
      </c>
      <c r="AC177" s="1979">
        <v>1.1485848729928583</v>
      </c>
      <c r="AD177" s="1979">
        <v>1.1110825743123112</v>
      </c>
      <c r="AE177" s="1979">
        <v>1.1485848729928583</v>
      </c>
      <c r="AF177" s="1979">
        <v>1.1110825743123112</v>
      </c>
      <c r="AG177" s="1979">
        <v>1.1485848729928583</v>
      </c>
      <c r="AH177" s="2000">
        <v>1.3200738324007066</v>
      </c>
      <c r="AI177" s="1998">
        <v>1.4488695905462043</v>
      </c>
      <c r="AJ177" s="1998">
        <v>1.3200738324007066</v>
      </c>
      <c r="AK177" s="1998">
        <v>1.4488695905462043</v>
      </c>
      <c r="AL177" s="1998">
        <v>1.3200738324007066</v>
      </c>
      <c r="AM177" s="1998">
        <v>1.4488695905462043</v>
      </c>
      <c r="AN177" s="1998">
        <v>1.3200738324007066</v>
      </c>
      <c r="AO177" s="1998">
        <v>1.4488695905462043</v>
      </c>
      <c r="AP177" s="1998">
        <v>1.3200738324007066</v>
      </c>
      <c r="AQ177" s="1998">
        <v>1.4488695905462043</v>
      </c>
      <c r="AR177" s="1999">
        <v>1.079525499647328</v>
      </c>
      <c r="AS177" s="1979">
        <v>1.1106830147253564</v>
      </c>
      <c r="AT177" s="1979">
        <v>1.079525499647328</v>
      </c>
      <c r="AU177" s="1979">
        <v>1.1106830147253564</v>
      </c>
      <c r="AV177" s="1979">
        <v>1.079525499647328</v>
      </c>
      <c r="AW177" s="1979">
        <v>1.1106830147253564</v>
      </c>
      <c r="AX177" s="1979">
        <v>1.079525499647328</v>
      </c>
      <c r="AY177" s="1979">
        <v>1.1106830147253564</v>
      </c>
      <c r="AZ177" s="1979">
        <v>1.079525499647328</v>
      </c>
      <c r="BA177" s="1979">
        <v>1.1106830147253564</v>
      </c>
      <c r="BB177" s="2000">
        <v>1.3180265000109936</v>
      </c>
      <c r="BC177" s="1998">
        <v>1.3308586370188196</v>
      </c>
      <c r="BD177" s="1998">
        <v>1.3180265000109936</v>
      </c>
      <c r="BE177" s="1998">
        <v>1.3308586370188196</v>
      </c>
      <c r="BF177" s="1998">
        <v>1.3180265000109936</v>
      </c>
      <c r="BG177" s="1998">
        <v>1.3308586370188196</v>
      </c>
      <c r="BH177" s="1998">
        <v>1.3180265000109936</v>
      </c>
      <c r="BI177" s="1998">
        <v>1.3308586370188196</v>
      </c>
      <c r="BJ177" s="1998">
        <v>1.3180265000109936</v>
      </c>
      <c r="BK177" s="1998">
        <v>1.3308586370188196</v>
      </c>
      <c r="BL177" s="1999">
        <v>1.1814683629492135</v>
      </c>
      <c r="BM177" s="1979">
        <v>1.2431375423131188</v>
      </c>
      <c r="BN177" s="1979">
        <v>1.1814683629492135</v>
      </c>
      <c r="BO177" s="1979">
        <v>1.2431375423131188</v>
      </c>
      <c r="BP177" s="1979">
        <v>1.1814683629492135</v>
      </c>
      <c r="BQ177" s="1979">
        <v>1.2431375423131188</v>
      </c>
      <c r="BR177" s="1979">
        <v>1.1814683629492135</v>
      </c>
      <c r="BS177" s="1979">
        <v>1.2431375423131188</v>
      </c>
      <c r="BT177" s="1979">
        <v>1.1814683629492135</v>
      </c>
      <c r="BU177" s="1979">
        <v>1.2431375423131188</v>
      </c>
      <c r="BV177" s="2000">
        <v>1.2668831194801757</v>
      </c>
      <c r="BW177" s="1998">
        <v>1.3810712323180965</v>
      </c>
      <c r="BX177" s="1998">
        <v>1.2668831194801757</v>
      </c>
      <c r="BY177" s="1998">
        <v>1.3810712323180965</v>
      </c>
      <c r="BZ177" s="1998">
        <v>1.2668831194801757</v>
      </c>
      <c r="CA177" s="1998">
        <v>1.3810712323180965</v>
      </c>
      <c r="CB177" s="1998">
        <v>1.2668831194801757</v>
      </c>
      <c r="CC177" s="1998">
        <v>1.3810712323180965</v>
      </c>
      <c r="CD177" s="1998">
        <v>1.2668831194801757</v>
      </c>
      <c r="CE177" s="1998">
        <v>1.3810712323180965</v>
      </c>
      <c r="CF177" s="1999">
        <v>1.0355857826682435</v>
      </c>
      <c r="CG177" s="1979">
        <v>1.0509613939831395</v>
      </c>
      <c r="CH177" s="1979">
        <v>1.0355857826682435</v>
      </c>
      <c r="CI177" s="1979">
        <v>1.0509613939831395</v>
      </c>
      <c r="CJ177" s="1979">
        <v>1.0355857826682435</v>
      </c>
      <c r="CK177" s="1979">
        <v>1.0509613939831395</v>
      </c>
      <c r="CL177" s="1979">
        <v>1.0355857826682435</v>
      </c>
      <c r="CM177" s="1979">
        <v>1.0509613939831395</v>
      </c>
      <c r="CN177" s="1979">
        <v>1.0355857826682435</v>
      </c>
      <c r="CO177" s="1979">
        <v>1.0509613939831395</v>
      </c>
      <c r="CP177" s="2000">
        <v>1.0426831173942406</v>
      </c>
      <c r="CQ177" s="1998">
        <v>1.0609846567394052</v>
      </c>
      <c r="CR177" s="1998">
        <v>1.0426831173942406</v>
      </c>
      <c r="CS177" s="1998">
        <v>1.0609846567394052</v>
      </c>
      <c r="CT177" s="1998">
        <v>1.0426831173942406</v>
      </c>
      <c r="CU177" s="1998">
        <v>1.0609846567394052</v>
      </c>
      <c r="CV177" s="1998">
        <v>1.0426831173942406</v>
      </c>
      <c r="CW177" s="1998">
        <v>1.0609846567394052</v>
      </c>
      <c r="CX177" s="1998">
        <v>1.0426831173942406</v>
      </c>
      <c r="CY177" s="1998">
        <v>1.0609846567394052</v>
      </c>
      <c r="CZ177" s="1999">
        <v>1</v>
      </c>
      <c r="DA177" s="1979">
        <v>1</v>
      </c>
      <c r="DB177" s="1979">
        <v>1</v>
      </c>
      <c r="DC177" s="1979">
        <v>1</v>
      </c>
      <c r="DD177" s="1979">
        <v>1</v>
      </c>
      <c r="DE177" s="1979">
        <v>1</v>
      </c>
      <c r="DF177" s="1979">
        <v>1</v>
      </c>
      <c r="DG177" s="1979">
        <v>1</v>
      </c>
      <c r="DH177" s="1979">
        <v>1</v>
      </c>
      <c r="DI177" s="1979">
        <v>1</v>
      </c>
      <c r="DJ177" s="2000">
        <v>1.0085960930064017</v>
      </c>
      <c r="DK177" s="1998">
        <v>1.0121461944782337</v>
      </c>
      <c r="DL177" s="1998">
        <v>1.0085960930064017</v>
      </c>
      <c r="DM177" s="1998">
        <v>1.0121461944782337</v>
      </c>
      <c r="DN177" s="1998">
        <v>1.0085960930064017</v>
      </c>
      <c r="DO177" s="1998">
        <v>1.0121461944782337</v>
      </c>
      <c r="DP177" s="1998">
        <v>1.0085960930064017</v>
      </c>
      <c r="DQ177" s="1998">
        <v>1.0121461944782337</v>
      </c>
      <c r="DR177" s="1998">
        <v>1.0085960930064017</v>
      </c>
      <c r="DS177" s="1998">
        <v>1.0121461944782337</v>
      </c>
      <c r="GQ177" s="1997"/>
      <c r="GT177" s="1979"/>
      <c r="GU177" s="1979"/>
      <c r="GV177" s="1979"/>
      <c r="GW177" s="1979"/>
      <c r="GX177" s="1979"/>
      <c r="GY177" s="1979"/>
      <c r="GZ177" s="1979"/>
      <c r="HA177" s="1979"/>
      <c r="HB177" s="1979"/>
      <c r="HC177" s="1979"/>
      <c r="HD177" s="1979"/>
      <c r="HE177" s="1979"/>
      <c r="HF177" s="1979"/>
      <c r="HG177" s="1979"/>
      <c r="HH177" s="1979"/>
      <c r="HI177" s="1979"/>
      <c r="HJ177" s="1979"/>
      <c r="HK177" s="1979"/>
      <c r="HL177" s="1979"/>
      <c r="HM177" s="1979"/>
      <c r="HN177" s="1979"/>
      <c r="HO177" s="1979"/>
      <c r="HP177" s="1979"/>
      <c r="HQ177" s="1979"/>
      <c r="HR177" s="1979"/>
      <c r="HS177" s="1979"/>
      <c r="HT177" s="1979"/>
      <c r="HU177" s="1979"/>
      <c r="HV177" s="1979"/>
      <c r="HW177" s="1979"/>
      <c r="HX177" s="1979"/>
      <c r="HY177" s="1979"/>
      <c r="HZ177" s="1979"/>
      <c r="IA177" s="1979"/>
      <c r="IB177" s="1979"/>
      <c r="IC177" s="1979"/>
      <c r="ID177" s="1979"/>
      <c r="IE177" s="1979"/>
      <c r="IF177" s="1979"/>
      <c r="IG177" s="1979"/>
      <c r="IH177" s="1979"/>
      <c r="II177" s="1979"/>
      <c r="IJ177" s="1979"/>
      <c r="IK177" s="1979"/>
      <c r="IL177" s="1979"/>
      <c r="IM177" s="1979"/>
      <c r="IN177" s="1979"/>
      <c r="IO177" s="1979"/>
      <c r="IP177" s="1979"/>
      <c r="IQ177" s="1979"/>
      <c r="IR177" s="1979"/>
      <c r="IS177" s="1979"/>
      <c r="IT177" s="1979"/>
      <c r="IU177" s="1979"/>
      <c r="IV177" s="1979"/>
      <c r="IW177" s="1979"/>
      <c r="IX177" s="1979"/>
      <c r="IY177" s="1979"/>
      <c r="IZ177" s="1979"/>
      <c r="JA177" s="1979"/>
      <c r="JB177" s="1979"/>
      <c r="JC177" s="1979"/>
      <c r="JD177" s="1979"/>
      <c r="JE177" s="1979"/>
      <c r="JF177" s="1979"/>
      <c r="JG177" s="1979"/>
      <c r="JH177" s="1979"/>
      <c r="JI177" s="1979"/>
      <c r="JJ177" s="1979"/>
      <c r="JK177" s="1979"/>
      <c r="JL177" s="1979"/>
      <c r="JM177" s="1979"/>
      <c r="JN177" s="1979"/>
      <c r="JO177" s="1979"/>
      <c r="JP177" s="1979"/>
      <c r="JQ177" s="1979"/>
      <c r="JR177" s="1979"/>
      <c r="JS177" s="1979"/>
      <c r="JT177" s="1979"/>
      <c r="JU177" s="1979"/>
      <c r="JV177" s="1979"/>
      <c r="JW177" s="1979"/>
      <c r="JX177" s="1979"/>
      <c r="JY177" s="1979"/>
      <c r="JZ177" s="1979"/>
      <c r="KA177" s="1979"/>
      <c r="KB177" s="1979"/>
      <c r="KC177" s="1979"/>
      <c r="KD177" s="1979"/>
      <c r="KE177" s="1979"/>
      <c r="KF177" s="1979"/>
      <c r="KG177" s="1979"/>
      <c r="KH177" s="1979"/>
      <c r="KI177" s="1979"/>
      <c r="KJ177" s="1979"/>
      <c r="KK177" s="1979"/>
    </row>
    <row r="178" spans="1:297">
      <c r="A178" s="1997"/>
      <c r="B178" s="2">
        <v>36</v>
      </c>
      <c r="C178" s="2" t="str">
        <f>AF$15</f>
        <v/>
      </c>
      <c r="D178" s="1979">
        <v>0.99089193585001911</v>
      </c>
      <c r="E178" s="1979">
        <v>0.99491643010161035</v>
      </c>
      <c r="F178" s="1979">
        <v>0.99089193585001911</v>
      </c>
      <c r="G178" s="1979">
        <v>0.99491643010161035</v>
      </c>
      <c r="H178" s="1979">
        <v>0.99089193585001911</v>
      </c>
      <c r="I178" s="1979">
        <v>0.99491643010161035</v>
      </c>
      <c r="J178" s="1979">
        <v>0.99089193585001911</v>
      </c>
      <c r="K178" s="1979">
        <v>0.99491643010161035</v>
      </c>
      <c r="L178" s="1979">
        <v>0.99089193585001911</v>
      </c>
      <c r="M178" s="1979">
        <v>0.99491643010161035</v>
      </c>
      <c r="N178" s="2000">
        <v>1.0767033219898217</v>
      </c>
      <c r="O178" s="1998">
        <v>1.1018109318917584</v>
      </c>
      <c r="P178" s="1998">
        <v>1.0767033219898217</v>
      </c>
      <c r="Q178" s="1998">
        <v>1.1018109318917584</v>
      </c>
      <c r="R178" s="1998">
        <v>1.0767033219898217</v>
      </c>
      <c r="S178" s="1998">
        <v>1.1018109318917584</v>
      </c>
      <c r="T178" s="1998">
        <v>1.0767033219898217</v>
      </c>
      <c r="U178" s="1998">
        <v>1.1018109318917584</v>
      </c>
      <c r="V178" s="1998">
        <v>1.0767033219898217</v>
      </c>
      <c r="W178" s="1998">
        <v>1.1018109318917584</v>
      </c>
      <c r="X178" s="1999">
        <v>1.018278610910949</v>
      </c>
      <c r="Y178" s="1979">
        <v>1.0192371572799035</v>
      </c>
      <c r="Z178" s="1979">
        <v>1.018278610910949</v>
      </c>
      <c r="AA178" s="1979">
        <v>1.0192371572799035</v>
      </c>
      <c r="AB178" s="1979">
        <v>1.018278610910949</v>
      </c>
      <c r="AC178" s="1979">
        <v>1.0192371572799035</v>
      </c>
      <c r="AD178" s="1979">
        <v>1.018278610910949</v>
      </c>
      <c r="AE178" s="1979">
        <v>1.0192371572799035</v>
      </c>
      <c r="AF178" s="1979">
        <v>1.018278610910949</v>
      </c>
      <c r="AG178" s="1979">
        <v>1.0192371572799035</v>
      </c>
      <c r="AH178" s="2000">
        <v>1.052668072210678</v>
      </c>
      <c r="AI178" s="1998">
        <v>1.0719029350182141</v>
      </c>
      <c r="AJ178" s="1998">
        <v>1.052668072210678</v>
      </c>
      <c r="AK178" s="1998">
        <v>1.0719029350182141</v>
      </c>
      <c r="AL178" s="1998">
        <v>1.052668072210678</v>
      </c>
      <c r="AM178" s="1998">
        <v>1.0719029350182141</v>
      </c>
      <c r="AN178" s="1998">
        <v>1.052668072210678</v>
      </c>
      <c r="AO178" s="1998">
        <v>1.0719029350182141</v>
      </c>
      <c r="AP178" s="1998">
        <v>1.052668072210678</v>
      </c>
      <c r="AQ178" s="1998">
        <v>1.0719029350182141</v>
      </c>
      <c r="AR178" s="1999">
        <v>1.0130859018577067</v>
      </c>
      <c r="AS178" s="1979">
        <v>1.0177299460311695</v>
      </c>
      <c r="AT178" s="1979">
        <v>1.0130859018577067</v>
      </c>
      <c r="AU178" s="1979">
        <v>1.0177299460311695</v>
      </c>
      <c r="AV178" s="1979">
        <v>1.0130859018577067</v>
      </c>
      <c r="AW178" s="1979">
        <v>1.0177299460311695</v>
      </c>
      <c r="AX178" s="1979">
        <v>1.0130859018577067</v>
      </c>
      <c r="AY178" s="1979">
        <v>1.0177299460311695</v>
      </c>
      <c r="AZ178" s="1979">
        <v>1.0130859018577067</v>
      </c>
      <c r="BA178" s="1979">
        <v>1.0177299460311695</v>
      </c>
      <c r="BB178" s="2000">
        <v>1.3180265000109936</v>
      </c>
      <c r="BC178" s="1998">
        <v>1.3308586370188196</v>
      </c>
      <c r="BD178" s="1998">
        <v>1.3180265000109936</v>
      </c>
      <c r="BE178" s="1998">
        <v>1.3308586370188196</v>
      </c>
      <c r="BF178" s="1998">
        <v>1.3180265000109936</v>
      </c>
      <c r="BG178" s="1998">
        <v>1.3308586370188196</v>
      </c>
      <c r="BH178" s="1998">
        <v>1.3180265000109936</v>
      </c>
      <c r="BI178" s="1998">
        <v>1.3308586370188196</v>
      </c>
      <c r="BJ178" s="1998">
        <v>1.3180265000109936</v>
      </c>
      <c r="BK178" s="1998">
        <v>1.3308586370188196</v>
      </c>
      <c r="BL178" s="1999">
        <v>1.0298605755180803</v>
      </c>
      <c r="BM178" s="1979">
        <v>1.0389473986958111</v>
      </c>
      <c r="BN178" s="1979">
        <v>1.0298605755180803</v>
      </c>
      <c r="BO178" s="1979">
        <v>1.0389473986958111</v>
      </c>
      <c r="BP178" s="1979">
        <v>1.0298605755180803</v>
      </c>
      <c r="BQ178" s="1979">
        <v>1.0389473986958111</v>
      </c>
      <c r="BR178" s="1979">
        <v>1.0298605755180803</v>
      </c>
      <c r="BS178" s="1979">
        <v>1.0389473986958111</v>
      </c>
      <c r="BT178" s="1979">
        <v>1.0298605755180803</v>
      </c>
      <c r="BU178" s="1979">
        <v>1.0389473986958111</v>
      </c>
      <c r="BV178" s="2000">
        <v>1.0439155531808537</v>
      </c>
      <c r="BW178" s="1998">
        <v>1.0610425402650627</v>
      </c>
      <c r="BX178" s="1998">
        <v>1.0439155531808537</v>
      </c>
      <c r="BY178" s="1998">
        <v>1.0610425402650627</v>
      </c>
      <c r="BZ178" s="1998">
        <v>1.0439155531808537</v>
      </c>
      <c r="CA178" s="1998">
        <v>1.0610425402650627</v>
      </c>
      <c r="CB178" s="1998">
        <v>1.0439155531808537</v>
      </c>
      <c r="CC178" s="1998">
        <v>1.0610425402650627</v>
      </c>
      <c r="CD178" s="1998">
        <v>1.0439155531808537</v>
      </c>
      <c r="CE178" s="1998">
        <v>1.0610425402650627</v>
      </c>
      <c r="CF178" s="1999">
        <v>1.0058556319871166</v>
      </c>
      <c r="CG178" s="1979">
        <v>1.0081633371410803</v>
      </c>
      <c r="CH178" s="1979">
        <v>1.0058556319871166</v>
      </c>
      <c r="CI178" s="1979">
        <v>1.0081633371410803</v>
      </c>
      <c r="CJ178" s="1979">
        <v>1.0058556319871166</v>
      </c>
      <c r="CK178" s="1979">
        <v>1.0081633371410803</v>
      </c>
      <c r="CL178" s="1979">
        <v>1.0058556319871166</v>
      </c>
      <c r="CM178" s="1979">
        <v>1.0081633371410803</v>
      </c>
      <c r="CN178" s="1979">
        <v>1.0058556319871166</v>
      </c>
      <c r="CO178" s="1979">
        <v>1.0081633371410803</v>
      </c>
      <c r="CP178" s="2000">
        <v>1.0070234967108538</v>
      </c>
      <c r="CQ178" s="1998">
        <v>1.009768930448832</v>
      </c>
      <c r="CR178" s="1998">
        <v>1.0070234967108538</v>
      </c>
      <c r="CS178" s="1998">
        <v>1.009768930448832</v>
      </c>
      <c r="CT178" s="1998">
        <v>1.0070234967108538</v>
      </c>
      <c r="CU178" s="1998">
        <v>1.009768930448832</v>
      </c>
      <c r="CV178" s="1998">
        <v>1.0070234967108538</v>
      </c>
      <c r="CW178" s="1998">
        <v>1.009768930448832</v>
      </c>
      <c r="CX178" s="1998">
        <v>1.0070234967108538</v>
      </c>
      <c r="CY178" s="1998">
        <v>1.009768930448832</v>
      </c>
      <c r="CZ178" s="1999">
        <v>1</v>
      </c>
      <c r="DA178" s="1979">
        <v>1</v>
      </c>
      <c r="DB178" s="1979">
        <v>1</v>
      </c>
      <c r="DC178" s="1979">
        <v>1</v>
      </c>
      <c r="DD178" s="1979">
        <v>1</v>
      </c>
      <c r="DE178" s="1979">
        <v>1</v>
      </c>
      <c r="DF178" s="1979">
        <v>1</v>
      </c>
      <c r="DG178" s="1979">
        <v>1</v>
      </c>
      <c r="DH178" s="1979">
        <v>1</v>
      </c>
      <c r="DI178" s="1979">
        <v>1</v>
      </c>
      <c r="DJ178" s="2000">
        <v>1.0016192273508138</v>
      </c>
      <c r="DK178" s="1998">
        <v>1.0020843320261934</v>
      </c>
      <c r="DL178" s="1998">
        <v>1.0016192273508138</v>
      </c>
      <c r="DM178" s="1998">
        <v>1.0020843320261934</v>
      </c>
      <c r="DN178" s="1998">
        <v>1.0016192273508138</v>
      </c>
      <c r="DO178" s="1998">
        <v>1.0020843320261934</v>
      </c>
      <c r="DP178" s="1998">
        <v>1.0016192273508138</v>
      </c>
      <c r="DQ178" s="1998">
        <v>1.0020843320261934</v>
      </c>
      <c r="DR178" s="1998">
        <v>1.0016192273508138</v>
      </c>
      <c r="DS178" s="1998">
        <v>1.0020843320261934</v>
      </c>
      <c r="GQ178" s="1997"/>
      <c r="GT178" s="1979"/>
      <c r="GU178" s="1979"/>
      <c r="GV178" s="1979"/>
      <c r="GW178" s="1979"/>
      <c r="GX178" s="1979"/>
      <c r="GY178" s="1979"/>
      <c r="GZ178" s="1979"/>
      <c r="HA178" s="1979"/>
      <c r="HB178" s="1979"/>
      <c r="HC178" s="1979"/>
      <c r="HD178" s="1979"/>
      <c r="HE178" s="1979"/>
      <c r="HF178" s="1979"/>
      <c r="HG178" s="1979"/>
      <c r="HH178" s="1979"/>
      <c r="HI178" s="1979"/>
      <c r="HJ178" s="1979"/>
      <c r="HK178" s="1979"/>
      <c r="HL178" s="1979"/>
      <c r="HM178" s="1979"/>
      <c r="HN178" s="1979"/>
      <c r="HO178" s="1979"/>
      <c r="HP178" s="1979"/>
      <c r="HQ178" s="1979"/>
      <c r="HR178" s="1979"/>
      <c r="HS178" s="1979"/>
      <c r="HT178" s="1979"/>
      <c r="HU178" s="1979"/>
      <c r="HV178" s="1979"/>
      <c r="HW178" s="1979"/>
      <c r="HX178" s="1979"/>
      <c r="HY178" s="1979"/>
      <c r="HZ178" s="1979"/>
      <c r="IA178" s="1979"/>
      <c r="IB178" s="1979"/>
      <c r="IC178" s="1979"/>
      <c r="ID178" s="1979"/>
      <c r="IE178" s="1979"/>
      <c r="IF178" s="1979"/>
      <c r="IG178" s="1979"/>
      <c r="IH178" s="1979"/>
      <c r="II178" s="1979"/>
      <c r="IJ178" s="1979"/>
      <c r="IK178" s="1979"/>
      <c r="IL178" s="1979"/>
      <c r="IM178" s="1979"/>
      <c r="IN178" s="1979"/>
      <c r="IO178" s="1979"/>
      <c r="IP178" s="1979"/>
      <c r="IQ178" s="1979"/>
      <c r="IR178" s="1979"/>
      <c r="IS178" s="1979"/>
      <c r="IT178" s="1979"/>
      <c r="IU178" s="1979"/>
      <c r="IV178" s="1979"/>
      <c r="IW178" s="1979"/>
      <c r="IX178" s="1979"/>
      <c r="IY178" s="1979"/>
      <c r="IZ178" s="1979"/>
      <c r="JA178" s="1979"/>
      <c r="JB178" s="1979"/>
      <c r="JC178" s="1979"/>
      <c r="JD178" s="1979"/>
      <c r="JE178" s="1979"/>
      <c r="JF178" s="1979"/>
      <c r="JG178" s="1979"/>
      <c r="JH178" s="1979"/>
      <c r="JI178" s="1979"/>
      <c r="JJ178" s="1979"/>
      <c r="JK178" s="1979"/>
      <c r="JL178" s="1979"/>
      <c r="JM178" s="1979"/>
      <c r="JN178" s="1979"/>
      <c r="JO178" s="1979"/>
      <c r="JP178" s="1979"/>
      <c r="JQ178" s="1979"/>
      <c r="JR178" s="1979"/>
      <c r="JS178" s="1979"/>
      <c r="JT178" s="1979"/>
      <c r="JU178" s="1979"/>
      <c r="JV178" s="1979"/>
      <c r="JW178" s="1979"/>
      <c r="JX178" s="1979"/>
      <c r="JY178" s="1979"/>
      <c r="JZ178" s="1979"/>
      <c r="KA178" s="1979"/>
      <c r="KB178" s="1979"/>
      <c r="KC178" s="1979"/>
      <c r="KD178" s="1979"/>
      <c r="KE178" s="1979"/>
      <c r="KF178" s="1979"/>
      <c r="KG178" s="1979"/>
      <c r="KH178" s="1979"/>
      <c r="KI178" s="1979"/>
      <c r="KJ178" s="1979"/>
      <c r="KK178" s="1979"/>
    </row>
    <row r="179" spans="1:297">
      <c r="A179" s="1997"/>
      <c r="B179" s="2">
        <v>37</v>
      </c>
      <c r="C179" s="2" t="str">
        <f>AF$16</f>
        <v/>
      </c>
      <c r="D179" s="1979">
        <v>1.0125322659304401</v>
      </c>
      <c r="E179" s="1979">
        <v>1.0066655697798217</v>
      </c>
      <c r="F179" s="1979">
        <v>1.0125322659304401</v>
      </c>
      <c r="G179" s="1979">
        <v>1.0066655697798217</v>
      </c>
      <c r="H179" s="1979">
        <v>1.0125322659304401</v>
      </c>
      <c r="I179" s="1979">
        <v>1.0066655697798217</v>
      </c>
      <c r="J179" s="1979">
        <v>1.0125322659304401</v>
      </c>
      <c r="K179" s="1979">
        <v>1.0066655697798217</v>
      </c>
      <c r="L179" s="1979">
        <v>1.0125322659304401</v>
      </c>
      <c r="M179" s="1979">
        <v>1.0066655697798217</v>
      </c>
      <c r="N179" s="2000">
        <v>1.1483609722803176</v>
      </c>
      <c r="O179" s="1998">
        <v>1.1406648741551781</v>
      </c>
      <c r="P179" s="1998">
        <v>1.1483609722803176</v>
      </c>
      <c r="Q179" s="1998">
        <v>1.1406648741551781</v>
      </c>
      <c r="R179" s="1998">
        <v>1.1483609722803176</v>
      </c>
      <c r="S179" s="1998">
        <v>1.1406648741551781</v>
      </c>
      <c r="T179" s="1998">
        <v>1.1483609722803176</v>
      </c>
      <c r="U179" s="1998">
        <v>1.1406648741551781</v>
      </c>
      <c r="V179" s="1998">
        <v>1.1483609722803176</v>
      </c>
      <c r="W179" s="1998">
        <v>1.1406648741551781</v>
      </c>
      <c r="X179" s="1999">
        <v>1.0353548244891122</v>
      </c>
      <c r="Y179" s="1979">
        <v>1.0286526515427747</v>
      </c>
      <c r="Z179" s="1979">
        <v>1.0353548244891122</v>
      </c>
      <c r="AA179" s="1979">
        <v>1.0286526515427747</v>
      </c>
      <c r="AB179" s="1979">
        <v>1.0353548244891122</v>
      </c>
      <c r="AC179" s="1979">
        <v>1.0286526515427747</v>
      </c>
      <c r="AD179" s="1979">
        <v>1.0353548244891122</v>
      </c>
      <c r="AE179" s="1979">
        <v>1.0286526515427747</v>
      </c>
      <c r="AF179" s="1979">
        <v>1.0353548244891122</v>
      </c>
      <c r="AG179" s="1979">
        <v>1.0286526515427747</v>
      </c>
      <c r="AH179" s="2000">
        <v>1.1018715513044277</v>
      </c>
      <c r="AI179" s="1998">
        <v>1.0993431365158126</v>
      </c>
      <c r="AJ179" s="1998">
        <v>1.1018715513044277</v>
      </c>
      <c r="AK179" s="1998">
        <v>1.0993431365158126</v>
      </c>
      <c r="AL179" s="1998">
        <v>1.1018715513044277</v>
      </c>
      <c r="AM179" s="1998">
        <v>1.0993431365158126</v>
      </c>
      <c r="AN179" s="1998">
        <v>1.1018715513044277</v>
      </c>
      <c r="AO179" s="1998">
        <v>1.0993431365158126</v>
      </c>
      <c r="AP179" s="1998">
        <v>1.1018715513044277</v>
      </c>
      <c r="AQ179" s="1998">
        <v>1.0993431365158126</v>
      </c>
      <c r="AR179" s="1999">
        <v>1.0253109913939817</v>
      </c>
      <c r="AS179" s="1979">
        <v>1.0244961968318298</v>
      </c>
      <c r="AT179" s="1979">
        <v>1.0253109913939817</v>
      </c>
      <c r="AU179" s="1979">
        <v>1.0244961968318298</v>
      </c>
      <c r="AV179" s="1979">
        <v>1.0253109913939817</v>
      </c>
      <c r="AW179" s="1979">
        <v>1.0244961968318298</v>
      </c>
      <c r="AX179" s="1979">
        <v>1.0253109913939817</v>
      </c>
      <c r="AY179" s="1979">
        <v>1.0244961968318298</v>
      </c>
      <c r="AZ179" s="1979">
        <v>1.0253109913939817</v>
      </c>
      <c r="BA179" s="1979">
        <v>1.0244961968318298</v>
      </c>
      <c r="BB179" s="2000">
        <v>1.3180265000109936</v>
      </c>
      <c r="BC179" s="1998">
        <v>1.3308586370188196</v>
      </c>
      <c r="BD179" s="1998">
        <v>1.3180265000109936</v>
      </c>
      <c r="BE179" s="1998">
        <v>1.3308586370188196</v>
      </c>
      <c r="BF179" s="1998">
        <v>1.3180265000109936</v>
      </c>
      <c r="BG179" s="1998">
        <v>1.3308586370188196</v>
      </c>
      <c r="BH179" s="1998">
        <v>1.3180265000109936</v>
      </c>
      <c r="BI179" s="1998">
        <v>1.3308586370188196</v>
      </c>
      <c r="BJ179" s="1998">
        <v>1.3180265000109936</v>
      </c>
      <c r="BK179" s="1998">
        <v>1.3308586370188196</v>
      </c>
      <c r="BL179" s="1999">
        <v>1.057756872867907</v>
      </c>
      <c r="BM179" s="1979">
        <v>1.0538108318470396</v>
      </c>
      <c r="BN179" s="1979">
        <v>1.057756872867907</v>
      </c>
      <c r="BO179" s="1979">
        <v>1.0538108318470396</v>
      </c>
      <c r="BP179" s="1979">
        <v>1.057756872867907</v>
      </c>
      <c r="BQ179" s="1979">
        <v>1.0538108318470396</v>
      </c>
      <c r="BR179" s="1979">
        <v>1.057756872867907</v>
      </c>
      <c r="BS179" s="1979">
        <v>1.0538108318470396</v>
      </c>
      <c r="BT179" s="1979">
        <v>1.057756872867907</v>
      </c>
      <c r="BU179" s="1979">
        <v>1.0538108318470396</v>
      </c>
      <c r="BV179" s="2000">
        <v>1.0849422684587771</v>
      </c>
      <c r="BW179" s="1998">
        <v>1.0843381067725255</v>
      </c>
      <c r="BX179" s="1998">
        <v>1.0849422684587771</v>
      </c>
      <c r="BY179" s="1998">
        <v>1.0843381067725255</v>
      </c>
      <c r="BZ179" s="1998">
        <v>1.0849422684587771</v>
      </c>
      <c r="CA179" s="1998">
        <v>1.0843381067725255</v>
      </c>
      <c r="CB179" s="1998">
        <v>1.0849422684587771</v>
      </c>
      <c r="CC179" s="1998">
        <v>1.0843381067725255</v>
      </c>
      <c r="CD179" s="1998">
        <v>1.0849422684587771</v>
      </c>
      <c r="CE179" s="1998">
        <v>1.0843381067725255</v>
      </c>
      <c r="CF179" s="1999">
        <v>1.0113260707931218</v>
      </c>
      <c r="CG179" s="1979">
        <v>1.011278698370595</v>
      </c>
      <c r="CH179" s="1979">
        <v>1.0113260707931218</v>
      </c>
      <c r="CI179" s="1979">
        <v>1.011278698370595</v>
      </c>
      <c r="CJ179" s="1979">
        <v>1.0113260707931218</v>
      </c>
      <c r="CK179" s="1979">
        <v>1.011278698370595</v>
      </c>
      <c r="CL179" s="1979">
        <v>1.0113260707931218</v>
      </c>
      <c r="CM179" s="1979">
        <v>1.011278698370595</v>
      </c>
      <c r="CN179" s="1979">
        <v>1.0113260707931218</v>
      </c>
      <c r="CO179" s="1979">
        <v>1.011278698370595</v>
      </c>
      <c r="CP179" s="2000">
        <v>1.013584976162677</v>
      </c>
      <c r="CQ179" s="1998">
        <v>1.0134970316711822</v>
      </c>
      <c r="CR179" s="1998">
        <v>1.013584976162677</v>
      </c>
      <c r="CS179" s="1998">
        <v>1.0134970316711822</v>
      </c>
      <c r="CT179" s="1998">
        <v>1.013584976162677</v>
      </c>
      <c r="CU179" s="1998">
        <v>1.0134970316711822</v>
      </c>
      <c r="CV179" s="1998">
        <v>1.013584976162677</v>
      </c>
      <c r="CW179" s="1998">
        <v>1.0134970316711822</v>
      </c>
      <c r="CX179" s="1998">
        <v>1.013584976162677</v>
      </c>
      <c r="CY179" s="1998">
        <v>1.0134970316711822</v>
      </c>
      <c r="CZ179" s="1999">
        <v>1</v>
      </c>
      <c r="DA179" s="1979">
        <v>1</v>
      </c>
      <c r="DB179" s="1979">
        <v>1</v>
      </c>
      <c r="DC179" s="1979">
        <v>1</v>
      </c>
      <c r="DD179" s="1979">
        <v>1</v>
      </c>
      <c r="DE179" s="1979">
        <v>1</v>
      </c>
      <c r="DF179" s="1979">
        <v>1</v>
      </c>
      <c r="DG179" s="1979">
        <v>1</v>
      </c>
      <c r="DH179" s="1979">
        <v>1</v>
      </c>
      <c r="DI179" s="1979">
        <v>1</v>
      </c>
      <c r="DJ179" s="2000">
        <v>1.002902992005624</v>
      </c>
      <c r="DK179" s="1998">
        <v>1.0028167563111434</v>
      </c>
      <c r="DL179" s="1998">
        <v>1.002902992005624</v>
      </c>
      <c r="DM179" s="1998">
        <v>1.0028167563111434</v>
      </c>
      <c r="DN179" s="1998">
        <v>1.002902992005624</v>
      </c>
      <c r="DO179" s="1998">
        <v>1.0028167563111434</v>
      </c>
      <c r="DP179" s="1998">
        <v>1.002902992005624</v>
      </c>
      <c r="DQ179" s="1998">
        <v>1.0028167563111434</v>
      </c>
      <c r="DR179" s="1998">
        <v>1.002902992005624</v>
      </c>
      <c r="DS179" s="1998">
        <v>1.0028167563111434</v>
      </c>
      <c r="GQ179" s="1997"/>
      <c r="GT179" s="1979"/>
      <c r="GU179" s="1979"/>
      <c r="GV179" s="1979"/>
      <c r="GW179" s="1979"/>
      <c r="GX179" s="1979"/>
      <c r="GY179" s="1979"/>
      <c r="GZ179" s="1979"/>
      <c r="HA179" s="1979"/>
      <c r="HB179" s="1979"/>
      <c r="HC179" s="1979"/>
      <c r="HD179" s="1979"/>
      <c r="HE179" s="1979"/>
      <c r="HF179" s="1979"/>
      <c r="HG179" s="1979"/>
      <c r="HH179" s="1979"/>
      <c r="HI179" s="1979"/>
      <c r="HJ179" s="1979"/>
      <c r="HK179" s="1979"/>
      <c r="HL179" s="1979"/>
      <c r="HM179" s="1979"/>
      <c r="HN179" s="1979"/>
      <c r="HO179" s="1979"/>
      <c r="HP179" s="1979"/>
      <c r="HQ179" s="1979"/>
      <c r="HR179" s="1979"/>
      <c r="HS179" s="1979"/>
      <c r="HT179" s="1979"/>
      <c r="HU179" s="1979"/>
      <c r="HV179" s="1979"/>
      <c r="HW179" s="1979"/>
      <c r="HX179" s="1979"/>
      <c r="HY179" s="1979"/>
      <c r="HZ179" s="1979"/>
      <c r="IA179" s="1979"/>
      <c r="IB179" s="1979"/>
      <c r="IC179" s="1979"/>
      <c r="ID179" s="1979"/>
      <c r="IE179" s="1979"/>
      <c r="IF179" s="1979"/>
      <c r="IG179" s="1979"/>
      <c r="IH179" s="1979"/>
      <c r="II179" s="1979"/>
      <c r="IJ179" s="1979"/>
      <c r="IK179" s="1979"/>
      <c r="IL179" s="1979"/>
      <c r="IM179" s="1979"/>
      <c r="IN179" s="1979"/>
      <c r="IO179" s="1979"/>
      <c r="IP179" s="1979"/>
      <c r="IQ179" s="1979"/>
      <c r="IR179" s="1979"/>
      <c r="IS179" s="1979"/>
      <c r="IT179" s="1979"/>
      <c r="IU179" s="1979"/>
      <c r="IV179" s="1979"/>
      <c r="IW179" s="1979"/>
      <c r="IX179" s="1979"/>
      <c r="IY179" s="1979"/>
      <c r="IZ179" s="1979"/>
      <c r="JA179" s="1979"/>
      <c r="JB179" s="1979"/>
      <c r="JC179" s="1979"/>
      <c r="JD179" s="1979"/>
      <c r="JE179" s="1979"/>
      <c r="JF179" s="1979"/>
      <c r="JG179" s="1979"/>
      <c r="JH179" s="1979"/>
      <c r="JI179" s="1979"/>
      <c r="JJ179" s="1979"/>
      <c r="JK179" s="1979"/>
      <c r="JL179" s="1979"/>
      <c r="JM179" s="1979"/>
      <c r="JN179" s="1979"/>
      <c r="JO179" s="1979"/>
      <c r="JP179" s="1979"/>
      <c r="JQ179" s="1979"/>
      <c r="JR179" s="1979"/>
      <c r="JS179" s="1979"/>
      <c r="JT179" s="1979"/>
      <c r="JU179" s="1979"/>
      <c r="JV179" s="1979"/>
      <c r="JW179" s="1979"/>
      <c r="JX179" s="1979"/>
      <c r="JY179" s="1979"/>
      <c r="JZ179" s="1979"/>
      <c r="KA179" s="1979"/>
      <c r="KB179" s="1979"/>
      <c r="KC179" s="1979"/>
      <c r="KD179" s="1979"/>
      <c r="KE179" s="1979"/>
      <c r="KF179" s="1979"/>
      <c r="KG179" s="1979"/>
      <c r="KH179" s="1979"/>
      <c r="KI179" s="1979"/>
      <c r="KJ179" s="1979"/>
      <c r="KK179" s="1979"/>
    </row>
    <row r="180" spans="1:297">
      <c r="A180" s="1997"/>
      <c r="B180" s="2">
        <v>38</v>
      </c>
      <c r="C180" s="2" t="str">
        <f>AF$17</f>
        <v/>
      </c>
      <c r="D180" s="1979">
        <v>1.0585003115621834</v>
      </c>
      <c r="E180" s="1979">
        <v>1.0736221665254722</v>
      </c>
      <c r="F180" s="1979">
        <v>1.0585003115621834</v>
      </c>
      <c r="G180" s="1979">
        <v>1.0736221665254722</v>
      </c>
      <c r="H180" s="1979">
        <v>1.0585003115621834</v>
      </c>
      <c r="I180" s="1979">
        <v>1.0736221665254722</v>
      </c>
      <c r="J180" s="1979">
        <v>1.0585003115621834</v>
      </c>
      <c r="K180" s="1979">
        <v>1.0736221665254722</v>
      </c>
      <c r="L180" s="1979">
        <v>1.0585003115621834</v>
      </c>
      <c r="M180" s="1979">
        <v>1.0736221665254722</v>
      </c>
      <c r="N180" s="2000">
        <v>1.3005750155123672</v>
      </c>
      <c r="O180" s="1998">
        <v>1.3620877030057905</v>
      </c>
      <c r="P180" s="1998">
        <v>1.3005750155123672</v>
      </c>
      <c r="Q180" s="1998">
        <v>1.3620877030057905</v>
      </c>
      <c r="R180" s="1998">
        <v>1.3005750155123672</v>
      </c>
      <c r="S180" s="1998">
        <v>1.3620877030057905</v>
      </c>
      <c r="T180" s="1998">
        <v>1.3005750155123672</v>
      </c>
      <c r="U180" s="1998">
        <v>1.3620877030057905</v>
      </c>
      <c r="V180" s="1998">
        <v>1.3005750155123672</v>
      </c>
      <c r="W180" s="1998">
        <v>1.3620877030057905</v>
      </c>
      <c r="X180" s="1999">
        <v>1.0716278462989133</v>
      </c>
      <c r="Y180" s="1979">
        <v>1.0823101507117705</v>
      </c>
      <c r="Z180" s="1979">
        <v>1.0716278462989133</v>
      </c>
      <c r="AA180" s="1979">
        <v>1.0823101507117705</v>
      </c>
      <c r="AB180" s="1979">
        <v>1.0716278462989133</v>
      </c>
      <c r="AC180" s="1979">
        <v>1.0823101507117705</v>
      </c>
      <c r="AD180" s="1979">
        <v>1.0716278462989133</v>
      </c>
      <c r="AE180" s="1979">
        <v>1.0823101507117705</v>
      </c>
      <c r="AF180" s="1979">
        <v>1.0716278462989133</v>
      </c>
      <c r="AG180" s="1979">
        <v>1.0823101507117705</v>
      </c>
      <c r="AH180" s="2000">
        <v>1.206388800524594</v>
      </c>
      <c r="AI180" s="1998">
        <v>1.2557207570577924</v>
      </c>
      <c r="AJ180" s="1998">
        <v>1.206388800524594</v>
      </c>
      <c r="AK180" s="1998">
        <v>1.2557207570577924</v>
      </c>
      <c r="AL180" s="1998">
        <v>1.206388800524594</v>
      </c>
      <c r="AM180" s="1998">
        <v>1.2557207570577924</v>
      </c>
      <c r="AN180" s="1998">
        <v>1.206388800524594</v>
      </c>
      <c r="AO180" s="1998">
        <v>1.2557207570577924</v>
      </c>
      <c r="AP180" s="1998">
        <v>1.206388800524594</v>
      </c>
      <c r="AQ180" s="1998">
        <v>1.2557207570577924</v>
      </c>
      <c r="AR180" s="1999">
        <v>1.0512793325222012</v>
      </c>
      <c r="AS180" s="1979">
        <v>1.0630560521699974</v>
      </c>
      <c r="AT180" s="1979">
        <v>1.0512793325222012</v>
      </c>
      <c r="AU180" s="1979">
        <v>1.0630560521699974</v>
      </c>
      <c r="AV180" s="1979">
        <v>1.0512793325222012</v>
      </c>
      <c r="AW180" s="1979">
        <v>1.0630560521699974</v>
      </c>
      <c r="AX180" s="1979">
        <v>1.0512793325222012</v>
      </c>
      <c r="AY180" s="1979">
        <v>1.0630560521699974</v>
      </c>
      <c r="AZ180" s="1979">
        <v>1.0512793325222012</v>
      </c>
      <c r="BA180" s="1979">
        <v>1.0630560521699974</v>
      </c>
      <c r="BB180" s="2000">
        <v>1.3180265000109936</v>
      </c>
      <c r="BC180" s="1998">
        <v>1.3308586370188196</v>
      </c>
      <c r="BD180" s="1998">
        <v>1.3180265000109936</v>
      </c>
      <c r="BE180" s="1998">
        <v>1.3308586370188196</v>
      </c>
      <c r="BF180" s="1998">
        <v>1.3180265000109936</v>
      </c>
      <c r="BG180" s="1998">
        <v>1.3308586370188196</v>
      </c>
      <c r="BH180" s="1998">
        <v>1.3180265000109936</v>
      </c>
      <c r="BI180" s="1998">
        <v>1.3308586370188196</v>
      </c>
      <c r="BJ180" s="1998">
        <v>1.3180265000109936</v>
      </c>
      <c r="BK180" s="1998">
        <v>1.3308586370188196</v>
      </c>
      <c r="BL180" s="1999">
        <v>1.1170137448642214</v>
      </c>
      <c r="BM180" s="1979">
        <v>1.1385153231561622</v>
      </c>
      <c r="BN180" s="1979">
        <v>1.1170137448642214</v>
      </c>
      <c r="BO180" s="1979">
        <v>1.1385153231561622</v>
      </c>
      <c r="BP180" s="1979">
        <v>1.1170137448642214</v>
      </c>
      <c r="BQ180" s="1979">
        <v>1.1385153231561622</v>
      </c>
      <c r="BR180" s="1979">
        <v>1.1170137448642214</v>
      </c>
      <c r="BS180" s="1979">
        <v>1.1385153231561622</v>
      </c>
      <c r="BT180" s="1979">
        <v>1.1170137448642214</v>
      </c>
      <c r="BU180" s="1979">
        <v>1.1385153231561622</v>
      </c>
      <c r="BV180" s="2000">
        <v>1.1720905657817644</v>
      </c>
      <c r="BW180" s="1998">
        <v>1.2170960699359263</v>
      </c>
      <c r="BX180" s="1998">
        <v>1.1720905657817644</v>
      </c>
      <c r="BY180" s="1998">
        <v>1.2170960699359263</v>
      </c>
      <c r="BZ180" s="1998">
        <v>1.1720905657817644</v>
      </c>
      <c r="CA180" s="1998">
        <v>1.2170960699359263</v>
      </c>
      <c r="CB180" s="1998">
        <v>1.1720905657817644</v>
      </c>
      <c r="CC180" s="1998">
        <v>1.2170960699359263</v>
      </c>
      <c r="CD180" s="1998">
        <v>1.1720905657817644</v>
      </c>
      <c r="CE180" s="1998">
        <v>1.2170960699359263</v>
      </c>
      <c r="CF180" s="1999">
        <v>1.0229462900654527</v>
      </c>
      <c r="CG180" s="1979">
        <v>1.029032677919284</v>
      </c>
      <c r="CH180" s="1979">
        <v>1.0229462900654527</v>
      </c>
      <c r="CI180" s="1979">
        <v>1.029032677919284</v>
      </c>
      <c r="CJ180" s="1979">
        <v>1.0229462900654527</v>
      </c>
      <c r="CK180" s="1979">
        <v>1.029032677919284</v>
      </c>
      <c r="CL180" s="1979">
        <v>1.0229462900654527</v>
      </c>
      <c r="CM180" s="1979">
        <v>1.029032677919284</v>
      </c>
      <c r="CN180" s="1979">
        <v>1.0229462900654527</v>
      </c>
      <c r="CO180" s="1979">
        <v>1.029032677919284</v>
      </c>
      <c r="CP180" s="2000">
        <v>1.0275227666553484</v>
      </c>
      <c r="CQ180" s="1998">
        <v>1.0347429251585825</v>
      </c>
      <c r="CR180" s="1998">
        <v>1.0275227666553484</v>
      </c>
      <c r="CS180" s="1998">
        <v>1.0347429251585825</v>
      </c>
      <c r="CT180" s="1998">
        <v>1.0275227666553484</v>
      </c>
      <c r="CU180" s="1998">
        <v>1.0347429251585825</v>
      </c>
      <c r="CV180" s="1998">
        <v>1.0275227666553484</v>
      </c>
      <c r="CW180" s="1998">
        <v>1.0347429251585825</v>
      </c>
      <c r="CX180" s="1998">
        <v>1.0275227666553484</v>
      </c>
      <c r="CY180" s="1998">
        <v>1.0347429251585825</v>
      </c>
      <c r="CZ180" s="1999">
        <v>1</v>
      </c>
      <c r="DA180" s="1979">
        <v>1</v>
      </c>
      <c r="DB180" s="1979">
        <v>1</v>
      </c>
      <c r="DC180" s="1979">
        <v>1</v>
      </c>
      <c r="DD180" s="1979">
        <v>1</v>
      </c>
      <c r="DE180" s="1979">
        <v>1</v>
      </c>
      <c r="DF180" s="1979">
        <v>1</v>
      </c>
      <c r="DG180" s="1979">
        <v>1</v>
      </c>
      <c r="DH180" s="1979">
        <v>1</v>
      </c>
      <c r="DI180" s="1979">
        <v>1</v>
      </c>
      <c r="DJ180" s="2000">
        <v>1.0056299445065071</v>
      </c>
      <c r="DK180" s="1998">
        <v>1.0069907332011339</v>
      </c>
      <c r="DL180" s="1998">
        <v>1.0056299445065071</v>
      </c>
      <c r="DM180" s="1998">
        <v>1.0069907332011339</v>
      </c>
      <c r="DN180" s="1998">
        <v>1.0056299445065071</v>
      </c>
      <c r="DO180" s="1998">
        <v>1.0069907332011339</v>
      </c>
      <c r="DP180" s="1998">
        <v>1.0056299445065071</v>
      </c>
      <c r="DQ180" s="1998">
        <v>1.0069907332011339</v>
      </c>
      <c r="DR180" s="1998">
        <v>1.0056299445065071</v>
      </c>
      <c r="DS180" s="1998">
        <v>1.0069907332011339</v>
      </c>
      <c r="GQ180" s="1997"/>
      <c r="GT180" s="1979"/>
      <c r="GU180" s="1979"/>
      <c r="GV180" s="1979"/>
      <c r="GW180" s="1979"/>
      <c r="GX180" s="1979"/>
      <c r="GY180" s="1979"/>
      <c r="GZ180" s="1979"/>
      <c r="HA180" s="1979"/>
      <c r="HB180" s="1979"/>
      <c r="HC180" s="1979"/>
      <c r="HD180" s="1979"/>
      <c r="HE180" s="1979"/>
      <c r="HF180" s="1979"/>
      <c r="HG180" s="1979"/>
      <c r="HH180" s="1979"/>
      <c r="HI180" s="1979"/>
      <c r="HJ180" s="1979"/>
      <c r="HK180" s="1979"/>
      <c r="HL180" s="1979"/>
      <c r="HM180" s="1979"/>
      <c r="HN180" s="1979"/>
      <c r="HO180" s="1979"/>
      <c r="HP180" s="1979"/>
      <c r="HQ180" s="1979"/>
      <c r="HR180" s="1979"/>
      <c r="HS180" s="1979"/>
      <c r="HT180" s="1979"/>
      <c r="HU180" s="1979"/>
      <c r="HV180" s="1979"/>
      <c r="HW180" s="1979"/>
      <c r="HX180" s="1979"/>
      <c r="HY180" s="1979"/>
      <c r="HZ180" s="1979"/>
      <c r="IA180" s="1979"/>
      <c r="IB180" s="1979"/>
      <c r="IC180" s="1979"/>
      <c r="ID180" s="1979"/>
      <c r="IE180" s="1979"/>
      <c r="IF180" s="1979"/>
      <c r="IG180" s="1979"/>
      <c r="IH180" s="1979"/>
      <c r="II180" s="1979"/>
      <c r="IJ180" s="1979"/>
      <c r="IK180" s="1979"/>
      <c r="IL180" s="1979"/>
      <c r="IM180" s="1979"/>
      <c r="IN180" s="1979"/>
      <c r="IO180" s="1979"/>
      <c r="IP180" s="1979"/>
      <c r="IQ180" s="1979"/>
      <c r="IR180" s="1979"/>
      <c r="IS180" s="1979"/>
      <c r="IT180" s="1979"/>
      <c r="IU180" s="1979"/>
      <c r="IV180" s="1979"/>
      <c r="IW180" s="1979"/>
      <c r="IX180" s="1979"/>
      <c r="IY180" s="1979"/>
      <c r="IZ180" s="1979"/>
      <c r="JA180" s="1979"/>
      <c r="JB180" s="1979"/>
      <c r="JC180" s="1979"/>
      <c r="JD180" s="1979"/>
      <c r="JE180" s="1979"/>
      <c r="JF180" s="1979"/>
      <c r="JG180" s="1979"/>
      <c r="JH180" s="1979"/>
      <c r="JI180" s="1979"/>
      <c r="JJ180" s="1979"/>
      <c r="JK180" s="1979"/>
      <c r="JL180" s="1979"/>
      <c r="JM180" s="1979"/>
      <c r="JN180" s="1979"/>
      <c r="JO180" s="1979"/>
      <c r="JP180" s="1979"/>
      <c r="JQ180" s="1979"/>
      <c r="JR180" s="1979"/>
      <c r="JS180" s="1979"/>
      <c r="JT180" s="1979"/>
      <c r="JU180" s="1979"/>
      <c r="JV180" s="1979"/>
      <c r="JW180" s="1979"/>
      <c r="JX180" s="1979"/>
      <c r="JY180" s="1979"/>
      <c r="JZ180" s="1979"/>
      <c r="KA180" s="1979"/>
      <c r="KB180" s="1979"/>
      <c r="KC180" s="1979"/>
      <c r="KD180" s="1979"/>
      <c r="KE180" s="1979"/>
      <c r="KF180" s="1979"/>
      <c r="KG180" s="1979"/>
      <c r="KH180" s="1979"/>
      <c r="KI180" s="1979"/>
      <c r="KJ180" s="1979"/>
      <c r="KK180" s="1979"/>
    </row>
    <row r="181" spans="1:297">
      <c r="A181" s="1997"/>
      <c r="B181" s="2">
        <v>39</v>
      </c>
      <c r="C181" s="2" t="str">
        <f>AF$18</f>
        <v/>
      </c>
      <c r="D181" s="1979">
        <v>1.0227769495140195</v>
      </c>
      <c r="E181" s="1979">
        <v>1.0059727025741969</v>
      </c>
      <c r="F181" s="1979">
        <v>1.0227769495140195</v>
      </c>
      <c r="G181" s="1979">
        <v>1.0059727025741969</v>
      </c>
      <c r="H181" s="1979">
        <v>1.0227769495140195</v>
      </c>
      <c r="I181" s="1979">
        <v>1.0059727025741969</v>
      </c>
      <c r="J181" s="1979">
        <v>1.0227769495140195</v>
      </c>
      <c r="K181" s="1979">
        <v>1.0059727025741969</v>
      </c>
      <c r="L181" s="1979">
        <v>1.0227769495140195</v>
      </c>
      <c r="M181" s="1979">
        <v>1.0059727025741969</v>
      </c>
      <c r="N181" s="2000">
        <v>1.1822842050055484</v>
      </c>
      <c r="O181" s="1998">
        <v>1.1383735895895952</v>
      </c>
      <c r="P181" s="1998">
        <v>1.1822842050055484</v>
      </c>
      <c r="Q181" s="1998">
        <v>1.1383735895895952</v>
      </c>
      <c r="R181" s="1998">
        <v>1.1822842050055484</v>
      </c>
      <c r="S181" s="1998">
        <v>1.1383735895895952</v>
      </c>
      <c r="T181" s="1998">
        <v>1.1822842050055484</v>
      </c>
      <c r="U181" s="1998">
        <v>1.1383735895895952</v>
      </c>
      <c r="V181" s="1998">
        <v>1.1822842050055484</v>
      </c>
      <c r="W181" s="1998">
        <v>1.1383735895895952</v>
      </c>
      <c r="X181" s="1999">
        <v>1.0434388234052001</v>
      </c>
      <c r="Y181" s="1979">
        <v>1.0280974034669013</v>
      </c>
      <c r="Z181" s="1979">
        <v>1.0434388234052001</v>
      </c>
      <c r="AA181" s="1979">
        <v>1.0280974034669013</v>
      </c>
      <c r="AB181" s="1979">
        <v>1.0434388234052001</v>
      </c>
      <c r="AC181" s="1979">
        <v>1.0280974034669013</v>
      </c>
      <c r="AD181" s="1979">
        <v>1.0434388234052001</v>
      </c>
      <c r="AE181" s="1979">
        <v>1.0280974034669013</v>
      </c>
      <c r="AF181" s="1979">
        <v>1.0434388234052001</v>
      </c>
      <c r="AG181" s="1979">
        <v>1.0280974034669013</v>
      </c>
      <c r="AH181" s="2000">
        <v>1.1251648223706952</v>
      </c>
      <c r="AI181" s="1998">
        <v>1.0977249400985309</v>
      </c>
      <c r="AJ181" s="1998">
        <v>1.1251648223706952</v>
      </c>
      <c r="AK181" s="1998">
        <v>1.0977249400985309</v>
      </c>
      <c r="AL181" s="1998">
        <v>1.1251648223706952</v>
      </c>
      <c r="AM181" s="1998">
        <v>1.0977249400985309</v>
      </c>
      <c r="AN181" s="1998">
        <v>1.1251648223706952</v>
      </c>
      <c r="AO181" s="1998">
        <v>1.0977249400985309</v>
      </c>
      <c r="AP181" s="1998">
        <v>1.1251648223706952</v>
      </c>
      <c r="AQ181" s="1998">
        <v>1.0977249400985309</v>
      </c>
      <c r="AR181" s="1999">
        <v>1.0310984342663703</v>
      </c>
      <c r="AS181" s="1979">
        <v>1.0240971792515468</v>
      </c>
      <c r="AT181" s="1979">
        <v>1.0310984342663703</v>
      </c>
      <c r="AU181" s="1979">
        <v>1.0240971792515468</v>
      </c>
      <c r="AV181" s="1979">
        <v>1.0310984342663703</v>
      </c>
      <c r="AW181" s="1979">
        <v>1.0240971792515468</v>
      </c>
      <c r="AX181" s="1979">
        <v>1.0310984342663703</v>
      </c>
      <c r="AY181" s="1979">
        <v>1.0240971792515468</v>
      </c>
      <c r="AZ181" s="1979">
        <v>1.0310984342663703</v>
      </c>
      <c r="BA181" s="1979">
        <v>1.0240971792515468</v>
      </c>
      <c r="BB181" s="2000">
        <v>1.3180265000109936</v>
      </c>
      <c r="BC181" s="1998">
        <v>1.3308586370188196</v>
      </c>
      <c r="BD181" s="1998">
        <v>1.3180265000109936</v>
      </c>
      <c r="BE181" s="1998">
        <v>1.3308586370188196</v>
      </c>
      <c r="BF181" s="1998">
        <v>1.3180265000109936</v>
      </c>
      <c r="BG181" s="1998">
        <v>1.3308586370188196</v>
      </c>
      <c r="BH181" s="1998">
        <v>1.3180265000109936</v>
      </c>
      <c r="BI181" s="1998">
        <v>1.3308586370188196</v>
      </c>
      <c r="BJ181" s="1998">
        <v>1.3180265000109936</v>
      </c>
      <c r="BK181" s="1998">
        <v>1.3308586370188196</v>
      </c>
      <c r="BL181" s="1999">
        <v>1.0991807094920885</v>
      </c>
      <c r="BM181" s="1979">
        <v>1.0810384024859852</v>
      </c>
      <c r="BN181" s="1979">
        <v>1.0991807094920885</v>
      </c>
      <c r="BO181" s="1979">
        <v>1.0810384024859852</v>
      </c>
      <c r="BP181" s="1979">
        <v>1.0991807094920885</v>
      </c>
      <c r="BQ181" s="1979">
        <v>1.0810384024859852</v>
      </c>
      <c r="BR181" s="1979">
        <v>1.0991807094920885</v>
      </c>
      <c r="BS181" s="1979">
        <v>1.0810384024859852</v>
      </c>
      <c r="BT181" s="1979">
        <v>1.0991807094920885</v>
      </c>
      <c r="BU181" s="1979">
        <v>1.0810384024859852</v>
      </c>
      <c r="BV181" s="2000">
        <v>1.1043646023572886</v>
      </c>
      <c r="BW181" s="1998">
        <v>1.0829643266906182</v>
      </c>
      <c r="BX181" s="1998">
        <v>1.1043646023572886</v>
      </c>
      <c r="BY181" s="1998">
        <v>1.0829643266906182</v>
      </c>
      <c r="BZ181" s="1998">
        <v>1.1043646023572886</v>
      </c>
      <c r="CA181" s="1998">
        <v>1.0829643266906182</v>
      </c>
      <c r="CB181" s="1998">
        <v>1.1043646023572886</v>
      </c>
      <c r="CC181" s="1998">
        <v>1.0829643266906182</v>
      </c>
      <c r="CD181" s="1998">
        <v>1.1043646023572886</v>
      </c>
      <c r="CE181" s="1998">
        <v>1.0829643266906182</v>
      </c>
      <c r="CF181" s="1999">
        <v>1.013915814776813</v>
      </c>
      <c r="CG181" s="1979">
        <v>1.0110949800994089</v>
      </c>
      <c r="CH181" s="1979">
        <v>1.013915814776813</v>
      </c>
      <c r="CI181" s="1979">
        <v>1.0110949800994089</v>
      </c>
      <c r="CJ181" s="1979">
        <v>1.013915814776813</v>
      </c>
      <c r="CK181" s="1979">
        <v>1.0110949800994089</v>
      </c>
      <c r="CL181" s="1979">
        <v>1.013915814776813</v>
      </c>
      <c r="CM181" s="1979">
        <v>1.0110949800994089</v>
      </c>
      <c r="CN181" s="1979">
        <v>1.013915814776813</v>
      </c>
      <c r="CO181" s="1979">
        <v>1.0110949800994089</v>
      </c>
      <c r="CP181" s="2000">
        <v>1.0166912264173766</v>
      </c>
      <c r="CQ181" s="1998">
        <v>1.0132771790566961</v>
      </c>
      <c r="CR181" s="1998">
        <v>1.0166912264173766</v>
      </c>
      <c r="CS181" s="1998">
        <v>1.0132771790566961</v>
      </c>
      <c r="CT181" s="1998">
        <v>1.0166912264173766</v>
      </c>
      <c r="CU181" s="1998">
        <v>1.0132771790566961</v>
      </c>
      <c r="CV181" s="1998">
        <v>1.0166912264173766</v>
      </c>
      <c r="CW181" s="1998">
        <v>1.0132771790566961</v>
      </c>
      <c r="CX181" s="1998">
        <v>1.0166912264173766</v>
      </c>
      <c r="CY181" s="1998">
        <v>1.0132771790566961</v>
      </c>
      <c r="CZ181" s="1999">
        <v>1</v>
      </c>
      <c r="DA181" s="1979">
        <v>1</v>
      </c>
      <c r="DB181" s="1979">
        <v>1</v>
      </c>
      <c r="DC181" s="1979">
        <v>1</v>
      </c>
      <c r="DD181" s="1979">
        <v>1</v>
      </c>
      <c r="DE181" s="1979">
        <v>1</v>
      </c>
      <c r="DF181" s="1979">
        <v>1</v>
      </c>
      <c r="DG181" s="1979">
        <v>1</v>
      </c>
      <c r="DH181" s="1979">
        <v>1</v>
      </c>
      <c r="DI181" s="1979">
        <v>1</v>
      </c>
      <c r="DJ181" s="2000">
        <v>1.0035107351701431</v>
      </c>
      <c r="DK181" s="1998">
        <v>1.0027735639769348</v>
      </c>
      <c r="DL181" s="1998">
        <v>1.0035107351701431</v>
      </c>
      <c r="DM181" s="1998">
        <v>1.0027735639769348</v>
      </c>
      <c r="DN181" s="1998">
        <v>1.0035107351701431</v>
      </c>
      <c r="DO181" s="1998">
        <v>1.0027735639769348</v>
      </c>
      <c r="DP181" s="1998">
        <v>1.0035107351701431</v>
      </c>
      <c r="DQ181" s="1998">
        <v>1.0027735639769348</v>
      </c>
      <c r="DR181" s="1998">
        <v>1.0035107351701431</v>
      </c>
      <c r="DS181" s="1998">
        <v>1.0027735639769348</v>
      </c>
      <c r="GQ181" s="1997"/>
      <c r="GT181" s="1979"/>
      <c r="GU181" s="1979"/>
      <c r="GV181" s="1979"/>
      <c r="GW181" s="1979"/>
      <c r="GX181" s="1979"/>
      <c r="GY181" s="1979"/>
      <c r="GZ181" s="1979"/>
      <c r="HA181" s="1979"/>
      <c r="HB181" s="1979"/>
      <c r="HC181" s="1979"/>
      <c r="HD181" s="1979"/>
      <c r="HE181" s="1979"/>
      <c r="HF181" s="1979"/>
      <c r="HG181" s="1979"/>
      <c r="HH181" s="1979"/>
      <c r="HI181" s="1979"/>
      <c r="HJ181" s="1979"/>
      <c r="HK181" s="1979"/>
      <c r="HL181" s="1979"/>
      <c r="HM181" s="1979"/>
      <c r="HN181" s="1979"/>
      <c r="HO181" s="1979"/>
      <c r="HP181" s="1979"/>
      <c r="HQ181" s="1979"/>
      <c r="HR181" s="1979"/>
      <c r="HS181" s="1979"/>
      <c r="HT181" s="1979"/>
      <c r="HU181" s="1979"/>
      <c r="HV181" s="1979"/>
      <c r="HW181" s="1979"/>
      <c r="HX181" s="1979"/>
      <c r="HY181" s="1979"/>
      <c r="HZ181" s="1979"/>
      <c r="IA181" s="1979"/>
      <c r="IB181" s="1979"/>
      <c r="IC181" s="1979"/>
      <c r="ID181" s="1979"/>
      <c r="IE181" s="1979"/>
      <c r="IF181" s="1979"/>
      <c r="IG181" s="1979"/>
      <c r="IH181" s="1979"/>
      <c r="II181" s="1979"/>
      <c r="IJ181" s="1979"/>
      <c r="IK181" s="1979"/>
      <c r="IL181" s="1979"/>
      <c r="IM181" s="1979"/>
      <c r="IN181" s="1979"/>
      <c r="IO181" s="1979"/>
      <c r="IP181" s="1979"/>
      <c r="IQ181" s="1979"/>
      <c r="IR181" s="1979"/>
      <c r="IS181" s="1979"/>
      <c r="IT181" s="1979"/>
      <c r="IU181" s="1979"/>
      <c r="IV181" s="1979"/>
      <c r="IW181" s="1979"/>
      <c r="IX181" s="1979"/>
      <c r="IY181" s="1979"/>
      <c r="IZ181" s="1979"/>
      <c r="JA181" s="1979"/>
      <c r="JB181" s="1979"/>
      <c r="JC181" s="1979"/>
      <c r="JD181" s="1979"/>
      <c r="JE181" s="1979"/>
      <c r="JF181" s="1979"/>
      <c r="JG181" s="1979"/>
      <c r="JH181" s="1979"/>
      <c r="JI181" s="1979"/>
      <c r="JJ181" s="1979"/>
      <c r="JK181" s="1979"/>
      <c r="JL181" s="1979"/>
      <c r="JM181" s="1979"/>
      <c r="JN181" s="1979"/>
      <c r="JO181" s="1979"/>
      <c r="JP181" s="1979"/>
      <c r="JQ181" s="1979"/>
      <c r="JR181" s="1979"/>
      <c r="JS181" s="1979"/>
      <c r="JT181" s="1979"/>
      <c r="JU181" s="1979"/>
      <c r="JV181" s="1979"/>
      <c r="JW181" s="1979"/>
      <c r="JX181" s="1979"/>
      <c r="JY181" s="1979"/>
      <c r="JZ181" s="1979"/>
      <c r="KA181" s="1979"/>
      <c r="KB181" s="1979"/>
      <c r="KC181" s="1979"/>
      <c r="KD181" s="1979"/>
      <c r="KE181" s="1979"/>
      <c r="KF181" s="1979"/>
      <c r="KG181" s="1979"/>
      <c r="KH181" s="1979"/>
      <c r="KI181" s="1979"/>
      <c r="KJ181" s="1979"/>
      <c r="KK181" s="1979"/>
    </row>
    <row r="182" spans="1:297">
      <c r="A182" s="1925" t="str">
        <f>Uebersetzung!$D633</f>
        <v>Construction en bois légère</v>
      </c>
      <c r="B182" s="2">
        <v>1</v>
      </c>
      <c r="C182" s="2" t="s">
        <v>4327</v>
      </c>
      <c r="D182" s="2004">
        <v>0.77515179640127996</v>
      </c>
      <c r="E182" s="2004">
        <v>0.60990515701947401</v>
      </c>
      <c r="F182" s="2004">
        <v>0.77618938150263672</v>
      </c>
      <c r="G182" s="2004">
        <v>0.61063763434634288</v>
      </c>
      <c r="H182" s="2004">
        <v>0.77700853460780761</v>
      </c>
      <c r="I182" s="2004">
        <v>0.6112063164054381</v>
      </c>
      <c r="J182" s="2004">
        <v>0.77802130090227739</v>
      </c>
      <c r="K182" s="2004">
        <v>0.61191603970687303</v>
      </c>
      <c r="L182" s="2004">
        <v>0.77903406719674695</v>
      </c>
      <c r="M182" s="2004">
        <v>0.61262576300830796</v>
      </c>
      <c r="N182" s="2005">
        <v>0.64447635880058307</v>
      </c>
      <c r="O182" s="2002">
        <v>0.53637486867820805</v>
      </c>
      <c r="P182" s="2002">
        <v>0.6452302091958757</v>
      </c>
      <c r="Q182" s="2002">
        <v>0.53690997985834921</v>
      </c>
      <c r="R182" s="2002">
        <v>0.64579449279351375</v>
      </c>
      <c r="S182" s="2002">
        <v>0.53729737579659675</v>
      </c>
      <c r="T182" s="2002">
        <v>0.64651347497147604</v>
      </c>
      <c r="U182" s="2002">
        <v>0.53780056149753608</v>
      </c>
      <c r="V182" s="2002">
        <v>0.64723245714943833</v>
      </c>
      <c r="W182" s="2002">
        <v>0.5383037471984754</v>
      </c>
      <c r="X182" s="2003">
        <v>0.68255102317588945</v>
      </c>
      <c r="Y182" s="2004">
        <v>0.55229875523502825</v>
      </c>
      <c r="Z182" s="2004">
        <v>0.6835019757168721</v>
      </c>
      <c r="AA182" s="2004">
        <v>0.55297553603113903</v>
      </c>
      <c r="AB182" s="2004">
        <v>0.6835884259478705</v>
      </c>
      <c r="AC182" s="2004">
        <v>0.5530370615580581</v>
      </c>
      <c r="AD182" s="2004">
        <v>0.68367487617886891</v>
      </c>
      <c r="AE182" s="2004">
        <v>0.55309858708497728</v>
      </c>
      <c r="AF182" s="2004">
        <v>0.68383336826903274</v>
      </c>
      <c r="AG182" s="2004">
        <v>0.55321138388432911</v>
      </c>
      <c r="AH182" s="2005">
        <v>0.5311553812652402</v>
      </c>
      <c r="AI182" s="2002">
        <v>0.44571679506658279</v>
      </c>
      <c r="AJ182" s="2002">
        <v>0.53179899871226355</v>
      </c>
      <c r="AK182" s="2002">
        <v>0.4461800893389119</v>
      </c>
      <c r="AL182" s="2002">
        <v>0.53186336045696581</v>
      </c>
      <c r="AM182" s="2002">
        <v>0.44622641876614477</v>
      </c>
      <c r="AN182" s="2002">
        <v>0.53192772220166828</v>
      </c>
      <c r="AO182" s="2002">
        <v>0.4462727481933777</v>
      </c>
      <c r="AP182" s="2002">
        <v>0.5320457187336225</v>
      </c>
      <c r="AQ182" s="2002">
        <v>0.44635768547663801</v>
      </c>
      <c r="AR182" s="2003">
        <v>0.71549455607905432</v>
      </c>
      <c r="AS182" s="2004">
        <v>0.59274639034312704</v>
      </c>
      <c r="AT182" s="2004">
        <v>0.71644195791381582</v>
      </c>
      <c r="AU182" s="2004">
        <v>0.59342320211380006</v>
      </c>
      <c r="AV182" s="2004">
        <v>0.71657730103306738</v>
      </c>
      <c r="AW182" s="2004">
        <v>0.59351988950961054</v>
      </c>
      <c r="AX182" s="2004">
        <v>0.71671264415231906</v>
      </c>
      <c r="AY182" s="2004">
        <v>0.59361657690542102</v>
      </c>
      <c r="AZ182" s="2004">
        <v>0.71696077320428031</v>
      </c>
      <c r="BA182" s="2004">
        <v>0.59379383713107348</v>
      </c>
      <c r="BB182" s="2005">
        <v>0.72440756780281512</v>
      </c>
      <c r="BC182" s="2002">
        <v>0.59719025290198291</v>
      </c>
      <c r="BD182" s="2002">
        <v>0.72524403072240196</v>
      </c>
      <c r="BE182" s="2002">
        <v>0.59776727150106079</v>
      </c>
      <c r="BF182" s="2002">
        <v>0.72538344120899989</v>
      </c>
      <c r="BG182" s="2002">
        <v>0.59786344126757374</v>
      </c>
      <c r="BH182" s="2002">
        <v>0.7255228516955976</v>
      </c>
      <c r="BI182" s="2002">
        <v>0.59795961103408668</v>
      </c>
      <c r="BJ182" s="2002">
        <v>0.72577843758769367</v>
      </c>
      <c r="BK182" s="2002">
        <v>0.59813592227269374</v>
      </c>
      <c r="BL182" s="2003">
        <v>0.68872803930801363</v>
      </c>
      <c r="BM182" s="2004">
        <v>0.55903859516774757</v>
      </c>
      <c r="BN182" s="2004">
        <v>0.68904071594730176</v>
      </c>
      <c r="BO182" s="2004">
        <v>0.55925362843055892</v>
      </c>
      <c r="BP182" s="2004">
        <v>0.68932733619998254</v>
      </c>
      <c r="BQ182" s="2004">
        <v>0.55945074225480251</v>
      </c>
      <c r="BR182" s="2004">
        <v>0.68964001283927068</v>
      </c>
      <c r="BS182" s="2004">
        <v>0.55966577551761365</v>
      </c>
      <c r="BT182" s="2004">
        <v>0.69039564805088383</v>
      </c>
      <c r="BU182" s="2004">
        <v>0.56018543923607422</v>
      </c>
      <c r="BV182" s="2005">
        <v>0.74760407758810576</v>
      </c>
      <c r="BW182" s="2002">
        <v>0.63980007999944433</v>
      </c>
      <c r="BX182" s="2002">
        <v>0.74848325125524384</v>
      </c>
      <c r="BY182" s="2002">
        <v>0.64044846259640897</v>
      </c>
      <c r="BZ182" s="2002">
        <v>0.74918313715022433</v>
      </c>
      <c r="CA182" s="2002">
        <v>0.6409573712755825</v>
      </c>
      <c r="CB182" s="2002">
        <v>0.75004444236592538</v>
      </c>
      <c r="CC182" s="2002">
        <v>0.64158862106256709</v>
      </c>
      <c r="CD182" s="2002">
        <v>0.75090574758162654</v>
      </c>
      <c r="CE182" s="2002">
        <v>0.64221987084955146</v>
      </c>
      <c r="CF182" s="2003">
        <v>0.54932669976397386</v>
      </c>
      <c r="CG182" s="2004">
        <v>0.47585244925455666</v>
      </c>
      <c r="CH182" s="2004">
        <v>0.54952691399281306</v>
      </c>
      <c r="CI182" s="2004">
        <v>0.47599961909667909</v>
      </c>
      <c r="CJ182" s="2004">
        <v>0.54971044370258237</v>
      </c>
      <c r="CK182" s="2004">
        <v>0.47613452478529117</v>
      </c>
      <c r="CL182" s="2004">
        <v>0.54991065793142169</v>
      </c>
      <c r="CM182" s="2004">
        <v>0.47628169462741365</v>
      </c>
      <c r="CN182" s="2004">
        <v>0.55039450898444986</v>
      </c>
      <c r="CO182" s="2004">
        <v>0.47663735507920951</v>
      </c>
      <c r="CP182" s="2005">
        <v>0.49183411777749614</v>
      </c>
      <c r="CQ182" s="2002">
        <v>0.41580146795793349</v>
      </c>
      <c r="CR182" s="2002">
        <v>0.49204424513577455</v>
      </c>
      <c r="CS182" s="2002">
        <v>0.41595556920796595</v>
      </c>
      <c r="CT182" s="2002">
        <v>0.49223686188086319</v>
      </c>
      <c r="CU182" s="2002">
        <v>0.41609682868716241</v>
      </c>
      <c r="CV182" s="2002">
        <v>0.49244698923914171</v>
      </c>
      <c r="CW182" s="2002">
        <v>0.41625092993719487</v>
      </c>
      <c r="CX182" s="2002">
        <v>0.49295479702164802</v>
      </c>
      <c r="CY182" s="2002">
        <v>0.41662334129144002</v>
      </c>
      <c r="CZ182" s="2003">
        <v>0.45111034965390084</v>
      </c>
      <c r="DA182" s="2004">
        <v>0.39224579820949029</v>
      </c>
      <c r="DB182" s="2004">
        <v>0.45159500661581037</v>
      </c>
      <c r="DC182" s="2004">
        <v>0.39259792213511374</v>
      </c>
      <c r="DD182" s="2004">
        <v>0.45207966357771984</v>
      </c>
      <c r="DE182" s="2004">
        <v>0.39295004606073719</v>
      </c>
      <c r="DF182" s="2004">
        <v>0.45256432053962925</v>
      </c>
      <c r="DG182" s="2004">
        <v>0.39330216998636069</v>
      </c>
      <c r="DH182" s="2004">
        <v>0.45304897750153866</v>
      </c>
      <c r="DI182" s="2004">
        <v>0.39365429391198414</v>
      </c>
      <c r="DJ182" s="2005">
        <v>0.40786058592197727</v>
      </c>
      <c r="DK182" s="2002">
        <v>0.36599648398131007</v>
      </c>
      <c r="DL182" s="2002">
        <v>0.40850172621496145</v>
      </c>
      <c r="DM182" s="2002">
        <v>0.36646862097618754</v>
      </c>
      <c r="DN182" s="2002">
        <v>0.40914286650794562</v>
      </c>
      <c r="DO182" s="2002">
        <v>0.36694075797106496</v>
      </c>
      <c r="DP182" s="2002">
        <v>0.40978400680092986</v>
      </c>
      <c r="DQ182" s="2002">
        <v>0.36741289496594243</v>
      </c>
      <c r="DR182" s="2002">
        <v>0.41042514709391403</v>
      </c>
      <c r="DS182" s="2002">
        <v>0.3678850319608199</v>
      </c>
      <c r="GQ182" s="2006"/>
      <c r="GT182" s="1979"/>
      <c r="GU182" s="1979"/>
      <c r="GV182" s="1979"/>
      <c r="GW182" s="1979"/>
      <c r="GX182" s="1979"/>
      <c r="GY182" s="1979"/>
      <c r="GZ182" s="1979"/>
      <c r="HA182" s="1979"/>
      <c r="HB182" s="1979"/>
      <c r="HC182" s="1979"/>
      <c r="HD182" s="1979"/>
      <c r="HE182" s="1979"/>
      <c r="HF182" s="1979"/>
      <c r="HG182" s="1979"/>
      <c r="HH182" s="1979"/>
      <c r="HI182" s="1979"/>
      <c r="HJ182" s="1979"/>
      <c r="HK182" s="1979"/>
      <c r="HL182" s="1979"/>
      <c r="HM182" s="1979"/>
      <c r="HN182" s="1979"/>
      <c r="HO182" s="1979"/>
      <c r="HP182" s="1979"/>
      <c r="HQ182" s="1979"/>
      <c r="HR182" s="1979"/>
      <c r="HS182" s="1979"/>
      <c r="HT182" s="1979"/>
      <c r="HU182" s="1979"/>
      <c r="HV182" s="1979"/>
      <c r="HW182" s="1979"/>
      <c r="HX182" s="1979"/>
      <c r="HY182" s="1979"/>
      <c r="HZ182" s="1979"/>
      <c r="IA182" s="1979"/>
      <c r="IB182" s="1979"/>
      <c r="IC182" s="1979"/>
      <c r="ID182" s="1979"/>
      <c r="IE182" s="1979"/>
      <c r="IF182" s="1979"/>
      <c r="IG182" s="1979"/>
      <c r="IH182" s="1979"/>
      <c r="II182" s="1979"/>
      <c r="IJ182" s="1979"/>
      <c r="IK182" s="1979"/>
      <c r="IL182" s="1979"/>
      <c r="IM182" s="1979"/>
      <c r="IN182" s="1979"/>
      <c r="IO182" s="1979"/>
      <c r="IP182" s="1979"/>
      <c r="IQ182" s="1979"/>
      <c r="IR182" s="1979"/>
      <c r="IS182" s="1979"/>
      <c r="IT182" s="1979"/>
      <c r="IU182" s="1979"/>
      <c r="IV182" s="1979"/>
      <c r="IW182" s="1979"/>
      <c r="IX182" s="1979"/>
      <c r="IY182" s="1979"/>
      <c r="IZ182" s="1979"/>
      <c r="JA182" s="1979"/>
      <c r="JB182" s="1979"/>
      <c r="JC182" s="1979"/>
      <c r="JD182" s="1979"/>
      <c r="JE182" s="1979"/>
      <c r="JF182" s="1979"/>
      <c r="JG182" s="1979"/>
      <c r="JH182" s="1979"/>
      <c r="JI182" s="1979"/>
      <c r="JJ182" s="1979"/>
      <c r="JK182" s="1979"/>
      <c r="JL182" s="1979"/>
      <c r="JM182" s="1979"/>
      <c r="JN182" s="1979"/>
      <c r="JO182" s="1979"/>
      <c r="JP182" s="1979"/>
      <c r="JQ182" s="1979"/>
      <c r="JR182" s="1979"/>
      <c r="JS182" s="1979"/>
      <c r="JT182" s="1979"/>
      <c r="JU182" s="1979"/>
      <c r="JV182" s="1979"/>
      <c r="JW182" s="1979"/>
      <c r="JX182" s="1979"/>
      <c r="JY182" s="1979"/>
      <c r="JZ182" s="1979"/>
      <c r="KA182" s="1979"/>
      <c r="KB182" s="1979"/>
      <c r="KC182" s="1979"/>
      <c r="KD182" s="1979"/>
      <c r="KE182" s="1979"/>
      <c r="KF182" s="1979"/>
      <c r="KG182" s="1979"/>
      <c r="KH182" s="1979"/>
      <c r="KI182" s="1979"/>
      <c r="KJ182" s="1979"/>
      <c r="KK182" s="1979"/>
    </row>
    <row r="183" spans="1:297">
      <c r="A183" s="1997"/>
      <c r="B183" s="2">
        <v>2</v>
      </c>
      <c r="C183" s="2" t="s">
        <v>4328</v>
      </c>
      <c r="D183" s="1998">
        <v>0.79804732316968696</v>
      </c>
      <c r="E183" s="1998">
        <v>0.63300748769635173</v>
      </c>
      <c r="F183" s="1998">
        <v>0.79908609011899057</v>
      </c>
      <c r="G183" s="1998">
        <v>0.6337410485482412</v>
      </c>
      <c r="H183" s="1998">
        <v>0.79990406137621461</v>
      </c>
      <c r="I183" s="1998">
        <v>0.63430864708231582</v>
      </c>
      <c r="J183" s="1998">
        <v>0.80091682767068417</v>
      </c>
      <c r="K183" s="1998">
        <v>0.63501837038375075</v>
      </c>
      <c r="L183" s="1998">
        <v>0.80192959396515384</v>
      </c>
      <c r="M183" s="1998">
        <v>0.63572809368518557</v>
      </c>
      <c r="N183" s="1999">
        <v>0.66618431156313362</v>
      </c>
      <c r="O183" s="1979">
        <v>0.55486494163632316</v>
      </c>
      <c r="P183" s="1979">
        <v>0.66694267158120135</v>
      </c>
      <c r="Q183" s="1979">
        <v>0.55540418184510787</v>
      </c>
      <c r="R183" s="1979">
        <v>0.66750244555606464</v>
      </c>
      <c r="S183" s="1979">
        <v>0.55578744875471187</v>
      </c>
      <c r="T183" s="1979">
        <v>0.66822142773402671</v>
      </c>
      <c r="U183" s="1979">
        <v>0.55629063445565119</v>
      </c>
      <c r="V183" s="1979">
        <v>0.668940409911989</v>
      </c>
      <c r="W183" s="1979">
        <v>0.55679382015659051</v>
      </c>
      <c r="X183" s="2000">
        <v>0.69733142674175674</v>
      </c>
      <c r="Y183" s="1998">
        <v>0.56458567948421901</v>
      </c>
      <c r="Z183" s="1998">
        <v>0.6982823792827394</v>
      </c>
      <c r="AA183" s="1998">
        <v>0.56526246028032978</v>
      </c>
      <c r="AB183" s="1998">
        <v>0.6983688295137378</v>
      </c>
      <c r="AC183" s="1998">
        <v>0.56532398580724896</v>
      </c>
      <c r="AD183" s="1998">
        <v>0.6984552797447362</v>
      </c>
      <c r="AE183" s="1998">
        <v>0.56538551133416814</v>
      </c>
      <c r="AF183" s="1998">
        <v>0.69861377183490014</v>
      </c>
      <c r="AG183" s="1998">
        <v>0.56549830813351987</v>
      </c>
      <c r="AH183" s="1999">
        <v>0.53593619987763719</v>
      </c>
      <c r="AI183" s="1979">
        <v>0.45096218286081008</v>
      </c>
      <c r="AJ183" s="1979">
        <v>0.53657981732466042</v>
      </c>
      <c r="AK183" s="1979">
        <v>0.45142547713313913</v>
      </c>
      <c r="AL183" s="1979">
        <v>0.53665133037432966</v>
      </c>
      <c r="AM183" s="1979">
        <v>0.45147695427450896</v>
      </c>
      <c r="AN183" s="1979">
        <v>0.5367228434239989</v>
      </c>
      <c r="AO183" s="1979">
        <v>0.45152843141587889</v>
      </c>
      <c r="AP183" s="1979">
        <v>0.53685395068172603</v>
      </c>
      <c r="AQ183" s="1979">
        <v>0.45162280617505701</v>
      </c>
      <c r="AR183" s="2000">
        <v>0.74293326992942477</v>
      </c>
      <c r="AS183" s="1998">
        <v>0.61552697028347547</v>
      </c>
      <c r="AT183" s="1998">
        <v>0.74388067176418626</v>
      </c>
      <c r="AU183" s="1998">
        <v>0.61620378205414861</v>
      </c>
      <c r="AV183" s="1998">
        <v>0.74401601488343794</v>
      </c>
      <c r="AW183" s="1998">
        <v>0.61630046944995898</v>
      </c>
      <c r="AX183" s="1998">
        <v>0.74415135800268961</v>
      </c>
      <c r="AY183" s="1998">
        <v>0.61639715684576935</v>
      </c>
      <c r="AZ183" s="1998">
        <v>0.74439948705465098</v>
      </c>
      <c r="BA183" s="1998">
        <v>0.61657441707142191</v>
      </c>
      <c r="BB183" s="1999">
        <v>0.75721126383102777</v>
      </c>
      <c r="BC183" s="1979">
        <v>0.62241956033530477</v>
      </c>
      <c r="BD183" s="1979">
        <v>0.75804772675061483</v>
      </c>
      <c r="BE183" s="1979">
        <v>0.62299657893438254</v>
      </c>
      <c r="BF183" s="1979">
        <v>0.75818713723721254</v>
      </c>
      <c r="BG183" s="1979">
        <v>0.62309274870089559</v>
      </c>
      <c r="BH183" s="1979">
        <v>0.75832654772381036</v>
      </c>
      <c r="BI183" s="1979">
        <v>0.62318891846740854</v>
      </c>
      <c r="BJ183" s="1979">
        <v>0.75858213361590643</v>
      </c>
      <c r="BK183" s="1979">
        <v>0.6233652297060156</v>
      </c>
      <c r="BL183" s="2000">
        <v>0.70472840709751017</v>
      </c>
      <c r="BM183" s="1998">
        <v>0.57164075345991083</v>
      </c>
      <c r="BN183" s="1998">
        <v>0.70504108373679841</v>
      </c>
      <c r="BO183" s="1998">
        <v>0.57185578672272197</v>
      </c>
      <c r="BP183" s="1998">
        <v>0.70532770398947919</v>
      </c>
      <c r="BQ183" s="1998">
        <v>0.57205290054696556</v>
      </c>
      <c r="BR183" s="1998">
        <v>0.70564038062876722</v>
      </c>
      <c r="BS183" s="1998">
        <v>0.57226793380977681</v>
      </c>
      <c r="BT183" s="1998">
        <v>0.70639601584038025</v>
      </c>
      <c r="BU183" s="1998">
        <v>0.57278759752823727</v>
      </c>
      <c r="BV183" s="1999">
        <v>0.76502933840053777</v>
      </c>
      <c r="BW183" s="1979">
        <v>0.65761000341318365</v>
      </c>
      <c r="BX183" s="1979">
        <v>0.76590865501528738</v>
      </c>
      <c r="BY183" s="1979">
        <v>0.65825852307262822</v>
      </c>
      <c r="BZ183" s="1979">
        <v>0.76660839796265645</v>
      </c>
      <c r="CA183" s="1979">
        <v>0.65876729468932194</v>
      </c>
      <c r="CB183" s="1979">
        <v>0.7674697031783575</v>
      </c>
      <c r="CC183" s="1979">
        <v>0.65939854447630641</v>
      </c>
      <c r="CD183" s="1979">
        <v>0.76833100839405855</v>
      </c>
      <c r="CE183" s="1979">
        <v>0.660029794263291</v>
      </c>
      <c r="CF183" s="2000">
        <v>0.56032250049895749</v>
      </c>
      <c r="CG183" s="1998">
        <v>0.48794274111805619</v>
      </c>
      <c r="CH183" s="1998">
        <v>0.56055608376593657</v>
      </c>
      <c r="CI183" s="1998">
        <v>0.48811443926719894</v>
      </c>
      <c r="CJ183" s="1998">
        <v>0.56077020176066739</v>
      </c>
      <c r="CK183" s="1998">
        <v>0.4882718292372466</v>
      </c>
      <c r="CL183" s="1998">
        <v>0.56100378502764658</v>
      </c>
      <c r="CM183" s="1998">
        <v>0.48844352738638941</v>
      </c>
      <c r="CN183" s="1998">
        <v>0.56156827792284603</v>
      </c>
      <c r="CO183" s="1998">
        <v>0.48885846458015114</v>
      </c>
      <c r="CP183" s="1999">
        <v>0.51944187980493173</v>
      </c>
      <c r="CQ183" s="1979">
        <v>0.44594903804863051</v>
      </c>
      <c r="CR183" s="1979">
        <v>0.51973605810652168</v>
      </c>
      <c r="CS183" s="1979">
        <v>0.44616477979867597</v>
      </c>
      <c r="CT183" s="1979">
        <v>0.52000572154964575</v>
      </c>
      <c r="CU183" s="1979">
        <v>0.44636254306955092</v>
      </c>
      <c r="CV183" s="1979">
        <v>0.52029989985123559</v>
      </c>
      <c r="CW183" s="1979">
        <v>0.44657828481959644</v>
      </c>
      <c r="CX183" s="1979">
        <v>0.52101083074674437</v>
      </c>
      <c r="CY183" s="1979">
        <v>0.44709966071553964</v>
      </c>
      <c r="CZ183" s="2000">
        <v>0.46240137901313827</v>
      </c>
      <c r="DA183" s="1998">
        <v>0.4060293309128693</v>
      </c>
      <c r="DB183" s="1998">
        <v>0.46298296736742967</v>
      </c>
      <c r="DC183" s="1998">
        <v>0.40645187962361751</v>
      </c>
      <c r="DD183" s="1998">
        <v>0.46356455572172095</v>
      </c>
      <c r="DE183" s="1998">
        <v>0.40687442833436566</v>
      </c>
      <c r="DF183" s="1998">
        <v>0.46414614407601229</v>
      </c>
      <c r="DG183" s="1998">
        <v>0.40729697704511381</v>
      </c>
      <c r="DH183" s="1998">
        <v>0.46472773243030363</v>
      </c>
      <c r="DI183" s="1998">
        <v>0.40771952575586201</v>
      </c>
      <c r="DJ183" s="1999">
        <v>0.41059995302348262</v>
      </c>
      <c r="DK183" s="1979">
        <v>0.36820814770093013</v>
      </c>
      <c r="DL183" s="1979">
        <v>0.4112410933164668</v>
      </c>
      <c r="DM183" s="1979">
        <v>0.36868028469580755</v>
      </c>
      <c r="DN183" s="1979">
        <v>0.41188223360945098</v>
      </c>
      <c r="DO183" s="1979">
        <v>0.36915242169068496</v>
      </c>
      <c r="DP183" s="1979">
        <v>0.41252337390243515</v>
      </c>
      <c r="DQ183" s="1979">
        <v>0.36962455868556243</v>
      </c>
      <c r="DR183" s="1979">
        <v>0.41316451419541927</v>
      </c>
      <c r="DS183" s="1979">
        <v>0.3700966956804399</v>
      </c>
      <c r="GQ183" s="1997"/>
      <c r="GT183" s="1979"/>
      <c r="GU183" s="1979"/>
      <c r="GV183" s="1979"/>
      <c r="GW183" s="1979"/>
      <c r="GX183" s="1979"/>
      <c r="GY183" s="1979"/>
      <c r="GZ183" s="1979"/>
      <c r="HA183" s="1979"/>
      <c r="HB183" s="1979"/>
      <c r="HC183" s="1979"/>
      <c r="HD183" s="1979"/>
      <c r="HE183" s="1979"/>
      <c r="HF183" s="1979"/>
      <c r="HG183" s="1979"/>
      <c r="HH183" s="1979"/>
      <c r="HI183" s="1979"/>
      <c r="HJ183" s="1979"/>
      <c r="HK183" s="1979"/>
      <c r="HL183" s="1979"/>
      <c r="HM183" s="1979"/>
      <c r="HN183" s="1979"/>
      <c r="HO183" s="1979"/>
      <c r="HP183" s="1979"/>
      <c r="HQ183" s="1979"/>
      <c r="HR183" s="1979"/>
      <c r="HS183" s="1979"/>
      <c r="HT183" s="1979"/>
      <c r="HU183" s="1979"/>
      <c r="HV183" s="1979"/>
      <c r="HW183" s="1979"/>
      <c r="HX183" s="1979"/>
      <c r="HY183" s="1979"/>
      <c r="HZ183" s="1979"/>
      <c r="IA183" s="1979"/>
      <c r="IB183" s="1979"/>
      <c r="IC183" s="1979"/>
      <c r="ID183" s="1979"/>
      <c r="IE183" s="1979"/>
      <c r="IF183" s="1979"/>
      <c r="IG183" s="1979"/>
      <c r="IH183" s="1979"/>
      <c r="II183" s="1979"/>
      <c r="IJ183" s="1979"/>
      <c r="IK183" s="1979"/>
      <c r="IL183" s="1979"/>
      <c r="IM183" s="1979"/>
      <c r="IN183" s="1979"/>
      <c r="IO183" s="1979"/>
      <c r="IP183" s="1979"/>
      <c r="IQ183" s="1979"/>
      <c r="IR183" s="1979"/>
      <c r="IS183" s="1979"/>
      <c r="IT183" s="1979"/>
      <c r="IU183" s="1979"/>
      <c r="IV183" s="1979"/>
      <c r="IW183" s="1979"/>
      <c r="IX183" s="1979"/>
      <c r="IY183" s="1979"/>
      <c r="IZ183" s="1979"/>
      <c r="JA183" s="1979"/>
      <c r="JB183" s="1979"/>
      <c r="JC183" s="1979"/>
      <c r="JD183" s="1979"/>
      <c r="JE183" s="1979"/>
      <c r="JF183" s="1979"/>
      <c r="JG183" s="1979"/>
      <c r="JH183" s="1979"/>
      <c r="JI183" s="1979"/>
      <c r="JJ183" s="1979"/>
      <c r="JK183" s="1979"/>
      <c r="JL183" s="1979"/>
      <c r="JM183" s="1979"/>
      <c r="JN183" s="1979"/>
      <c r="JO183" s="1979"/>
      <c r="JP183" s="1979"/>
      <c r="JQ183" s="1979"/>
      <c r="JR183" s="1979"/>
      <c r="JS183" s="1979"/>
      <c r="JT183" s="1979"/>
      <c r="JU183" s="1979"/>
      <c r="JV183" s="1979"/>
      <c r="JW183" s="1979"/>
      <c r="JX183" s="1979"/>
      <c r="JY183" s="1979"/>
      <c r="JZ183" s="1979"/>
      <c r="KA183" s="1979"/>
      <c r="KB183" s="1979"/>
      <c r="KC183" s="1979"/>
      <c r="KD183" s="1979"/>
      <c r="KE183" s="1979"/>
      <c r="KF183" s="1979"/>
      <c r="KG183" s="1979"/>
      <c r="KH183" s="1979"/>
      <c r="KI183" s="1979"/>
      <c r="KJ183" s="1979"/>
      <c r="KK183" s="1979"/>
    </row>
    <row r="184" spans="1:297">
      <c r="A184" s="1997"/>
      <c r="B184" s="2">
        <v>3</v>
      </c>
      <c r="C184" s="2" t="s">
        <v>4329</v>
      </c>
      <c r="D184" s="1998">
        <v>0.81767664807534812</v>
      </c>
      <c r="E184" s="1998">
        <v>0.65119029017413366</v>
      </c>
      <c r="F184" s="1998">
        <v>0.81871806522913915</v>
      </c>
      <c r="G184" s="1998">
        <v>0.65192628074879688</v>
      </c>
      <c r="H184" s="1998">
        <v>0.81953338628187578</v>
      </c>
      <c r="I184" s="1998">
        <v>0.65249144956009764</v>
      </c>
      <c r="J184" s="1998">
        <v>0.82054615257634544</v>
      </c>
      <c r="K184" s="1998">
        <v>0.65320117286153256</v>
      </c>
      <c r="L184" s="1998">
        <v>0.821558918870815</v>
      </c>
      <c r="M184" s="1998">
        <v>0.6539108961629676</v>
      </c>
      <c r="N184" s="1999">
        <v>0.70116545869333413</v>
      </c>
      <c r="O184" s="1979">
        <v>0.59326576183358215</v>
      </c>
      <c r="P184" s="1979">
        <v>0.70192135759639518</v>
      </c>
      <c r="Q184" s="1979">
        <v>0.59380274863562654</v>
      </c>
      <c r="R184" s="1979">
        <v>0.70248359268626481</v>
      </c>
      <c r="S184" s="1979">
        <v>0.59418826895197097</v>
      </c>
      <c r="T184" s="1979">
        <v>0.7032025748642271</v>
      </c>
      <c r="U184" s="1979">
        <v>0.59469145465291018</v>
      </c>
      <c r="V184" s="1979">
        <v>0.70392155704218928</v>
      </c>
      <c r="W184" s="1979">
        <v>0.5951946403538495</v>
      </c>
      <c r="X184" s="2000">
        <v>0.71706346629317408</v>
      </c>
      <c r="Y184" s="1998">
        <v>0.58269153821488373</v>
      </c>
      <c r="Z184" s="1998">
        <v>0.71801441883415684</v>
      </c>
      <c r="AA184" s="1998">
        <v>0.58336831901099451</v>
      </c>
      <c r="AB184" s="1998">
        <v>0.71810951408825507</v>
      </c>
      <c r="AC184" s="1998">
        <v>0.58343599709060556</v>
      </c>
      <c r="AD184" s="1998">
        <v>0.71820460934235342</v>
      </c>
      <c r="AE184" s="1998">
        <v>0.58350367517021673</v>
      </c>
      <c r="AF184" s="1998">
        <v>0.71837895064153345</v>
      </c>
      <c r="AG184" s="1998">
        <v>0.58362775164950365</v>
      </c>
      <c r="AH184" s="1999">
        <v>0.61025379091934695</v>
      </c>
      <c r="AI184" s="1979">
        <v>0.51078742225450791</v>
      </c>
      <c r="AJ184" s="1979">
        <v>0.6108974083663703</v>
      </c>
      <c r="AK184" s="1979">
        <v>0.51125071652683696</v>
      </c>
      <c r="AL184" s="1979">
        <v>0.61097786054724812</v>
      </c>
      <c r="AM184" s="1979">
        <v>0.51130862831087809</v>
      </c>
      <c r="AN184" s="1979">
        <v>0.61105831272812605</v>
      </c>
      <c r="AO184" s="1979">
        <v>0.51136654009491933</v>
      </c>
      <c r="AP184" s="1979">
        <v>0.61120580839306893</v>
      </c>
      <c r="AQ184" s="1979">
        <v>0.51147271169899466</v>
      </c>
      <c r="AR184" s="2000">
        <v>0.75708169088755606</v>
      </c>
      <c r="AS184" s="1998">
        <v>0.6309501427266635</v>
      </c>
      <c r="AT184" s="1998">
        <v>0.75802909272231744</v>
      </c>
      <c r="AU184" s="1998">
        <v>0.63162695449733652</v>
      </c>
      <c r="AV184" s="1998">
        <v>0.75818699302811099</v>
      </c>
      <c r="AW184" s="1998">
        <v>0.6317397564591154</v>
      </c>
      <c r="AX184" s="1998">
        <v>0.75834489333390465</v>
      </c>
      <c r="AY184" s="1998">
        <v>0.63185255842089427</v>
      </c>
      <c r="AZ184" s="1998">
        <v>0.75863437722785954</v>
      </c>
      <c r="BA184" s="1998">
        <v>0.63205936201748869</v>
      </c>
      <c r="BB184" s="1999">
        <v>0.80072314187532623</v>
      </c>
      <c r="BC184" s="1979">
        <v>0.65529350179939505</v>
      </c>
      <c r="BD184" s="1979">
        <v>0.80155960479491328</v>
      </c>
      <c r="BE184" s="1979">
        <v>0.65587052039847271</v>
      </c>
      <c r="BF184" s="1979">
        <v>0.801699015281511</v>
      </c>
      <c r="BG184" s="1979">
        <v>0.65596669016498577</v>
      </c>
      <c r="BH184" s="1979">
        <v>0.80183842576810893</v>
      </c>
      <c r="BI184" s="1979">
        <v>0.65606285993149882</v>
      </c>
      <c r="BJ184" s="1979">
        <v>0.80209401166020478</v>
      </c>
      <c r="BK184" s="1979">
        <v>0.65623917117010599</v>
      </c>
      <c r="BL184" s="2000">
        <v>0.72334007317130999</v>
      </c>
      <c r="BM184" s="1998">
        <v>0.58656854880977083</v>
      </c>
      <c r="BN184" s="1998">
        <v>0.72365274981059824</v>
      </c>
      <c r="BO184" s="1998">
        <v>0.58678358207258219</v>
      </c>
      <c r="BP184" s="1998">
        <v>0.72393937006327902</v>
      </c>
      <c r="BQ184" s="1998">
        <v>0.58698069589682567</v>
      </c>
      <c r="BR184" s="1998">
        <v>0.72425204670256715</v>
      </c>
      <c r="BS184" s="1998">
        <v>0.5871957291596368</v>
      </c>
      <c r="BT184" s="1998">
        <v>0.72500768191418019</v>
      </c>
      <c r="BU184" s="1998">
        <v>0.58771539287809738</v>
      </c>
      <c r="BV184" s="1999">
        <v>0.79856973833880995</v>
      </c>
      <c r="BW184" s="1979">
        <v>0.69345830844360334</v>
      </c>
      <c r="BX184" s="1979">
        <v>0.79944712516080429</v>
      </c>
      <c r="BY184" s="1979">
        <v>0.69410497775957003</v>
      </c>
      <c r="BZ184" s="1979">
        <v>0.80014879790092852</v>
      </c>
      <c r="CA184" s="1979">
        <v>0.69461559971974163</v>
      </c>
      <c r="CB184" s="1979">
        <v>0.80101010311662968</v>
      </c>
      <c r="CC184" s="1979">
        <v>0.69524684950672611</v>
      </c>
      <c r="CD184" s="1979">
        <v>0.80187140833233073</v>
      </c>
      <c r="CE184" s="1979">
        <v>0.69587809929371058</v>
      </c>
      <c r="CF184" s="2000">
        <v>0.58490294236530382</v>
      </c>
      <c r="CG184" s="1998">
        <v>0.51288406242227702</v>
      </c>
      <c r="CH184" s="1998">
        <v>0.58518324228567864</v>
      </c>
      <c r="CI184" s="1998">
        <v>0.51309010020124846</v>
      </c>
      <c r="CJ184" s="1998">
        <v>0.58544018387935581</v>
      </c>
      <c r="CK184" s="1998">
        <v>0.5132789681653056</v>
      </c>
      <c r="CL184" s="1998">
        <v>0.58572048379973063</v>
      </c>
      <c r="CM184" s="1998">
        <v>0.51348500594427693</v>
      </c>
      <c r="CN184" s="1998">
        <v>0.58639787527397014</v>
      </c>
      <c r="CO184" s="1998">
        <v>0.51398293057679101</v>
      </c>
      <c r="CP184" s="1999">
        <v>0.55775479970914665</v>
      </c>
      <c r="CQ184" s="1979">
        <v>0.47604807330150678</v>
      </c>
      <c r="CR184" s="1979">
        <v>0.5580489780107365</v>
      </c>
      <c r="CS184" s="1979">
        <v>0.47626381505155224</v>
      </c>
      <c r="CT184" s="1979">
        <v>0.55831864145386056</v>
      </c>
      <c r="CU184" s="1979">
        <v>0.47646157832242708</v>
      </c>
      <c r="CV184" s="1979">
        <v>0.55861281975545041</v>
      </c>
      <c r="CW184" s="1979">
        <v>0.4766773200724726</v>
      </c>
      <c r="CX184" s="1979">
        <v>0.55932375065095918</v>
      </c>
      <c r="CY184" s="1979">
        <v>0.4771986959684158</v>
      </c>
      <c r="CZ184" s="2000">
        <v>0.47933792305199446</v>
      </c>
      <c r="DA184" s="1998">
        <v>0.42670462996793795</v>
      </c>
      <c r="DB184" s="1998">
        <v>0.48006490849485867</v>
      </c>
      <c r="DC184" s="1998">
        <v>0.42723281585637318</v>
      </c>
      <c r="DD184" s="1998">
        <v>0.48079189393772281</v>
      </c>
      <c r="DE184" s="1998">
        <v>0.42776100174480836</v>
      </c>
      <c r="DF184" s="1998">
        <v>0.48151887938058702</v>
      </c>
      <c r="DG184" s="1998">
        <v>0.42828918763324358</v>
      </c>
      <c r="DH184" s="1998">
        <v>0.48224586482345128</v>
      </c>
      <c r="DI184" s="1998">
        <v>0.42881737352167876</v>
      </c>
      <c r="DJ184" s="1999">
        <v>0.43550324415652431</v>
      </c>
      <c r="DK184" s="1979">
        <v>0.39901637144415575</v>
      </c>
      <c r="DL184" s="1979">
        <v>0.43635809788050328</v>
      </c>
      <c r="DM184" s="1979">
        <v>0.39964588743732571</v>
      </c>
      <c r="DN184" s="1979">
        <v>0.4372129516044822</v>
      </c>
      <c r="DO184" s="1979">
        <v>0.40027540343049561</v>
      </c>
      <c r="DP184" s="1979">
        <v>0.43806780532846107</v>
      </c>
      <c r="DQ184" s="1979">
        <v>0.40090491942366552</v>
      </c>
      <c r="DR184" s="1979">
        <v>0.43892265905243999</v>
      </c>
      <c r="DS184" s="1979">
        <v>0.40153443541683548</v>
      </c>
      <c r="GQ184" s="1997"/>
      <c r="GT184" s="1979"/>
      <c r="GU184" s="1979"/>
      <c r="GV184" s="1979"/>
      <c r="GW184" s="1979"/>
      <c r="GX184" s="1979"/>
      <c r="GY184" s="1979"/>
      <c r="GZ184" s="1979"/>
      <c r="HA184" s="1979"/>
      <c r="HB184" s="1979"/>
      <c r="HC184" s="1979"/>
      <c r="HD184" s="1979"/>
      <c r="HE184" s="1979"/>
      <c r="HF184" s="1979"/>
      <c r="HG184" s="1979"/>
      <c r="HH184" s="1979"/>
      <c r="HI184" s="1979"/>
      <c r="HJ184" s="1979"/>
      <c r="HK184" s="1979"/>
      <c r="HL184" s="1979"/>
      <c r="HM184" s="1979"/>
      <c r="HN184" s="1979"/>
      <c r="HO184" s="1979"/>
      <c r="HP184" s="1979"/>
      <c r="HQ184" s="1979"/>
      <c r="HR184" s="1979"/>
      <c r="HS184" s="1979"/>
      <c r="HT184" s="1979"/>
      <c r="HU184" s="1979"/>
      <c r="HV184" s="1979"/>
      <c r="HW184" s="1979"/>
      <c r="HX184" s="1979"/>
      <c r="HY184" s="1979"/>
      <c r="HZ184" s="1979"/>
      <c r="IA184" s="1979"/>
      <c r="IB184" s="1979"/>
      <c r="IC184" s="1979"/>
      <c r="ID184" s="1979"/>
      <c r="IE184" s="1979"/>
      <c r="IF184" s="1979"/>
      <c r="IG184" s="1979"/>
      <c r="IH184" s="1979"/>
      <c r="II184" s="1979"/>
      <c r="IJ184" s="1979"/>
      <c r="IK184" s="1979"/>
      <c r="IL184" s="1979"/>
      <c r="IM184" s="1979"/>
      <c r="IN184" s="1979"/>
      <c r="IO184" s="1979"/>
      <c r="IP184" s="1979"/>
      <c r="IQ184" s="1979"/>
      <c r="IR184" s="1979"/>
      <c r="IS184" s="1979"/>
      <c r="IT184" s="1979"/>
      <c r="IU184" s="1979"/>
      <c r="IV184" s="1979"/>
      <c r="IW184" s="1979"/>
      <c r="IX184" s="1979"/>
      <c r="IY184" s="1979"/>
      <c r="IZ184" s="1979"/>
      <c r="JA184" s="1979"/>
      <c r="JB184" s="1979"/>
      <c r="JC184" s="1979"/>
      <c r="JD184" s="1979"/>
      <c r="JE184" s="1979"/>
      <c r="JF184" s="1979"/>
      <c r="JG184" s="1979"/>
      <c r="JH184" s="1979"/>
      <c r="JI184" s="1979"/>
      <c r="JJ184" s="1979"/>
      <c r="JK184" s="1979"/>
      <c r="JL184" s="1979"/>
      <c r="JM184" s="1979"/>
      <c r="JN184" s="1979"/>
      <c r="JO184" s="1979"/>
      <c r="JP184" s="1979"/>
      <c r="JQ184" s="1979"/>
      <c r="JR184" s="1979"/>
      <c r="JS184" s="1979"/>
      <c r="JT184" s="1979"/>
      <c r="JU184" s="1979"/>
      <c r="JV184" s="1979"/>
      <c r="JW184" s="1979"/>
      <c r="JX184" s="1979"/>
      <c r="JY184" s="1979"/>
      <c r="JZ184" s="1979"/>
      <c r="KA184" s="1979"/>
      <c r="KB184" s="1979"/>
      <c r="KC184" s="1979"/>
      <c r="KD184" s="1979"/>
      <c r="KE184" s="1979"/>
      <c r="KF184" s="1979"/>
      <c r="KG184" s="1979"/>
      <c r="KH184" s="1979"/>
      <c r="KI184" s="1979"/>
      <c r="KJ184" s="1979"/>
      <c r="KK184" s="1979"/>
    </row>
    <row r="185" spans="1:297">
      <c r="A185" s="1997"/>
      <c r="B185" s="2">
        <v>4</v>
      </c>
      <c r="C185" s="2" t="s">
        <v>4330</v>
      </c>
      <c r="D185" s="1998">
        <v>0.83979367538598626</v>
      </c>
      <c r="E185" s="1998">
        <v>0.67106735131651518</v>
      </c>
      <c r="F185" s="1998">
        <v>0.84084168223742128</v>
      </c>
      <c r="G185" s="1998">
        <v>0.67180938336402096</v>
      </c>
      <c r="H185" s="1998">
        <v>0.84165041359251402</v>
      </c>
      <c r="I185" s="1998">
        <v>0.67236851070247938</v>
      </c>
      <c r="J185" s="1998">
        <v>0.84266317988698369</v>
      </c>
      <c r="K185" s="1998">
        <v>0.6730782340039142</v>
      </c>
      <c r="L185" s="1998">
        <v>0.84367594618145325</v>
      </c>
      <c r="M185" s="1998">
        <v>0.67378795730534924</v>
      </c>
      <c r="N185" s="1999">
        <v>0.72379505381551767</v>
      </c>
      <c r="O185" s="1979">
        <v>0.61324971010280394</v>
      </c>
      <c r="P185" s="1979">
        <v>0.72455430878449667</v>
      </c>
      <c r="Q185" s="1979">
        <v>0.61378976973222132</v>
      </c>
      <c r="R185" s="1979">
        <v>0.72511318780844858</v>
      </c>
      <c r="S185" s="1979">
        <v>0.61417221722119264</v>
      </c>
      <c r="T185" s="1979">
        <v>0.72583216998641065</v>
      </c>
      <c r="U185" s="1979">
        <v>0.61467540292213196</v>
      </c>
      <c r="V185" s="1979">
        <v>0.72655115216437305</v>
      </c>
      <c r="W185" s="1979">
        <v>0.61517858862307129</v>
      </c>
      <c r="X185" s="2000">
        <v>0.7494967797924933</v>
      </c>
      <c r="Y185" s="1998">
        <v>0.61197760787496958</v>
      </c>
      <c r="Z185" s="1998">
        <v>0.75044773233347606</v>
      </c>
      <c r="AA185" s="1998">
        <v>0.61265438867108035</v>
      </c>
      <c r="AB185" s="1998">
        <v>0.75055339372691865</v>
      </c>
      <c r="AC185" s="1998">
        <v>0.61272958653731491</v>
      </c>
      <c r="AD185" s="1998">
        <v>0.75065905512036113</v>
      </c>
      <c r="AE185" s="1998">
        <v>0.61280478440354924</v>
      </c>
      <c r="AF185" s="1998">
        <v>0.75085276767500575</v>
      </c>
      <c r="AG185" s="1998">
        <v>0.6129426471583127</v>
      </c>
      <c r="AH185" s="1999">
        <v>0.62718695426128512</v>
      </c>
      <c r="AI185" s="1979">
        <v>0.52967219892471895</v>
      </c>
      <c r="AJ185" s="1979">
        <v>0.62783057170830836</v>
      </c>
      <c r="AK185" s="1979">
        <v>0.53013549319704811</v>
      </c>
      <c r="AL185" s="1979">
        <v>0.62793784128281238</v>
      </c>
      <c r="AM185" s="1979">
        <v>0.53021270890910277</v>
      </c>
      <c r="AN185" s="1979">
        <v>0.62804511085731607</v>
      </c>
      <c r="AO185" s="1979">
        <v>0.53028992462115765</v>
      </c>
      <c r="AP185" s="1979">
        <v>0.62824177174390672</v>
      </c>
      <c r="AQ185" s="1979">
        <v>0.53043148675992491</v>
      </c>
      <c r="AR185" s="2000">
        <v>0.78445435303412769</v>
      </c>
      <c r="AS185" s="1998">
        <v>0.65388946999008002</v>
      </c>
      <c r="AT185" s="1998">
        <v>0.78540175486888919</v>
      </c>
      <c r="AU185" s="1998">
        <v>0.65456628176075315</v>
      </c>
      <c r="AV185" s="1998">
        <v>0.78555965517468285</v>
      </c>
      <c r="AW185" s="1998">
        <v>0.65467908372253192</v>
      </c>
      <c r="AX185" s="1998">
        <v>0.78571755548047639</v>
      </c>
      <c r="AY185" s="1998">
        <v>0.65479188568431079</v>
      </c>
      <c r="AZ185" s="1998">
        <v>0.78600703937443128</v>
      </c>
      <c r="BA185" s="1998">
        <v>0.65499868928090532</v>
      </c>
      <c r="BB185" s="1999">
        <v>0.83579863456970938</v>
      </c>
      <c r="BC185" s="1979">
        <v>0.68811758717336557</v>
      </c>
      <c r="BD185" s="1979">
        <v>0.83663509748929632</v>
      </c>
      <c r="BE185" s="1979">
        <v>0.68869460577244324</v>
      </c>
      <c r="BF185" s="1979">
        <v>0.83680239007321366</v>
      </c>
      <c r="BG185" s="1979">
        <v>0.68881000949225879</v>
      </c>
      <c r="BH185" s="1979">
        <v>0.83696968265713101</v>
      </c>
      <c r="BI185" s="1979">
        <v>0.68892541321207446</v>
      </c>
      <c r="BJ185" s="1979">
        <v>0.83727638572764629</v>
      </c>
      <c r="BK185" s="1979">
        <v>0.68913698669840284</v>
      </c>
      <c r="BL185" s="2000">
        <v>0.75077859923839407</v>
      </c>
      <c r="BM185" s="1998">
        <v>0.6172537638809753</v>
      </c>
      <c r="BN185" s="1998">
        <v>0.75119550142411151</v>
      </c>
      <c r="BO185" s="1998">
        <v>0.61754047489805697</v>
      </c>
      <c r="BP185" s="1998">
        <v>0.75157766176101914</v>
      </c>
      <c r="BQ185" s="1998">
        <v>0.61780329333038186</v>
      </c>
      <c r="BR185" s="1998">
        <v>0.75199456394673669</v>
      </c>
      <c r="BS185" s="1998">
        <v>0.61809000434746342</v>
      </c>
      <c r="BT185" s="1998">
        <v>0.75300207756222071</v>
      </c>
      <c r="BU185" s="1998">
        <v>0.61878288930541059</v>
      </c>
      <c r="BV185" s="1999">
        <v>0.81678142709786317</v>
      </c>
      <c r="BW185" s="1979">
        <v>0.71047544615750824</v>
      </c>
      <c r="BX185" s="1979">
        <v>0.81766187708296101</v>
      </c>
      <c r="BY185" s="1979">
        <v>0.7111250525266144</v>
      </c>
      <c r="BZ185" s="1979">
        <v>0.81836048665998185</v>
      </c>
      <c r="CA185" s="1979">
        <v>0.71163273743364652</v>
      </c>
      <c r="CB185" s="1979">
        <v>0.81922179187568289</v>
      </c>
      <c r="CC185" s="1979">
        <v>0.712263987220631</v>
      </c>
      <c r="CD185" s="1979">
        <v>0.82008309709138405</v>
      </c>
      <c r="CE185" s="1979">
        <v>0.71289523700761548</v>
      </c>
      <c r="CF185" s="2000">
        <v>0.60811750575618562</v>
      </c>
      <c r="CG185" s="1998">
        <v>0.53860202653856259</v>
      </c>
      <c r="CH185" s="1998">
        <v>0.60846788065665436</v>
      </c>
      <c r="CI185" s="1998">
        <v>0.53885957376227689</v>
      </c>
      <c r="CJ185" s="1998">
        <v>0.60878905764875069</v>
      </c>
      <c r="CK185" s="1998">
        <v>0.53909565871734821</v>
      </c>
      <c r="CL185" s="1998">
        <v>0.60913943254921943</v>
      </c>
      <c r="CM185" s="1998">
        <v>0.5393532059410624</v>
      </c>
      <c r="CN185" s="1998">
        <v>0.60998617189201854</v>
      </c>
      <c r="CO185" s="1998">
        <v>0.53997561173170505</v>
      </c>
      <c r="CP185" s="1999">
        <v>0.58747908693461004</v>
      </c>
      <c r="CQ185" s="1979">
        <v>0.50733681717979384</v>
      </c>
      <c r="CR185" s="1979">
        <v>0.58784680981159743</v>
      </c>
      <c r="CS185" s="1979">
        <v>0.50760649436735061</v>
      </c>
      <c r="CT185" s="1979">
        <v>0.58818388911550246</v>
      </c>
      <c r="CU185" s="1979">
        <v>0.50785369845594441</v>
      </c>
      <c r="CV185" s="1979">
        <v>0.58855161199248973</v>
      </c>
      <c r="CW185" s="1979">
        <v>0.5081233756435013</v>
      </c>
      <c r="CX185" s="1979">
        <v>0.58944027561187573</v>
      </c>
      <c r="CY185" s="1979">
        <v>0.50877509551343025</v>
      </c>
      <c r="CZ185" s="2000">
        <v>0.48657143043551621</v>
      </c>
      <c r="DA185" s="1998">
        <v>0.43246837515356806</v>
      </c>
      <c r="DB185" s="1998">
        <v>0.48729841587838041</v>
      </c>
      <c r="DC185" s="1998">
        <v>0.43299656104200329</v>
      </c>
      <c r="DD185" s="1998">
        <v>0.48802540132124461</v>
      </c>
      <c r="DE185" s="1998">
        <v>0.43352474693043852</v>
      </c>
      <c r="DF185" s="1998">
        <v>0.48875238676410876</v>
      </c>
      <c r="DG185" s="1998">
        <v>0.43405293281887369</v>
      </c>
      <c r="DH185" s="1998">
        <v>0.48947937220697296</v>
      </c>
      <c r="DI185" s="1998">
        <v>0.43458111870730892</v>
      </c>
      <c r="DJ185" s="1999">
        <v>0.50393256574865219</v>
      </c>
      <c r="DK185" s="1979">
        <v>0.44260308475323074</v>
      </c>
      <c r="DL185" s="1979">
        <v>0.50457370604163632</v>
      </c>
      <c r="DM185" s="1979">
        <v>0.44307522174810826</v>
      </c>
      <c r="DN185" s="1979">
        <v>0.50521484633462055</v>
      </c>
      <c r="DO185" s="1979">
        <v>0.44354735874298568</v>
      </c>
      <c r="DP185" s="1979">
        <v>0.50585598662760467</v>
      </c>
      <c r="DQ185" s="1979">
        <v>0.44401949573786303</v>
      </c>
      <c r="DR185" s="1979">
        <v>0.5064971269205889</v>
      </c>
      <c r="DS185" s="1979">
        <v>0.44449163273274056</v>
      </c>
      <c r="GQ185" s="1997"/>
      <c r="GT185" s="1979"/>
      <c r="GU185" s="1979"/>
      <c r="GV185" s="1979"/>
      <c r="GW185" s="1979"/>
      <c r="GX185" s="1979"/>
      <c r="GY185" s="1979"/>
      <c r="GZ185" s="1979"/>
      <c r="HA185" s="1979"/>
      <c r="HB185" s="1979"/>
      <c r="HC185" s="1979"/>
      <c r="HD185" s="1979"/>
      <c r="HE185" s="1979"/>
      <c r="HF185" s="1979"/>
      <c r="HG185" s="1979"/>
      <c r="HH185" s="1979"/>
      <c r="HI185" s="1979"/>
      <c r="HJ185" s="1979"/>
      <c r="HK185" s="1979"/>
      <c r="HL185" s="1979"/>
      <c r="HM185" s="1979"/>
      <c r="HN185" s="1979"/>
      <c r="HO185" s="1979"/>
      <c r="HP185" s="1979"/>
      <c r="HQ185" s="1979"/>
      <c r="HR185" s="1979"/>
      <c r="HS185" s="1979"/>
      <c r="HT185" s="1979"/>
      <c r="HU185" s="1979"/>
      <c r="HV185" s="1979"/>
      <c r="HW185" s="1979"/>
      <c r="HX185" s="1979"/>
      <c r="HY185" s="1979"/>
      <c r="HZ185" s="1979"/>
      <c r="IA185" s="1979"/>
      <c r="IB185" s="1979"/>
      <c r="IC185" s="1979"/>
      <c r="ID185" s="1979"/>
      <c r="IE185" s="1979"/>
      <c r="IF185" s="1979"/>
      <c r="IG185" s="1979"/>
      <c r="IH185" s="1979"/>
      <c r="II185" s="1979"/>
      <c r="IJ185" s="1979"/>
      <c r="IK185" s="1979"/>
      <c r="IL185" s="1979"/>
      <c r="IM185" s="1979"/>
      <c r="IN185" s="1979"/>
      <c r="IO185" s="1979"/>
      <c r="IP185" s="1979"/>
      <c r="IQ185" s="1979"/>
      <c r="IR185" s="1979"/>
      <c r="IS185" s="1979"/>
      <c r="IT185" s="1979"/>
      <c r="IU185" s="1979"/>
      <c r="IV185" s="1979"/>
      <c r="IW185" s="1979"/>
      <c r="IX185" s="1979"/>
      <c r="IY185" s="1979"/>
      <c r="IZ185" s="1979"/>
      <c r="JA185" s="1979"/>
      <c r="JB185" s="1979"/>
      <c r="JC185" s="1979"/>
      <c r="JD185" s="1979"/>
      <c r="JE185" s="1979"/>
      <c r="JF185" s="1979"/>
      <c r="JG185" s="1979"/>
      <c r="JH185" s="1979"/>
      <c r="JI185" s="1979"/>
      <c r="JJ185" s="1979"/>
      <c r="JK185" s="1979"/>
      <c r="JL185" s="1979"/>
      <c r="JM185" s="1979"/>
      <c r="JN185" s="1979"/>
      <c r="JO185" s="1979"/>
      <c r="JP185" s="1979"/>
      <c r="JQ185" s="1979"/>
      <c r="JR185" s="1979"/>
      <c r="JS185" s="1979"/>
      <c r="JT185" s="1979"/>
      <c r="JU185" s="1979"/>
      <c r="JV185" s="1979"/>
      <c r="JW185" s="1979"/>
      <c r="JX185" s="1979"/>
      <c r="JY185" s="1979"/>
      <c r="JZ185" s="1979"/>
      <c r="KA185" s="1979"/>
      <c r="KB185" s="1979"/>
      <c r="KC185" s="1979"/>
      <c r="KD185" s="1979"/>
      <c r="KE185" s="1979"/>
      <c r="KF185" s="1979"/>
      <c r="KG185" s="1979"/>
      <c r="KH185" s="1979"/>
      <c r="KI185" s="1979"/>
      <c r="KJ185" s="1979"/>
      <c r="KK185" s="1979"/>
    </row>
    <row r="186" spans="1:297">
      <c r="A186" s="1997"/>
      <c r="B186" s="2">
        <v>5</v>
      </c>
      <c r="C186" s="2" t="s">
        <v>4331</v>
      </c>
      <c r="D186" s="1998">
        <v>0.8303734927336951</v>
      </c>
      <c r="E186" s="1998">
        <v>0.66171828748574413</v>
      </c>
      <c r="F186" s="1998">
        <v>0.83142866229996015</v>
      </c>
      <c r="G186" s="1998">
        <v>0.66246688635155682</v>
      </c>
      <c r="H186" s="1998">
        <v>0.83223023094022264</v>
      </c>
      <c r="I186" s="1998">
        <v>0.66301944687170822</v>
      </c>
      <c r="J186" s="1998">
        <v>0.83324299723469242</v>
      </c>
      <c r="K186" s="1998">
        <v>0.66372917017314303</v>
      </c>
      <c r="L186" s="1998">
        <v>0.83425576352916186</v>
      </c>
      <c r="M186" s="1998">
        <v>0.66443889347457796</v>
      </c>
      <c r="N186" s="1999">
        <v>0.73888145056363996</v>
      </c>
      <c r="O186" s="1979">
        <v>0.62657234228228509</v>
      </c>
      <c r="P186" s="1979">
        <v>0.73964294290989785</v>
      </c>
      <c r="Q186" s="1979">
        <v>0.62711445046328473</v>
      </c>
      <c r="R186" s="1979">
        <v>0.74019958455657087</v>
      </c>
      <c r="S186" s="1979">
        <v>0.6274948494006739</v>
      </c>
      <c r="T186" s="1979">
        <v>0.74091856673453305</v>
      </c>
      <c r="U186" s="1979">
        <v>0.62799803510161312</v>
      </c>
      <c r="V186" s="1979">
        <v>0.74163754891249534</v>
      </c>
      <c r="W186" s="1979">
        <v>0.62850122080255266</v>
      </c>
      <c r="X186" s="2000">
        <v>0.78444796736955369</v>
      </c>
      <c r="Y186" s="1998">
        <v>0.6416028708324315</v>
      </c>
      <c r="Z186" s="1998">
        <v>0.78539891991053656</v>
      </c>
      <c r="AA186" s="1998">
        <v>0.64227965162854228</v>
      </c>
      <c r="AB186" s="1998">
        <v>0.78550458130397904</v>
      </c>
      <c r="AC186" s="1998">
        <v>0.64235484949477684</v>
      </c>
      <c r="AD186" s="1998">
        <v>0.78561024269742152</v>
      </c>
      <c r="AE186" s="1998">
        <v>0.64243004736101128</v>
      </c>
      <c r="AF186" s="1998">
        <v>0.78580395525206626</v>
      </c>
      <c r="AG186" s="1998">
        <v>0.64256791011577463</v>
      </c>
      <c r="AH186" s="1999">
        <v>0.64032625510933139</v>
      </c>
      <c r="AI186" s="1979">
        <v>0.54080885165175197</v>
      </c>
      <c r="AJ186" s="1979">
        <v>0.64096987255635463</v>
      </c>
      <c r="AK186" s="1979">
        <v>0.54127214592408091</v>
      </c>
      <c r="AL186" s="1979">
        <v>0.64107714213085853</v>
      </c>
      <c r="AM186" s="1979">
        <v>0.54134936163613578</v>
      </c>
      <c r="AN186" s="1979">
        <v>0.64118441170536244</v>
      </c>
      <c r="AO186" s="1979">
        <v>0.54142657734819066</v>
      </c>
      <c r="AP186" s="1979">
        <v>0.64138107259195287</v>
      </c>
      <c r="AQ186" s="1979">
        <v>0.54156813948695792</v>
      </c>
      <c r="AR186" s="2000">
        <v>0.80891702044229241</v>
      </c>
      <c r="AS186" s="1998">
        <v>0.67438590907650242</v>
      </c>
      <c r="AT186" s="1998">
        <v>0.80986442227705369</v>
      </c>
      <c r="AU186" s="1998">
        <v>0.67506272084717545</v>
      </c>
      <c r="AV186" s="1998">
        <v>0.81002232258284734</v>
      </c>
      <c r="AW186" s="1998">
        <v>0.67517552280895443</v>
      </c>
      <c r="AX186" s="1998">
        <v>0.81018022288864089</v>
      </c>
      <c r="AY186" s="1998">
        <v>0.67528832477073319</v>
      </c>
      <c r="AZ186" s="1998">
        <v>0.81046970678259567</v>
      </c>
      <c r="BA186" s="1998">
        <v>0.67549512836732772</v>
      </c>
      <c r="BB186" s="1999">
        <v>0.8646461692372398</v>
      </c>
      <c r="BC186" s="1979">
        <v>0.71951879085075854</v>
      </c>
      <c r="BD186" s="1979">
        <v>0.86548263215682686</v>
      </c>
      <c r="BE186" s="1979">
        <v>0.72009580944983642</v>
      </c>
      <c r="BF186" s="1979">
        <v>0.86569174788672354</v>
      </c>
      <c r="BG186" s="1979">
        <v>0.72024006409960584</v>
      </c>
      <c r="BH186" s="1979">
        <v>0.86590086361662022</v>
      </c>
      <c r="BI186" s="1979">
        <v>0.72038431874937525</v>
      </c>
      <c r="BJ186" s="1979">
        <v>0.86628424245476432</v>
      </c>
      <c r="BK186" s="1979">
        <v>0.72064878560728596</v>
      </c>
      <c r="BL186" s="2000">
        <v>0.76138283723409994</v>
      </c>
      <c r="BM186" s="1998">
        <v>0.62596264042612049</v>
      </c>
      <c r="BN186" s="1998">
        <v>0.76179973941981738</v>
      </c>
      <c r="BO186" s="1998">
        <v>0.62624935144320204</v>
      </c>
      <c r="BP186" s="1998">
        <v>0.76218189975672512</v>
      </c>
      <c r="BQ186" s="1998">
        <v>0.62651216987552683</v>
      </c>
      <c r="BR186" s="1998">
        <v>0.76259880194244256</v>
      </c>
      <c r="BS186" s="1998">
        <v>0.62679888089260849</v>
      </c>
      <c r="BT186" s="1998">
        <v>0.76360631555792668</v>
      </c>
      <c r="BU186" s="1998">
        <v>0.62749176585055588</v>
      </c>
      <c r="BV186" s="1999">
        <v>0.86215917727899782</v>
      </c>
      <c r="BW186" s="1979">
        <v>0.75975300134008361</v>
      </c>
      <c r="BX186" s="1979">
        <v>0.86303656410099217</v>
      </c>
      <c r="BY186" s="1979">
        <v>0.76039967065605041</v>
      </c>
      <c r="BZ186" s="1979">
        <v>0.8637382368411165</v>
      </c>
      <c r="CA186" s="1979">
        <v>0.76091029261622189</v>
      </c>
      <c r="CB186" s="1979">
        <v>0.86459954205681766</v>
      </c>
      <c r="CC186" s="1979">
        <v>0.76154154240320637</v>
      </c>
      <c r="CD186" s="1979">
        <v>0.8654608472725186</v>
      </c>
      <c r="CE186" s="1979">
        <v>0.76217279219019074</v>
      </c>
      <c r="CF186" s="2000">
        <v>0.61932218886283541</v>
      </c>
      <c r="CG186" s="1998">
        <v>0.54863616457254016</v>
      </c>
      <c r="CH186" s="1998">
        <v>0.61967256376330426</v>
      </c>
      <c r="CI186" s="1998">
        <v>0.54889371179625446</v>
      </c>
      <c r="CJ186" s="1998">
        <v>0.61999374075540048</v>
      </c>
      <c r="CK186" s="1998">
        <v>0.54912979675132578</v>
      </c>
      <c r="CL186" s="1998">
        <v>0.62034411565586922</v>
      </c>
      <c r="CM186" s="1998">
        <v>0.54938734397503997</v>
      </c>
      <c r="CN186" s="1998">
        <v>0.62119085499866833</v>
      </c>
      <c r="CO186" s="1998">
        <v>0.55000974976568273</v>
      </c>
      <c r="CP186" s="1999">
        <v>0.62695982081552637</v>
      </c>
      <c r="CQ186" s="1979">
        <v>0.55091075458983219</v>
      </c>
      <c r="CR186" s="1979">
        <v>0.62745011798484274</v>
      </c>
      <c r="CS186" s="1979">
        <v>0.55127032417324118</v>
      </c>
      <c r="CT186" s="1979">
        <v>0.62789955705671607</v>
      </c>
      <c r="CU186" s="1979">
        <v>0.55159992962469961</v>
      </c>
      <c r="CV186" s="1979">
        <v>0.62838985422603244</v>
      </c>
      <c r="CW186" s="1979">
        <v>0.55195949920810872</v>
      </c>
      <c r="CX186" s="1979">
        <v>0.62957473905188066</v>
      </c>
      <c r="CY186" s="1979">
        <v>0.55282845903468081</v>
      </c>
      <c r="CZ186" s="2000">
        <v>0.51479900383360966</v>
      </c>
      <c r="DA186" s="1998">
        <v>0.46692720691201578</v>
      </c>
      <c r="DB186" s="1998">
        <v>0.5157683177574286</v>
      </c>
      <c r="DC186" s="1998">
        <v>0.46763145476326273</v>
      </c>
      <c r="DD186" s="1998">
        <v>0.51673763168124764</v>
      </c>
      <c r="DE186" s="1998">
        <v>0.46833570261450963</v>
      </c>
      <c r="DF186" s="1998">
        <v>0.51770694560506647</v>
      </c>
      <c r="DG186" s="1998">
        <v>0.46903995046575658</v>
      </c>
      <c r="DH186" s="1998">
        <v>0.51867625952888541</v>
      </c>
      <c r="DI186" s="1998">
        <v>0.46974419831700359</v>
      </c>
      <c r="DJ186" s="1999">
        <v>0.62393328925202607</v>
      </c>
      <c r="DK186" s="1979">
        <v>0.53820825025305152</v>
      </c>
      <c r="DL186" s="1979">
        <v>0.62457442954501019</v>
      </c>
      <c r="DM186" s="1979">
        <v>0.53868038724792899</v>
      </c>
      <c r="DN186" s="1979">
        <v>0.62521556983799442</v>
      </c>
      <c r="DO186" s="1979">
        <v>0.53915252424280635</v>
      </c>
      <c r="DP186" s="1979">
        <v>0.62585671013097854</v>
      </c>
      <c r="DQ186" s="1979">
        <v>0.53962466123768393</v>
      </c>
      <c r="DR186" s="1979">
        <v>0.62649785042396278</v>
      </c>
      <c r="DS186" s="1979">
        <v>0.54009679823256129</v>
      </c>
      <c r="GQ186" s="1997"/>
      <c r="GT186" s="1979"/>
      <c r="GU186" s="1979"/>
      <c r="GV186" s="1979"/>
      <c r="GW186" s="1979"/>
      <c r="GX186" s="1979"/>
      <c r="GY186" s="1979"/>
      <c r="GZ186" s="1979"/>
      <c r="HA186" s="1979"/>
      <c r="HB186" s="1979"/>
      <c r="HC186" s="1979"/>
      <c r="HD186" s="1979"/>
      <c r="HE186" s="1979"/>
      <c r="HF186" s="1979"/>
      <c r="HG186" s="1979"/>
      <c r="HH186" s="1979"/>
      <c r="HI186" s="1979"/>
      <c r="HJ186" s="1979"/>
      <c r="HK186" s="1979"/>
      <c r="HL186" s="1979"/>
      <c r="HM186" s="1979"/>
      <c r="HN186" s="1979"/>
      <c r="HO186" s="1979"/>
      <c r="HP186" s="1979"/>
      <c r="HQ186" s="1979"/>
      <c r="HR186" s="1979"/>
      <c r="HS186" s="1979"/>
      <c r="HT186" s="1979"/>
      <c r="HU186" s="1979"/>
      <c r="HV186" s="1979"/>
      <c r="HW186" s="1979"/>
      <c r="HX186" s="1979"/>
      <c r="HY186" s="1979"/>
      <c r="HZ186" s="1979"/>
      <c r="IA186" s="1979"/>
      <c r="IB186" s="1979"/>
      <c r="IC186" s="1979"/>
      <c r="ID186" s="1979"/>
      <c r="IE186" s="1979"/>
      <c r="IF186" s="1979"/>
      <c r="IG186" s="1979"/>
      <c r="IH186" s="1979"/>
      <c r="II186" s="1979"/>
      <c r="IJ186" s="1979"/>
      <c r="IK186" s="1979"/>
      <c r="IL186" s="1979"/>
      <c r="IM186" s="1979"/>
      <c r="IN186" s="1979"/>
      <c r="IO186" s="1979"/>
      <c r="IP186" s="1979"/>
      <c r="IQ186" s="1979"/>
      <c r="IR186" s="1979"/>
      <c r="IS186" s="1979"/>
      <c r="IT186" s="1979"/>
      <c r="IU186" s="1979"/>
      <c r="IV186" s="1979"/>
      <c r="IW186" s="1979"/>
      <c r="IX186" s="1979"/>
      <c r="IY186" s="1979"/>
      <c r="IZ186" s="1979"/>
      <c r="JA186" s="1979"/>
      <c r="JB186" s="1979"/>
      <c r="JC186" s="1979"/>
      <c r="JD186" s="1979"/>
      <c r="JE186" s="1979"/>
      <c r="JF186" s="1979"/>
      <c r="JG186" s="1979"/>
      <c r="JH186" s="1979"/>
      <c r="JI186" s="1979"/>
      <c r="JJ186" s="1979"/>
      <c r="JK186" s="1979"/>
      <c r="JL186" s="1979"/>
      <c r="JM186" s="1979"/>
      <c r="JN186" s="1979"/>
      <c r="JO186" s="1979"/>
      <c r="JP186" s="1979"/>
      <c r="JQ186" s="1979"/>
      <c r="JR186" s="1979"/>
      <c r="JS186" s="1979"/>
      <c r="JT186" s="1979"/>
      <c r="JU186" s="1979"/>
      <c r="JV186" s="1979"/>
      <c r="JW186" s="1979"/>
      <c r="JX186" s="1979"/>
      <c r="JY186" s="1979"/>
      <c r="JZ186" s="1979"/>
      <c r="KA186" s="1979"/>
      <c r="KB186" s="1979"/>
      <c r="KC186" s="1979"/>
      <c r="KD186" s="1979"/>
      <c r="KE186" s="1979"/>
      <c r="KF186" s="1979"/>
      <c r="KG186" s="1979"/>
      <c r="KH186" s="1979"/>
      <c r="KI186" s="1979"/>
      <c r="KJ186" s="1979"/>
      <c r="KK186" s="1979"/>
    </row>
    <row r="187" spans="1:297">
      <c r="A187" s="1997"/>
      <c r="B187" s="2">
        <v>6</v>
      </c>
      <c r="C187" s="2" t="s">
        <v>4332</v>
      </c>
      <c r="D187" s="1998">
        <v>0.90672876681835446</v>
      </c>
      <c r="E187" s="1998">
        <v>0.74183291325392742</v>
      </c>
      <c r="F187" s="1998">
        <v>0.90778151334051704</v>
      </c>
      <c r="G187" s="1998">
        <v>0.74257929065891859</v>
      </c>
      <c r="H187" s="1998">
        <v>0.90858550502488211</v>
      </c>
      <c r="I187" s="1998">
        <v>0.74313407263989162</v>
      </c>
      <c r="J187" s="1998">
        <v>0.90959827131935178</v>
      </c>
      <c r="K187" s="1998">
        <v>0.74384379594132644</v>
      </c>
      <c r="L187" s="1998">
        <v>0.91061103761382134</v>
      </c>
      <c r="M187" s="1998">
        <v>0.74455351924276136</v>
      </c>
      <c r="N187" s="1999">
        <v>0.7782495666880771</v>
      </c>
      <c r="O187" s="1979">
        <v>0.67431410093421917</v>
      </c>
      <c r="P187" s="1979">
        <v>0.77900470849882653</v>
      </c>
      <c r="Q187" s="1979">
        <v>0.67485039453951623</v>
      </c>
      <c r="R187" s="1979">
        <v>0.779567700681008</v>
      </c>
      <c r="S187" s="1979">
        <v>0.6752366080526081</v>
      </c>
      <c r="T187" s="1979">
        <v>0.78028668285897018</v>
      </c>
      <c r="U187" s="1979">
        <v>0.67573979375354731</v>
      </c>
      <c r="V187" s="1979">
        <v>0.78100566503693236</v>
      </c>
      <c r="W187" s="1979">
        <v>0.67624297945448664</v>
      </c>
      <c r="X187" s="2000">
        <v>0.80334303669205054</v>
      </c>
      <c r="Y187" s="1998">
        <v>0.66039948766198919</v>
      </c>
      <c r="Z187" s="1998">
        <v>0.8042939892330333</v>
      </c>
      <c r="AA187" s="1998">
        <v>0.66107626845809997</v>
      </c>
      <c r="AB187" s="1998">
        <v>0.80441285830065612</v>
      </c>
      <c r="AC187" s="1998">
        <v>0.66116086605761371</v>
      </c>
      <c r="AD187" s="1998">
        <v>0.80453172736827894</v>
      </c>
      <c r="AE187" s="1998">
        <v>0.66124546365712755</v>
      </c>
      <c r="AF187" s="1998">
        <v>0.80474965399225407</v>
      </c>
      <c r="AG187" s="1998">
        <v>0.66140055925623631</v>
      </c>
      <c r="AH187" s="1999">
        <v>0.66767574851426303</v>
      </c>
      <c r="AI187" s="1979">
        <v>0.56793560624007378</v>
      </c>
      <c r="AJ187" s="1979">
        <v>0.66831936596128649</v>
      </c>
      <c r="AK187" s="1979">
        <v>0.56839890051240283</v>
      </c>
      <c r="AL187" s="1979">
        <v>0.66844808945069112</v>
      </c>
      <c r="AM187" s="1979">
        <v>0.56849155936686868</v>
      </c>
      <c r="AN187" s="1979">
        <v>0.66857681294009585</v>
      </c>
      <c r="AO187" s="1979">
        <v>0.56858421822133443</v>
      </c>
      <c r="AP187" s="1979">
        <v>0.6688128060040045</v>
      </c>
      <c r="AQ187" s="1979">
        <v>0.56875409278785516</v>
      </c>
      <c r="AR187" s="2000">
        <v>0.82849635185634074</v>
      </c>
      <c r="AS187" s="1998">
        <v>0.69636411260010067</v>
      </c>
      <c r="AT187" s="1998">
        <v>0.82944375369110224</v>
      </c>
      <c r="AU187" s="1998">
        <v>0.69704092437077381</v>
      </c>
      <c r="AV187" s="1998">
        <v>0.82963323405805445</v>
      </c>
      <c r="AW187" s="1998">
        <v>0.69717628672490839</v>
      </c>
      <c r="AX187" s="1998">
        <v>0.82982271442500677</v>
      </c>
      <c r="AY187" s="1998">
        <v>0.69731164907904308</v>
      </c>
      <c r="AZ187" s="1998">
        <v>0.83017009509775264</v>
      </c>
      <c r="BA187" s="1998">
        <v>0.69755981339495654</v>
      </c>
      <c r="BB187" s="1999">
        <v>0.92838615223026721</v>
      </c>
      <c r="BC187" s="1979">
        <v>0.78389881246368587</v>
      </c>
      <c r="BD187" s="1979">
        <v>0.92922261514985438</v>
      </c>
      <c r="BE187" s="1979">
        <v>0.78447583106276353</v>
      </c>
      <c r="BF187" s="1979">
        <v>0.92950143612305003</v>
      </c>
      <c r="BG187" s="1979">
        <v>0.78466817059578964</v>
      </c>
      <c r="BH187" s="1979">
        <v>0.92978025709624557</v>
      </c>
      <c r="BI187" s="1979">
        <v>0.78486051012881541</v>
      </c>
      <c r="BJ187" s="1979">
        <v>0.9302914288804377</v>
      </c>
      <c r="BK187" s="1979">
        <v>0.78521313260602965</v>
      </c>
      <c r="BL187" s="2000">
        <v>0.77551246091432524</v>
      </c>
      <c r="BM187" s="1998">
        <v>0.6375685859080461</v>
      </c>
      <c r="BN187" s="1998">
        <v>0.77592936310004279</v>
      </c>
      <c r="BO187" s="1998">
        <v>0.63785529692512766</v>
      </c>
      <c r="BP187" s="1998">
        <v>0.77631152343695065</v>
      </c>
      <c r="BQ187" s="1998">
        <v>0.63811811535745244</v>
      </c>
      <c r="BR187" s="1998">
        <v>0.77672842562266808</v>
      </c>
      <c r="BS187" s="1998">
        <v>0.63840482637453422</v>
      </c>
      <c r="BT187" s="1998">
        <v>0.7777359392381521</v>
      </c>
      <c r="BU187" s="1998">
        <v>0.63909771133248139</v>
      </c>
      <c r="BV187" s="1999">
        <v>0.90186470868749058</v>
      </c>
      <c r="BW187" s="1979">
        <v>0.80287086212483705</v>
      </c>
      <c r="BX187" s="1979">
        <v>0.90273941524176959</v>
      </c>
      <c r="BY187" s="1979">
        <v>0.80351496151930668</v>
      </c>
      <c r="BZ187" s="1979">
        <v>0.90344376824960937</v>
      </c>
      <c r="CA187" s="1979">
        <v>0.80402815340097522</v>
      </c>
      <c r="CB187" s="1979">
        <v>0.90430507346531031</v>
      </c>
      <c r="CC187" s="1979">
        <v>0.8046594031879597</v>
      </c>
      <c r="CD187" s="1979">
        <v>0.90516637868101146</v>
      </c>
      <c r="CE187" s="1979">
        <v>0.80529065297494418</v>
      </c>
      <c r="CF187" s="2000">
        <v>0.65827090483744033</v>
      </c>
      <c r="CG187" s="1998">
        <v>0.59216354762424517</v>
      </c>
      <c r="CH187" s="1998">
        <v>0.6587380713713985</v>
      </c>
      <c r="CI187" s="1998">
        <v>0.59250694392253078</v>
      </c>
      <c r="CJ187" s="1998">
        <v>0.65916630736086024</v>
      </c>
      <c r="CK187" s="1998">
        <v>0.59282172386262588</v>
      </c>
      <c r="CL187" s="1998">
        <v>0.65963347389481841</v>
      </c>
      <c r="CM187" s="1998">
        <v>0.5931651201609115</v>
      </c>
      <c r="CN187" s="1998">
        <v>0.66076245968521741</v>
      </c>
      <c r="CO187" s="1998">
        <v>0.59399499454843518</v>
      </c>
      <c r="CP187" s="1999">
        <v>0.66491526037267945</v>
      </c>
      <c r="CQ187" s="1979">
        <v>0.58073483269172033</v>
      </c>
      <c r="CR187" s="1979">
        <v>0.66540555754199593</v>
      </c>
      <c r="CS187" s="1979">
        <v>0.58109440227512943</v>
      </c>
      <c r="CT187" s="1979">
        <v>0.66585499661386915</v>
      </c>
      <c r="CU187" s="1979">
        <v>0.58142400772658775</v>
      </c>
      <c r="CV187" s="1979">
        <v>0.66634529378318563</v>
      </c>
      <c r="CW187" s="1979">
        <v>0.58178357730999686</v>
      </c>
      <c r="CX187" s="1979">
        <v>0.66753017860903374</v>
      </c>
      <c r="CY187" s="1979">
        <v>0.58265253713656884</v>
      </c>
      <c r="CZ187" s="2000">
        <v>0.55136714655335073</v>
      </c>
      <c r="DA187" s="1998">
        <v>0.49569864649128087</v>
      </c>
      <c r="DB187" s="1998">
        <v>0.55233646047716967</v>
      </c>
      <c r="DC187" s="1998">
        <v>0.49640289434252788</v>
      </c>
      <c r="DD187" s="1998">
        <v>0.5533057744009886</v>
      </c>
      <c r="DE187" s="1998">
        <v>0.49710714219377478</v>
      </c>
      <c r="DF187" s="1998">
        <v>0.55427508832480754</v>
      </c>
      <c r="DG187" s="1998">
        <v>0.49781139004502184</v>
      </c>
      <c r="DH187" s="1998">
        <v>0.55524440224862648</v>
      </c>
      <c r="DI187" s="1998">
        <v>0.49851563789626874</v>
      </c>
      <c r="DJ187" s="1999">
        <v>0.65026596881237653</v>
      </c>
      <c r="DK187" s="1979">
        <v>0.5594727875079456</v>
      </c>
      <c r="DL187" s="1979">
        <v>0.65090710910536076</v>
      </c>
      <c r="DM187" s="1979">
        <v>0.55994492450282296</v>
      </c>
      <c r="DN187" s="1979">
        <v>0.65154824939834488</v>
      </c>
      <c r="DO187" s="1979">
        <v>0.56041706149770054</v>
      </c>
      <c r="DP187" s="1979">
        <v>0.652189389691329</v>
      </c>
      <c r="DQ187" s="1979">
        <v>0.56088919849257801</v>
      </c>
      <c r="DR187" s="1979">
        <v>0.65283052998431323</v>
      </c>
      <c r="DS187" s="1979">
        <v>0.56136133548745548</v>
      </c>
    </row>
    <row r="188" spans="1:297">
      <c r="A188" s="1997"/>
      <c r="B188" s="2">
        <v>7</v>
      </c>
      <c r="C188" s="2" t="s">
        <v>4333</v>
      </c>
      <c r="D188" s="1998">
        <v>0.90099388729028207</v>
      </c>
      <c r="E188" s="1998">
        <v>0.73878035970264067</v>
      </c>
      <c r="F188" s="1998">
        <v>0.9020477613394301</v>
      </c>
      <c r="G188" s="1998">
        <v>0.73952777083088128</v>
      </c>
      <c r="H188" s="1998">
        <v>0.90285062549680961</v>
      </c>
      <c r="I188" s="1998">
        <v>0.74008151908860464</v>
      </c>
      <c r="J188" s="1998">
        <v>0.90386339179127928</v>
      </c>
      <c r="K188" s="1998">
        <v>0.74079124239003957</v>
      </c>
      <c r="L188" s="1998">
        <v>0.90487615808574884</v>
      </c>
      <c r="M188" s="1998">
        <v>0.74150096569147461</v>
      </c>
      <c r="N188" s="1999">
        <v>0.79982631190815012</v>
      </c>
      <c r="O188" s="1979">
        <v>0.69387107075368115</v>
      </c>
      <c r="P188" s="1979">
        <v>0.80058556687712923</v>
      </c>
      <c r="Q188" s="1979">
        <v>0.69441113038309887</v>
      </c>
      <c r="R188" s="1979">
        <v>0.80114444590108103</v>
      </c>
      <c r="S188" s="1979">
        <v>0.69479357787206997</v>
      </c>
      <c r="T188" s="1979">
        <v>0.80186342807904321</v>
      </c>
      <c r="U188" s="1979">
        <v>0.69529676357300951</v>
      </c>
      <c r="V188" s="1979">
        <v>0.8025824102570055</v>
      </c>
      <c r="W188" s="1979">
        <v>0.69579994927394861</v>
      </c>
      <c r="X188" s="2000">
        <v>0.86840584321326297</v>
      </c>
      <c r="Y188" s="1998">
        <v>0.72480306987805776</v>
      </c>
      <c r="Z188" s="1998">
        <v>0.86935679575424574</v>
      </c>
      <c r="AA188" s="1998">
        <v>0.72547985067416854</v>
      </c>
      <c r="AB188" s="1998">
        <v>0.86951528784440957</v>
      </c>
      <c r="AC188" s="1998">
        <v>0.72559264747352037</v>
      </c>
      <c r="AD188" s="1998">
        <v>0.86967377993457329</v>
      </c>
      <c r="AE188" s="1998">
        <v>0.7257054442728722</v>
      </c>
      <c r="AF188" s="1998">
        <v>0.86996434876654039</v>
      </c>
      <c r="AG188" s="1998">
        <v>0.72591223840501706</v>
      </c>
      <c r="AH188" s="1999">
        <v>0.69697230313473335</v>
      </c>
      <c r="AI188" s="1979">
        <v>0.59895417165891029</v>
      </c>
      <c r="AJ188" s="1979">
        <v>0.69761592058175659</v>
      </c>
      <c r="AK188" s="1979">
        <v>0.59941746593123935</v>
      </c>
      <c r="AL188" s="1979">
        <v>0.69777682494351245</v>
      </c>
      <c r="AM188" s="1979">
        <v>0.59953328949932161</v>
      </c>
      <c r="AN188" s="1979">
        <v>0.69793772930526843</v>
      </c>
      <c r="AO188" s="1979">
        <v>0.59964911306740387</v>
      </c>
      <c r="AP188" s="1979">
        <v>0.69823272063515396</v>
      </c>
      <c r="AQ188" s="1979">
        <v>0.59986145627555465</v>
      </c>
      <c r="AR188" s="2000">
        <v>0.88785969301212675</v>
      </c>
      <c r="AS188" s="1998">
        <v>0.7553076256233382</v>
      </c>
      <c r="AT188" s="1998">
        <v>0.88880709484688836</v>
      </c>
      <c r="AU188" s="1998">
        <v>0.75598443739401122</v>
      </c>
      <c r="AV188" s="1998">
        <v>0.88904394530557862</v>
      </c>
      <c r="AW188" s="1998">
        <v>0.75615364033667942</v>
      </c>
      <c r="AX188" s="1998">
        <v>0.88928079576426888</v>
      </c>
      <c r="AY188" s="1998">
        <v>0.75632284327934773</v>
      </c>
      <c r="AZ188" s="1998">
        <v>0.88971502160520122</v>
      </c>
      <c r="BA188" s="1998">
        <v>0.75663304867423953</v>
      </c>
      <c r="BB188" s="1999">
        <v>0.96858676010797895</v>
      </c>
      <c r="BC188" s="1979">
        <v>0.81481708137707043</v>
      </c>
      <c r="BD188" s="1979">
        <v>0.96942322302756578</v>
      </c>
      <c r="BE188" s="1979">
        <v>0.8153940999761482</v>
      </c>
      <c r="BF188" s="1979">
        <v>0.96970204400076154</v>
      </c>
      <c r="BG188" s="1979">
        <v>0.81558643950917409</v>
      </c>
      <c r="BH188" s="1979">
        <v>0.96998086497395719</v>
      </c>
      <c r="BI188" s="1979">
        <v>0.81577877904220009</v>
      </c>
      <c r="BJ188" s="1979">
        <v>0.97049203675814932</v>
      </c>
      <c r="BK188" s="1979">
        <v>0.81613140151941421</v>
      </c>
      <c r="BL188" s="2000">
        <v>0.79046499875047582</v>
      </c>
      <c r="BM188" s="1998">
        <v>0.64984832916203095</v>
      </c>
      <c r="BN188" s="1998">
        <v>0.79088190093619337</v>
      </c>
      <c r="BO188" s="1998">
        <v>0.6501350401791125</v>
      </c>
      <c r="BP188" s="1998">
        <v>0.791264061273101</v>
      </c>
      <c r="BQ188" s="1998">
        <v>0.6503978586114374</v>
      </c>
      <c r="BR188" s="1998">
        <v>0.79168096345881878</v>
      </c>
      <c r="BS188" s="1998">
        <v>0.65068456962851906</v>
      </c>
      <c r="BT188" s="1998">
        <v>0.79268847707430257</v>
      </c>
      <c r="BU188" s="1998">
        <v>0.65137745458646612</v>
      </c>
      <c r="BV188" s="1999">
        <v>0.9443983941628038</v>
      </c>
      <c r="BW188" s="1979">
        <v>0.84616540516742833</v>
      </c>
      <c r="BX188" s="1979">
        <v>0.94527779118558453</v>
      </c>
      <c r="BY188" s="1979">
        <v>0.84681400192451783</v>
      </c>
      <c r="BZ188" s="1979">
        <v>0.94597745372492215</v>
      </c>
      <c r="CA188" s="1979">
        <v>0.8473226964435665</v>
      </c>
      <c r="CB188" s="1979">
        <v>0.94683875894062353</v>
      </c>
      <c r="CC188" s="1979">
        <v>0.84795394623055109</v>
      </c>
      <c r="CD188" s="1979">
        <v>0.94770006415632446</v>
      </c>
      <c r="CE188" s="1979">
        <v>0.84858519601753546</v>
      </c>
      <c r="CF188" s="2000">
        <v>0.69265828512679417</v>
      </c>
      <c r="CG188" s="1998">
        <v>0.62425829029986535</v>
      </c>
      <c r="CH188" s="1998">
        <v>0.69312545166075257</v>
      </c>
      <c r="CI188" s="1998">
        <v>0.62460168659815107</v>
      </c>
      <c r="CJ188" s="1998">
        <v>0.69355368765021408</v>
      </c>
      <c r="CK188" s="1998">
        <v>0.62491646653824617</v>
      </c>
      <c r="CL188" s="1998">
        <v>0.69402085418417248</v>
      </c>
      <c r="CM188" s="1998">
        <v>0.62525986283653179</v>
      </c>
      <c r="CN188" s="1998">
        <v>0.69514983997457136</v>
      </c>
      <c r="CO188" s="1998">
        <v>0.62608973722405536</v>
      </c>
      <c r="CP188" s="1999">
        <v>0.66975325075551384</v>
      </c>
      <c r="CQ188" s="1979">
        <v>0.60960933706296117</v>
      </c>
      <c r="CR188" s="1979">
        <v>0.67048869650948839</v>
      </c>
      <c r="CS188" s="1979">
        <v>0.61014869143807471</v>
      </c>
      <c r="CT188" s="1979">
        <v>0.67116285511729856</v>
      </c>
      <c r="CU188" s="1979">
        <v>0.6106430996152622</v>
      </c>
      <c r="CV188" s="1979">
        <v>0.67189830087127322</v>
      </c>
      <c r="CW188" s="1979">
        <v>0.61118245399037596</v>
      </c>
      <c r="CX188" s="1979">
        <v>0.67367562811004511</v>
      </c>
      <c r="CY188" s="1979">
        <v>0.61248589373023399</v>
      </c>
      <c r="CZ188" s="2000">
        <v>0.66107157471257372</v>
      </c>
      <c r="DA188" s="1998">
        <v>0.58201296522907631</v>
      </c>
      <c r="DB188" s="1998">
        <v>0.66204088863639277</v>
      </c>
      <c r="DC188" s="1998">
        <v>0.58271721308032332</v>
      </c>
      <c r="DD188" s="1998">
        <v>0.66301020256021159</v>
      </c>
      <c r="DE188" s="1998">
        <v>0.58342146093157021</v>
      </c>
      <c r="DF188" s="1998">
        <v>0.66397951648403053</v>
      </c>
      <c r="DG188" s="1998">
        <v>0.58412570878281711</v>
      </c>
      <c r="DH188" s="1998">
        <v>0.66494883040784947</v>
      </c>
      <c r="DI188" s="1998">
        <v>0.58482995663406412</v>
      </c>
      <c r="DJ188" s="1999">
        <v>0.68475615132276257</v>
      </c>
      <c r="DK188" s="1979">
        <v>0.59802123225536585</v>
      </c>
      <c r="DL188" s="1979">
        <v>0.68561100504674155</v>
      </c>
      <c r="DM188" s="1979">
        <v>0.5986507482485357</v>
      </c>
      <c r="DN188" s="1979">
        <v>0.68646585877072042</v>
      </c>
      <c r="DO188" s="1979">
        <v>0.59928026424170577</v>
      </c>
      <c r="DP188" s="1979">
        <v>0.68732071249469939</v>
      </c>
      <c r="DQ188" s="1979">
        <v>0.59990978023487562</v>
      </c>
      <c r="DR188" s="1979">
        <v>0.68817556621867826</v>
      </c>
      <c r="DS188" s="1979">
        <v>0.60053929622804558</v>
      </c>
    </row>
    <row r="189" spans="1:297">
      <c r="A189" s="1997"/>
      <c r="B189" s="2">
        <v>8</v>
      </c>
      <c r="C189" s="2" t="s">
        <v>4334</v>
      </c>
      <c r="D189" s="1998">
        <v>0.97361705301252233</v>
      </c>
      <c r="E189" s="1998">
        <v>0.80565246615137776</v>
      </c>
      <c r="F189" s="1998">
        <v>0.97467709322487217</v>
      </c>
      <c r="G189" s="1998">
        <v>0.80640553045363927</v>
      </c>
      <c r="H189" s="1998">
        <v>0.97547379121904987</v>
      </c>
      <c r="I189" s="1998">
        <v>0.80695362553734185</v>
      </c>
      <c r="J189" s="1998">
        <v>0.97648655751351943</v>
      </c>
      <c r="K189" s="1998">
        <v>0.80766334883877666</v>
      </c>
      <c r="L189" s="1998">
        <v>0.97749932380798887</v>
      </c>
      <c r="M189" s="1998">
        <v>0.80837307214021192</v>
      </c>
      <c r="N189" s="1999">
        <v>0.82073564328315551</v>
      </c>
      <c r="O189" s="1979">
        <v>0.71314612948144118</v>
      </c>
      <c r="P189" s="1979">
        <v>0.82149327106865899</v>
      </c>
      <c r="Q189" s="1979">
        <v>0.71368469925516265</v>
      </c>
      <c r="R189" s="1979">
        <v>0.82205377727608619</v>
      </c>
      <c r="S189" s="1979">
        <v>0.71406863659983</v>
      </c>
      <c r="T189" s="1979">
        <v>0.8227727594540486</v>
      </c>
      <c r="U189" s="1979">
        <v>0.71457182230076932</v>
      </c>
      <c r="V189" s="1979">
        <v>0.82349174163201089</v>
      </c>
      <c r="W189" s="1979">
        <v>0.71507500800170853</v>
      </c>
      <c r="X189" s="2000">
        <v>0.9203387316248266</v>
      </c>
      <c r="Y189" s="1998">
        <v>0.77694007046410563</v>
      </c>
      <c r="Z189" s="1998">
        <v>0.92128968416580925</v>
      </c>
      <c r="AA189" s="1998">
        <v>0.77761685126021629</v>
      </c>
      <c r="AB189" s="1998">
        <v>0.92147987467400572</v>
      </c>
      <c r="AC189" s="1998">
        <v>0.7777522074194384</v>
      </c>
      <c r="AD189" s="1998">
        <v>0.92167006518220229</v>
      </c>
      <c r="AE189" s="1998">
        <v>0.77788756357866051</v>
      </c>
      <c r="AF189" s="1998">
        <v>0.9220187477805627</v>
      </c>
      <c r="AG189" s="1998">
        <v>0.77813571653723457</v>
      </c>
      <c r="AH189" s="1999">
        <v>0.74382612596927056</v>
      </c>
      <c r="AI189" s="1979">
        <v>0.64004890387516833</v>
      </c>
      <c r="AJ189" s="1979">
        <v>0.74446974341629379</v>
      </c>
      <c r="AK189" s="1979">
        <v>0.64051219814749738</v>
      </c>
      <c r="AL189" s="1979">
        <v>0.74463064777804977</v>
      </c>
      <c r="AM189" s="1979">
        <v>0.64062802171557964</v>
      </c>
      <c r="AN189" s="1979">
        <v>0.74479155213980552</v>
      </c>
      <c r="AO189" s="1979">
        <v>0.64074384528366191</v>
      </c>
      <c r="AP189" s="1979">
        <v>0.74508654346969128</v>
      </c>
      <c r="AQ189" s="1979">
        <v>0.64095618849181268</v>
      </c>
      <c r="AR189" s="2000">
        <v>0.9555751336547208</v>
      </c>
      <c r="AS189" s="1998">
        <v>0.81395460841126877</v>
      </c>
      <c r="AT189" s="1998">
        <v>0.95652253548948218</v>
      </c>
      <c r="AU189" s="1998">
        <v>0.81463142018194168</v>
      </c>
      <c r="AV189" s="1998">
        <v>0.95675938594817267</v>
      </c>
      <c r="AW189" s="1998">
        <v>0.8148006231246101</v>
      </c>
      <c r="AX189" s="1998">
        <v>0.95699623640686293</v>
      </c>
      <c r="AY189" s="1998">
        <v>0.81496982606727841</v>
      </c>
      <c r="AZ189" s="1998">
        <v>0.95743046224779549</v>
      </c>
      <c r="BA189" s="1998">
        <v>0.81528003146217021</v>
      </c>
      <c r="BB189" s="1999">
        <v>1.023259586821667</v>
      </c>
      <c r="BC189" s="1979">
        <v>0.85686592709927356</v>
      </c>
      <c r="BD189" s="1979">
        <v>1.0240960497412539</v>
      </c>
      <c r="BE189" s="1979">
        <v>0.85744294569835133</v>
      </c>
      <c r="BF189" s="1979">
        <v>1.0243748707144498</v>
      </c>
      <c r="BG189" s="1979">
        <v>0.85763528523137733</v>
      </c>
      <c r="BH189" s="1979">
        <v>1.0246536916876452</v>
      </c>
      <c r="BI189" s="1979">
        <v>0.85782762476440311</v>
      </c>
      <c r="BJ189" s="1979">
        <v>1.0251648634718373</v>
      </c>
      <c r="BK189" s="1979">
        <v>0.85818024724161734</v>
      </c>
      <c r="BL189" s="2000">
        <v>0.80429138105379161</v>
      </c>
      <c r="BM189" s="1998">
        <v>0.66120444085418228</v>
      </c>
      <c r="BN189" s="1998">
        <v>0.80470828323950894</v>
      </c>
      <c r="BO189" s="1998">
        <v>0.66149115187126395</v>
      </c>
      <c r="BP189" s="1998">
        <v>0.80509044357641679</v>
      </c>
      <c r="BQ189" s="1998">
        <v>0.66175397030358862</v>
      </c>
      <c r="BR189" s="1998">
        <v>0.80550734576213423</v>
      </c>
      <c r="BS189" s="1998">
        <v>0.66204068132067029</v>
      </c>
      <c r="BT189" s="1998">
        <v>0.80651485937761824</v>
      </c>
      <c r="BU189" s="1998">
        <v>0.66273356627861746</v>
      </c>
      <c r="BV189" s="1999">
        <v>0.99908456120249167</v>
      </c>
      <c r="BW189" s="1979">
        <v>0.90182981765075998</v>
      </c>
      <c r="BX189" s="1979">
        <v>0.99996998882763277</v>
      </c>
      <c r="BY189" s="1979">
        <v>0.90248419673121771</v>
      </c>
      <c r="BZ189" s="1979">
        <v>1.0006636207646105</v>
      </c>
      <c r="CA189" s="1979">
        <v>0.90298710892689804</v>
      </c>
      <c r="CB189" s="1979">
        <v>1.0015249259803114</v>
      </c>
      <c r="CC189" s="1979">
        <v>0.90361835871388263</v>
      </c>
      <c r="CD189" s="1979">
        <v>1.0023862311960126</v>
      </c>
      <c r="CE189" s="1979">
        <v>0.904249608500867</v>
      </c>
      <c r="CF189" s="2000">
        <v>0.85514430520075446</v>
      </c>
      <c r="CG189" s="1998">
        <v>0.76822413837349524</v>
      </c>
      <c r="CH189" s="1998">
        <v>0.85584505500169161</v>
      </c>
      <c r="CI189" s="1998">
        <v>0.76873923282092371</v>
      </c>
      <c r="CJ189" s="1998">
        <v>0.85648740898588438</v>
      </c>
      <c r="CK189" s="1998">
        <v>0.76921140273106647</v>
      </c>
      <c r="CL189" s="1998">
        <v>0.85718815878682153</v>
      </c>
      <c r="CM189" s="1998">
        <v>0.76972649717849484</v>
      </c>
      <c r="CN189" s="1998">
        <v>0.85888163747242019</v>
      </c>
      <c r="CO189" s="1998">
        <v>0.77097130875978015</v>
      </c>
      <c r="CP189" s="1999">
        <v>0.85059343986473746</v>
      </c>
      <c r="CQ189" s="1979">
        <v>0.75185579879769948</v>
      </c>
      <c r="CR189" s="1979">
        <v>0.85132888561871212</v>
      </c>
      <c r="CS189" s="1979">
        <v>0.75239515317281302</v>
      </c>
      <c r="CT189" s="1979">
        <v>0.85200304422652207</v>
      </c>
      <c r="CU189" s="1979">
        <v>0.75288956135000062</v>
      </c>
      <c r="CV189" s="1979">
        <v>0.85273848998049673</v>
      </c>
      <c r="CW189" s="1979">
        <v>0.75342891572511417</v>
      </c>
      <c r="CX189" s="1979">
        <v>0.85451581721926895</v>
      </c>
      <c r="CY189" s="1979">
        <v>0.75473235546497219</v>
      </c>
      <c r="CZ189" s="2000">
        <v>0.69207232064195234</v>
      </c>
      <c r="DA189" s="1998">
        <v>0.60671473031034806</v>
      </c>
      <c r="DB189" s="1998">
        <v>0.69304163456577117</v>
      </c>
      <c r="DC189" s="1998">
        <v>0.60741897816159496</v>
      </c>
      <c r="DD189" s="1998">
        <v>0.69401094848959022</v>
      </c>
      <c r="DE189" s="1998">
        <v>0.60812322601284186</v>
      </c>
      <c r="DF189" s="1998">
        <v>0.69498026241340916</v>
      </c>
      <c r="DG189" s="1998">
        <v>0.60882747386408875</v>
      </c>
      <c r="DH189" s="1998">
        <v>0.69594957633722809</v>
      </c>
      <c r="DI189" s="1998">
        <v>0.60953172171533576</v>
      </c>
      <c r="DJ189" s="1999">
        <v>0.70870253194789268</v>
      </c>
      <c r="DK189" s="1979">
        <v>0.61735773776142489</v>
      </c>
      <c r="DL189" s="1979">
        <v>0.70955738567187154</v>
      </c>
      <c r="DM189" s="1979">
        <v>0.61798725375459485</v>
      </c>
      <c r="DN189" s="1979">
        <v>0.71041223939585041</v>
      </c>
      <c r="DO189" s="1979">
        <v>0.61861676974776481</v>
      </c>
      <c r="DP189" s="1979">
        <v>0.71126709311982927</v>
      </c>
      <c r="DQ189" s="1979">
        <v>0.61924628574093477</v>
      </c>
      <c r="DR189" s="1979">
        <v>0.71212194684380814</v>
      </c>
      <c r="DS189" s="1979">
        <v>0.61987580173410461</v>
      </c>
    </row>
    <row r="190" spans="1:297">
      <c r="A190" s="1997"/>
      <c r="B190" s="2">
        <v>9</v>
      </c>
      <c r="C190" s="2" t="s">
        <v>4335</v>
      </c>
      <c r="D190" s="1998">
        <v>1.0245226426177447</v>
      </c>
      <c r="E190" s="1998">
        <v>0.8538982904330995</v>
      </c>
      <c r="F190" s="1998">
        <v>1.0255855771515974</v>
      </c>
      <c r="G190" s="1998">
        <v>0.854654008266024</v>
      </c>
      <c r="H190" s="1998">
        <v>1.0263793808242725</v>
      </c>
      <c r="I190" s="1998">
        <v>0.8551994498190636</v>
      </c>
      <c r="J190" s="1998">
        <v>1.0273921471187419</v>
      </c>
      <c r="K190" s="1998">
        <v>0.85590917312049863</v>
      </c>
      <c r="L190" s="1998">
        <v>1.0284049134132116</v>
      </c>
      <c r="M190" s="1998">
        <v>0.85661889642193356</v>
      </c>
      <c r="N190" s="1999">
        <v>0.82937961788917791</v>
      </c>
      <c r="O190" s="1979">
        <v>0.72084889717700362</v>
      </c>
      <c r="P190" s="1979">
        <v>0.83014086163796041</v>
      </c>
      <c r="Q190" s="1979">
        <v>0.72139077774116078</v>
      </c>
      <c r="R190" s="1979">
        <v>0.8306977518821087</v>
      </c>
      <c r="S190" s="1979">
        <v>0.72177140429539233</v>
      </c>
      <c r="T190" s="1979">
        <v>0.83141673406007099</v>
      </c>
      <c r="U190" s="1979">
        <v>0.72227458999633154</v>
      </c>
      <c r="V190" s="1979">
        <v>0.83213571623803329</v>
      </c>
      <c r="W190" s="1979">
        <v>0.72277777569727097</v>
      </c>
      <c r="X190" s="2000">
        <v>1.0028631639817776</v>
      </c>
      <c r="Y190" s="1998">
        <v>0.86039838057473572</v>
      </c>
      <c r="Z190" s="1998">
        <v>1.0038141165227603</v>
      </c>
      <c r="AA190" s="1998">
        <v>0.8610751613708465</v>
      </c>
      <c r="AB190" s="1998">
        <v>1.0040518546580057</v>
      </c>
      <c r="AC190" s="1998">
        <v>0.86124435656987419</v>
      </c>
      <c r="AD190" s="1998">
        <v>1.0042895927932516</v>
      </c>
      <c r="AE190" s="1998">
        <v>0.86141355176890166</v>
      </c>
      <c r="AF190" s="1998">
        <v>1.0047254460412021</v>
      </c>
      <c r="AG190" s="1998">
        <v>0.86172374296711929</v>
      </c>
      <c r="AH190" s="1999">
        <v>0.77881170781742715</v>
      </c>
      <c r="AI190" s="1979">
        <v>0.67070849792079834</v>
      </c>
      <c r="AJ190" s="1979">
        <v>0.7794553252644506</v>
      </c>
      <c r="AK190" s="1979">
        <v>0.67117179219312739</v>
      </c>
      <c r="AL190" s="1979">
        <v>0.77961622962620636</v>
      </c>
      <c r="AM190" s="1979">
        <v>0.67128761576120966</v>
      </c>
      <c r="AN190" s="1979">
        <v>0.77977713398796222</v>
      </c>
      <c r="AO190" s="1979">
        <v>0.67140343932929192</v>
      </c>
      <c r="AP190" s="1979">
        <v>0.78007212531784798</v>
      </c>
      <c r="AQ190" s="1979">
        <v>0.6716157825374427</v>
      </c>
      <c r="AR190" s="2000">
        <v>0.98959238741709343</v>
      </c>
      <c r="AS190" s="1998">
        <v>0.84338237801383764</v>
      </c>
      <c r="AT190" s="1998">
        <v>0.99053978925185482</v>
      </c>
      <c r="AU190" s="1998">
        <v>0.84405918978451089</v>
      </c>
      <c r="AV190" s="1998">
        <v>0.9907766397105453</v>
      </c>
      <c r="AW190" s="1998">
        <v>0.84422839272717909</v>
      </c>
      <c r="AX190" s="1998">
        <v>0.99101349016923557</v>
      </c>
      <c r="AY190" s="1998">
        <v>0.84439759566984729</v>
      </c>
      <c r="AZ190" s="1998">
        <v>0.9914477160101679</v>
      </c>
      <c r="BA190" s="1998">
        <v>0.84470780106473919</v>
      </c>
      <c r="BB190" s="1999">
        <v>1.0505960001785108</v>
      </c>
      <c r="BC190" s="1979">
        <v>0.87789034996037507</v>
      </c>
      <c r="BD190" s="1979">
        <v>1.051432463098098</v>
      </c>
      <c r="BE190" s="1979">
        <v>0.87846736855945284</v>
      </c>
      <c r="BF190" s="1979">
        <v>1.0517112840712937</v>
      </c>
      <c r="BG190" s="1979">
        <v>0.87865970809247884</v>
      </c>
      <c r="BH190" s="1979">
        <v>1.0519901050444893</v>
      </c>
      <c r="BI190" s="1979">
        <v>0.87885204762550462</v>
      </c>
      <c r="BJ190" s="1979">
        <v>1.0525012768286812</v>
      </c>
      <c r="BK190" s="1979">
        <v>0.87920467010271908</v>
      </c>
      <c r="BL190" s="2000">
        <v>0.82856173183500115</v>
      </c>
      <c r="BM190" s="1998">
        <v>0.68113063836857424</v>
      </c>
      <c r="BN190" s="1998">
        <v>0.8289786340207187</v>
      </c>
      <c r="BO190" s="1998">
        <v>0.68141734938565579</v>
      </c>
      <c r="BP190" s="1998">
        <v>0.82936079435762655</v>
      </c>
      <c r="BQ190" s="1998">
        <v>0.68168016781798058</v>
      </c>
      <c r="BR190" s="1998">
        <v>0.82977769654334399</v>
      </c>
      <c r="BS190" s="1998">
        <v>0.68196687883506224</v>
      </c>
      <c r="BT190" s="1998">
        <v>0.83078521015882822</v>
      </c>
      <c r="BU190" s="1998">
        <v>0.68265976379300952</v>
      </c>
      <c r="BV190" s="1999">
        <v>1.0482746298233931</v>
      </c>
      <c r="BW190" s="1979">
        <v>0.95169832881899319</v>
      </c>
      <c r="BX190" s="1979">
        <v>1.0491654179839651</v>
      </c>
      <c r="BY190" s="1979">
        <v>0.95235784774244492</v>
      </c>
      <c r="BZ190" s="1979">
        <v>1.0498536893855117</v>
      </c>
      <c r="CA190" s="1979">
        <v>0.95285562009513125</v>
      </c>
      <c r="CB190" s="1979">
        <v>1.0507149946012126</v>
      </c>
      <c r="CC190" s="1979">
        <v>0.95348686988211562</v>
      </c>
      <c r="CD190" s="1979">
        <v>1.0515762998169138</v>
      </c>
      <c r="CE190" s="1979">
        <v>0.95411811966910032</v>
      </c>
      <c r="CF190" s="2000">
        <v>0.88311506368661985</v>
      </c>
      <c r="CG190" s="1998">
        <v>0.79398140467111167</v>
      </c>
      <c r="CH190" s="1998">
        <v>0.88381581348755722</v>
      </c>
      <c r="CI190" s="1998">
        <v>0.79449649911854014</v>
      </c>
      <c r="CJ190" s="1998">
        <v>0.88445816747174977</v>
      </c>
      <c r="CK190" s="1998">
        <v>0.79496866902868291</v>
      </c>
      <c r="CL190" s="1998">
        <v>0.88515891727268714</v>
      </c>
      <c r="CM190" s="1998">
        <v>0.79548376347611127</v>
      </c>
      <c r="CN190" s="1998">
        <v>0.88685239595828558</v>
      </c>
      <c r="CO190" s="1998">
        <v>0.7967285750573968</v>
      </c>
      <c r="CP190" s="1999">
        <v>0.88935787791028342</v>
      </c>
      <c r="CQ190" s="1979">
        <v>0.78724815136963167</v>
      </c>
      <c r="CR190" s="1979">
        <v>0.89009332366425808</v>
      </c>
      <c r="CS190" s="1979">
        <v>0.78778750574474554</v>
      </c>
      <c r="CT190" s="1979">
        <v>0.89076748227206815</v>
      </c>
      <c r="CU190" s="1979">
        <v>0.78828191392193292</v>
      </c>
      <c r="CV190" s="1979">
        <v>0.89150292802604281</v>
      </c>
      <c r="CW190" s="1979">
        <v>0.78882126829704668</v>
      </c>
      <c r="CX190" s="1979">
        <v>0.89328025526481469</v>
      </c>
      <c r="CY190" s="1979">
        <v>0.79012470803690471</v>
      </c>
      <c r="CZ190" s="2000">
        <v>0.71752672150876096</v>
      </c>
      <c r="DA190" s="1998">
        <v>0.65093062874597163</v>
      </c>
      <c r="DB190" s="1998">
        <v>0.71898069239448936</v>
      </c>
      <c r="DC190" s="1998">
        <v>0.65198700052284209</v>
      </c>
      <c r="DD190" s="1998">
        <v>0.72043466328021777</v>
      </c>
      <c r="DE190" s="1998">
        <v>0.65304337229971265</v>
      </c>
      <c r="DF190" s="1998">
        <v>0.72188863416594606</v>
      </c>
      <c r="DG190" s="1998">
        <v>0.654099744076583</v>
      </c>
      <c r="DH190" s="1998">
        <v>0.72334260505167447</v>
      </c>
      <c r="DI190" s="1998">
        <v>0.65515611585345346</v>
      </c>
      <c r="DJ190" s="1999">
        <v>0.74484844328909527</v>
      </c>
      <c r="DK190" s="1979">
        <v>0.66794023390235402</v>
      </c>
      <c r="DL190" s="1979">
        <v>0.74613072387506352</v>
      </c>
      <c r="DM190" s="1979">
        <v>0.66888450789210885</v>
      </c>
      <c r="DN190" s="1979">
        <v>0.74741300446103198</v>
      </c>
      <c r="DO190" s="1979">
        <v>0.6698287818818639</v>
      </c>
      <c r="DP190" s="1979">
        <v>0.74869528504700023</v>
      </c>
      <c r="DQ190" s="1979">
        <v>0.67077305587161862</v>
      </c>
      <c r="DR190" s="1979">
        <v>0.74997756563296858</v>
      </c>
      <c r="DS190" s="1979">
        <v>0.67171732986137345</v>
      </c>
    </row>
    <row r="191" spans="1:297">
      <c r="A191" s="1997"/>
      <c r="B191" s="2">
        <v>10</v>
      </c>
      <c r="C191" s="2" t="s">
        <v>4336</v>
      </c>
      <c r="D191" s="1998">
        <v>1.0867913097720452</v>
      </c>
      <c r="E191" s="1998">
        <v>0.91120285782305988</v>
      </c>
      <c r="F191" s="1998">
        <v>1.0878605591891772</v>
      </c>
      <c r="G191" s="1998">
        <v>0.91196436517743051</v>
      </c>
      <c r="H191" s="1998">
        <v>1.0886480479785732</v>
      </c>
      <c r="I191" s="1998">
        <v>0.91250401720902374</v>
      </c>
      <c r="J191" s="1998">
        <v>1.0896608142730424</v>
      </c>
      <c r="K191" s="1998">
        <v>0.913213740510459</v>
      </c>
      <c r="L191" s="1998">
        <v>1.0906735805675121</v>
      </c>
      <c r="M191" s="1998">
        <v>0.91392346381189382</v>
      </c>
      <c r="N191" s="1999">
        <v>0.882819302970411</v>
      </c>
      <c r="O191" s="1979">
        <v>0.79040955072502472</v>
      </c>
      <c r="P191" s="1979">
        <v>0.88356065892116042</v>
      </c>
      <c r="Q191" s="1979">
        <v>0.79093322194178528</v>
      </c>
      <c r="R191" s="1979">
        <v>0.88413743696334191</v>
      </c>
      <c r="S191" s="1979">
        <v>0.79133205784341354</v>
      </c>
      <c r="T191" s="1979">
        <v>0.88485641914130408</v>
      </c>
      <c r="U191" s="1979">
        <v>0.79183524354435275</v>
      </c>
      <c r="V191" s="1979">
        <v>0.88557540131926638</v>
      </c>
      <c r="W191" s="1979">
        <v>0.7923384292452923</v>
      </c>
      <c r="X191" s="2000">
        <v>1.0820118327881576</v>
      </c>
      <c r="Y191" s="1998">
        <v>0.94755937252855138</v>
      </c>
      <c r="Z191" s="1998">
        <v>1.0829627853291404</v>
      </c>
      <c r="AA191" s="1998">
        <v>0.94823615332466205</v>
      </c>
      <c r="AB191" s="1998">
        <v>1.0832797695094678</v>
      </c>
      <c r="AC191" s="1998">
        <v>0.9484617469233656</v>
      </c>
      <c r="AD191" s="1998">
        <v>1.0835967536897952</v>
      </c>
      <c r="AE191" s="1998">
        <v>0.94868734052206904</v>
      </c>
      <c r="AF191" s="1998">
        <v>1.0841778913537294</v>
      </c>
      <c r="AG191" s="1998">
        <v>0.94910092878635921</v>
      </c>
      <c r="AH191" s="1999">
        <v>0.80067769647252518</v>
      </c>
      <c r="AI191" s="1979">
        <v>0.68987074419931715</v>
      </c>
      <c r="AJ191" s="1979">
        <v>0.80132131391954853</v>
      </c>
      <c r="AK191" s="1979">
        <v>0.69033403847164621</v>
      </c>
      <c r="AL191" s="1979">
        <v>0.80148221828130439</v>
      </c>
      <c r="AM191" s="1979">
        <v>0.69044986203972847</v>
      </c>
      <c r="AN191" s="1979">
        <v>0.80164312264306015</v>
      </c>
      <c r="AO191" s="1979">
        <v>0.69056568560781073</v>
      </c>
      <c r="AP191" s="1979">
        <v>0.8019381139729459</v>
      </c>
      <c r="AQ191" s="1979">
        <v>0.69077802881596151</v>
      </c>
      <c r="AR191" s="2000">
        <v>1.0624064874724279</v>
      </c>
      <c r="AS191" s="1998">
        <v>0.92341727468143409</v>
      </c>
      <c r="AT191" s="1998">
        <v>1.0633538893071892</v>
      </c>
      <c r="AU191" s="1998">
        <v>0.924094086452107</v>
      </c>
      <c r="AV191" s="1998">
        <v>1.0636696899187765</v>
      </c>
      <c r="AW191" s="1998">
        <v>0.92431969037566497</v>
      </c>
      <c r="AX191" s="1998">
        <v>1.0639854905303634</v>
      </c>
      <c r="AY191" s="1998">
        <v>0.92454529429922261</v>
      </c>
      <c r="AZ191" s="1998">
        <v>1.0645644583182734</v>
      </c>
      <c r="BA191" s="1998">
        <v>0.92495890149241178</v>
      </c>
      <c r="BB191" s="1999">
        <v>1.1189370335706208</v>
      </c>
      <c r="BC191" s="1979">
        <v>0.93045140711312879</v>
      </c>
      <c r="BD191" s="1979">
        <v>1.119773496490208</v>
      </c>
      <c r="BE191" s="1979">
        <v>0.93102842571220668</v>
      </c>
      <c r="BF191" s="1979">
        <v>1.1200523174634036</v>
      </c>
      <c r="BG191" s="1979">
        <v>0.93122076524523256</v>
      </c>
      <c r="BH191" s="1979">
        <v>1.1203311384365993</v>
      </c>
      <c r="BI191" s="1979">
        <v>0.93141310477825867</v>
      </c>
      <c r="BJ191" s="1979">
        <v>1.1208423102207912</v>
      </c>
      <c r="BK191" s="1979">
        <v>0.93176572725547291</v>
      </c>
      <c r="BL191" s="2000">
        <v>0.85339548927705611</v>
      </c>
      <c r="BM191" s="1998">
        <v>0.72001554315188065</v>
      </c>
      <c r="BN191" s="1998">
        <v>0.85402084255563238</v>
      </c>
      <c r="BO191" s="1998">
        <v>0.72044560967750293</v>
      </c>
      <c r="BP191" s="1998">
        <v>0.85459408306099405</v>
      </c>
      <c r="BQ191" s="1998">
        <v>0.72083983732599033</v>
      </c>
      <c r="BR191" s="1998">
        <v>0.85521943633957043</v>
      </c>
      <c r="BS191" s="1998">
        <v>0.72126990385161283</v>
      </c>
      <c r="BT191" s="1998">
        <v>0.8567307067627965</v>
      </c>
      <c r="BU191" s="1998">
        <v>0.72230923128853353</v>
      </c>
      <c r="BV191" s="1999">
        <v>1.1477219828648937</v>
      </c>
      <c r="BW191" s="1979">
        <v>1.0675732602154324</v>
      </c>
      <c r="BX191" s="1979">
        <v>1.148604730222319</v>
      </c>
      <c r="BY191" s="1979">
        <v>1.0682250693743931</v>
      </c>
      <c r="BZ191" s="1979">
        <v>1.1493010424270123</v>
      </c>
      <c r="CA191" s="1979">
        <v>1.0687305514915704</v>
      </c>
      <c r="CB191" s="1979">
        <v>1.1501623476427134</v>
      </c>
      <c r="CC191" s="1979">
        <v>1.0693618012785548</v>
      </c>
      <c r="CD191" s="1979">
        <v>1.1510236528584143</v>
      </c>
      <c r="CE191" s="1979">
        <v>1.0699930510655393</v>
      </c>
      <c r="CF191" s="2000">
        <v>0.92671079140328128</v>
      </c>
      <c r="CG191" s="1998">
        <v>0.83410587427943206</v>
      </c>
      <c r="CH191" s="1998">
        <v>0.92741154120421843</v>
      </c>
      <c r="CI191" s="1998">
        <v>0.83462096872686076</v>
      </c>
      <c r="CJ191" s="1998">
        <v>0.92805389518841097</v>
      </c>
      <c r="CK191" s="1998">
        <v>0.8350931386370033</v>
      </c>
      <c r="CL191" s="1998">
        <v>0.92875464498934845</v>
      </c>
      <c r="CM191" s="1998">
        <v>0.83560823308443177</v>
      </c>
      <c r="CN191" s="1998">
        <v>0.93044812367494711</v>
      </c>
      <c r="CO191" s="1998">
        <v>0.8368530446657173</v>
      </c>
      <c r="CP191" s="1999">
        <v>0.92327676120013602</v>
      </c>
      <c r="CQ191" s="1979">
        <v>0.81821645987007274</v>
      </c>
      <c r="CR191" s="1979">
        <v>0.92401220695411057</v>
      </c>
      <c r="CS191" s="1979">
        <v>0.8187558142451864</v>
      </c>
      <c r="CT191" s="1979">
        <v>0.92468636556192074</v>
      </c>
      <c r="CU191" s="1979">
        <v>0.819250222422374</v>
      </c>
      <c r="CV191" s="1979">
        <v>0.92542181131589529</v>
      </c>
      <c r="CW191" s="1979">
        <v>0.81978957679748765</v>
      </c>
      <c r="CX191" s="1979">
        <v>0.92719913855466718</v>
      </c>
      <c r="CY191" s="1979">
        <v>0.82109301653734579</v>
      </c>
      <c r="CZ191" s="2000">
        <v>0.74852746743813958</v>
      </c>
      <c r="DA191" s="1998">
        <v>0.67563239382724338</v>
      </c>
      <c r="DB191" s="1998">
        <v>0.74998143832386788</v>
      </c>
      <c r="DC191" s="1998">
        <v>0.67668876560411395</v>
      </c>
      <c r="DD191" s="1998">
        <v>0.75143540920959628</v>
      </c>
      <c r="DE191" s="1998">
        <v>0.6777451373809843</v>
      </c>
      <c r="DF191" s="1998">
        <v>0.75288938009532469</v>
      </c>
      <c r="DG191" s="1998">
        <v>0.67880150915785464</v>
      </c>
      <c r="DH191" s="1998">
        <v>0.7543433509810531</v>
      </c>
      <c r="DI191" s="1998">
        <v>0.67985788093472521</v>
      </c>
      <c r="DJ191" s="1999">
        <v>0.76950701401558752</v>
      </c>
      <c r="DK191" s="1979">
        <v>0.68784808230520444</v>
      </c>
      <c r="DL191" s="1979">
        <v>0.77078929460155587</v>
      </c>
      <c r="DM191" s="1979">
        <v>0.68879235629495927</v>
      </c>
      <c r="DN191" s="1979">
        <v>0.77207157518752445</v>
      </c>
      <c r="DO191" s="1979">
        <v>0.6897366302847141</v>
      </c>
      <c r="DP191" s="1979">
        <v>0.77335385577349258</v>
      </c>
      <c r="DQ191" s="1979">
        <v>0.69068090427446915</v>
      </c>
      <c r="DR191" s="1979">
        <v>0.77463613635946094</v>
      </c>
      <c r="DS191" s="1979">
        <v>0.69162517826422409</v>
      </c>
    </row>
    <row r="192" spans="1:297">
      <c r="A192" s="1997"/>
      <c r="B192" s="2">
        <v>11</v>
      </c>
      <c r="C192" s="2" t="s">
        <v>4337</v>
      </c>
      <c r="D192" s="1998">
        <v>1.1258332597783147</v>
      </c>
      <c r="E192" s="1998">
        <v>0.95383127033830251</v>
      </c>
      <c r="F192" s="1998">
        <v>1.1269009402198169</v>
      </c>
      <c r="G192" s="1998">
        <v>0.95459133924675821</v>
      </c>
      <c r="H192" s="1998">
        <v>1.1276899979848425</v>
      </c>
      <c r="I192" s="1998">
        <v>0.9551324297242666</v>
      </c>
      <c r="J192" s="1998">
        <v>1.1287027642793119</v>
      </c>
      <c r="K192" s="1998">
        <v>0.95584215302570141</v>
      </c>
      <c r="L192" s="1998">
        <v>1.1297155305737816</v>
      </c>
      <c r="M192" s="1998">
        <v>0.95655187632713623</v>
      </c>
      <c r="N192" s="1999">
        <v>0.93486610068858234</v>
      </c>
      <c r="O192" s="1979">
        <v>0.82997147378255753</v>
      </c>
      <c r="P192" s="1979">
        <v>0.93561232366133418</v>
      </c>
      <c r="Q192" s="1979">
        <v>0.83049960126412326</v>
      </c>
      <c r="R192" s="1979">
        <v>0.93618423468151324</v>
      </c>
      <c r="S192" s="1979">
        <v>0.83089398090094613</v>
      </c>
      <c r="T192" s="1979">
        <v>0.93690321685947542</v>
      </c>
      <c r="U192" s="1979">
        <v>0.83139716660188556</v>
      </c>
      <c r="V192" s="1979">
        <v>0.93762219903743771</v>
      </c>
      <c r="W192" s="1979">
        <v>0.83190035230282489</v>
      </c>
      <c r="X192" s="2000">
        <v>1.1251595823444216</v>
      </c>
      <c r="Y192" s="1998">
        <v>0.98759708372777832</v>
      </c>
      <c r="Z192" s="1998">
        <v>1.1261105348854044</v>
      </c>
      <c r="AA192" s="1998">
        <v>0.98827386452388932</v>
      </c>
      <c r="AB192" s="1998">
        <v>1.126427519065732</v>
      </c>
      <c r="AC192" s="1998">
        <v>0.98849945812259266</v>
      </c>
      <c r="AD192" s="1998">
        <v>1.1267445032460597</v>
      </c>
      <c r="AE192" s="1998">
        <v>0.98872505172129621</v>
      </c>
      <c r="AF192" s="1998">
        <v>1.1273256409099937</v>
      </c>
      <c r="AG192" s="1998">
        <v>0.98913863998558615</v>
      </c>
      <c r="AH192" s="1999">
        <v>0.85570453347475539</v>
      </c>
      <c r="AI192" s="1979">
        <v>0.7509465570725411</v>
      </c>
      <c r="AJ192" s="1979">
        <v>0.85634815092177874</v>
      </c>
      <c r="AK192" s="1979">
        <v>0.75140985134487004</v>
      </c>
      <c r="AL192" s="1979">
        <v>0.85656269007078645</v>
      </c>
      <c r="AM192" s="1979">
        <v>0.7515642827689798</v>
      </c>
      <c r="AN192" s="1979">
        <v>0.85677722921979438</v>
      </c>
      <c r="AO192" s="1979">
        <v>0.75171871419308944</v>
      </c>
      <c r="AP192" s="1979">
        <v>0.85717055099297523</v>
      </c>
      <c r="AQ192" s="1979">
        <v>0.75200183847062385</v>
      </c>
      <c r="AR192" s="2000">
        <v>1.1045247353177392</v>
      </c>
      <c r="AS192" s="1998">
        <v>0.96104261824707005</v>
      </c>
      <c r="AT192" s="1998">
        <v>1.1054721371525007</v>
      </c>
      <c r="AU192" s="1998">
        <v>0.96171943001774329</v>
      </c>
      <c r="AV192" s="1998">
        <v>1.1057879377640878</v>
      </c>
      <c r="AW192" s="1998">
        <v>0.96194503394130082</v>
      </c>
      <c r="AX192" s="1998">
        <v>1.1061037383756749</v>
      </c>
      <c r="AY192" s="1998">
        <v>0.96217063786485857</v>
      </c>
      <c r="AZ192" s="1998">
        <v>1.1066827061635847</v>
      </c>
      <c r="BA192" s="1998">
        <v>0.96258424505804763</v>
      </c>
      <c r="BB192" s="1999">
        <v>1.1550742270484491</v>
      </c>
      <c r="BC192" s="1979">
        <v>0.9889597662775278</v>
      </c>
      <c r="BD192" s="1979">
        <v>1.1559106899680363</v>
      </c>
      <c r="BE192" s="1979">
        <v>0.98953678487660557</v>
      </c>
      <c r="BF192" s="1979">
        <v>1.1563289214278294</v>
      </c>
      <c r="BG192" s="1979">
        <v>0.98982529417614429</v>
      </c>
      <c r="BH192" s="1979">
        <v>1.156747152887623</v>
      </c>
      <c r="BI192" s="1979">
        <v>0.99011380347568345</v>
      </c>
      <c r="BJ192" s="1979">
        <v>1.157513910563911</v>
      </c>
      <c r="BK192" s="1979">
        <v>0.99064273719150464</v>
      </c>
      <c r="BL192" s="2000">
        <v>0.87507075062535289</v>
      </c>
      <c r="BM192" s="1998">
        <v>0.73879480183947721</v>
      </c>
      <c r="BN192" s="1998">
        <v>0.87569610390392905</v>
      </c>
      <c r="BO192" s="1998">
        <v>0.73922486836509982</v>
      </c>
      <c r="BP192" s="1998">
        <v>0.87626934440929072</v>
      </c>
      <c r="BQ192" s="1998">
        <v>0.739619096013587</v>
      </c>
      <c r="BR192" s="1998">
        <v>0.8768946976878671</v>
      </c>
      <c r="BS192" s="1998">
        <v>0.74004916253920938</v>
      </c>
      <c r="BT192" s="1998">
        <v>0.87840596811109306</v>
      </c>
      <c r="BU192" s="1998">
        <v>0.74108848997613042</v>
      </c>
      <c r="BV192" s="1999">
        <v>1.2268339248401663</v>
      </c>
      <c r="BW192" s="1979">
        <v>1.1343742032099249</v>
      </c>
      <c r="BX192" s="1979">
        <v>1.2277220327330229</v>
      </c>
      <c r="BY192" s="1979">
        <v>1.1350311522118797</v>
      </c>
      <c r="BZ192" s="1979">
        <v>1.2284129844022849</v>
      </c>
      <c r="CA192" s="1979">
        <v>1.1355314944860631</v>
      </c>
      <c r="CB192" s="1979">
        <v>1.229274289617986</v>
      </c>
      <c r="CC192" s="1979">
        <v>1.1361627442730478</v>
      </c>
      <c r="CD192" s="1979">
        <v>1.2301355948336872</v>
      </c>
      <c r="CE192" s="1979">
        <v>1.1367939940600322</v>
      </c>
      <c r="CF192" s="2000">
        <v>0.95788206347223681</v>
      </c>
      <c r="CG192" s="1998">
        <v>0.86278737291020191</v>
      </c>
      <c r="CH192" s="1998">
        <v>0.95858281327317407</v>
      </c>
      <c r="CI192" s="1998">
        <v>0.86330246735763039</v>
      </c>
      <c r="CJ192" s="1998">
        <v>0.9592251672573664</v>
      </c>
      <c r="CK192" s="1998">
        <v>0.86377463726777315</v>
      </c>
      <c r="CL192" s="1998">
        <v>0.95992591705830399</v>
      </c>
      <c r="CM192" s="1998">
        <v>0.86428973171520151</v>
      </c>
      <c r="CN192" s="1998">
        <v>0.96161939574390243</v>
      </c>
      <c r="CO192" s="1998">
        <v>0.86553454329648705</v>
      </c>
      <c r="CP192" s="1999">
        <v>0.95053075620656946</v>
      </c>
      <c r="CQ192" s="1979">
        <v>0.8430708824575166</v>
      </c>
      <c r="CR192" s="1979">
        <v>0.95126620196054423</v>
      </c>
      <c r="CS192" s="1979">
        <v>0.84361023683263014</v>
      </c>
      <c r="CT192" s="1979">
        <v>0.95194036056835418</v>
      </c>
      <c r="CU192" s="1979">
        <v>0.84410464500981774</v>
      </c>
      <c r="CV192" s="1979">
        <v>0.95267580632232896</v>
      </c>
      <c r="CW192" s="1979">
        <v>0.8446439993849314</v>
      </c>
      <c r="CX192" s="1979">
        <v>0.95445313356110084</v>
      </c>
      <c r="CY192" s="1979">
        <v>0.84594743912478942</v>
      </c>
      <c r="CZ192" s="2000">
        <v>0.7872783998498627</v>
      </c>
      <c r="DA192" s="1998">
        <v>0.70650960017883313</v>
      </c>
      <c r="DB192" s="1998">
        <v>0.78873237073559122</v>
      </c>
      <c r="DC192" s="1998">
        <v>0.70756597195570348</v>
      </c>
      <c r="DD192" s="1998">
        <v>0.7901863416213194</v>
      </c>
      <c r="DE192" s="1998">
        <v>0.70862234373257393</v>
      </c>
      <c r="DF192" s="1998">
        <v>0.79164031250704792</v>
      </c>
      <c r="DG192" s="1998">
        <v>0.70967871550944439</v>
      </c>
      <c r="DH192" s="1998">
        <v>0.79309428339277632</v>
      </c>
      <c r="DI192" s="1998">
        <v>0.71073508728631485</v>
      </c>
      <c r="DJ192" s="1999">
        <v>0.79210195141139705</v>
      </c>
      <c r="DK192" s="1979">
        <v>0.70609104605649309</v>
      </c>
      <c r="DL192" s="1979">
        <v>0.79338423199736541</v>
      </c>
      <c r="DM192" s="1979">
        <v>0.70703532004624803</v>
      </c>
      <c r="DN192" s="1979">
        <v>0.79466651258333376</v>
      </c>
      <c r="DO192" s="1979">
        <v>0.70797959403600297</v>
      </c>
      <c r="DP192" s="1979">
        <v>0.79594879316930212</v>
      </c>
      <c r="DQ192" s="1979">
        <v>0.7089238680257578</v>
      </c>
      <c r="DR192" s="1979">
        <v>0.79723107375527047</v>
      </c>
      <c r="DS192" s="1979">
        <v>0.70986814201551274</v>
      </c>
    </row>
    <row r="193" spans="1:123">
      <c r="A193" s="1997"/>
      <c r="B193" s="2">
        <v>12</v>
      </c>
      <c r="C193" s="2" t="s">
        <v>4338</v>
      </c>
      <c r="D193" s="1998">
        <v>1.3290640678679559</v>
      </c>
      <c r="E193" s="1998">
        <v>1.1464081304638358</v>
      </c>
      <c r="F193" s="1998">
        <v>1.3301373447773124</v>
      </c>
      <c r="G193" s="1998">
        <v>1.1471733302463287</v>
      </c>
      <c r="H193" s="1998">
        <v>1.3309208060744839</v>
      </c>
      <c r="I193" s="1998">
        <v>1.1477092898497998</v>
      </c>
      <c r="J193" s="1998">
        <v>1.3319335723689534</v>
      </c>
      <c r="K193" s="1998">
        <v>1.1484190131512346</v>
      </c>
      <c r="L193" s="1998">
        <v>1.3329463386634228</v>
      </c>
      <c r="M193" s="1998">
        <v>1.1491287364526697</v>
      </c>
      <c r="N193" s="1999">
        <v>0.97248648211057664</v>
      </c>
      <c r="O193" s="1979">
        <v>0.86512587412081998</v>
      </c>
      <c r="P193" s="1979">
        <v>0.97323515256396786</v>
      </c>
      <c r="Q193" s="1979">
        <v>0.86565624252544515</v>
      </c>
      <c r="R193" s="1979">
        <v>0.97380461610350733</v>
      </c>
      <c r="S193" s="1979">
        <v>0.8660483812392088</v>
      </c>
      <c r="T193" s="1979">
        <v>0.97452359828146962</v>
      </c>
      <c r="U193" s="1979">
        <v>0.86655156694014812</v>
      </c>
      <c r="V193" s="1979">
        <v>0.97524258045943202</v>
      </c>
      <c r="W193" s="1979">
        <v>0.86705475264108722</v>
      </c>
      <c r="X193" s="2000">
        <v>1.2935975680611083</v>
      </c>
      <c r="Y193" s="1998">
        <v>1.1730140629615176</v>
      </c>
      <c r="Z193" s="1998">
        <v>1.294548520602091</v>
      </c>
      <c r="AA193" s="1998">
        <v>1.1736908437576281</v>
      </c>
      <c r="AB193" s="1998">
        <v>1.2950239968725823</v>
      </c>
      <c r="AC193" s="1998">
        <v>1.1740292341556837</v>
      </c>
      <c r="AD193" s="1998">
        <v>1.2954994731430738</v>
      </c>
      <c r="AE193" s="1998">
        <v>1.1743676245537389</v>
      </c>
      <c r="AF193" s="1998">
        <v>1.2963711796389747</v>
      </c>
      <c r="AG193" s="1998">
        <v>1.1749880069501737</v>
      </c>
      <c r="AH193" s="1999">
        <v>0.98187071674533211</v>
      </c>
      <c r="AI193" s="1979">
        <v>0.88549797731856583</v>
      </c>
      <c r="AJ193" s="1979">
        <v>0.98251433419235545</v>
      </c>
      <c r="AK193" s="1979">
        <v>0.88596127159089488</v>
      </c>
      <c r="AL193" s="1979">
        <v>0.98283614291586707</v>
      </c>
      <c r="AM193" s="1979">
        <v>0.88619291872705941</v>
      </c>
      <c r="AN193" s="1979">
        <v>0.9831579516393788</v>
      </c>
      <c r="AO193" s="1979">
        <v>0.88642456586322382</v>
      </c>
      <c r="AP193" s="1979">
        <v>0.98374793429915031</v>
      </c>
      <c r="AQ193" s="1979">
        <v>0.8868492522795256</v>
      </c>
      <c r="AR193" s="2000">
        <v>1.2645253463049286</v>
      </c>
      <c r="AS193" s="1998">
        <v>1.1416121098137721</v>
      </c>
      <c r="AT193" s="1998">
        <v>1.2654727481396899</v>
      </c>
      <c r="AU193" s="1998">
        <v>1.1422889215844452</v>
      </c>
      <c r="AV193" s="1998">
        <v>1.2659464490570707</v>
      </c>
      <c r="AW193" s="1998">
        <v>1.1426273274697816</v>
      </c>
      <c r="AX193" s="1998">
        <v>1.2664201499744514</v>
      </c>
      <c r="AY193" s="1998">
        <v>1.1429657333551182</v>
      </c>
      <c r="AZ193" s="1998">
        <v>1.2672886016563158</v>
      </c>
      <c r="BA193" s="1998">
        <v>1.143586144144902</v>
      </c>
      <c r="BB193" s="1999">
        <v>1.5356073768068812</v>
      </c>
      <c r="BC193" s="1979">
        <v>1.3737734167971445</v>
      </c>
      <c r="BD193" s="1979">
        <v>1.5364438397264681</v>
      </c>
      <c r="BE193" s="1979">
        <v>1.3743504353962224</v>
      </c>
      <c r="BF193" s="1979">
        <v>1.5372803026460549</v>
      </c>
      <c r="BG193" s="1979">
        <v>1.3749274539952998</v>
      </c>
      <c r="BH193" s="1979">
        <v>1.538116765565642</v>
      </c>
      <c r="BI193" s="1979">
        <v>1.3755044725943779</v>
      </c>
      <c r="BJ193" s="1979">
        <v>1.539650280918218</v>
      </c>
      <c r="BK193" s="1979">
        <v>1.3765623400260207</v>
      </c>
      <c r="BL193" s="2000">
        <v>0.96977365478449018</v>
      </c>
      <c r="BM193" s="1998">
        <v>0.82087454479109923</v>
      </c>
      <c r="BN193" s="1998">
        <v>0.97039900806306634</v>
      </c>
      <c r="BO193" s="1998">
        <v>0.82130461131672194</v>
      </c>
      <c r="BP193" s="1998">
        <v>0.97097224856842801</v>
      </c>
      <c r="BQ193" s="1998">
        <v>0.82169883896520912</v>
      </c>
      <c r="BR193" s="1998">
        <v>0.97159760184700428</v>
      </c>
      <c r="BS193" s="1998">
        <v>0.82212890549083151</v>
      </c>
      <c r="BT193" s="1998">
        <v>0.97310887227023024</v>
      </c>
      <c r="BU193" s="1998">
        <v>0.82316823292775254</v>
      </c>
      <c r="BV193" s="1999">
        <v>1.3939741834972876</v>
      </c>
      <c r="BW193" s="1979">
        <v>1.2911812988358142</v>
      </c>
      <c r="BX193" s="1979">
        <v>1.3948699492979029</v>
      </c>
      <c r="BY193" s="1979">
        <v>1.2918455904706176</v>
      </c>
      <c r="BZ193" s="1979">
        <v>1.3955532430594062</v>
      </c>
      <c r="CA193" s="1979">
        <v>1.2923385901119526</v>
      </c>
      <c r="CB193" s="1979">
        <v>1.3964145482751071</v>
      </c>
      <c r="CC193" s="1979">
        <v>1.2929698398989371</v>
      </c>
      <c r="CD193" s="1979">
        <v>1.3972758534908083</v>
      </c>
      <c r="CE193" s="1979">
        <v>1.2936010896859216</v>
      </c>
      <c r="CF193" s="2000">
        <v>1.0390500904240334</v>
      </c>
      <c r="CG193" s="1998">
        <v>0.93744180581559844</v>
      </c>
      <c r="CH193" s="1998">
        <v>1.0397508402249709</v>
      </c>
      <c r="CI193" s="1998">
        <v>0.93795690026302692</v>
      </c>
      <c r="CJ193" s="1998">
        <v>1.0403931942091633</v>
      </c>
      <c r="CK193" s="1998">
        <v>0.93842907017316957</v>
      </c>
      <c r="CL193" s="1998">
        <v>1.0410939440101008</v>
      </c>
      <c r="CM193" s="1998">
        <v>0.93894416462059804</v>
      </c>
      <c r="CN193" s="1998">
        <v>1.0427874226956992</v>
      </c>
      <c r="CO193" s="1998">
        <v>0.94018897620188335</v>
      </c>
      <c r="CP193" s="1999">
        <v>1.0527332374806952</v>
      </c>
      <c r="CQ193" s="1979">
        <v>0.93627496716043046</v>
      </c>
      <c r="CR193" s="1979">
        <v>1.0534686832346698</v>
      </c>
      <c r="CS193" s="1979">
        <v>0.93681432153554423</v>
      </c>
      <c r="CT193" s="1979">
        <v>1.0541428418424799</v>
      </c>
      <c r="CU193" s="1979">
        <v>0.9373087297127316</v>
      </c>
      <c r="CV193" s="1979">
        <v>1.0548782875964546</v>
      </c>
      <c r="CW193" s="1979">
        <v>0.93784808408784548</v>
      </c>
      <c r="CX193" s="1979">
        <v>1.0566556148352266</v>
      </c>
      <c r="CY193" s="1979">
        <v>0.93915152382770339</v>
      </c>
      <c r="CZ193" s="2000">
        <v>0.77317037424420609</v>
      </c>
      <c r="DA193" s="1998">
        <v>0.76853471431493292</v>
      </c>
      <c r="DB193" s="1998">
        <v>0.77607831601566268</v>
      </c>
      <c r="DC193" s="1998">
        <v>0.77064745786867384</v>
      </c>
      <c r="DD193" s="1998">
        <v>0.77898625778711972</v>
      </c>
      <c r="DE193" s="1998">
        <v>0.77276020142241453</v>
      </c>
      <c r="DF193" s="1998">
        <v>0.78189419955857653</v>
      </c>
      <c r="DG193" s="1998">
        <v>0.77487294497615544</v>
      </c>
      <c r="DH193" s="1998">
        <v>0.78480214133003334</v>
      </c>
      <c r="DI193" s="1998">
        <v>0.77698568852989625</v>
      </c>
      <c r="DJ193" s="1999">
        <v>0.89433711552721196</v>
      </c>
      <c r="DK193" s="1979">
        <v>0.85283601747838567</v>
      </c>
      <c r="DL193" s="1979">
        <v>0.89690167669914866</v>
      </c>
      <c r="DM193" s="1979">
        <v>0.85472456545789532</v>
      </c>
      <c r="DN193" s="1979">
        <v>0.89946623787108548</v>
      </c>
      <c r="DO193" s="1979">
        <v>0.85661311343740509</v>
      </c>
      <c r="DP193" s="1979">
        <v>0.90203079904302208</v>
      </c>
      <c r="DQ193" s="1979">
        <v>0.85850166141691486</v>
      </c>
      <c r="DR193" s="1979">
        <v>0.90459536021495879</v>
      </c>
      <c r="DS193" s="1979">
        <v>0.86039020939642463</v>
      </c>
    </row>
    <row r="194" spans="1:123">
      <c r="A194" s="1997"/>
      <c r="B194" s="2">
        <v>13</v>
      </c>
      <c r="C194" s="2" t="str">
        <f>CONCATENATE($U$8," ",V$10)</f>
        <v>Proportion de fenêtres 0</v>
      </c>
      <c r="D194" s="1998">
        <v>0</v>
      </c>
      <c r="E194" s="1998">
        <v>0</v>
      </c>
      <c r="F194" s="1998">
        <v>0</v>
      </c>
      <c r="G194" s="1998">
        <v>0</v>
      </c>
      <c r="H194" s="1998">
        <v>0</v>
      </c>
      <c r="I194" s="1998">
        <v>0</v>
      </c>
      <c r="J194" s="1998">
        <v>0</v>
      </c>
      <c r="K194" s="1998">
        <v>0</v>
      </c>
      <c r="L194" s="1998">
        <v>0</v>
      </c>
      <c r="M194" s="1998">
        <v>0</v>
      </c>
      <c r="N194" s="1999">
        <v>0</v>
      </c>
      <c r="O194" s="1979">
        <v>0</v>
      </c>
      <c r="P194" s="1979">
        <v>0</v>
      </c>
      <c r="Q194" s="1979">
        <v>0</v>
      </c>
      <c r="R194" s="1979">
        <v>0</v>
      </c>
      <c r="S194" s="1979">
        <v>0</v>
      </c>
      <c r="T194" s="1979">
        <v>0</v>
      </c>
      <c r="U194" s="1979">
        <v>0</v>
      </c>
      <c r="V194" s="1979">
        <v>0</v>
      </c>
      <c r="W194" s="1979">
        <v>0</v>
      </c>
      <c r="X194" s="2000">
        <v>0</v>
      </c>
      <c r="Y194" s="1998">
        <v>0</v>
      </c>
      <c r="Z194" s="1998">
        <v>0</v>
      </c>
      <c r="AA194" s="1998">
        <v>0</v>
      </c>
      <c r="AB194" s="1998">
        <v>0</v>
      </c>
      <c r="AC194" s="1998">
        <v>0</v>
      </c>
      <c r="AD194" s="1998">
        <v>0</v>
      </c>
      <c r="AE194" s="1998">
        <v>0</v>
      </c>
      <c r="AF194" s="1998">
        <v>0</v>
      </c>
      <c r="AG194" s="1998">
        <v>0</v>
      </c>
      <c r="AH194" s="1999">
        <v>0</v>
      </c>
      <c r="AI194" s="1979">
        <v>0</v>
      </c>
      <c r="AJ194" s="1979">
        <v>0</v>
      </c>
      <c r="AK194" s="1979">
        <v>0</v>
      </c>
      <c r="AL194" s="1979">
        <v>0</v>
      </c>
      <c r="AM194" s="1979">
        <v>0</v>
      </c>
      <c r="AN194" s="1979">
        <v>0</v>
      </c>
      <c r="AO194" s="1979">
        <v>0</v>
      </c>
      <c r="AP194" s="1979">
        <v>0</v>
      </c>
      <c r="AQ194" s="1979">
        <v>0</v>
      </c>
      <c r="AR194" s="2000">
        <v>0.75656593821721851</v>
      </c>
      <c r="AS194" s="1998">
        <v>0.62489529448959091</v>
      </c>
      <c r="AT194" s="1998">
        <v>0.75751334005197979</v>
      </c>
      <c r="AU194" s="1998">
        <v>0.62557210626026383</v>
      </c>
      <c r="AV194" s="1998">
        <v>0.75767124035777345</v>
      </c>
      <c r="AW194" s="1998">
        <v>0.6256849082220427</v>
      </c>
      <c r="AX194" s="1998">
        <v>0.75782914066356699</v>
      </c>
      <c r="AY194" s="1998">
        <v>0.62579771018382147</v>
      </c>
      <c r="AZ194" s="1998">
        <v>0.75811862455752188</v>
      </c>
      <c r="BA194" s="1998">
        <v>0.62600451378041611</v>
      </c>
      <c r="BB194" s="1999">
        <v>0</v>
      </c>
      <c r="BC194" s="1979">
        <v>0</v>
      </c>
      <c r="BD194" s="1979">
        <v>0</v>
      </c>
      <c r="BE194" s="1979">
        <v>0</v>
      </c>
      <c r="BF194" s="1979">
        <v>0</v>
      </c>
      <c r="BG194" s="1979">
        <v>0</v>
      </c>
      <c r="BH194" s="1979">
        <v>0</v>
      </c>
      <c r="BI194" s="1979">
        <v>0</v>
      </c>
      <c r="BJ194" s="1979">
        <v>0</v>
      </c>
      <c r="BK194" s="1979">
        <v>0</v>
      </c>
      <c r="BL194" s="2000">
        <v>0.80919662524286273</v>
      </c>
      <c r="BM194" s="1998">
        <v>0.67979158369373005</v>
      </c>
      <c r="BN194" s="1998">
        <v>0.809821978521439</v>
      </c>
      <c r="BO194" s="1998">
        <v>0.68022165021935255</v>
      </c>
      <c r="BP194" s="1998">
        <v>0.81039521902680067</v>
      </c>
      <c r="BQ194" s="1998">
        <v>0.68061587786783972</v>
      </c>
      <c r="BR194" s="1998">
        <v>0.81102057230537705</v>
      </c>
      <c r="BS194" s="1998">
        <v>0.68104594439346222</v>
      </c>
      <c r="BT194" s="1998">
        <v>0.81253184272860302</v>
      </c>
      <c r="BU194" s="1998">
        <v>0.68208527183038303</v>
      </c>
      <c r="BV194" s="1999">
        <v>0.87926697415523392</v>
      </c>
      <c r="BW194" s="1979">
        <v>0.78095429291461915</v>
      </c>
      <c r="BX194" s="1979">
        <v>0.88015508204809045</v>
      </c>
      <c r="BY194" s="1979">
        <v>0.78161124191657394</v>
      </c>
      <c r="BZ194" s="1979">
        <v>0.88084603371735259</v>
      </c>
      <c r="CA194" s="1979">
        <v>0.78211158419075721</v>
      </c>
      <c r="CB194" s="1979">
        <v>0.88170733893305353</v>
      </c>
      <c r="CC194" s="1979">
        <v>0.7827428339777418</v>
      </c>
      <c r="CD194" s="1979">
        <v>0.88256864414875469</v>
      </c>
      <c r="CE194" s="1979">
        <v>0.78337408376472617</v>
      </c>
      <c r="CF194" s="2000">
        <v>0.84190688653169277</v>
      </c>
      <c r="CG194" s="1998">
        <v>0.755347850088677</v>
      </c>
      <c r="CH194" s="1998">
        <v>0.84260763633262992</v>
      </c>
      <c r="CI194" s="1998">
        <v>0.75586294453610536</v>
      </c>
      <c r="CJ194" s="1998">
        <v>0.84324999031682235</v>
      </c>
      <c r="CK194" s="1998">
        <v>0.75633511444624812</v>
      </c>
      <c r="CL194" s="1998">
        <v>0.84395074011776006</v>
      </c>
      <c r="CM194" s="1998">
        <v>0.75685020889367649</v>
      </c>
      <c r="CN194" s="1998">
        <v>0.84564421880335838</v>
      </c>
      <c r="CO194" s="1998">
        <v>0.75809502047496202</v>
      </c>
      <c r="CP194" s="1999">
        <v>0.8361335474146987</v>
      </c>
      <c r="CQ194" s="1979">
        <v>0.73782274709938123</v>
      </c>
      <c r="CR194" s="1979">
        <v>0.83686899316867336</v>
      </c>
      <c r="CS194" s="1979">
        <v>0.73836210147449477</v>
      </c>
      <c r="CT194" s="1979">
        <v>0.83754315177648342</v>
      </c>
      <c r="CU194" s="1979">
        <v>0.73885650965168237</v>
      </c>
      <c r="CV194" s="1979">
        <v>0.83827859753045808</v>
      </c>
      <c r="CW194" s="1979">
        <v>0.73939586402679602</v>
      </c>
      <c r="CX194" s="1979">
        <v>0.84005592476922997</v>
      </c>
      <c r="CY194" s="1979">
        <v>0.74069930376665394</v>
      </c>
      <c r="CZ194" s="2000">
        <v>0.84800460079203799</v>
      </c>
      <c r="DA194" s="1998">
        <v>0.82078610225380244</v>
      </c>
      <c r="DB194" s="1998">
        <v>0.8509125425634948</v>
      </c>
      <c r="DC194" s="1998">
        <v>0.82289884580754324</v>
      </c>
      <c r="DD194" s="1998">
        <v>0.85382048433495161</v>
      </c>
      <c r="DE194" s="1998">
        <v>0.82501158936128427</v>
      </c>
      <c r="DF194" s="1998">
        <v>0.85672842610640854</v>
      </c>
      <c r="DG194" s="1998">
        <v>0.82712433291502507</v>
      </c>
      <c r="DH194" s="1998">
        <v>0.85963636787786524</v>
      </c>
      <c r="DI194" s="1998">
        <v>0.82923707646876588</v>
      </c>
      <c r="DJ194" s="1999">
        <v>0.83348193894719924</v>
      </c>
      <c r="DK194" s="1979">
        <v>0.79353310971005453</v>
      </c>
      <c r="DL194" s="1979">
        <v>0.83604650011913617</v>
      </c>
      <c r="DM194" s="1979">
        <v>0.7954216576895643</v>
      </c>
      <c r="DN194" s="1979">
        <v>0.83861106129107288</v>
      </c>
      <c r="DO194" s="1979">
        <v>0.79731020566907407</v>
      </c>
      <c r="DP194" s="1979">
        <v>0.84117562246300948</v>
      </c>
      <c r="DQ194" s="1979">
        <v>0.79919875364858384</v>
      </c>
      <c r="DR194" s="1979">
        <v>0.84374018363494629</v>
      </c>
      <c r="DS194" s="1979">
        <v>0.80108730162809361</v>
      </c>
    </row>
    <row r="195" spans="1:123">
      <c r="A195" s="1997"/>
      <c r="B195" s="2">
        <v>14</v>
      </c>
      <c r="C195" s="2" t="str">
        <f>CONCATENATE($U$8," ",V$11)</f>
        <v>Proportion de fenêtres 10</v>
      </c>
      <c r="D195" s="1998">
        <v>0</v>
      </c>
      <c r="E195" s="1998">
        <v>0</v>
      </c>
      <c r="F195" s="1998">
        <v>0</v>
      </c>
      <c r="G195" s="1998">
        <v>0</v>
      </c>
      <c r="H195" s="1998">
        <v>0</v>
      </c>
      <c r="I195" s="1998">
        <v>0</v>
      </c>
      <c r="J195" s="1998">
        <v>0</v>
      </c>
      <c r="K195" s="1998">
        <v>0</v>
      </c>
      <c r="L195" s="1998">
        <v>0</v>
      </c>
      <c r="M195" s="1998">
        <v>0</v>
      </c>
      <c r="N195" s="1999">
        <v>0</v>
      </c>
      <c r="O195" s="1979">
        <v>0</v>
      </c>
      <c r="P195" s="1979">
        <v>0</v>
      </c>
      <c r="Q195" s="1979">
        <v>0</v>
      </c>
      <c r="R195" s="1979">
        <v>0</v>
      </c>
      <c r="S195" s="1979">
        <v>0</v>
      </c>
      <c r="T195" s="1979">
        <v>0</v>
      </c>
      <c r="U195" s="1979">
        <v>0</v>
      </c>
      <c r="V195" s="1979">
        <v>0</v>
      </c>
      <c r="W195" s="1979">
        <v>0</v>
      </c>
      <c r="X195" s="2000">
        <v>0</v>
      </c>
      <c r="Y195" s="1998">
        <v>0</v>
      </c>
      <c r="Z195" s="1998">
        <v>0</v>
      </c>
      <c r="AA195" s="1998">
        <v>0</v>
      </c>
      <c r="AB195" s="1998">
        <v>0</v>
      </c>
      <c r="AC195" s="1998">
        <v>0</v>
      </c>
      <c r="AD195" s="1998">
        <v>0</v>
      </c>
      <c r="AE195" s="1998">
        <v>0</v>
      </c>
      <c r="AF195" s="1998">
        <v>0</v>
      </c>
      <c r="AG195" s="1998">
        <v>0</v>
      </c>
      <c r="AH195" s="1999">
        <v>0</v>
      </c>
      <c r="AI195" s="1979">
        <v>0</v>
      </c>
      <c r="AJ195" s="1979">
        <v>0</v>
      </c>
      <c r="AK195" s="1979">
        <v>0</v>
      </c>
      <c r="AL195" s="1979">
        <v>0</v>
      </c>
      <c r="AM195" s="1979">
        <v>0</v>
      </c>
      <c r="AN195" s="1979">
        <v>0</v>
      </c>
      <c r="AO195" s="1979">
        <v>0</v>
      </c>
      <c r="AP195" s="1979">
        <v>0</v>
      </c>
      <c r="AQ195" s="1979">
        <v>0</v>
      </c>
      <c r="AR195" s="2000">
        <v>0.76703615466223318</v>
      </c>
      <c r="AS195" s="1998">
        <v>0.63479341740697326</v>
      </c>
      <c r="AT195" s="1998">
        <v>0.76798355649699457</v>
      </c>
      <c r="AU195" s="1998">
        <v>0.63547022917764617</v>
      </c>
      <c r="AV195" s="1998">
        <v>0.76814145680278823</v>
      </c>
      <c r="AW195" s="1998">
        <v>0.63558303113942505</v>
      </c>
      <c r="AX195" s="1998">
        <v>0.76829935710858166</v>
      </c>
      <c r="AY195" s="1998">
        <v>0.63569583310120381</v>
      </c>
      <c r="AZ195" s="1998">
        <v>0.76858884100253655</v>
      </c>
      <c r="BA195" s="1998">
        <v>0.63590263669779845</v>
      </c>
      <c r="BB195" s="1999">
        <v>0</v>
      </c>
      <c r="BC195" s="1979">
        <v>0</v>
      </c>
      <c r="BD195" s="1979">
        <v>0</v>
      </c>
      <c r="BE195" s="1979">
        <v>0</v>
      </c>
      <c r="BF195" s="1979">
        <v>0</v>
      </c>
      <c r="BG195" s="1979">
        <v>0</v>
      </c>
      <c r="BH195" s="1979">
        <v>0</v>
      </c>
      <c r="BI195" s="1979">
        <v>0</v>
      </c>
      <c r="BJ195" s="1979">
        <v>0</v>
      </c>
      <c r="BK195" s="1979">
        <v>0</v>
      </c>
      <c r="BL195" s="2000">
        <v>0.81803639804970141</v>
      </c>
      <c r="BM195" s="1998">
        <v>0.68783637558536026</v>
      </c>
      <c r="BN195" s="1998">
        <v>0.81866175132827756</v>
      </c>
      <c r="BO195" s="1998">
        <v>0.68826644211098265</v>
      </c>
      <c r="BP195" s="1998">
        <v>0.81923499183363935</v>
      </c>
      <c r="BQ195" s="1998">
        <v>0.68866066975946971</v>
      </c>
      <c r="BR195" s="1998">
        <v>0.81986034511221573</v>
      </c>
      <c r="BS195" s="1998">
        <v>0.68909073628509221</v>
      </c>
      <c r="BT195" s="1998">
        <v>0.82137161553544169</v>
      </c>
      <c r="BU195" s="1998">
        <v>0.69013006372201313</v>
      </c>
      <c r="BV195" s="1999">
        <v>0.8837865210616852</v>
      </c>
      <c r="BW195" s="1979">
        <v>0.78533760675666275</v>
      </c>
      <c r="BX195" s="1979">
        <v>0.88467194868682641</v>
      </c>
      <c r="BY195" s="1979">
        <v>0.78599198583712049</v>
      </c>
      <c r="BZ195" s="1979">
        <v>0.88536558062380399</v>
      </c>
      <c r="CA195" s="1979">
        <v>0.78649489803280082</v>
      </c>
      <c r="CB195" s="1979">
        <v>0.88622688583950493</v>
      </c>
      <c r="CC195" s="1979">
        <v>0.7871261478197854</v>
      </c>
      <c r="CD195" s="1979">
        <v>0.8870881910552062</v>
      </c>
      <c r="CE195" s="1979">
        <v>0.78775739760676977</v>
      </c>
      <c r="CF195" s="2000">
        <v>0.8463193594213797</v>
      </c>
      <c r="CG195" s="1998">
        <v>0.7596399461836163</v>
      </c>
      <c r="CH195" s="1998">
        <v>0.84702010922231741</v>
      </c>
      <c r="CI195" s="1998">
        <v>0.76015504063104478</v>
      </c>
      <c r="CJ195" s="1998">
        <v>0.84766246320650962</v>
      </c>
      <c r="CK195" s="1998">
        <v>0.76062721054118754</v>
      </c>
      <c r="CL195" s="1998">
        <v>0.84836321300744733</v>
      </c>
      <c r="CM195" s="1998">
        <v>0.7611423049886159</v>
      </c>
      <c r="CN195" s="1998">
        <v>0.85005669169304587</v>
      </c>
      <c r="CO195" s="1998">
        <v>0.76238711656990144</v>
      </c>
      <c r="CP195" s="1999">
        <v>0.84095351156471165</v>
      </c>
      <c r="CQ195" s="1979">
        <v>0.74250043099882046</v>
      </c>
      <c r="CR195" s="1979">
        <v>0.84168895731868643</v>
      </c>
      <c r="CS195" s="1979">
        <v>0.74303978537393423</v>
      </c>
      <c r="CT195" s="1979">
        <v>0.84236311592649626</v>
      </c>
      <c r="CU195" s="1979">
        <v>0.74353419355112171</v>
      </c>
      <c r="CV195" s="1979">
        <v>0.84309856168047093</v>
      </c>
      <c r="CW195" s="1979">
        <v>0.74407354792623537</v>
      </c>
      <c r="CX195" s="1979">
        <v>0.84487588891924303</v>
      </c>
      <c r="CY195" s="1979">
        <v>0.74537698766609339</v>
      </c>
      <c r="CZ195" s="2000">
        <v>0.85518594482214538</v>
      </c>
      <c r="DA195" s="1998">
        <v>0.82769057171850291</v>
      </c>
      <c r="DB195" s="1998">
        <v>0.8580938865936022</v>
      </c>
      <c r="DC195" s="1998">
        <v>0.82980331527224394</v>
      </c>
      <c r="DD195" s="1998">
        <v>0.86100182836505912</v>
      </c>
      <c r="DE195" s="1998">
        <v>0.83191605882598474</v>
      </c>
      <c r="DF195" s="1998">
        <v>0.86390977013651571</v>
      </c>
      <c r="DG195" s="1998">
        <v>0.83402880237972554</v>
      </c>
      <c r="DH195" s="1998">
        <v>0.86681771190797252</v>
      </c>
      <c r="DI195" s="1998">
        <v>0.83614154593346646</v>
      </c>
      <c r="DJ195" s="1999">
        <v>0.84565297426320185</v>
      </c>
      <c r="DK195" s="1979">
        <v>0.80539369126372073</v>
      </c>
      <c r="DL195" s="1979">
        <v>0.84821753543513856</v>
      </c>
      <c r="DM195" s="1979">
        <v>0.8072822392432305</v>
      </c>
      <c r="DN195" s="1979">
        <v>0.85078209660707549</v>
      </c>
      <c r="DO195" s="1979">
        <v>0.80917078722274027</v>
      </c>
      <c r="DP195" s="1979">
        <v>0.85334665777901209</v>
      </c>
      <c r="DQ195" s="1979">
        <v>0.81105933520225004</v>
      </c>
      <c r="DR195" s="1979">
        <v>0.85591121895094879</v>
      </c>
      <c r="DS195" s="1979">
        <v>0.81294788318175981</v>
      </c>
    </row>
    <row r="196" spans="1:123">
      <c r="A196" s="1997"/>
      <c r="B196" s="2">
        <v>15</v>
      </c>
      <c r="C196" s="2" t="str">
        <f>CONCATENATE($U$8," ",V$12)</f>
        <v>Proportion de fenêtres 20</v>
      </c>
      <c r="D196" s="1998">
        <v>0</v>
      </c>
      <c r="E196" s="1998">
        <v>0</v>
      </c>
      <c r="F196" s="1998">
        <v>0</v>
      </c>
      <c r="G196" s="1998">
        <v>0</v>
      </c>
      <c r="H196" s="1998">
        <v>0</v>
      </c>
      <c r="I196" s="1998">
        <v>0</v>
      </c>
      <c r="J196" s="1998">
        <v>0</v>
      </c>
      <c r="K196" s="1998">
        <v>0</v>
      </c>
      <c r="L196" s="1998">
        <v>0</v>
      </c>
      <c r="M196" s="1998">
        <v>0</v>
      </c>
      <c r="N196" s="1999">
        <v>0</v>
      </c>
      <c r="O196" s="1979">
        <v>0</v>
      </c>
      <c r="P196" s="1979">
        <v>0</v>
      </c>
      <c r="Q196" s="1979">
        <v>0</v>
      </c>
      <c r="R196" s="1979">
        <v>0</v>
      </c>
      <c r="S196" s="1979">
        <v>0</v>
      </c>
      <c r="T196" s="1979">
        <v>0</v>
      </c>
      <c r="U196" s="1979">
        <v>0</v>
      </c>
      <c r="V196" s="1979">
        <v>0</v>
      </c>
      <c r="W196" s="1979">
        <v>0</v>
      </c>
      <c r="X196" s="2000">
        <v>0</v>
      </c>
      <c r="Y196" s="1998">
        <v>0</v>
      </c>
      <c r="Z196" s="1998">
        <v>0</v>
      </c>
      <c r="AA196" s="1998">
        <v>0</v>
      </c>
      <c r="AB196" s="1998">
        <v>0</v>
      </c>
      <c r="AC196" s="1998">
        <v>0</v>
      </c>
      <c r="AD196" s="1998">
        <v>0</v>
      </c>
      <c r="AE196" s="1998">
        <v>0</v>
      </c>
      <c r="AF196" s="1998">
        <v>0</v>
      </c>
      <c r="AG196" s="1998">
        <v>0</v>
      </c>
      <c r="AH196" s="1999">
        <v>0</v>
      </c>
      <c r="AI196" s="1979">
        <v>0</v>
      </c>
      <c r="AJ196" s="1979">
        <v>0</v>
      </c>
      <c r="AK196" s="1979">
        <v>0</v>
      </c>
      <c r="AL196" s="1979">
        <v>0</v>
      </c>
      <c r="AM196" s="1979">
        <v>0</v>
      </c>
      <c r="AN196" s="1979">
        <v>0</v>
      </c>
      <c r="AO196" s="1979">
        <v>0</v>
      </c>
      <c r="AP196" s="1979">
        <v>0</v>
      </c>
      <c r="AQ196" s="1979">
        <v>0</v>
      </c>
      <c r="AR196" s="2000">
        <v>0.77750637110724807</v>
      </c>
      <c r="AS196" s="1998">
        <v>0.64469154032435549</v>
      </c>
      <c r="AT196" s="1998">
        <v>0.77845377294200957</v>
      </c>
      <c r="AU196" s="1998">
        <v>0.64536835209502863</v>
      </c>
      <c r="AV196" s="1998">
        <v>0.778611673247803</v>
      </c>
      <c r="AW196" s="1998">
        <v>0.64548115405680739</v>
      </c>
      <c r="AX196" s="1998">
        <v>0.77876957355359666</v>
      </c>
      <c r="AY196" s="1998">
        <v>0.64559395601858616</v>
      </c>
      <c r="AZ196" s="1998">
        <v>0.77905905744755155</v>
      </c>
      <c r="BA196" s="1998">
        <v>0.6458007596151808</v>
      </c>
      <c r="BB196" s="1999">
        <v>0</v>
      </c>
      <c r="BC196" s="1979">
        <v>0</v>
      </c>
      <c r="BD196" s="1979">
        <v>0</v>
      </c>
      <c r="BE196" s="1979">
        <v>0</v>
      </c>
      <c r="BF196" s="1979">
        <v>0</v>
      </c>
      <c r="BG196" s="1979">
        <v>0</v>
      </c>
      <c r="BH196" s="1979">
        <v>0</v>
      </c>
      <c r="BI196" s="1979">
        <v>0</v>
      </c>
      <c r="BJ196" s="1979">
        <v>0</v>
      </c>
      <c r="BK196" s="1979">
        <v>0</v>
      </c>
      <c r="BL196" s="2000">
        <v>0.82687617085654008</v>
      </c>
      <c r="BM196" s="1998">
        <v>0.69588116747699025</v>
      </c>
      <c r="BN196" s="1998">
        <v>0.82750152413511646</v>
      </c>
      <c r="BO196" s="1998">
        <v>0.69631123400261274</v>
      </c>
      <c r="BP196" s="1998">
        <v>0.82807476464047802</v>
      </c>
      <c r="BQ196" s="1998">
        <v>0.69670546165109992</v>
      </c>
      <c r="BR196" s="1998">
        <v>0.82870011791905429</v>
      </c>
      <c r="BS196" s="1998">
        <v>0.69713552817672231</v>
      </c>
      <c r="BT196" s="1998">
        <v>0.83021138834228037</v>
      </c>
      <c r="BU196" s="1998">
        <v>0.69817485561364323</v>
      </c>
      <c r="BV196" s="1999">
        <v>0.88830606796813683</v>
      </c>
      <c r="BW196" s="1979">
        <v>0.78972092059870624</v>
      </c>
      <c r="BX196" s="1979">
        <v>0.88918881532556204</v>
      </c>
      <c r="BY196" s="1979">
        <v>0.79037272975766704</v>
      </c>
      <c r="BZ196" s="1979">
        <v>0.88988512753025528</v>
      </c>
      <c r="CA196" s="1979">
        <v>0.79087821187484453</v>
      </c>
      <c r="CB196" s="1979">
        <v>0.89074643274595644</v>
      </c>
      <c r="CC196" s="1979">
        <v>0.79150946166182901</v>
      </c>
      <c r="CD196" s="1979">
        <v>0.89160773796165738</v>
      </c>
      <c r="CE196" s="1979">
        <v>0.79214071144881337</v>
      </c>
      <c r="CF196" s="2000">
        <v>0.85073183231106719</v>
      </c>
      <c r="CG196" s="1998">
        <v>0.76393204227855582</v>
      </c>
      <c r="CH196" s="1998">
        <v>0.85143258211200434</v>
      </c>
      <c r="CI196" s="1998">
        <v>0.7644471367259843</v>
      </c>
      <c r="CJ196" s="1998">
        <v>0.852074936096197</v>
      </c>
      <c r="CK196" s="1998">
        <v>0.76491930663612695</v>
      </c>
      <c r="CL196" s="1998">
        <v>0.85277568589713426</v>
      </c>
      <c r="CM196" s="1998">
        <v>0.76543440108355532</v>
      </c>
      <c r="CN196" s="1998">
        <v>0.85446916458273314</v>
      </c>
      <c r="CO196" s="1998">
        <v>0.76667921266484085</v>
      </c>
      <c r="CP196" s="1999">
        <v>0.84577347571472439</v>
      </c>
      <c r="CQ196" s="1979">
        <v>0.74717811489825992</v>
      </c>
      <c r="CR196" s="1979">
        <v>0.84650892146869905</v>
      </c>
      <c r="CS196" s="1979">
        <v>0.74771746927337357</v>
      </c>
      <c r="CT196" s="1979">
        <v>0.84718308007650933</v>
      </c>
      <c r="CU196" s="1979">
        <v>0.74821187745056117</v>
      </c>
      <c r="CV196" s="1979">
        <v>0.84791852583048399</v>
      </c>
      <c r="CW196" s="1979">
        <v>0.74875123182567493</v>
      </c>
      <c r="CX196" s="1979">
        <v>0.84969585306925588</v>
      </c>
      <c r="CY196" s="1979">
        <v>0.75005467156553296</v>
      </c>
      <c r="CZ196" s="2000">
        <v>0.86236728885225267</v>
      </c>
      <c r="DA196" s="1998">
        <v>0.83459504118320349</v>
      </c>
      <c r="DB196" s="1998">
        <v>0.86527523062370948</v>
      </c>
      <c r="DC196" s="1998">
        <v>0.83670778473694429</v>
      </c>
      <c r="DD196" s="1998">
        <v>0.8681831723951664</v>
      </c>
      <c r="DE196" s="1998">
        <v>0.83882052829068521</v>
      </c>
      <c r="DF196" s="1998">
        <v>0.8710911141666231</v>
      </c>
      <c r="DG196" s="1998">
        <v>0.84093327184442612</v>
      </c>
      <c r="DH196" s="1998">
        <v>0.87399905593807992</v>
      </c>
      <c r="DI196" s="1998">
        <v>0.84304601539816693</v>
      </c>
      <c r="DJ196" s="1999">
        <v>0.85782400957920435</v>
      </c>
      <c r="DK196" s="1979">
        <v>0.81725427281738694</v>
      </c>
      <c r="DL196" s="1979">
        <v>0.86038857075114117</v>
      </c>
      <c r="DM196" s="1979">
        <v>0.81914282079689671</v>
      </c>
      <c r="DN196" s="1979">
        <v>0.86295313192307788</v>
      </c>
      <c r="DO196" s="1979">
        <v>0.82103136877640648</v>
      </c>
      <c r="DP196" s="1979">
        <v>0.86551769309501447</v>
      </c>
      <c r="DQ196" s="1979">
        <v>0.82291991675591636</v>
      </c>
      <c r="DR196" s="1979">
        <v>0.8680822542669514</v>
      </c>
      <c r="DS196" s="1979">
        <v>0.82480846473542602</v>
      </c>
    </row>
    <row r="197" spans="1:123">
      <c r="A197" s="1997"/>
      <c r="B197" s="2">
        <v>16</v>
      </c>
      <c r="C197" s="2" t="str">
        <f>CONCATENATE($U$8," ",V$13)</f>
        <v>Proportion de fenêtres 30</v>
      </c>
      <c r="D197" s="1998">
        <v>0.83254188320915634</v>
      </c>
      <c r="E197" s="1998">
        <v>0.68233964307856942</v>
      </c>
      <c r="F197" s="1998">
        <v>0.83361220036017591</v>
      </c>
      <c r="G197" s="1998">
        <v>0.68310212933753245</v>
      </c>
      <c r="H197" s="1998">
        <v>0.83439862141568411</v>
      </c>
      <c r="I197" s="1998">
        <v>0.6836408024645334</v>
      </c>
      <c r="J197" s="1998">
        <v>0.83541138771015366</v>
      </c>
      <c r="K197" s="1998">
        <v>0.68435052576596833</v>
      </c>
      <c r="L197" s="1998">
        <v>0.83642415400462333</v>
      </c>
      <c r="M197" s="1998">
        <v>0.68506024906740337</v>
      </c>
      <c r="N197" s="1999">
        <v>0.91649240628393869</v>
      </c>
      <c r="O197" s="1979">
        <v>0.81295497699202024</v>
      </c>
      <c r="P197" s="1979">
        <v>0.91724952557460615</v>
      </c>
      <c r="Q197" s="1979">
        <v>0.81349308118583652</v>
      </c>
      <c r="R197" s="1979">
        <v>0.91781054027686959</v>
      </c>
      <c r="S197" s="1979">
        <v>0.81387748411040894</v>
      </c>
      <c r="T197" s="1979">
        <v>0.91852952245483177</v>
      </c>
      <c r="U197" s="1979">
        <v>0.81438066981134838</v>
      </c>
      <c r="V197" s="1979">
        <v>0.91924850463279406</v>
      </c>
      <c r="W197" s="1979">
        <v>0.8148838555122877</v>
      </c>
      <c r="X197" s="2000">
        <v>0.77789426413639018</v>
      </c>
      <c r="Y197" s="1998">
        <v>0.63643216484744325</v>
      </c>
      <c r="Z197" s="1998">
        <v>0.77884521667737305</v>
      </c>
      <c r="AA197" s="1998">
        <v>0.63710894564355414</v>
      </c>
      <c r="AB197" s="1998">
        <v>0.77896408574499598</v>
      </c>
      <c r="AC197" s="1998">
        <v>0.63719354324306798</v>
      </c>
      <c r="AD197" s="1998">
        <v>0.7790829548126188</v>
      </c>
      <c r="AE197" s="1998">
        <v>0.63727814084258194</v>
      </c>
      <c r="AF197" s="1998">
        <v>0.77930088143659404</v>
      </c>
      <c r="AG197" s="1998">
        <v>0.63743323644169048</v>
      </c>
      <c r="AH197" s="1999">
        <v>0.82739980439312455</v>
      </c>
      <c r="AI197" s="1979">
        <v>0.72398458673753607</v>
      </c>
      <c r="AJ197" s="1979">
        <v>0.8280434218401479</v>
      </c>
      <c r="AK197" s="1979">
        <v>0.72444788100986512</v>
      </c>
      <c r="AL197" s="1979">
        <v>0.82825796098915572</v>
      </c>
      <c r="AM197" s="1979">
        <v>0.72460231243397477</v>
      </c>
      <c r="AN197" s="1979">
        <v>0.82847250013816331</v>
      </c>
      <c r="AO197" s="1979">
        <v>0.72475674385808453</v>
      </c>
      <c r="AP197" s="1979">
        <v>0.8288658219113445</v>
      </c>
      <c r="AQ197" s="1979">
        <v>0.72503986813561894</v>
      </c>
      <c r="AR197" s="2000">
        <v>0.78797658755226285</v>
      </c>
      <c r="AS197" s="1998">
        <v>0.65458966324173784</v>
      </c>
      <c r="AT197" s="1998">
        <v>0.78892398938702424</v>
      </c>
      <c r="AU197" s="1998">
        <v>0.65526647501241075</v>
      </c>
      <c r="AV197" s="1998">
        <v>0.78908188969281778</v>
      </c>
      <c r="AW197" s="1998">
        <v>0.65537927697418974</v>
      </c>
      <c r="AX197" s="1998">
        <v>0.78923978999861144</v>
      </c>
      <c r="AY197" s="1998">
        <v>0.65549207893596861</v>
      </c>
      <c r="AZ197" s="1998">
        <v>0.78952927389256611</v>
      </c>
      <c r="BA197" s="1998">
        <v>0.65569888253256314</v>
      </c>
      <c r="BB197" s="1999">
        <v>1.1705268895152841</v>
      </c>
      <c r="BC197" s="1979">
        <v>1.0878789638032629</v>
      </c>
      <c r="BD197" s="1979">
        <v>1.171363352434871</v>
      </c>
      <c r="BE197" s="1979">
        <v>1.0884559824023405</v>
      </c>
      <c r="BF197" s="1979">
        <v>1.1721998153544579</v>
      </c>
      <c r="BG197" s="1979">
        <v>1.0890330010014182</v>
      </c>
      <c r="BH197" s="1979">
        <v>1.1730362782740451</v>
      </c>
      <c r="BI197" s="1979">
        <v>1.0896100196004961</v>
      </c>
      <c r="BJ197" s="1979">
        <v>1.1745697936266211</v>
      </c>
      <c r="BK197" s="1979">
        <v>1.0906678870321389</v>
      </c>
      <c r="BL197" s="2000">
        <v>0.83571594366337876</v>
      </c>
      <c r="BM197" s="1998">
        <v>0.70392595936862035</v>
      </c>
      <c r="BN197" s="1998">
        <v>0.83634129694195491</v>
      </c>
      <c r="BO197" s="1998">
        <v>0.70435602589424273</v>
      </c>
      <c r="BP197" s="1998">
        <v>0.8369145374473167</v>
      </c>
      <c r="BQ197" s="1998">
        <v>0.70475025354273013</v>
      </c>
      <c r="BR197" s="1998">
        <v>0.83753989072589297</v>
      </c>
      <c r="BS197" s="1998">
        <v>0.70518032006835263</v>
      </c>
      <c r="BT197" s="1998">
        <v>0.83905116114911904</v>
      </c>
      <c r="BU197" s="1998">
        <v>0.70621964750527355</v>
      </c>
      <c r="BV197" s="1999">
        <v>0.89282561487458789</v>
      </c>
      <c r="BW197" s="1979">
        <v>0.79410423444074985</v>
      </c>
      <c r="BX197" s="1979">
        <v>0.893705681964298</v>
      </c>
      <c r="BY197" s="1979">
        <v>0.79475347367821358</v>
      </c>
      <c r="BZ197" s="1979">
        <v>0.89440467443670668</v>
      </c>
      <c r="CA197" s="1979">
        <v>0.79526152571688813</v>
      </c>
      <c r="CB197" s="1979">
        <v>0.89526597965240762</v>
      </c>
      <c r="CC197" s="1979">
        <v>0.79589277550387261</v>
      </c>
      <c r="CD197" s="1979">
        <v>0.89612728486810878</v>
      </c>
      <c r="CE197" s="1979">
        <v>0.79652402529085709</v>
      </c>
      <c r="CF197" s="2000">
        <v>0.85514430520075446</v>
      </c>
      <c r="CG197" s="1998">
        <v>0.76822413837349524</v>
      </c>
      <c r="CH197" s="1998">
        <v>0.85584505500169161</v>
      </c>
      <c r="CI197" s="1998">
        <v>0.76873923282092371</v>
      </c>
      <c r="CJ197" s="1998">
        <v>0.85648740898588438</v>
      </c>
      <c r="CK197" s="1998">
        <v>0.76921140273106647</v>
      </c>
      <c r="CL197" s="1998">
        <v>0.85718815878682153</v>
      </c>
      <c r="CM197" s="1998">
        <v>0.76972649717849484</v>
      </c>
      <c r="CN197" s="1998">
        <v>0.85888163747242019</v>
      </c>
      <c r="CO197" s="1998">
        <v>0.77097130875978015</v>
      </c>
      <c r="CP197" s="1999">
        <v>0.85059343986473746</v>
      </c>
      <c r="CQ197" s="1979">
        <v>0.75185579879769948</v>
      </c>
      <c r="CR197" s="1979">
        <v>0.85132888561871212</v>
      </c>
      <c r="CS197" s="1979">
        <v>0.75239515317281302</v>
      </c>
      <c r="CT197" s="1979">
        <v>0.85200304422652207</v>
      </c>
      <c r="CU197" s="1979">
        <v>0.75288956135000062</v>
      </c>
      <c r="CV197" s="1979">
        <v>0.85273848998049673</v>
      </c>
      <c r="CW197" s="1979">
        <v>0.75342891572511417</v>
      </c>
      <c r="CX197" s="1979">
        <v>0.85451581721926895</v>
      </c>
      <c r="CY197" s="1979">
        <v>0.75473235546497219</v>
      </c>
      <c r="CZ197" s="2000">
        <v>0.86954863288236006</v>
      </c>
      <c r="DA197" s="1998">
        <v>0.84149951064790407</v>
      </c>
      <c r="DB197" s="1998">
        <v>0.87245657465381665</v>
      </c>
      <c r="DC197" s="1998">
        <v>0.84361225420164498</v>
      </c>
      <c r="DD197" s="1998">
        <v>0.87536451642527358</v>
      </c>
      <c r="DE197" s="1998">
        <v>0.84572499775538579</v>
      </c>
      <c r="DF197" s="1998">
        <v>0.87827245819673039</v>
      </c>
      <c r="DG197" s="1998">
        <v>0.84783774130912659</v>
      </c>
      <c r="DH197" s="1998">
        <v>0.88118039996818709</v>
      </c>
      <c r="DI197" s="1998">
        <v>0.84995048486286751</v>
      </c>
      <c r="DJ197" s="1999">
        <v>0.86999504489520696</v>
      </c>
      <c r="DK197" s="1979">
        <v>0.82911485437105314</v>
      </c>
      <c r="DL197" s="1979">
        <v>0.87255960606714356</v>
      </c>
      <c r="DM197" s="1979">
        <v>0.83100340235056291</v>
      </c>
      <c r="DN197" s="1979">
        <v>0.87512416723908049</v>
      </c>
      <c r="DO197" s="1979">
        <v>0.83289195033007279</v>
      </c>
      <c r="DP197" s="1979">
        <v>0.87768872841101708</v>
      </c>
      <c r="DQ197" s="1979">
        <v>0.83478049830958245</v>
      </c>
      <c r="DR197" s="1979">
        <v>0.88025328958295379</v>
      </c>
      <c r="DS197" s="1979">
        <v>0.83666904628909233</v>
      </c>
    </row>
    <row r="198" spans="1:123">
      <c r="A198" s="1997"/>
      <c r="B198" s="2">
        <v>17</v>
      </c>
      <c r="C198" s="2" t="str">
        <f>CONCATENATE($U$8," ",V$14)</f>
        <v>Proportion de fenêtres 40</v>
      </c>
      <c r="D198" s="1998">
        <v>0.84640530621057919</v>
      </c>
      <c r="E198" s="1998">
        <v>0.69519587803401117</v>
      </c>
      <c r="F198" s="1998">
        <v>0.84746740181066305</v>
      </c>
      <c r="G198" s="1998">
        <v>0.69595082672761299</v>
      </c>
      <c r="H198" s="1998">
        <v>0.84826204441710695</v>
      </c>
      <c r="I198" s="1998">
        <v>0.69649703741997526</v>
      </c>
      <c r="J198" s="1998">
        <v>0.8492748107115764</v>
      </c>
      <c r="K198" s="1998">
        <v>0.69720676072141008</v>
      </c>
      <c r="L198" s="1998">
        <v>0.85028757700604607</v>
      </c>
      <c r="M198" s="1998">
        <v>0.69791648402284501</v>
      </c>
      <c r="N198" s="1999">
        <v>0.92567925348626057</v>
      </c>
      <c r="O198" s="1979">
        <v>0.82146322538728878</v>
      </c>
      <c r="P198" s="1979">
        <v>0.92643092461797005</v>
      </c>
      <c r="Q198" s="1979">
        <v>0.82199634122497989</v>
      </c>
      <c r="R198" s="1979">
        <v>0.92699738747919136</v>
      </c>
      <c r="S198" s="1979">
        <v>0.82238573250567759</v>
      </c>
      <c r="T198" s="1979">
        <v>0.92771636965715365</v>
      </c>
      <c r="U198" s="1979">
        <v>0.82288891820661692</v>
      </c>
      <c r="V198" s="1979">
        <v>0.92843535183511583</v>
      </c>
      <c r="W198" s="1979">
        <v>0.82339210390755624</v>
      </c>
      <c r="X198" s="2000">
        <v>0.79061865041422041</v>
      </c>
      <c r="Y198" s="1998">
        <v>0.64841582625471628</v>
      </c>
      <c r="Z198" s="1998">
        <v>0.79156960295520318</v>
      </c>
      <c r="AA198" s="1998">
        <v>0.64909260705082694</v>
      </c>
      <c r="AB198" s="1998">
        <v>0.791688472022826</v>
      </c>
      <c r="AC198" s="1998">
        <v>0.6491772046503409</v>
      </c>
      <c r="AD198" s="1998">
        <v>0.7918073410904487</v>
      </c>
      <c r="AE198" s="1998">
        <v>0.64926180224985475</v>
      </c>
      <c r="AF198" s="1998">
        <v>0.79202526771442416</v>
      </c>
      <c r="AG198" s="1998">
        <v>0.64941689784896339</v>
      </c>
      <c r="AH198" s="1999">
        <v>0.84155216893394003</v>
      </c>
      <c r="AI198" s="1979">
        <v>0.73746557190503859</v>
      </c>
      <c r="AJ198" s="1979">
        <v>0.84219578638096326</v>
      </c>
      <c r="AK198" s="1979">
        <v>0.73792886617736764</v>
      </c>
      <c r="AL198" s="1979">
        <v>0.84241032552997108</v>
      </c>
      <c r="AM198" s="1979">
        <v>0.73808329760147717</v>
      </c>
      <c r="AN198" s="1979">
        <v>0.84262486467897901</v>
      </c>
      <c r="AO198" s="1979">
        <v>0.73823772902558693</v>
      </c>
      <c r="AP198" s="1979">
        <v>0.84301818645215987</v>
      </c>
      <c r="AQ198" s="1979">
        <v>0.73852085330312145</v>
      </c>
      <c r="AR198" s="2000">
        <v>0.79844680399727763</v>
      </c>
      <c r="AS198" s="1998">
        <v>0.66448778615912008</v>
      </c>
      <c r="AT198" s="1998">
        <v>0.79939420583203913</v>
      </c>
      <c r="AU198" s="1998">
        <v>0.6651645979297931</v>
      </c>
      <c r="AV198" s="1998">
        <v>0.79955210613783256</v>
      </c>
      <c r="AW198" s="1998">
        <v>0.66527739989157209</v>
      </c>
      <c r="AX198" s="1998">
        <v>0.799710006443626</v>
      </c>
      <c r="AY198" s="1998">
        <v>0.66539020185335085</v>
      </c>
      <c r="AZ198" s="1998">
        <v>0.799999490337581</v>
      </c>
      <c r="BA198" s="1998">
        <v>0.66559700544994538</v>
      </c>
      <c r="BB198" s="1999">
        <v>1.1823777061543768</v>
      </c>
      <c r="BC198" s="1979">
        <v>1.098697161122979</v>
      </c>
      <c r="BD198" s="1979">
        <v>1.1832141690739635</v>
      </c>
      <c r="BE198" s="1979">
        <v>1.0992741797220569</v>
      </c>
      <c r="BF198" s="1979">
        <v>1.1840506319935507</v>
      </c>
      <c r="BG198" s="1979">
        <v>1.0998511983211345</v>
      </c>
      <c r="BH198" s="1979">
        <v>1.1848870949131374</v>
      </c>
      <c r="BI198" s="1979">
        <v>1.1004282169202122</v>
      </c>
      <c r="BJ198" s="1979">
        <v>1.1864206102657138</v>
      </c>
      <c r="BK198" s="1979">
        <v>1.101486084351855</v>
      </c>
      <c r="BL198" s="2000">
        <v>0.84455571647021743</v>
      </c>
      <c r="BM198" s="1998">
        <v>0.71197075126025045</v>
      </c>
      <c r="BN198" s="1998">
        <v>0.84518106974879359</v>
      </c>
      <c r="BO198" s="1998">
        <v>0.71240081778587294</v>
      </c>
      <c r="BP198" s="1998">
        <v>0.84575431025415537</v>
      </c>
      <c r="BQ198" s="1998">
        <v>0.71279504543436012</v>
      </c>
      <c r="BR198" s="1998">
        <v>0.84637966353273164</v>
      </c>
      <c r="BS198" s="1998">
        <v>0.71322511195998262</v>
      </c>
      <c r="BT198" s="1998">
        <v>0.84789093395595783</v>
      </c>
      <c r="BU198" s="1998">
        <v>0.71426443939690354</v>
      </c>
      <c r="BV198" s="1999">
        <v>0.89734516178103929</v>
      </c>
      <c r="BW198" s="1979">
        <v>0.79848754828279345</v>
      </c>
      <c r="BX198" s="1979">
        <v>0.89822254860303363</v>
      </c>
      <c r="BY198" s="1979">
        <v>0.79913421759876013</v>
      </c>
      <c r="BZ198" s="1979">
        <v>0.89892422134315797</v>
      </c>
      <c r="CA198" s="1979">
        <v>0.79964483955893173</v>
      </c>
      <c r="CB198" s="1979">
        <v>0.89978552655885891</v>
      </c>
      <c r="CC198" s="1979">
        <v>0.80027608934591632</v>
      </c>
      <c r="CD198" s="1979">
        <v>0.90064683177456006</v>
      </c>
      <c r="CE198" s="1979">
        <v>0.80090733913290069</v>
      </c>
      <c r="CF198" s="2000">
        <v>0.85955677809044173</v>
      </c>
      <c r="CG198" s="1998">
        <v>0.77251623446843454</v>
      </c>
      <c r="CH198" s="1998">
        <v>0.8602575278913791</v>
      </c>
      <c r="CI198" s="1998">
        <v>0.77303132891586301</v>
      </c>
      <c r="CJ198" s="1998">
        <v>0.86089988187557165</v>
      </c>
      <c r="CK198" s="1998">
        <v>0.77350349882600589</v>
      </c>
      <c r="CL198" s="1998">
        <v>0.86160063167650902</v>
      </c>
      <c r="CM198" s="1998">
        <v>0.77401859327343425</v>
      </c>
      <c r="CN198" s="1998">
        <v>0.86329411036210746</v>
      </c>
      <c r="CO198" s="1998">
        <v>0.77526340485471967</v>
      </c>
      <c r="CP198" s="1999">
        <v>0.8554134040147503</v>
      </c>
      <c r="CQ198" s="1979">
        <v>0.75653348269713871</v>
      </c>
      <c r="CR198" s="1979">
        <v>0.85614884976872496</v>
      </c>
      <c r="CS198" s="1979">
        <v>0.75707283707225248</v>
      </c>
      <c r="CT198" s="1979">
        <v>0.85682300837653502</v>
      </c>
      <c r="CU198" s="1979">
        <v>0.75756724524943997</v>
      </c>
      <c r="CV198" s="1979">
        <v>0.8575584541305098</v>
      </c>
      <c r="CW198" s="1979">
        <v>0.75810659962455373</v>
      </c>
      <c r="CX198" s="1979">
        <v>0.85933578136928168</v>
      </c>
      <c r="CY198" s="1979">
        <v>0.75941003936441165</v>
      </c>
      <c r="CZ198" s="2000">
        <v>0.87672997691246723</v>
      </c>
      <c r="DA198" s="1998">
        <v>0.84840398011260443</v>
      </c>
      <c r="DB198" s="1998">
        <v>0.87963791868392416</v>
      </c>
      <c r="DC198" s="1998">
        <v>0.85051672366634534</v>
      </c>
      <c r="DD198" s="1998">
        <v>0.88254586045538097</v>
      </c>
      <c r="DE198" s="1998">
        <v>0.85262946722008626</v>
      </c>
      <c r="DF198" s="1998">
        <v>0.88545380222683778</v>
      </c>
      <c r="DG198" s="1998">
        <v>0.85474221077382706</v>
      </c>
      <c r="DH198" s="1998">
        <v>0.88836174399829437</v>
      </c>
      <c r="DI198" s="1998">
        <v>0.85685495432756809</v>
      </c>
      <c r="DJ198" s="1999">
        <v>0.88216608021120946</v>
      </c>
      <c r="DK198" s="1979">
        <v>0.84097543592471935</v>
      </c>
      <c r="DL198" s="1979">
        <v>0.88473064138314617</v>
      </c>
      <c r="DM198" s="1979">
        <v>0.84286398390422923</v>
      </c>
      <c r="DN198" s="1979">
        <v>0.88729520255508287</v>
      </c>
      <c r="DO198" s="1979">
        <v>0.84475253188373889</v>
      </c>
      <c r="DP198" s="1979">
        <v>0.88985976372701947</v>
      </c>
      <c r="DQ198" s="1979">
        <v>0.84664107986324877</v>
      </c>
      <c r="DR198" s="1979">
        <v>0.8924243248989564</v>
      </c>
      <c r="DS198" s="1979">
        <v>0.84852962784275843</v>
      </c>
    </row>
    <row r="199" spans="1:123">
      <c r="A199" s="1997"/>
      <c r="B199" s="2">
        <v>18</v>
      </c>
      <c r="C199" s="2" t="str">
        <f>CONCATENATE($U$8," ",V$15)</f>
        <v>Proportion de fenêtres 50</v>
      </c>
      <c r="D199" s="1998">
        <v>0.86026872921200193</v>
      </c>
      <c r="E199" s="1998">
        <v>0.70805211298945292</v>
      </c>
      <c r="F199" s="1998">
        <v>0.86132260326115007</v>
      </c>
      <c r="G199" s="1998">
        <v>0.70879952411769354</v>
      </c>
      <c r="H199" s="1998">
        <v>0.86212546741852969</v>
      </c>
      <c r="I199" s="1998">
        <v>0.7093532723754169</v>
      </c>
      <c r="J199" s="1998">
        <v>0.86313823371299914</v>
      </c>
      <c r="K199" s="1998">
        <v>0.71006299567685183</v>
      </c>
      <c r="L199" s="1998">
        <v>0.86415100000746881</v>
      </c>
      <c r="M199" s="1998">
        <v>0.71077271897828687</v>
      </c>
      <c r="N199" s="1999">
        <v>0.93486610068858234</v>
      </c>
      <c r="O199" s="1979">
        <v>0.82997147378255753</v>
      </c>
      <c r="P199" s="1979">
        <v>0.93561232366133418</v>
      </c>
      <c r="Q199" s="1979">
        <v>0.83049960126412326</v>
      </c>
      <c r="R199" s="1979">
        <v>0.93618423468151324</v>
      </c>
      <c r="S199" s="1979">
        <v>0.83089398090094613</v>
      </c>
      <c r="T199" s="1979">
        <v>0.93690321685947542</v>
      </c>
      <c r="U199" s="1979">
        <v>0.83139716660188556</v>
      </c>
      <c r="V199" s="1979">
        <v>0.93762219903743771</v>
      </c>
      <c r="W199" s="1979">
        <v>0.83190035230282489</v>
      </c>
      <c r="X199" s="2000">
        <v>0.80334303669205054</v>
      </c>
      <c r="Y199" s="1998">
        <v>0.66039948766198919</v>
      </c>
      <c r="Z199" s="1998">
        <v>0.8042939892330333</v>
      </c>
      <c r="AA199" s="1998">
        <v>0.66107626845809997</v>
      </c>
      <c r="AB199" s="1998">
        <v>0.80441285830065612</v>
      </c>
      <c r="AC199" s="1998">
        <v>0.66116086605761371</v>
      </c>
      <c r="AD199" s="1998">
        <v>0.80453172736827894</v>
      </c>
      <c r="AE199" s="1998">
        <v>0.66124546365712755</v>
      </c>
      <c r="AF199" s="1998">
        <v>0.80474965399225407</v>
      </c>
      <c r="AG199" s="1998">
        <v>0.66140055925623631</v>
      </c>
      <c r="AH199" s="1999">
        <v>0.85570453347475539</v>
      </c>
      <c r="AI199" s="1979">
        <v>0.7509465570725411</v>
      </c>
      <c r="AJ199" s="1979">
        <v>0.85634815092177874</v>
      </c>
      <c r="AK199" s="1979">
        <v>0.75140985134487004</v>
      </c>
      <c r="AL199" s="1979">
        <v>0.85656269007078645</v>
      </c>
      <c r="AM199" s="1979">
        <v>0.7515642827689798</v>
      </c>
      <c r="AN199" s="1979">
        <v>0.85677722921979438</v>
      </c>
      <c r="AO199" s="1979">
        <v>0.75171871419308944</v>
      </c>
      <c r="AP199" s="1979">
        <v>0.85717055099297523</v>
      </c>
      <c r="AQ199" s="1979">
        <v>0.75200183847062385</v>
      </c>
      <c r="AR199" s="2000">
        <v>0.80891702044229241</v>
      </c>
      <c r="AS199" s="1998">
        <v>0.67438590907650242</v>
      </c>
      <c r="AT199" s="1998">
        <v>0.80986442227705369</v>
      </c>
      <c r="AU199" s="1998">
        <v>0.67506272084717545</v>
      </c>
      <c r="AV199" s="1998">
        <v>0.81002232258284734</v>
      </c>
      <c r="AW199" s="1998">
        <v>0.67517552280895443</v>
      </c>
      <c r="AX199" s="1998">
        <v>0.81018022288864089</v>
      </c>
      <c r="AY199" s="1998">
        <v>0.67528832477073319</v>
      </c>
      <c r="AZ199" s="1998">
        <v>0.81046970678259567</v>
      </c>
      <c r="BA199" s="1998">
        <v>0.67549512836732772</v>
      </c>
      <c r="BB199" s="1999">
        <v>1.1942285227934692</v>
      </c>
      <c r="BC199" s="1979">
        <v>1.1095153584426951</v>
      </c>
      <c r="BD199" s="1979">
        <v>1.1950649857130564</v>
      </c>
      <c r="BE199" s="1979">
        <v>1.110092377041773</v>
      </c>
      <c r="BF199" s="1979">
        <v>1.1959014486326431</v>
      </c>
      <c r="BG199" s="1979">
        <v>1.1106693956408507</v>
      </c>
      <c r="BH199" s="1979">
        <v>1.1967379115522303</v>
      </c>
      <c r="BI199" s="1979">
        <v>1.1112464142399283</v>
      </c>
      <c r="BJ199" s="1979">
        <v>1.1982714269048065</v>
      </c>
      <c r="BK199" s="1979">
        <v>1.1123042816715711</v>
      </c>
      <c r="BL199" s="2000">
        <v>0.85339548927705611</v>
      </c>
      <c r="BM199" s="1998">
        <v>0.72001554315188065</v>
      </c>
      <c r="BN199" s="1998">
        <v>0.85402084255563238</v>
      </c>
      <c r="BO199" s="1998">
        <v>0.72044560967750293</v>
      </c>
      <c r="BP199" s="1998">
        <v>0.85459408306099405</v>
      </c>
      <c r="BQ199" s="1998">
        <v>0.72083983732599033</v>
      </c>
      <c r="BR199" s="1998">
        <v>0.85521943633957043</v>
      </c>
      <c r="BS199" s="1998">
        <v>0.72126990385161283</v>
      </c>
      <c r="BT199" s="1998">
        <v>0.8567307067627965</v>
      </c>
      <c r="BU199" s="1998">
        <v>0.72230923128853353</v>
      </c>
      <c r="BV199" s="1999">
        <v>0.90186470868749058</v>
      </c>
      <c r="BW199" s="1979">
        <v>0.80287086212483705</v>
      </c>
      <c r="BX199" s="1979">
        <v>0.90273941524176959</v>
      </c>
      <c r="BY199" s="1979">
        <v>0.80351496151930668</v>
      </c>
      <c r="BZ199" s="1979">
        <v>0.90344376824960937</v>
      </c>
      <c r="CA199" s="1979">
        <v>0.80402815340097522</v>
      </c>
      <c r="CB199" s="1979">
        <v>0.90430507346531031</v>
      </c>
      <c r="CC199" s="1979">
        <v>0.8046594031879597</v>
      </c>
      <c r="CD199" s="1979">
        <v>0.90516637868101146</v>
      </c>
      <c r="CE199" s="1979">
        <v>0.80529065297494418</v>
      </c>
      <c r="CF199" s="2000">
        <v>0.86396925098012911</v>
      </c>
      <c r="CG199" s="1998">
        <v>0.77680833056337395</v>
      </c>
      <c r="CH199" s="1998">
        <v>0.86467000078106637</v>
      </c>
      <c r="CI199" s="1998">
        <v>0.77732342501080243</v>
      </c>
      <c r="CJ199" s="1998">
        <v>0.86531235476525903</v>
      </c>
      <c r="CK199" s="1998">
        <v>0.77779559492094519</v>
      </c>
      <c r="CL199" s="1998">
        <v>0.86601310456619629</v>
      </c>
      <c r="CM199" s="1998">
        <v>0.77831068936837366</v>
      </c>
      <c r="CN199" s="1998">
        <v>0.86770658325179484</v>
      </c>
      <c r="CO199" s="1998">
        <v>0.77955550094965909</v>
      </c>
      <c r="CP199" s="1999">
        <v>0.86023336816476337</v>
      </c>
      <c r="CQ199" s="1979">
        <v>0.76121116659657828</v>
      </c>
      <c r="CR199" s="1979">
        <v>0.8609688139187377</v>
      </c>
      <c r="CS199" s="1979">
        <v>0.76175052097169182</v>
      </c>
      <c r="CT199" s="1979">
        <v>0.86164297252654798</v>
      </c>
      <c r="CU199" s="1979">
        <v>0.76224492914887942</v>
      </c>
      <c r="CV199" s="1979">
        <v>0.86237841828052264</v>
      </c>
      <c r="CW199" s="1979">
        <v>0.76278428352399319</v>
      </c>
      <c r="CX199" s="1979">
        <v>0.86415574551929464</v>
      </c>
      <c r="CY199" s="1979">
        <v>0.7640877232638511</v>
      </c>
      <c r="CZ199" s="2000">
        <v>0.88391132094257452</v>
      </c>
      <c r="DA199" s="1998">
        <v>0.85530844957730512</v>
      </c>
      <c r="DB199" s="1998">
        <v>0.88681926271403144</v>
      </c>
      <c r="DC199" s="1998">
        <v>0.85742119313104592</v>
      </c>
      <c r="DD199" s="1998">
        <v>0.88972720448548825</v>
      </c>
      <c r="DE199" s="1998">
        <v>0.85953393668478661</v>
      </c>
      <c r="DF199" s="1998">
        <v>0.89263514625694496</v>
      </c>
      <c r="DG199" s="1998">
        <v>0.86164668023852764</v>
      </c>
      <c r="DH199" s="1998">
        <v>0.89554308802840177</v>
      </c>
      <c r="DI199" s="1998">
        <v>0.86375942379226833</v>
      </c>
      <c r="DJ199" s="1999">
        <v>0.89433711552721196</v>
      </c>
      <c r="DK199" s="1979">
        <v>0.85283601747838567</v>
      </c>
      <c r="DL199" s="1979">
        <v>0.89690167669914866</v>
      </c>
      <c r="DM199" s="1979">
        <v>0.85472456545789532</v>
      </c>
      <c r="DN199" s="1979">
        <v>0.89946623787108548</v>
      </c>
      <c r="DO199" s="1979">
        <v>0.85661311343740509</v>
      </c>
      <c r="DP199" s="1979">
        <v>0.90203079904302208</v>
      </c>
      <c r="DQ199" s="1979">
        <v>0.85850166141691486</v>
      </c>
      <c r="DR199" s="1979">
        <v>0.90459536021495879</v>
      </c>
      <c r="DS199" s="1979">
        <v>0.86039020939642463</v>
      </c>
    </row>
    <row r="200" spans="1:123">
      <c r="A200" s="1997"/>
      <c r="B200" s="2">
        <v>19</v>
      </c>
      <c r="C200" s="2" t="str">
        <f>CONCATENATE($U$8," ",V$16)</f>
        <v>Proportion de fenêtres 60</v>
      </c>
      <c r="D200" s="1998">
        <v>0.87413215221342477</v>
      </c>
      <c r="E200" s="1998">
        <v>0.72090834794489456</v>
      </c>
      <c r="F200" s="1998">
        <v>0.87517780471163698</v>
      </c>
      <c r="G200" s="1998">
        <v>0.72164822150777419</v>
      </c>
      <c r="H200" s="1998">
        <v>0.87598889041995243</v>
      </c>
      <c r="I200" s="1998">
        <v>0.72220950733085865</v>
      </c>
      <c r="J200" s="1998">
        <v>0.87700165671442198</v>
      </c>
      <c r="K200" s="1998">
        <v>0.72291923063229346</v>
      </c>
      <c r="L200" s="1998">
        <v>0.87801442300889154</v>
      </c>
      <c r="M200" s="1998">
        <v>0.7236289539337285</v>
      </c>
      <c r="N200" s="1999">
        <v>0.94405294789090421</v>
      </c>
      <c r="O200" s="1979">
        <v>0.83847972217782618</v>
      </c>
      <c r="P200" s="1979">
        <v>0.94479372270469797</v>
      </c>
      <c r="Q200" s="1979">
        <v>0.83900286130326662</v>
      </c>
      <c r="R200" s="1979">
        <v>0.94537108188383512</v>
      </c>
      <c r="S200" s="1979">
        <v>0.839402229296215</v>
      </c>
      <c r="T200" s="1979">
        <v>0.9460900640617973</v>
      </c>
      <c r="U200" s="1979">
        <v>0.83990541499715421</v>
      </c>
      <c r="V200" s="1979">
        <v>0.94680904623975959</v>
      </c>
      <c r="W200" s="1979">
        <v>0.84040860069809342</v>
      </c>
      <c r="X200" s="2000">
        <v>0.81606742296988066</v>
      </c>
      <c r="Y200" s="1998">
        <v>0.672383149069262</v>
      </c>
      <c r="Z200" s="1998">
        <v>0.8170183755108632</v>
      </c>
      <c r="AA200" s="1998">
        <v>0.67305992986537277</v>
      </c>
      <c r="AB200" s="1998">
        <v>0.81713724457848613</v>
      </c>
      <c r="AC200" s="1998">
        <v>0.67314452746488662</v>
      </c>
      <c r="AD200" s="1998">
        <v>0.81725611364610895</v>
      </c>
      <c r="AE200" s="1998">
        <v>0.67322912506440047</v>
      </c>
      <c r="AF200" s="1998">
        <v>0.81747404027008419</v>
      </c>
      <c r="AG200" s="1998">
        <v>0.67338422066350911</v>
      </c>
      <c r="AH200" s="1999">
        <v>0.86985689801557076</v>
      </c>
      <c r="AI200" s="1979">
        <v>0.7644275422400435</v>
      </c>
      <c r="AJ200" s="1979">
        <v>0.8705005154625941</v>
      </c>
      <c r="AK200" s="1979">
        <v>0.76489083651237244</v>
      </c>
      <c r="AL200" s="1979">
        <v>0.87071505461160204</v>
      </c>
      <c r="AM200" s="1979">
        <v>0.7650452679364822</v>
      </c>
      <c r="AN200" s="1979">
        <v>0.87092959376060974</v>
      </c>
      <c r="AO200" s="1979">
        <v>0.76519969936059185</v>
      </c>
      <c r="AP200" s="1979">
        <v>0.87132291553379071</v>
      </c>
      <c r="AQ200" s="1979">
        <v>0.76548282363812614</v>
      </c>
      <c r="AR200" s="2000">
        <v>0.81938723688730719</v>
      </c>
      <c r="AS200" s="1998">
        <v>0.68428403199388477</v>
      </c>
      <c r="AT200" s="1998">
        <v>0.82033463872206847</v>
      </c>
      <c r="AU200" s="1998">
        <v>0.68496084376455779</v>
      </c>
      <c r="AV200" s="1998">
        <v>0.82049253902786212</v>
      </c>
      <c r="AW200" s="1998">
        <v>0.68507364572633667</v>
      </c>
      <c r="AX200" s="1998">
        <v>0.82065043933365556</v>
      </c>
      <c r="AY200" s="1998">
        <v>0.68518644768811554</v>
      </c>
      <c r="AZ200" s="1998">
        <v>0.82093992322761056</v>
      </c>
      <c r="BA200" s="1998">
        <v>0.68539325128471007</v>
      </c>
      <c r="BB200" s="1999">
        <v>1.206079339432562</v>
      </c>
      <c r="BC200" s="1979">
        <v>1.1203335557624112</v>
      </c>
      <c r="BD200" s="1979">
        <v>1.2069158023521487</v>
      </c>
      <c r="BE200" s="1979">
        <v>1.1209105743614891</v>
      </c>
      <c r="BF200" s="1979">
        <v>1.2077522652717361</v>
      </c>
      <c r="BG200" s="1979">
        <v>1.1214875929605668</v>
      </c>
      <c r="BH200" s="1979">
        <v>1.2085887281913228</v>
      </c>
      <c r="BI200" s="1979">
        <v>1.1220646115596449</v>
      </c>
      <c r="BJ200" s="1979">
        <v>1.2101222435438987</v>
      </c>
      <c r="BK200" s="1979">
        <v>1.1231224789912875</v>
      </c>
      <c r="BL200" s="2000">
        <v>0.86223526208389478</v>
      </c>
      <c r="BM200" s="1998">
        <v>0.72806033504351075</v>
      </c>
      <c r="BN200" s="1998">
        <v>0.86286061536247105</v>
      </c>
      <c r="BO200" s="1998">
        <v>0.72849040156913314</v>
      </c>
      <c r="BP200" s="1998">
        <v>0.86343385586783272</v>
      </c>
      <c r="BQ200" s="1998">
        <v>0.72888462921762032</v>
      </c>
      <c r="BR200" s="1998">
        <v>0.8640592091464091</v>
      </c>
      <c r="BS200" s="1998">
        <v>0.72931469574324281</v>
      </c>
      <c r="BT200" s="1998">
        <v>0.86557047956963507</v>
      </c>
      <c r="BU200" s="1998">
        <v>0.73035402318016374</v>
      </c>
      <c r="BV200" s="1999">
        <v>0.90638425559394209</v>
      </c>
      <c r="BW200" s="1979">
        <v>0.80725417596688076</v>
      </c>
      <c r="BX200" s="1979">
        <v>0.90725628188050522</v>
      </c>
      <c r="BY200" s="1979">
        <v>0.80789570543985323</v>
      </c>
      <c r="BZ200" s="1979">
        <v>0.90796331515606066</v>
      </c>
      <c r="CA200" s="1979">
        <v>0.80841146724301882</v>
      </c>
      <c r="CB200" s="1979">
        <v>0.90882462037176182</v>
      </c>
      <c r="CC200" s="1979">
        <v>0.80904271703000341</v>
      </c>
      <c r="CD200" s="1979">
        <v>0.90968592558746275</v>
      </c>
      <c r="CE200" s="1979">
        <v>0.80967396681698778</v>
      </c>
      <c r="CF200" s="2000">
        <v>0.86838172386981649</v>
      </c>
      <c r="CG200" s="1998">
        <v>0.78110042665831347</v>
      </c>
      <c r="CH200" s="1998">
        <v>0.86908247367075364</v>
      </c>
      <c r="CI200" s="1998">
        <v>0.78161552110574195</v>
      </c>
      <c r="CJ200" s="1998">
        <v>0.8697248276549463</v>
      </c>
      <c r="CK200" s="1998">
        <v>0.7820876910158846</v>
      </c>
      <c r="CL200" s="1998">
        <v>0.87042557745588356</v>
      </c>
      <c r="CM200" s="1998">
        <v>0.78260278546331319</v>
      </c>
      <c r="CN200" s="1998">
        <v>0.87211905614148211</v>
      </c>
      <c r="CO200" s="1998">
        <v>0.78384759704459839</v>
      </c>
      <c r="CP200" s="1999">
        <v>0.8650533323147761</v>
      </c>
      <c r="CQ200" s="1979">
        <v>0.76588885049601763</v>
      </c>
      <c r="CR200" s="1979">
        <v>0.86578877806875076</v>
      </c>
      <c r="CS200" s="1979">
        <v>0.76642820487113128</v>
      </c>
      <c r="CT200" s="1979">
        <v>0.86646293667656094</v>
      </c>
      <c r="CU200" s="1979">
        <v>0.76692261304831888</v>
      </c>
      <c r="CV200" s="1979">
        <v>0.86719838243053571</v>
      </c>
      <c r="CW200" s="1979">
        <v>0.76746196742343242</v>
      </c>
      <c r="CX200" s="1979">
        <v>0.86897570966930759</v>
      </c>
      <c r="CY200" s="1979">
        <v>0.76876540716329045</v>
      </c>
      <c r="CZ200" s="2000">
        <v>0.89109266497268202</v>
      </c>
      <c r="DA200" s="1998">
        <v>0.86221291904200548</v>
      </c>
      <c r="DB200" s="1998">
        <v>0.89400060674413862</v>
      </c>
      <c r="DC200" s="1998">
        <v>0.8643256625957465</v>
      </c>
      <c r="DD200" s="1998">
        <v>0.89690854851559543</v>
      </c>
      <c r="DE200" s="1998">
        <v>0.86643840614948719</v>
      </c>
      <c r="DF200" s="1998">
        <v>0.89981649028705224</v>
      </c>
      <c r="DG200" s="1998">
        <v>0.86855114970322822</v>
      </c>
      <c r="DH200" s="1998">
        <v>0.90272443205850916</v>
      </c>
      <c r="DI200" s="1998">
        <v>0.87066389325696891</v>
      </c>
      <c r="DJ200" s="1999">
        <v>0.90650815084321446</v>
      </c>
      <c r="DK200" s="1979">
        <v>0.86469659903205176</v>
      </c>
      <c r="DL200" s="1979">
        <v>0.90907271201515116</v>
      </c>
      <c r="DM200" s="1979">
        <v>0.86658514701156153</v>
      </c>
      <c r="DN200" s="1979">
        <v>0.91163727318708798</v>
      </c>
      <c r="DO200" s="1979">
        <v>0.8684736949910713</v>
      </c>
      <c r="DP200" s="1979">
        <v>0.91420183435902469</v>
      </c>
      <c r="DQ200" s="1979">
        <v>0.87036224297058118</v>
      </c>
      <c r="DR200" s="1979">
        <v>0.9167663955309614</v>
      </c>
      <c r="DS200" s="1979">
        <v>0.87225079095009073</v>
      </c>
    </row>
    <row r="201" spans="1:123">
      <c r="A201" s="1997"/>
      <c r="B201" s="2">
        <v>20</v>
      </c>
      <c r="C201" s="2" t="str">
        <f>CONCATENATE($U$8," ",V$17)</f>
        <v>Proportion de fenêtres 70</v>
      </c>
      <c r="D201" s="1998">
        <v>0.88799557521484751</v>
      </c>
      <c r="E201" s="1998">
        <v>0.73376458290033619</v>
      </c>
      <c r="F201" s="1998">
        <v>0.88903300616212422</v>
      </c>
      <c r="G201" s="1998">
        <v>0.73449691889785473</v>
      </c>
      <c r="H201" s="1998">
        <v>0.88985231342137527</v>
      </c>
      <c r="I201" s="1998">
        <v>0.73506574228630028</v>
      </c>
      <c r="J201" s="1998">
        <v>0.89086507971584472</v>
      </c>
      <c r="K201" s="1998">
        <v>0.73577546558773532</v>
      </c>
      <c r="L201" s="1998">
        <v>0.89187784601031428</v>
      </c>
      <c r="M201" s="1998">
        <v>0.73648518888917025</v>
      </c>
      <c r="N201" s="1999">
        <v>0.95323979509322621</v>
      </c>
      <c r="O201" s="1979">
        <v>0.84698797057309483</v>
      </c>
      <c r="P201" s="1979">
        <v>0.9539751217480622</v>
      </c>
      <c r="Q201" s="1979">
        <v>0.8475061213424101</v>
      </c>
      <c r="R201" s="1979">
        <v>0.95455792908615711</v>
      </c>
      <c r="S201" s="1979">
        <v>0.84791047769148364</v>
      </c>
      <c r="T201" s="1979">
        <v>0.95527691126411918</v>
      </c>
      <c r="U201" s="1979">
        <v>0.84841366339242297</v>
      </c>
      <c r="V201" s="1979">
        <v>0.95599589344208158</v>
      </c>
      <c r="W201" s="1979">
        <v>0.84891684909336207</v>
      </c>
      <c r="X201" s="2000">
        <v>0.82879180924771056</v>
      </c>
      <c r="Y201" s="1998">
        <v>0.6843668104765348</v>
      </c>
      <c r="Z201" s="1998">
        <v>0.82974276178869333</v>
      </c>
      <c r="AA201" s="1998">
        <v>0.68504359127264558</v>
      </c>
      <c r="AB201" s="1998">
        <v>0.82986163085631615</v>
      </c>
      <c r="AC201" s="1998">
        <v>0.68512818887215954</v>
      </c>
      <c r="AD201" s="1998">
        <v>0.82998049992393907</v>
      </c>
      <c r="AE201" s="1998">
        <v>0.68521278647167339</v>
      </c>
      <c r="AF201" s="1998">
        <v>0.83019842654791431</v>
      </c>
      <c r="AG201" s="1998">
        <v>0.68536788207078214</v>
      </c>
      <c r="AH201" s="1999">
        <v>0.88400926255638623</v>
      </c>
      <c r="AI201" s="1979">
        <v>0.77790852740754579</v>
      </c>
      <c r="AJ201" s="1979">
        <v>0.88465288000340947</v>
      </c>
      <c r="AK201" s="1979">
        <v>0.77837182167987495</v>
      </c>
      <c r="AL201" s="1979">
        <v>0.8848674191524174</v>
      </c>
      <c r="AM201" s="1979">
        <v>0.77852625310398471</v>
      </c>
      <c r="AN201" s="1979">
        <v>0.88508195830142522</v>
      </c>
      <c r="AO201" s="1979">
        <v>0.77868068452809425</v>
      </c>
      <c r="AP201" s="1979">
        <v>0.88547528007460607</v>
      </c>
      <c r="AQ201" s="1979">
        <v>0.77896380880562877</v>
      </c>
      <c r="AR201" s="2000">
        <v>0.82985745333232175</v>
      </c>
      <c r="AS201" s="1998">
        <v>0.694182154911267</v>
      </c>
      <c r="AT201" s="1998">
        <v>0.83080485516708324</v>
      </c>
      <c r="AU201" s="1998">
        <v>0.69485896668194014</v>
      </c>
      <c r="AV201" s="1998">
        <v>0.8309627554728769</v>
      </c>
      <c r="AW201" s="1998">
        <v>0.69497176864371901</v>
      </c>
      <c r="AX201" s="1998">
        <v>0.83112065577867045</v>
      </c>
      <c r="AY201" s="1998">
        <v>0.69508457060549778</v>
      </c>
      <c r="AZ201" s="1998">
        <v>0.83141013967262523</v>
      </c>
      <c r="BA201" s="1998">
        <v>0.6952913742020923</v>
      </c>
      <c r="BB201" s="1999">
        <v>1.2179301560716544</v>
      </c>
      <c r="BC201" s="1979">
        <v>1.1311517530821273</v>
      </c>
      <c r="BD201" s="1979">
        <v>1.2187666189912414</v>
      </c>
      <c r="BE201" s="1979">
        <v>1.1317287716812052</v>
      </c>
      <c r="BF201" s="1979">
        <v>1.2196030819108283</v>
      </c>
      <c r="BG201" s="1979">
        <v>1.1323057902802831</v>
      </c>
      <c r="BH201" s="1979">
        <v>1.2204395448304153</v>
      </c>
      <c r="BI201" s="1979">
        <v>1.132882808879361</v>
      </c>
      <c r="BJ201" s="1979">
        <v>1.2219730601829915</v>
      </c>
      <c r="BK201" s="1979">
        <v>1.1339406763110036</v>
      </c>
      <c r="BL201" s="2000">
        <v>0.87107503489073346</v>
      </c>
      <c r="BM201" s="1998">
        <v>0.73610512693514085</v>
      </c>
      <c r="BN201" s="1998">
        <v>0.87170038816930973</v>
      </c>
      <c r="BO201" s="1998">
        <v>0.73653519346076335</v>
      </c>
      <c r="BP201" s="1998">
        <v>0.8722736286746714</v>
      </c>
      <c r="BQ201" s="1998">
        <v>0.73692942110925042</v>
      </c>
      <c r="BR201" s="1998">
        <v>0.87289898195324778</v>
      </c>
      <c r="BS201" s="1998">
        <v>0.7373594876348728</v>
      </c>
      <c r="BT201" s="1998">
        <v>0.87441025237647374</v>
      </c>
      <c r="BU201" s="1998">
        <v>0.73839881507179372</v>
      </c>
      <c r="BV201" s="1999">
        <v>0.91090380250039327</v>
      </c>
      <c r="BW201" s="1979">
        <v>0.81163748980892414</v>
      </c>
      <c r="BX201" s="1979">
        <v>0.91177314851924096</v>
      </c>
      <c r="BY201" s="1979">
        <v>0.81227644936039978</v>
      </c>
      <c r="BZ201" s="1979">
        <v>0.91248286206251206</v>
      </c>
      <c r="CA201" s="1979">
        <v>0.81279478108506242</v>
      </c>
      <c r="CB201" s="1979">
        <v>0.91334416727821299</v>
      </c>
      <c r="CC201" s="1979">
        <v>0.81342603087204679</v>
      </c>
      <c r="CD201" s="1979">
        <v>0.91420547249391415</v>
      </c>
      <c r="CE201" s="1979">
        <v>0.81405728065903138</v>
      </c>
      <c r="CF201" s="2000">
        <v>0.87279419675950376</v>
      </c>
      <c r="CG201" s="1998">
        <v>0.78539252275325289</v>
      </c>
      <c r="CH201" s="1998">
        <v>0.87349494656044113</v>
      </c>
      <c r="CI201" s="1998">
        <v>0.78590761720068125</v>
      </c>
      <c r="CJ201" s="1998">
        <v>0.87413730054463379</v>
      </c>
      <c r="CK201" s="1998">
        <v>0.78637978711082401</v>
      </c>
      <c r="CL201" s="1998">
        <v>0.87483805034557094</v>
      </c>
      <c r="CM201" s="1998">
        <v>0.7868948815582526</v>
      </c>
      <c r="CN201" s="1998">
        <v>0.87653152903116938</v>
      </c>
      <c r="CO201" s="1998">
        <v>0.7881396931395378</v>
      </c>
      <c r="CP201" s="1999">
        <v>0.86987329646478917</v>
      </c>
      <c r="CQ201" s="1979">
        <v>0.77056653439545708</v>
      </c>
      <c r="CR201" s="1979">
        <v>0.87060874221876361</v>
      </c>
      <c r="CS201" s="1979">
        <v>0.77110588877057074</v>
      </c>
      <c r="CT201" s="1979">
        <v>0.87128290082657367</v>
      </c>
      <c r="CU201" s="1979">
        <v>0.77160029694775822</v>
      </c>
      <c r="CV201" s="1979">
        <v>0.87201834658054833</v>
      </c>
      <c r="CW201" s="1979">
        <v>0.77213965132287199</v>
      </c>
      <c r="CX201" s="1979">
        <v>0.87379567381932044</v>
      </c>
      <c r="CY201" s="1979">
        <v>0.77344309106273001</v>
      </c>
      <c r="CZ201" s="2000">
        <v>0.89827400900278931</v>
      </c>
      <c r="DA201" s="1998">
        <v>0.86911738850670617</v>
      </c>
      <c r="DB201" s="1998">
        <v>0.90118195077424601</v>
      </c>
      <c r="DC201" s="1998">
        <v>0.87123013206044686</v>
      </c>
      <c r="DD201" s="1998">
        <v>0.90408989254570282</v>
      </c>
      <c r="DE201" s="1998">
        <v>0.87334287561418777</v>
      </c>
      <c r="DF201" s="1998">
        <v>0.90699783431715963</v>
      </c>
      <c r="DG201" s="1998">
        <v>0.87545561916792847</v>
      </c>
      <c r="DH201" s="1998">
        <v>0.90990577608861656</v>
      </c>
      <c r="DI201" s="1998">
        <v>0.87756836272166949</v>
      </c>
      <c r="DJ201" s="1999">
        <v>0.91867918615921706</v>
      </c>
      <c r="DK201" s="1979">
        <v>0.87655718058571797</v>
      </c>
      <c r="DL201" s="1979">
        <v>0.92124374733115366</v>
      </c>
      <c r="DM201" s="1979">
        <v>0.87844572856522773</v>
      </c>
      <c r="DN201" s="1979">
        <v>0.92380830850309048</v>
      </c>
      <c r="DO201" s="1979">
        <v>0.88033427654473762</v>
      </c>
      <c r="DP201" s="1979">
        <v>0.92637286967502708</v>
      </c>
      <c r="DQ201" s="1979">
        <v>0.88222282452424716</v>
      </c>
      <c r="DR201" s="1979">
        <v>0.9289374308469639</v>
      </c>
      <c r="DS201" s="1979">
        <v>0.88411137250375704</v>
      </c>
    </row>
    <row r="202" spans="1:123">
      <c r="A202" s="1997"/>
      <c r="B202" s="2">
        <v>21</v>
      </c>
      <c r="C202" s="2" t="str">
        <f>CONCATENATE($U$8," ",V$18)</f>
        <v>Proportion de fenêtres 80</v>
      </c>
      <c r="D202" s="1998">
        <v>0.90185899821627014</v>
      </c>
      <c r="E202" s="1998">
        <v>0.74662081785577805</v>
      </c>
      <c r="F202" s="1998">
        <v>0.90288820761261124</v>
      </c>
      <c r="G202" s="1998">
        <v>0.74734561628793528</v>
      </c>
      <c r="H202" s="1998">
        <v>0.90371573642279779</v>
      </c>
      <c r="I202" s="1998">
        <v>0.74792197724174214</v>
      </c>
      <c r="J202" s="1998">
        <v>0.90472850271726746</v>
      </c>
      <c r="K202" s="1998">
        <v>0.74863170054317696</v>
      </c>
      <c r="L202" s="1998">
        <v>0.90574126901173702</v>
      </c>
      <c r="M202" s="1998">
        <v>0.74934142384461189</v>
      </c>
      <c r="N202" s="1999">
        <v>0.96242664229554808</v>
      </c>
      <c r="O202" s="1979">
        <v>0.85549621896836348</v>
      </c>
      <c r="P202" s="1979">
        <v>0.963156520791426</v>
      </c>
      <c r="Q202" s="1979">
        <v>0.85600938138155347</v>
      </c>
      <c r="R202" s="1979">
        <v>0.96374477628847877</v>
      </c>
      <c r="S202" s="1979">
        <v>0.85641872608675229</v>
      </c>
      <c r="T202" s="1979">
        <v>0.96446375846644117</v>
      </c>
      <c r="U202" s="1979">
        <v>0.8569219117876915</v>
      </c>
      <c r="V202" s="1979">
        <v>0.96518274064440346</v>
      </c>
      <c r="W202" s="1979">
        <v>0.85742509748863094</v>
      </c>
      <c r="X202" s="2000">
        <v>0.84151619552554069</v>
      </c>
      <c r="Y202" s="1998">
        <v>0.69635047188380772</v>
      </c>
      <c r="Z202" s="1998">
        <v>0.84246714806652345</v>
      </c>
      <c r="AA202" s="1998">
        <v>0.6970272526799185</v>
      </c>
      <c r="AB202" s="1998">
        <v>0.84258601713414627</v>
      </c>
      <c r="AC202" s="1998">
        <v>0.69711185027943245</v>
      </c>
      <c r="AD202" s="1998">
        <v>0.84270488620176909</v>
      </c>
      <c r="AE202" s="1998">
        <v>0.6971964478789463</v>
      </c>
      <c r="AF202" s="1998">
        <v>0.84292281282574422</v>
      </c>
      <c r="AG202" s="1998">
        <v>0.69735154347805495</v>
      </c>
      <c r="AH202" s="1999">
        <v>0.8981616270972016</v>
      </c>
      <c r="AI202" s="1979">
        <v>0.79138951257504841</v>
      </c>
      <c r="AJ202" s="1979">
        <v>0.89880524454422506</v>
      </c>
      <c r="AK202" s="1979">
        <v>0.79185280684737736</v>
      </c>
      <c r="AL202" s="1979">
        <v>0.89901978369323277</v>
      </c>
      <c r="AM202" s="1979">
        <v>0.79200723827148711</v>
      </c>
      <c r="AN202" s="1979">
        <v>0.89923432284224059</v>
      </c>
      <c r="AO202" s="1979">
        <v>0.79216166969559687</v>
      </c>
      <c r="AP202" s="1979">
        <v>0.89962764461542144</v>
      </c>
      <c r="AQ202" s="1979">
        <v>0.79244479397313117</v>
      </c>
      <c r="AR202" s="2000">
        <v>0.85325567429052362</v>
      </c>
      <c r="AS202" s="1998">
        <v>0.71527399404880943</v>
      </c>
      <c r="AT202" s="1998">
        <v>0.85420307612528512</v>
      </c>
      <c r="AU202" s="1998">
        <v>0.71595080581948256</v>
      </c>
      <c r="AV202" s="1998">
        <v>0.85436097643107878</v>
      </c>
      <c r="AW202" s="1998">
        <v>0.71606360778126132</v>
      </c>
      <c r="AX202" s="1998">
        <v>0.85451887673687221</v>
      </c>
      <c r="AY202" s="1998">
        <v>0.7161764097430402</v>
      </c>
      <c r="AZ202" s="1998">
        <v>0.85480836063082721</v>
      </c>
      <c r="BA202" s="1998">
        <v>0.71638321333963473</v>
      </c>
      <c r="BB202" s="1999">
        <v>1.2297809727107472</v>
      </c>
      <c r="BC202" s="1979">
        <v>1.1419699504018435</v>
      </c>
      <c r="BD202" s="1979">
        <v>1.2306174356303339</v>
      </c>
      <c r="BE202" s="1979">
        <v>1.1425469690009213</v>
      </c>
      <c r="BF202" s="1979">
        <v>1.231453898549921</v>
      </c>
      <c r="BG202" s="1979">
        <v>1.143123987599999</v>
      </c>
      <c r="BH202" s="1979">
        <v>1.2322903614695078</v>
      </c>
      <c r="BI202" s="1979">
        <v>1.1437010061990771</v>
      </c>
      <c r="BJ202" s="1979">
        <v>1.2338238768220839</v>
      </c>
      <c r="BK202" s="1979">
        <v>1.1447588736307197</v>
      </c>
      <c r="BL202" s="2000">
        <v>0.89100438110301083</v>
      </c>
      <c r="BM202" s="1998">
        <v>0.75340493738846015</v>
      </c>
      <c r="BN202" s="1998">
        <v>0.89162973438158699</v>
      </c>
      <c r="BO202" s="1998">
        <v>0.75383500391408265</v>
      </c>
      <c r="BP202" s="1998">
        <v>0.89220297488694855</v>
      </c>
      <c r="BQ202" s="1998">
        <v>0.75422923156256982</v>
      </c>
      <c r="BR202" s="1998">
        <v>0.89282832816552493</v>
      </c>
      <c r="BS202" s="1998">
        <v>0.75465929808819232</v>
      </c>
      <c r="BT202" s="1998">
        <v>0.89433959858875101</v>
      </c>
      <c r="BU202" s="1998">
        <v>0.75569862552511324</v>
      </c>
      <c r="BV202" s="1999">
        <v>0.9207357920659851</v>
      </c>
      <c r="BW202" s="1979">
        <v>0.82072086968909264</v>
      </c>
      <c r="BX202" s="1979">
        <v>0.92168643953887108</v>
      </c>
      <c r="BY202" s="1979">
        <v>0.82143778352597807</v>
      </c>
      <c r="BZ202" s="1979">
        <v>0.92249353614247354</v>
      </c>
      <c r="CA202" s="1979">
        <v>0.82204948906503283</v>
      </c>
      <c r="CB202" s="1979">
        <v>0.92344418361535929</v>
      </c>
      <c r="CC202" s="1979">
        <v>0.82276640290191838</v>
      </c>
      <c r="CD202" s="1979">
        <v>0.92439483108824516</v>
      </c>
      <c r="CE202" s="1979">
        <v>0.82348331673880382</v>
      </c>
      <c r="CF202" s="2000">
        <v>0.88274215603316686</v>
      </c>
      <c r="CG202" s="1998">
        <v>0.79462240090176506</v>
      </c>
      <c r="CH202" s="1998">
        <v>0.88344290583410412</v>
      </c>
      <c r="CI202" s="1998">
        <v>0.79513749534919365</v>
      </c>
      <c r="CJ202" s="1998">
        <v>0.88408525981829678</v>
      </c>
      <c r="CK202" s="1998">
        <v>0.79560966525933619</v>
      </c>
      <c r="CL202" s="1998">
        <v>0.88478600961923393</v>
      </c>
      <c r="CM202" s="1998">
        <v>0.79612475970676455</v>
      </c>
      <c r="CN202" s="1998">
        <v>0.88647948830483259</v>
      </c>
      <c r="CO202" s="1998">
        <v>0.79736957128804997</v>
      </c>
      <c r="CP202" s="1999">
        <v>0.88073994839978664</v>
      </c>
      <c r="CQ202" s="1979">
        <v>0.78062559445704038</v>
      </c>
      <c r="CR202" s="1979">
        <v>0.8814753941537613</v>
      </c>
      <c r="CS202" s="1979">
        <v>0.78116494883215404</v>
      </c>
      <c r="CT202" s="1979">
        <v>0.88214955276157125</v>
      </c>
      <c r="CU202" s="1979">
        <v>0.78165935700934153</v>
      </c>
      <c r="CV202" s="1979">
        <v>0.88288499851554592</v>
      </c>
      <c r="CW202" s="1979">
        <v>0.78219871138445529</v>
      </c>
      <c r="CX202" s="1979">
        <v>0.88466232575431791</v>
      </c>
      <c r="CY202" s="1979">
        <v>0.78350215112431321</v>
      </c>
      <c r="CZ202" s="2000">
        <v>0.91446441282569724</v>
      </c>
      <c r="DA202" s="1998">
        <v>0.88396500851093796</v>
      </c>
      <c r="DB202" s="1998">
        <v>0.91737235459715405</v>
      </c>
      <c r="DC202" s="1998">
        <v>0.88607775206467898</v>
      </c>
      <c r="DD202" s="1998">
        <v>0.92028029636861075</v>
      </c>
      <c r="DE202" s="1998">
        <v>0.88819049561841967</v>
      </c>
      <c r="DF202" s="1998">
        <v>0.92318823814006756</v>
      </c>
      <c r="DG202" s="1998">
        <v>0.8903032391721607</v>
      </c>
      <c r="DH202" s="1998">
        <v>0.92609617991152449</v>
      </c>
      <c r="DI202" s="1998">
        <v>0.89241598272590139</v>
      </c>
      <c r="DJ202" s="1999">
        <v>0.94611889325064991</v>
      </c>
      <c r="DK202" s="1979">
        <v>0.90206260266606297</v>
      </c>
      <c r="DL202" s="1979">
        <v>0.94868345442258672</v>
      </c>
      <c r="DM202" s="1979">
        <v>0.90395115064557263</v>
      </c>
      <c r="DN202" s="1979">
        <v>0.95124801559452332</v>
      </c>
      <c r="DO202" s="1979">
        <v>0.9058396986250824</v>
      </c>
      <c r="DP202" s="1979">
        <v>0.95381257676646014</v>
      </c>
      <c r="DQ202" s="1979">
        <v>0.90772824660459228</v>
      </c>
      <c r="DR202" s="1979">
        <v>0.95637713793839696</v>
      </c>
      <c r="DS202" s="1979">
        <v>0.90961679458410183</v>
      </c>
    </row>
    <row r="203" spans="1:123">
      <c r="A203" s="1997"/>
      <c r="B203" s="2">
        <v>22</v>
      </c>
      <c r="C203" s="2" t="str">
        <f>CONCATENATE($U$8," ",V$19)</f>
        <v>Proportion de fenêtres 90</v>
      </c>
      <c r="D203" s="1998">
        <v>0.91572242121769287</v>
      </c>
      <c r="E203" s="1998">
        <v>0.75947705281121969</v>
      </c>
      <c r="F203" s="1998">
        <v>0.91674340906309826</v>
      </c>
      <c r="G203" s="1998">
        <v>0.76019431367801582</v>
      </c>
      <c r="H203" s="1998">
        <v>0.91757915942422064</v>
      </c>
      <c r="I203" s="1998">
        <v>0.76077821219718378</v>
      </c>
      <c r="J203" s="1998">
        <v>0.91859192571869042</v>
      </c>
      <c r="K203" s="1998">
        <v>0.76148793549861882</v>
      </c>
      <c r="L203" s="1998">
        <v>0.91960469201315975</v>
      </c>
      <c r="M203" s="1998">
        <v>0.76219765880005363</v>
      </c>
      <c r="N203" s="1999">
        <v>0.97161348949786996</v>
      </c>
      <c r="O203" s="1979">
        <v>0.86400446736363212</v>
      </c>
      <c r="P203" s="1979">
        <v>0.97233791983479001</v>
      </c>
      <c r="Q203" s="1979">
        <v>0.86451264142069673</v>
      </c>
      <c r="R203" s="1979">
        <v>0.97293162349080087</v>
      </c>
      <c r="S203" s="1979">
        <v>0.86492697448202083</v>
      </c>
      <c r="T203" s="1979">
        <v>0.97365060566876305</v>
      </c>
      <c r="U203" s="1979">
        <v>0.86543016018296015</v>
      </c>
      <c r="V203" s="1979">
        <v>0.97436958784672534</v>
      </c>
      <c r="W203" s="1979">
        <v>0.86593334588389959</v>
      </c>
      <c r="X203" s="2000">
        <v>0.85424058180337081</v>
      </c>
      <c r="Y203" s="1998">
        <v>0.70833413329108064</v>
      </c>
      <c r="Z203" s="1998">
        <v>0.85519153434435347</v>
      </c>
      <c r="AA203" s="1998">
        <v>0.70901091408719152</v>
      </c>
      <c r="AB203" s="1998">
        <v>0.85531040341197628</v>
      </c>
      <c r="AC203" s="1998">
        <v>0.70909551168670537</v>
      </c>
      <c r="AD203" s="1998">
        <v>0.8554292724795991</v>
      </c>
      <c r="AE203" s="1998">
        <v>0.70918010928621911</v>
      </c>
      <c r="AF203" s="1998">
        <v>0.85564719910357434</v>
      </c>
      <c r="AG203" s="1998">
        <v>0.70933520488532786</v>
      </c>
      <c r="AH203" s="1999">
        <v>0.91231399163801707</v>
      </c>
      <c r="AI203" s="1979">
        <v>0.80487049774255082</v>
      </c>
      <c r="AJ203" s="1979">
        <v>0.91295760908504053</v>
      </c>
      <c r="AK203" s="1979">
        <v>0.80533379201487998</v>
      </c>
      <c r="AL203" s="1979">
        <v>0.91317214823404835</v>
      </c>
      <c r="AM203" s="1979">
        <v>0.8054882234389894</v>
      </c>
      <c r="AN203" s="1979">
        <v>0.91338668738305595</v>
      </c>
      <c r="AO203" s="1979">
        <v>0.80564265486309916</v>
      </c>
      <c r="AP203" s="1979">
        <v>0.91378000915623703</v>
      </c>
      <c r="AQ203" s="1979">
        <v>0.80592577914063368</v>
      </c>
      <c r="AR203" s="2000">
        <v>0.85726188847894491</v>
      </c>
      <c r="AS203" s="1998">
        <v>0.71957525885611184</v>
      </c>
      <c r="AT203" s="1998">
        <v>0.85820929031370641</v>
      </c>
      <c r="AU203" s="1998">
        <v>0.72025207062678476</v>
      </c>
      <c r="AV203" s="1998">
        <v>0.85836719061950006</v>
      </c>
      <c r="AW203" s="1998">
        <v>0.72036487258856352</v>
      </c>
      <c r="AX203" s="1998">
        <v>0.8585250909252935</v>
      </c>
      <c r="AY203" s="1998">
        <v>0.72047767455034262</v>
      </c>
      <c r="AZ203" s="1998">
        <v>0.85881457481924839</v>
      </c>
      <c r="BA203" s="1998">
        <v>0.72068447814693715</v>
      </c>
      <c r="BB203" s="1999">
        <v>1.2416317893498396</v>
      </c>
      <c r="BC203" s="1979">
        <v>1.1527881477215596</v>
      </c>
      <c r="BD203" s="1979">
        <v>1.2424682522694266</v>
      </c>
      <c r="BE203" s="1979">
        <v>1.1533651663206375</v>
      </c>
      <c r="BF203" s="1979">
        <v>1.2433047151890138</v>
      </c>
      <c r="BG203" s="1979">
        <v>1.1539421849197151</v>
      </c>
      <c r="BH203" s="1979">
        <v>1.2441411781086005</v>
      </c>
      <c r="BI203" s="1979">
        <v>1.1545192035187932</v>
      </c>
      <c r="BJ203" s="1979">
        <v>1.2456746934611767</v>
      </c>
      <c r="BK203" s="1979">
        <v>1.1555770709504358</v>
      </c>
      <c r="BL203" s="2000">
        <v>0.8942993672071301</v>
      </c>
      <c r="BM203" s="1998">
        <v>0.7568222199992457</v>
      </c>
      <c r="BN203" s="1998">
        <v>0.89492472048570648</v>
      </c>
      <c r="BO203" s="1998">
        <v>0.7572522865248682</v>
      </c>
      <c r="BP203" s="1998">
        <v>0.89549796099106804</v>
      </c>
      <c r="BQ203" s="1998">
        <v>0.75764651417335538</v>
      </c>
      <c r="BR203" s="1998">
        <v>0.89612331426964431</v>
      </c>
      <c r="BS203" s="1998">
        <v>0.75807658069897765</v>
      </c>
      <c r="BT203" s="1998">
        <v>0.8976345846928705</v>
      </c>
      <c r="BU203" s="1998">
        <v>0.75911590813589858</v>
      </c>
      <c r="BV203" s="1999">
        <v>0.92259911764286628</v>
      </c>
      <c r="BW203" s="1979">
        <v>0.8227541505120739</v>
      </c>
      <c r="BX203" s="1979">
        <v>0.92350509398715974</v>
      </c>
      <c r="BY203" s="1979">
        <v>0.82342823232400875</v>
      </c>
      <c r="BZ203" s="1979">
        <v>0.92426751946216967</v>
      </c>
      <c r="CA203" s="1979">
        <v>0.82399710583811303</v>
      </c>
      <c r="CB203" s="1979">
        <v>0.92517349580646313</v>
      </c>
      <c r="CC203" s="1979">
        <v>0.82467118765004788</v>
      </c>
      <c r="CD203" s="1979">
        <v>0.92607947215075659</v>
      </c>
      <c r="CE203" s="1979">
        <v>0.82534526946198317</v>
      </c>
      <c r="CF203" s="2000">
        <v>0.8843868857308661</v>
      </c>
      <c r="CG203" s="1998">
        <v>0.79644560596991809</v>
      </c>
      <c r="CH203" s="1998">
        <v>0.88508763553180336</v>
      </c>
      <c r="CI203" s="1998">
        <v>0.79696070041734657</v>
      </c>
      <c r="CJ203" s="1998">
        <v>0.88572998951599602</v>
      </c>
      <c r="CK203" s="1998">
        <v>0.79743287032748922</v>
      </c>
      <c r="CL203" s="1998">
        <v>0.88643073931693328</v>
      </c>
      <c r="CM203" s="1998">
        <v>0.79794796477491758</v>
      </c>
      <c r="CN203" s="1998">
        <v>0.88812421800253183</v>
      </c>
      <c r="CO203" s="1998">
        <v>0.79919277635620312</v>
      </c>
      <c r="CP203" s="1999">
        <v>0.88253656865730723</v>
      </c>
      <c r="CQ203" s="1979">
        <v>0.78261259027540786</v>
      </c>
      <c r="CR203" s="1979">
        <v>0.88327201441128189</v>
      </c>
      <c r="CS203" s="1979">
        <v>0.78315194465052151</v>
      </c>
      <c r="CT203" s="1979">
        <v>0.88394617301909173</v>
      </c>
      <c r="CU203" s="1979">
        <v>0.78364635282770911</v>
      </c>
      <c r="CV203" s="1979">
        <v>0.88468161877306639</v>
      </c>
      <c r="CW203" s="1979">
        <v>0.78418570720282266</v>
      </c>
      <c r="CX203" s="1979">
        <v>0.8864589460118385</v>
      </c>
      <c r="CY203" s="1979">
        <v>0.78548914694268057</v>
      </c>
      <c r="CZ203" s="2000">
        <v>0.91714122695940425</v>
      </c>
      <c r="DA203" s="1998">
        <v>0.88689790270587288</v>
      </c>
      <c r="DB203" s="1998">
        <v>0.92004916873086107</v>
      </c>
      <c r="DC203" s="1998">
        <v>0.88901064625961357</v>
      </c>
      <c r="DD203" s="1998">
        <v>0.92295711050231766</v>
      </c>
      <c r="DE203" s="1998">
        <v>0.89112338981335459</v>
      </c>
      <c r="DF203" s="1998">
        <v>0.92586505227377447</v>
      </c>
      <c r="DG203" s="1998">
        <v>0.89323613336709529</v>
      </c>
      <c r="DH203" s="1998">
        <v>0.92877299404523139</v>
      </c>
      <c r="DI203" s="1998">
        <v>0.89534887692083631</v>
      </c>
      <c r="DJ203" s="1999">
        <v>0.9506555926789374</v>
      </c>
      <c r="DK203" s="1979">
        <v>0.90710076395638972</v>
      </c>
      <c r="DL203" s="1979">
        <v>0.953220153850874</v>
      </c>
      <c r="DM203" s="1979">
        <v>0.90898931193589938</v>
      </c>
      <c r="DN203" s="1979">
        <v>0.9557847150228107</v>
      </c>
      <c r="DO203" s="1979">
        <v>0.91087785991540937</v>
      </c>
      <c r="DP203" s="1979">
        <v>0.95834927619474741</v>
      </c>
      <c r="DQ203" s="1979">
        <v>0.91276640789491903</v>
      </c>
      <c r="DR203" s="1979">
        <v>0.96091383736668412</v>
      </c>
      <c r="DS203" s="1979">
        <v>0.9146549558744288</v>
      </c>
    </row>
    <row r="204" spans="1:123">
      <c r="A204" s="1997"/>
      <c r="B204" s="2">
        <v>23</v>
      </c>
      <c r="C204" s="2" t="str">
        <f>CONCATENATE($U$8," ",V$20)</f>
        <v>Proportion de fenêtres 100</v>
      </c>
      <c r="D204" s="1998">
        <v>0.92958584421911572</v>
      </c>
      <c r="E204" s="1998">
        <v>0.77233328776666155</v>
      </c>
      <c r="F204" s="1998">
        <v>0.93059861051358528</v>
      </c>
      <c r="G204" s="1998">
        <v>0.77304301106809636</v>
      </c>
      <c r="H204" s="1998">
        <v>0.93144258242564337</v>
      </c>
      <c r="I204" s="1998">
        <v>0.77363444715262553</v>
      </c>
      <c r="J204" s="1998">
        <v>0.93245534872011293</v>
      </c>
      <c r="K204" s="1998">
        <v>0.77434417045406045</v>
      </c>
      <c r="L204" s="1998">
        <v>0.93346811501458249</v>
      </c>
      <c r="M204" s="1998">
        <v>0.77505389375549538</v>
      </c>
      <c r="N204" s="1999">
        <v>0.98080033670019184</v>
      </c>
      <c r="O204" s="1979">
        <v>0.87251271575890088</v>
      </c>
      <c r="P204" s="1979">
        <v>0.98151931887815402</v>
      </c>
      <c r="Q204" s="1979">
        <v>0.87301590145984009</v>
      </c>
      <c r="R204" s="1979">
        <v>0.98211847069312264</v>
      </c>
      <c r="S204" s="1979">
        <v>0.87343522287728959</v>
      </c>
      <c r="T204" s="1979">
        <v>0.98283745287108493</v>
      </c>
      <c r="U204" s="1979">
        <v>0.87393840857822891</v>
      </c>
      <c r="V204" s="1979">
        <v>0.98355643504904722</v>
      </c>
      <c r="W204" s="1979">
        <v>0.87444159427916812</v>
      </c>
      <c r="X204" s="2000">
        <v>0.86696496808120094</v>
      </c>
      <c r="Y204" s="1998">
        <v>0.72031779469835355</v>
      </c>
      <c r="Z204" s="1998">
        <v>0.86791592062218348</v>
      </c>
      <c r="AA204" s="1998">
        <v>0.72099457549446433</v>
      </c>
      <c r="AB204" s="1998">
        <v>0.86803478968980652</v>
      </c>
      <c r="AC204" s="1998">
        <v>0.72107917309397818</v>
      </c>
      <c r="AD204" s="1998">
        <v>0.86815365875742923</v>
      </c>
      <c r="AE204" s="1998">
        <v>0.72116377069349202</v>
      </c>
      <c r="AF204" s="1998">
        <v>0.86837158538140446</v>
      </c>
      <c r="AG204" s="1998">
        <v>0.72131886629260078</v>
      </c>
      <c r="AH204" s="1999">
        <v>0.92646635617883255</v>
      </c>
      <c r="AI204" s="1979">
        <v>0.81835148291005333</v>
      </c>
      <c r="AJ204" s="1979">
        <v>0.9271099736258559</v>
      </c>
      <c r="AK204" s="1979">
        <v>0.81881477718238227</v>
      </c>
      <c r="AL204" s="1979">
        <v>0.92732451277486372</v>
      </c>
      <c r="AM204" s="1979">
        <v>0.81896920860649203</v>
      </c>
      <c r="AN204" s="1979">
        <v>0.92753905192387154</v>
      </c>
      <c r="AO204" s="1979">
        <v>0.81912364003060179</v>
      </c>
      <c r="AP204" s="1979">
        <v>0.9279323736970525</v>
      </c>
      <c r="AQ204" s="1979">
        <v>0.81940676430813608</v>
      </c>
      <c r="AR204" s="2000">
        <v>0.8612681026673662</v>
      </c>
      <c r="AS204" s="1998">
        <v>0.72387652366341393</v>
      </c>
      <c r="AT204" s="1998">
        <v>0.86221550450212747</v>
      </c>
      <c r="AU204" s="1998">
        <v>0.72455333543408718</v>
      </c>
      <c r="AV204" s="1998">
        <v>0.86237340480792124</v>
      </c>
      <c r="AW204" s="1998">
        <v>0.72466613739586594</v>
      </c>
      <c r="AX204" s="1998">
        <v>0.86253130511371467</v>
      </c>
      <c r="AY204" s="1998">
        <v>0.7247789393576447</v>
      </c>
      <c r="AZ204" s="1998">
        <v>0.86282078900766956</v>
      </c>
      <c r="BA204" s="1998">
        <v>0.72498574295423923</v>
      </c>
      <c r="BB204" s="1999">
        <v>1.2534826059889321</v>
      </c>
      <c r="BC204" s="1979">
        <v>1.1636063450412757</v>
      </c>
      <c r="BD204" s="1979">
        <v>1.2543190689085191</v>
      </c>
      <c r="BE204" s="1979">
        <v>1.1641833636403536</v>
      </c>
      <c r="BF204" s="1979">
        <v>1.255155531828106</v>
      </c>
      <c r="BG204" s="1979">
        <v>1.1647603822394317</v>
      </c>
      <c r="BH204" s="1979">
        <v>1.2559919947476932</v>
      </c>
      <c r="BI204" s="1979">
        <v>1.1653374008385093</v>
      </c>
      <c r="BJ204" s="1979">
        <v>1.2575255101002691</v>
      </c>
      <c r="BK204" s="1979">
        <v>1.1663952682701519</v>
      </c>
      <c r="BL204" s="2000">
        <v>0.89759435331124959</v>
      </c>
      <c r="BM204" s="1998">
        <v>0.76023950261003104</v>
      </c>
      <c r="BN204" s="1998">
        <v>0.89821970658982575</v>
      </c>
      <c r="BO204" s="1998">
        <v>0.76066956913565353</v>
      </c>
      <c r="BP204" s="1998">
        <v>0.89879294709518742</v>
      </c>
      <c r="BQ204" s="1998">
        <v>0.76106379678414082</v>
      </c>
      <c r="BR204" s="1998">
        <v>0.89941830037376369</v>
      </c>
      <c r="BS204" s="1998">
        <v>0.76149386330976321</v>
      </c>
      <c r="BT204" s="1998">
        <v>0.90092957079698976</v>
      </c>
      <c r="BU204" s="1998">
        <v>0.76253319074668413</v>
      </c>
      <c r="BV204" s="1999">
        <v>0.92446244321974735</v>
      </c>
      <c r="BW204" s="1979">
        <v>0.82478743133505505</v>
      </c>
      <c r="BX204" s="1979">
        <v>0.92532374843544851</v>
      </c>
      <c r="BY204" s="1979">
        <v>0.82541868112203942</v>
      </c>
      <c r="BZ204" s="1979">
        <v>0.92604150278186603</v>
      </c>
      <c r="CA204" s="1979">
        <v>0.82594472261119334</v>
      </c>
      <c r="CB204" s="1979">
        <v>0.92690280799756697</v>
      </c>
      <c r="CC204" s="1979">
        <v>0.82657597239817771</v>
      </c>
      <c r="CD204" s="1979">
        <v>0.92776411321326813</v>
      </c>
      <c r="CE204" s="1979">
        <v>0.82720722218516229</v>
      </c>
      <c r="CF204" s="2000">
        <v>0.88603161542856546</v>
      </c>
      <c r="CG204" s="1998">
        <v>0.79826881103807124</v>
      </c>
      <c r="CH204" s="1998">
        <v>0.88673236522950261</v>
      </c>
      <c r="CI204" s="1998">
        <v>0.7987839054854996</v>
      </c>
      <c r="CJ204" s="1998">
        <v>0.88737471921369537</v>
      </c>
      <c r="CK204" s="1998">
        <v>0.79925607539564236</v>
      </c>
      <c r="CL204" s="1998">
        <v>0.88807546901463275</v>
      </c>
      <c r="CM204" s="1998">
        <v>0.79977116984307073</v>
      </c>
      <c r="CN204" s="1998">
        <v>0.88976894770023107</v>
      </c>
      <c r="CO204" s="1998">
        <v>0.80101598142435615</v>
      </c>
      <c r="CP204" s="1999">
        <v>0.88433318891482771</v>
      </c>
      <c r="CQ204" s="1979">
        <v>0.78459958609377523</v>
      </c>
      <c r="CR204" s="1979">
        <v>0.88506863466880248</v>
      </c>
      <c r="CS204" s="1979">
        <v>0.78513894046888899</v>
      </c>
      <c r="CT204" s="1979">
        <v>0.88574279327661265</v>
      </c>
      <c r="CU204" s="1979">
        <v>0.78563334864607648</v>
      </c>
      <c r="CV204" s="1979">
        <v>0.88647823903058731</v>
      </c>
      <c r="CW204" s="1979">
        <v>0.78617270302119013</v>
      </c>
      <c r="CX204" s="1979">
        <v>0.8882555662693592</v>
      </c>
      <c r="CY204" s="1979">
        <v>0.78747614276104816</v>
      </c>
      <c r="CZ204" s="2000">
        <v>0.91981804109311116</v>
      </c>
      <c r="DA204" s="1998">
        <v>0.88983079690080757</v>
      </c>
      <c r="DB204" s="1998">
        <v>0.92272598286456797</v>
      </c>
      <c r="DC204" s="1998">
        <v>0.89194354045454849</v>
      </c>
      <c r="DD204" s="1998">
        <v>0.92563392463602467</v>
      </c>
      <c r="DE204" s="1998">
        <v>0.89405628400828918</v>
      </c>
      <c r="DF204" s="1998">
        <v>0.9285418664074816</v>
      </c>
      <c r="DG204" s="1998">
        <v>0.89616902756203021</v>
      </c>
      <c r="DH204" s="1998">
        <v>0.93144980817893841</v>
      </c>
      <c r="DI204" s="1998">
        <v>0.89828177111577101</v>
      </c>
      <c r="DJ204" s="1999">
        <v>0.95519229210722467</v>
      </c>
      <c r="DK204" s="1979">
        <v>0.91213892524671647</v>
      </c>
      <c r="DL204" s="1979">
        <v>0.95775685327916127</v>
      </c>
      <c r="DM204" s="1979">
        <v>0.91402747322622635</v>
      </c>
      <c r="DN204" s="1979">
        <v>0.96032141445109798</v>
      </c>
      <c r="DO204" s="1979">
        <v>0.91591602120573612</v>
      </c>
      <c r="DP204" s="1979">
        <v>0.96288597562303457</v>
      </c>
      <c r="DQ204" s="1979">
        <v>0.91780456918524578</v>
      </c>
      <c r="DR204" s="1979">
        <v>0.9654505367949715</v>
      </c>
      <c r="DS204" s="1979">
        <v>0.91969311716475566</v>
      </c>
    </row>
    <row r="205" spans="1:123">
      <c r="A205" s="1997"/>
      <c r="B205" s="2">
        <v>24</v>
      </c>
      <c r="C205" s="2" t="s">
        <v>4211</v>
      </c>
      <c r="D205" s="1998">
        <v>0.8826013366689236</v>
      </c>
      <c r="E205" s="1998">
        <v>0.88191265901315286</v>
      </c>
      <c r="F205" s="1998">
        <v>0.8826013366689236</v>
      </c>
      <c r="G205" s="1998">
        <v>0.88191265901315286</v>
      </c>
      <c r="H205" s="1998">
        <v>0.8826013366689236</v>
      </c>
      <c r="I205" s="1998">
        <v>0.88191265901315286</v>
      </c>
      <c r="J205" s="1998">
        <v>0.8826013366689236</v>
      </c>
      <c r="K205" s="1998">
        <v>0.88191265901315286</v>
      </c>
      <c r="L205" s="1998">
        <v>0.8826013366689236</v>
      </c>
      <c r="M205" s="1998">
        <v>0.88191265901315286</v>
      </c>
      <c r="N205" s="1999">
        <v>0.76334582665060702</v>
      </c>
      <c r="O205" s="1979">
        <v>0.76788521867535808</v>
      </c>
      <c r="P205" s="1979">
        <v>0.76334582665060702</v>
      </c>
      <c r="Q205" s="1979">
        <v>0.76788521867535808</v>
      </c>
      <c r="R205" s="1979">
        <v>0.76334582665060702</v>
      </c>
      <c r="S205" s="1979">
        <v>0.76788521867535808</v>
      </c>
      <c r="T205" s="1979">
        <v>0.76334582665060702</v>
      </c>
      <c r="U205" s="1979">
        <v>0.76788521867535808</v>
      </c>
      <c r="V205" s="1979">
        <v>0.76334582665060702</v>
      </c>
      <c r="W205" s="1979">
        <v>0.76788521867535808</v>
      </c>
      <c r="X205" s="2000">
        <v>0.92312868655307501</v>
      </c>
      <c r="Y205" s="1998">
        <v>0.91669361180519193</v>
      </c>
      <c r="Z205" s="1998">
        <v>0.92312868655307501</v>
      </c>
      <c r="AA205" s="1998">
        <v>0.91669361180519193</v>
      </c>
      <c r="AB205" s="1998">
        <v>0.92312868655307501</v>
      </c>
      <c r="AC205" s="1998">
        <v>0.91669361180519193</v>
      </c>
      <c r="AD205" s="1998">
        <v>0.92312868655307501</v>
      </c>
      <c r="AE205" s="1998">
        <v>0.91669361180519193</v>
      </c>
      <c r="AF205" s="1998">
        <v>0.92312868655307501</v>
      </c>
      <c r="AG205" s="1998">
        <v>0.91669361180519193</v>
      </c>
      <c r="AH205" s="1999">
        <v>0.83515927062346285</v>
      </c>
      <c r="AI205" s="1979">
        <v>0.82782218967614762</v>
      </c>
      <c r="AJ205" s="1979">
        <v>0.83515927062346285</v>
      </c>
      <c r="AK205" s="1979">
        <v>0.82782218967614762</v>
      </c>
      <c r="AL205" s="1979">
        <v>0.83515927062346285</v>
      </c>
      <c r="AM205" s="1979">
        <v>0.82782218967614762</v>
      </c>
      <c r="AN205" s="1979">
        <v>0.83515927062346285</v>
      </c>
      <c r="AO205" s="1979">
        <v>0.82782218967614762</v>
      </c>
      <c r="AP205" s="1979">
        <v>0.83515927062346285</v>
      </c>
      <c r="AQ205" s="1979">
        <v>0.82782218967614762</v>
      </c>
      <c r="AR205" s="2000">
        <v>0.91408103122428785</v>
      </c>
      <c r="AS205" s="1998">
        <v>0.91475539883448376</v>
      </c>
      <c r="AT205" s="1998">
        <v>0.91408103122428785</v>
      </c>
      <c r="AU205" s="1998">
        <v>0.91475539883448376</v>
      </c>
      <c r="AV205" s="1998">
        <v>0.91408103122428785</v>
      </c>
      <c r="AW205" s="1998">
        <v>0.91475539883448376</v>
      </c>
      <c r="AX205" s="1998">
        <v>0.91408103122428785</v>
      </c>
      <c r="AY205" s="1998">
        <v>0.91475539883448376</v>
      </c>
      <c r="AZ205" s="1998">
        <v>0.91408103122428785</v>
      </c>
      <c r="BA205" s="1998">
        <v>0.91475539883448376</v>
      </c>
      <c r="BB205" s="1999">
        <v>1.3779240903170769</v>
      </c>
      <c r="BC205" s="1979">
        <v>1.3862499617484139</v>
      </c>
      <c r="BD205" s="1979">
        <v>1.3779240903170769</v>
      </c>
      <c r="BE205" s="1979">
        <v>1.3862499617484139</v>
      </c>
      <c r="BF205" s="1979">
        <v>1.3779240903170769</v>
      </c>
      <c r="BG205" s="1979">
        <v>1.3862499617484139</v>
      </c>
      <c r="BH205" s="1979">
        <v>1.3779240903170769</v>
      </c>
      <c r="BI205" s="1979">
        <v>1.3862499617484139</v>
      </c>
      <c r="BJ205" s="1979">
        <v>1.3779240903170769</v>
      </c>
      <c r="BK205" s="1979">
        <v>1.3862499617484139</v>
      </c>
      <c r="BL205" s="2000">
        <v>0.81504532796908635</v>
      </c>
      <c r="BM205" s="1998">
        <v>0.81939147790231492</v>
      </c>
      <c r="BN205" s="1998">
        <v>0.81504532796908635</v>
      </c>
      <c r="BO205" s="1998">
        <v>0.81939147790231492</v>
      </c>
      <c r="BP205" s="1998">
        <v>0.81504532796908635</v>
      </c>
      <c r="BQ205" s="1998">
        <v>0.81939147790231492</v>
      </c>
      <c r="BR205" s="1998">
        <v>0.81504532796908635</v>
      </c>
      <c r="BS205" s="1998">
        <v>0.81939147790231492</v>
      </c>
      <c r="BT205" s="1998">
        <v>0.81504532796908635</v>
      </c>
      <c r="BU205" s="1998">
        <v>0.81939147790231492</v>
      </c>
      <c r="BV205" s="1999">
        <v>0.75818607942942884</v>
      </c>
      <c r="BW205" s="1979">
        <v>0.75642464860108916</v>
      </c>
      <c r="BX205" s="1979">
        <v>0.75818607942942884</v>
      </c>
      <c r="BY205" s="1979">
        <v>0.75642464860108916</v>
      </c>
      <c r="BZ205" s="1979">
        <v>0.75818607942942884</v>
      </c>
      <c r="CA205" s="1979">
        <v>0.75642464860108916</v>
      </c>
      <c r="CB205" s="1979">
        <v>0.75818607942942884</v>
      </c>
      <c r="CC205" s="1979">
        <v>0.75642464860108916</v>
      </c>
      <c r="CD205" s="1979">
        <v>0.75818607942942884</v>
      </c>
      <c r="CE205" s="1979">
        <v>0.75642464860108916</v>
      </c>
      <c r="CF205" s="2000">
        <v>0.80719296136381258</v>
      </c>
      <c r="CG205" s="1998">
        <v>0.81872288984299058</v>
      </c>
      <c r="CH205" s="1998">
        <v>0.80719296136381258</v>
      </c>
      <c r="CI205" s="1998">
        <v>0.81872288984299058</v>
      </c>
      <c r="CJ205" s="1998">
        <v>0.80719296136381258</v>
      </c>
      <c r="CK205" s="1998">
        <v>0.81872288984299058</v>
      </c>
      <c r="CL205" s="1998">
        <v>0.80719296136381258</v>
      </c>
      <c r="CM205" s="1998">
        <v>0.81872288984299058</v>
      </c>
      <c r="CN205" s="1998">
        <v>0.80719296136381258</v>
      </c>
      <c r="CO205" s="1998">
        <v>0.81872288984299058</v>
      </c>
      <c r="CP205" s="1999">
        <v>0.79813582946748696</v>
      </c>
      <c r="CQ205" s="1979">
        <v>0.81077198351634028</v>
      </c>
      <c r="CR205" s="1979">
        <v>0.79813582946748696</v>
      </c>
      <c r="CS205" s="1979">
        <v>0.81077198351634028</v>
      </c>
      <c r="CT205" s="1979">
        <v>0.79813582946748696</v>
      </c>
      <c r="CU205" s="1979">
        <v>0.81077198351634028</v>
      </c>
      <c r="CV205" s="1979">
        <v>0.79813582946748696</v>
      </c>
      <c r="CW205" s="1979">
        <v>0.81077198351634028</v>
      </c>
      <c r="CX205" s="1979">
        <v>0.79813582946748696</v>
      </c>
      <c r="CY205" s="1979">
        <v>0.81077198351634028</v>
      </c>
      <c r="CZ205" s="2000">
        <v>1</v>
      </c>
      <c r="DA205" s="1998">
        <v>1</v>
      </c>
      <c r="DB205" s="1998">
        <v>1</v>
      </c>
      <c r="DC205" s="1998">
        <v>1</v>
      </c>
      <c r="DD205" s="1998">
        <v>1</v>
      </c>
      <c r="DE205" s="1998">
        <v>1</v>
      </c>
      <c r="DF205" s="1998">
        <v>1</v>
      </c>
      <c r="DG205" s="1998">
        <v>1</v>
      </c>
      <c r="DH205" s="1998">
        <v>1</v>
      </c>
      <c r="DI205" s="1998">
        <v>1</v>
      </c>
      <c r="DJ205" s="1999">
        <v>1.0002450682306379</v>
      </c>
      <c r="DK205" s="1979">
        <v>1.0001651239704095</v>
      </c>
      <c r="DL205" s="1979">
        <v>1.0002450682306379</v>
      </c>
      <c r="DM205" s="1979">
        <v>1.0001651239704095</v>
      </c>
      <c r="DN205" s="1979">
        <v>1.0002450682306379</v>
      </c>
      <c r="DO205" s="1979">
        <v>1.0001651239704095</v>
      </c>
      <c r="DP205" s="1979">
        <v>1.0002450682306379</v>
      </c>
      <c r="DQ205" s="1979">
        <v>1.0001651239704095</v>
      </c>
      <c r="DR205" s="1979">
        <v>1.0002450682306379</v>
      </c>
      <c r="DS205" s="1979">
        <v>1.0001651239704095</v>
      </c>
    </row>
    <row r="206" spans="1:123">
      <c r="A206" s="1997"/>
      <c r="B206" s="2">
        <v>25</v>
      </c>
      <c r="C206" s="2" t="s">
        <v>4229</v>
      </c>
      <c r="D206" s="1998">
        <v>0.91292982313176918</v>
      </c>
      <c r="E206" s="1998">
        <v>0.9125827720671047</v>
      </c>
      <c r="F206" s="1998">
        <v>0.91292982313176918</v>
      </c>
      <c r="G206" s="1998">
        <v>0.9125827720671047</v>
      </c>
      <c r="H206" s="1998">
        <v>0.91292982313176918</v>
      </c>
      <c r="I206" s="1998">
        <v>0.9125827720671047</v>
      </c>
      <c r="J206" s="1998">
        <v>0.91292982313176918</v>
      </c>
      <c r="K206" s="1998">
        <v>0.9125827720671047</v>
      </c>
      <c r="L206" s="1998">
        <v>0.91292982313176918</v>
      </c>
      <c r="M206" s="1998">
        <v>0.9125827720671047</v>
      </c>
      <c r="N206" s="1999">
        <v>0.85169000385791704</v>
      </c>
      <c r="O206" s="1979">
        <v>0.85830731292323603</v>
      </c>
      <c r="P206" s="1979">
        <v>0.85169000385791704</v>
      </c>
      <c r="Q206" s="1979">
        <v>0.85830731292323603</v>
      </c>
      <c r="R206" s="1979">
        <v>0.85169000385791704</v>
      </c>
      <c r="S206" s="1979">
        <v>0.85830731292323603</v>
      </c>
      <c r="T206" s="1979">
        <v>0.85169000385791704</v>
      </c>
      <c r="U206" s="1979">
        <v>0.85830731292323603</v>
      </c>
      <c r="V206" s="1979">
        <v>0.85169000385791704</v>
      </c>
      <c r="W206" s="1979">
        <v>0.85830731292323603</v>
      </c>
      <c r="X206" s="2000">
        <v>0.96981513216885551</v>
      </c>
      <c r="Y206" s="1998">
        <v>0.96505817916298342</v>
      </c>
      <c r="Z206" s="1998">
        <v>0.96981513216885551</v>
      </c>
      <c r="AA206" s="1998">
        <v>0.96505817916298342</v>
      </c>
      <c r="AB206" s="1998">
        <v>0.96981513216885551</v>
      </c>
      <c r="AC206" s="1998">
        <v>0.96505817916298342</v>
      </c>
      <c r="AD206" s="1998">
        <v>0.96981513216885551</v>
      </c>
      <c r="AE206" s="1998">
        <v>0.96505817916298342</v>
      </c>
      <c r="AF206" s="1998">
        <v>0.96981513216885551</v>
      </c>
      <c r="AG206" s="1998">
        <v>0.96505817916298342</v>
      </c>
      <c r="AH206" s="1999">
        <v>0.93871649296211201</v>
      </c>
      <c r="AI206" s="1979">
        <v>0.93819824274275199</v>
      </c>
      <c r="AJ206" s="1979">
        <v>0.93871649296211201</v>
      </c>
      <c r="AK206" s="1979">
        <v>0.93819824274275199</v>
      </c>
      <c r="AL206" s="1979">
        <v>0.93871649296211201</v>
      </c>
      <c r="AM206" s="1979">
        <v>0.93819824274275199</v>
      </c>
      <c r="AN206" s="1979">
        <v>0.93871649296211201</v>
      </c>
      <c r="AO206" s="1979">
        <v>0.93819824274275199</v>
      </c>
      <c r="AP206" s="1979">
        <v>0.93871649296211201</v>
      </c>
      <c r="AQ206" s="1979">
        <v>0.93819824274275199</v>
      </c>
      <c r="AR206" s="2000">
        <v>0.96312340480789194</v>
      </c>
      <c r="AS206" s="1998">
        <v>0.96438239521439473</v>
      </c>
      <c r="AT206" s="1998">
        <v>0.96312340480789194</v>
      </c>
      <c r="AU206" s="1998">
        <v>0.96438239521439473</v>
      </c>
      <c r="AV206" s="1998">
        <v>0.96312340480789194</v>
      </c>
      <c r="AW206" s="1998">
        <v>0.96438239521439473</v>
      </c>
      <c r="AX206" s="1998">
        <v>0.96312340480789194</v>
      </c>
      <c r="AY206" s="1998">
        <v>0.96438239521439473</v>
      </c>
      <c r="AZ206" s="1998">
        <v>0.96312340480789194</v>
      </c>
      <c r="BA206" s="1998">
        <v>0.96438239521439473</v>
      </c>
      <c r="BB206" s="1999">
        <v>1.6633162050082382</v>
      </c>
      <c r="BC206" s="1979">
        <v>1.6684354677572975</v>
      </c>
      <c r="BD206" s="1979">
        <v>1.6633162050082382</v>
      </c>
      <c r="BE206" s="1979">
        <v>1.6684354677572975</v>
      </c>
      <c r="BF206" s="1979">
        <v>1.6633162050082382</v>
      </c>
      <c r="BG206" s="1979">
        <v>1.6684354677572975</v>
      </c>
      <c r="BH206" s="1979">
        <v>1.6633162050082382</v>
      </c>
      <c r="BI206" s="1979">
        <v>1.6684354677572975</v>
      </c>
      <c r="BJ206" s="1979">
        <v>1.6633162050082382</v>
      </c>
      <c r="BK206" s="1979">
        <v>1.6684354677572975</v>
      </c>
      <c r="BL206" s="2000">
        <v>0.92257945362571736</v>
      </c>
      <c r="BM206" s="1998">
        <v>0.92638696675106547</v>
      </c>
      <c r="BN206" s="1998">
        <v>0.92257945362571736</v>
      </c>
      <c r="BO206" s="1998">
        <v>0.92638696675106547</v>
      </c>
      <c r="BP206" s="1998">
        <v>0.92257945362571736</v>
      </c>
      <c r="BQ206" s="1998">
        <v>0.92638696675106547</v>
      </c>
      <c r="BR206" s="1998">
        <v>0.92257945362571736</v>
      </c>
      <c r="BS206" s="1998">
        <v>0.92638696675106547</v>
      </c>
      <c r="BT206" s="1998">
        <v>0.92257945362571736</v>
      </c>
      <c r="BU206" s="1998">
        <v>0.92638696675106547</v>
      </c>
      <c r="BV206" s="1999">
        <v>0.82284332182257303</v>
      </c>
      <c r="BW206" s="1979">
        <v>0.82198011587613595</v>
      </c>
      <c r="BX206" s="1979">
        <v>0.82284332182257303</v>
      </c>
      <c r="BY206" s="1979">
        <v>0.82198011587613595</v>
      </c>
      <c r="BZ206" s="1979">
        <v>0.82284332182257303</v>
      </c>
      <c r="CA206" s="1979">
        <v>0.82198011587613595</v>
      </c>
      <c r="CB206" s="1979">
        <v>0.82284332182257303</v>
      </c>
      <c r="CC206" s="1979">
        <v>0.82198011587613595</v>
      </c>
      <c r="CD206" s="1979">
        <v>0.82284332182257303</v>
      </c>
      <c r="CE206" s="1979">
        <v>0.82198011587613595</v>
      </c>
      <c r="CF206" s="2000">
        <v>0.86128226688212361</v>
      </c>
      <c r="CG206" s="1998">
        <v>0.87102719352858338</v>
      </c>
      <c r="CH206" s="1998">
        <v>0.86128226688212361</v>
      </c>
      <c r="CI206" s="1998">
        <v>0.87102719352858338</v>
      </c>
      <c r="CJ206" s="1998">
        <v>0.86128226688212361</v>
      </c>
      <c r="CK206" s="1998">
        <v>0.87102719352858338</v>
      </c>
      <c r="CL206" s="1998">
        <v>0.86128226688212361</v>
      </c>
      <c r="CM206" s="1998">
        <v>0.87102719352858338</v>
      </c>
      <c r="CN206" s="1998">
        <v>0.86128226688212361</v>
      </c>
      <c r="CO206" s="1998">
        <v>0.87102719352858338</v>
      </c>
      <c r="CP206" s="1999">
        <v>0.85466392119864998</v>
      </c>
      <c r="CQ206" s="1979">
        <v>0.86524983451263915</v>
      </c>
      <c r="CR206" s="1979">
        <v>0.85466392119864998</v>
      </c>
      <c r="CS206" s="1979">
        <v>0.86524983451263915</v>
      </c>
      <c r="CT206" s="1979">
        <v>0.85466392119864998</v>
      </c>
      <c r="CU206" s="1979">
        <v>0.86524983451263915</v>
      </c>
      <c r="CV206" s="1979">
        <v>0.85466392119864998</v>
      </c>
      <c r="CW206" s="1979">
        <v>0.86524983451263915</v>
      </c>
      <c r="CX206" s="1979">
        <v>0.85466392119864998</v>
      </c>
      <c r="CY206" s="1979">
        <v>0.86524983451263915</v>
      </c>
      <c r="CZ206" s="2000">
        <v>1.0931272105979928</v>
      </c>
      <c r="DA206" s="1998">
        <v>1.0890508106235626</v>
      </c>
      <c r="DB206" s="1998">
        <v>1.0931272105979928</v>
      </c>
      <c r="DC206" s="1998">
        <v>1.0890508106235626</v>
      </c>
      <c r="DD206" s="1998">
        <v>1.0931272105979928</v>
      </c>
      <c r="DE206" s="1998">
        <v>1.0890508106235626</v>
      </c>
      <c r="DF206" s="1998">
        <v>1.0931272105979928</v>
      </c>
      <c r="DG206" s="1998">
        <v>1.0890508106235626</v>
      </c>
      <c r="DH206" s="1998">
        <v>1.0931272105979928</v>
      </c>
      <c r="DI206" s="1998">
        <v>1.0890508106235626</v>
      </c>
      <c r="DJ206" s="1999">
        <v>1.0889013725521897</v>
      </c>
      <c r="DK206" s="1979">
        <v>1.0876218473174644</v>
      </c>
      <c r="DL206" s="1979">
        <v>1.0889013725521897</v>
      </c>
      <c r="DM206" s="1979">
        <v>1.0876218473174644</v>
      </c>
      <c r="DN206" s="1979">
        <v>1.0889013725521897</v>
      </c>
      <c r="DO206" s="1979">
        <v>1.0876218473174644</v>
      </c>
      <c r="DP206" s="1979">
        <v>1.0889013725521897</v>
      </c>
      <c r="DQ206" s="1979">
        <v>1.0876218473174644</v>
      </c>
      <c r="DR206" s="1979">
        <v>1.0889013725521897</v>
      </c>
      <c r="DS206" s="1979">
        <v>1.0876218473174644</v>
      </c>
    </row>
    <row r="207" spans="1:123">
      <c r="A207" s="1997"/>
      <c r="B207" s="2">
        <v>26</v>
      </c>
      <c r="C207" s="2" t="s">
        <v>4244</v>
      </c>
      <c r="D207" s="1998">
        <v>0.96772783265384288</v>
      </c>
      <c r="E207" s="1998">
        <v>0.96412957065102256</v>
      </c>
      <c r="F207" s="1998">
        <v>0.96772783265384288</v>
      </c>
      <c r="G207" s="1998">
        <v>0.96412957065102256</v>
      </c>
      <c r="H207" s="1998">
        <v>0.96772783265384288</v>
      </c>
      <c r="I207" s="1998">
        <v>0.96412957065102256</v>
      </c>
      <c r="J207" s="1998">
        <v>0.96772783265384288</v>
      </c>
      <c r="K207" s="1998">
        <v>0.96412957065102256</v>
      </c>
      <c r="L207" s="1998">
        <v>0.96772783265384288</v>
      </c>
      <c r="M207" s="1998">
        <v>0.96412957065102256</v>
      </c>
      <c r="N207" s="1999">
        <v>1</v>
      </c>
      <c r="O207" s="1979">
        <v>1</v>
      </c>
      <c r="P207" s="1979">
        <v>1</v>
      </c>
      <c r="Q207" s="1979">
        <v>1</v>
      </c>
      <c r="R207" s="1979">
        <v>1</v>
      </c>
      <c r="S207" s="1979">
        <v>1</v>
      </c>
      <c r="T207" s="1979">
        <v>1</v>
      </c>
      <c r="U207" s="1979">
        <v>1</v>
      </c>
      <c r="V207" s="1979">
        <v>1</v>
      </c>
      <c r="W207" s="1979">
        <v>1</v>
      </c>
      <c r="X207" s="2000">
        <v>1</v>
      </c>
      <c r="Y207" s="1998">
        <v>0.99456526585057647</v>
      </c>
      <c r="Z207" s="1998">
        <v>1</v>
      </c>
      <c r="AA207" s="1998">
        <v>0.99456526585057647</v>
      </c>
      <c r="AB207" s="1998">
        <v>1</v>
      </c>
      <c r="AC207" s="1998">
        <v>0.99456526585057647</v>
      </c>
      <c r="AD207" s="1998">
        <v>1</v>
      </c>
      <c r="AE207" s="1998">
        <v>0.99456526585057647</v>
      </c>
      <c r="AF207" s="1998">
        <v>1</v>
      </c>
      <c r="AG207" s="1998">
        <v>0.99456526585057647</v>
      </c>
      <c r="AH207" s="1999">
        <v>1</v>
      </c>
      <c r="AI207" s="1979">
        <v>1</v>
      </c>
      <c r="AJ207" s="1979">
        <v>1</v>
      </c>
      <c r="AK207" s="1979">
        <v>1</v>
      </c>
      <c r="AL207" s="1979">
        <v>1</v>
      </c>
      <c r="AM207" s="1979">
        <v>1</v>
      </c>
      <c r="AN207" s="1979">
        <v>1</v>
      </c>
      <c r="AO207" s="1979">
        <v>1</v>
      </c>
      <c r="AP207" s="1979">
        <v>1</v>
      </c>
      <c r="AQ207" s="1979">
        <v>1</v>
      </c>
      <c r="AR207" s="2000">
        <v>1</v>
      </c>
      <c r="AS207" s="1998">
        <v>1</v>
      </c>
      <c r="AT207" s="1998">
        <v>1</v>
      </c>
      <c r="AU207" s="1998">
        <v>1</v>
      </c>
      <c r="AV207" s="1998">
        <v>1</v>
      </c>
      <c r="AW207" s="1998">
        <v>1</v>
      </c>
      <c r="AX207" s="1998">
        <v>1</v>
      </c>
      <c r="AY207" s="1998">
        <v>1</v>
      </c>
      <c r="AZ207" s="1998">
        <v>1</v>
      </c>
      <c r="BA207" s="1998">
        <v>1</v>
      </c>
      <c r="BB207" s="1999">
        <v>1.8677630614880787</v>
      </c>
      <c r="BC207" s="1979">
        <v>1.8607989021595341</v>
      </c>
      <c r="BD207" s="1979">
        <v>1.8677630614880787</v>
      </c>
      <c r="BE207" s="1979">
        <v>1.8607989021595341</v>
      </c>
      <c r="BF207" s="1979">
        <v>1.8677630614880787</v>
      </c>
      <c r="BG207" s="1979">
        <v>1.8607989021595341</v>
      </c>
      <c r="BH207" s="1979">
        <v>1.8677630614880787</v>
      </c>
      <c r="BI207" s="1979">
        <v>1.8607989021595341</v>
      </c>
      <c r="BJ207" s="1979">
        <v>1.8677630614880787</v>
      </c>
      <c r="BK207" s="1979">
        <v>1.8607989021595341</v>
      </c>
      <c r="BL207" s="2000">
        <v>1</v>
      </c>
      <c r="BM207" s="1998">
        <v>1</v>
      </c>
      <c r="BN207" s="1998">
        <v>1</v>
      </c>
      <c r="BO207" s="1998">
        <v>1</v>
      </c>
      <c r="BP207" s="1998">
        <v>1</v>
      </c>
      <c r="BQ207" s="1998">
        <v>1</v>
      </c>
      <c r="BR207" s="1998">
        <v>1</v>
      </c>
      <c r="BS207" s="1998">
        <v>1</v>
      </c>
      <c r="BT207" s="1998">
        <v>1</v>
      </c>
      <c r="BU207" s="1998">
        <v>1</v>
      </c>
      <c r="BV207" s="1999">
        <v>1</v>
      </c>
      <c r="BW207" s="1979">
        <v>1</v>
      </c>
      <c r="BX207" s="1979">
        <v>1</v>
      </c>
      <c r="BY207" s="1979">
        <v>1</v>
      </c>
      <c r="BZ207" s="1979">
        <v>1</v>
      </c>
      <c r="CA207" s="1979">
        <v>1</v>
      </c>
      <c r="CB207" s="1979">
        <v>1</v>
      </c>
      <c r="CC207" s="1979">
        <v>1</v>
      </c>
      <c r="CD207" s="1979">
        <v>1</v>
      </c>
      <c r="CE207" s="1979">
        <v>1</v>
      </c>
      <c r="CF207" s="2000">
        <v>1</v>
      </c>
      <c r="CG207" s="1998">
        <v>1</v>
      </c>
      <c r="CH207" s="1998">
        <v>1</v>
      </c>
      <c r="CI207" s="1998">
        <v>1</v>
      </c>
      <c r="CJ207" s="1998">
        <v>1</v>
      </c>
      <c r="CK207" s="1998">
        <v>1</v>
      </c>
      <c r="CL207" s="1998">
        <v>1</v>
      </c>
      <c r="CM207" s="1998">
        <v>1</v>
      </c>
      <c r="CN207" s="1998">
        <v>1</v>
      </c>
      <c r="CO207" s="1998">
        <v>1</v>
      </c>
      <c r="CP207" s="1999">
        <v>1</v>
      </c>
      <c r="CQ207" s="1979">
        <v>1</v>
      </c>
      <c r="CR207" s="1979">
        <v>1</v>
      </c>
      <c r="CS207" s="1979">
        <v>1</v>
      </c>
      <c r="CT207" s="1979">
        <v>1</v>
      </c>
      <c r="CU207" s="1979">
        <v>1</v>
      </c>
      <c r="CV207" s="1979">
        <v>1</v>
      </c>
      <c r="CW207" s="1979">
        <v>1</v>
      </c>
      <c r="CX207" s="1979">
        <v>1</v>
      </c>
      <c r="CY207" s="1979">
        <v>1</v>
      </c>
      <c r="CZ207" s="2000">
        <v>1.3315453130345394</v>
      </c>
      <c r="DA207" s="1998">
        <v>1.3082077926656719</v>
      </c>
      <c r="DB207" s="1998">
        <v>1.3315453130345394</v>
      </c>
      <c r="DC207" s="1998">
        <v>1.3082077926656719</v>
      </c>
      <c r="DD207" s="1998">
        <v>1.3315453130345394</v>
      </c>
      <c r="DE207" s="1998">
        <v>1.3082077926656719</v>
      </c>
      <c r="DF207" s="1998">
        <v>1.3315453130345394</v>
      </c>
      <c r="DG207" s="1998">
        <v>1.3082077926656719</v>
      </c>
      <c r="DH207" s="1998">
        <v>1.3315453130345394</v>
      </c>
      <c r="DI207" s="1998">
        <v>1.3082077926656719</v>
      </c>
      <c r="DJ207" s="1999">
        <v>1.3058240386588684</v>
      </c>
      <c r="DK207" s="1979">
        <v>1.291467328254273</v>
      </c>
      <c r="DL207" s="1979">
        <v>1.3058240386588684</v>
      </c>
      <c r="DM207" s="1979">
        <v>1.291467328254273</v>
      </c>
      <c r="DN207" s="1979">
        <v>1.3058240386588684</v>
      </c>
      <c r="DO207" s="1979">
        <v>1.291467328254273</v>
      </c>
      <c r="DP207" s="1979">
        <v>1.3058240386588684</v>
      </c>
      <c r="DQ207" s="1979">
        <v>1.291467328254273</v>
      </c>
      <c r="DR207" s="1979">
        <v>1.3058240386588684</v>
      </c>
      <c r="DS207" s="1979">
        <v>1.291467328254273</v>
      </c>
    </row>
    <row r="208" spans="1:123">
      <c r="A208" s="1997"/>
      <c r="B208" s="2">
        <v>27</v>
      </c>
      <c r="C208" s="2" t="s">
        <v>4259</v>
      </c>
      <c r="D208" s="1998">
        <v>1.0276667149414613</v>
      </c>
      <c r="E208" s="1998">
        <v>1.0319187461350141</v>
      </c>
      <c r="F208" s="1998">
        <v>1.0276667149414613</v>
      </c>
      <c r="G208" s="1998">
        <v>1.0319187461350141</v>
      </c>
      <c r="H208" s="1998">
        <v>1.0276667149414613</v>
      </c>
      <c r="I208" s="1998">
        <v>1.0319187461350141</v>
      </c>
      <c r="J208" s="1998">
        <v>1.0276667149414613</v>
      </c>
      <c r="K208" s="1998">
        <v>1.0319187461350141</v>
      </c>
      <c r="L208" s="1998">
        <v>1.0276667149414613</v>
      </c>
      <c r="M208" s="1998">
        <v>1.0319187461350141</v>
      </c>
      <c r="N208" s="1999">
        <v>1.1584921603271991</v>
      </c>
      <c r="O208" s="1979">
        <v>1.1790586861653303</v>
      </c>
      <c r="P208" s="1979">
        <v>1.1584921603271991</v>
      </c>
      <c r="Q208" s="1979">
        <v>1.1790586861653303</v>
      </c>
      <c r="R208" s="1979">
        <v>1.1584921603271991</v>
      </c>
      <c r="S208" s="1979">
        <v>1.1790586861653303</v>
      </c>
      <c r="T208" s="1979">
        <v>1.1584921603271991</v>
      </c>
      <c r="U208" s="1979">
        <v>1.1790586861653303</v>
      </c>
      <c r="V208" s="1979">
        <v>1.1584921603271991</v>
      </c>
      <c r="W208" s="1979">
        <v>1.1790586861653303</v>
      </c>
      <c r="X208" s="2000">
        <v>1.0499831390527208</v>
      </c>
      <c r="Y208" s="1998">
        <v>1.0519782901065435</v>
      </c>
      <c r="Z208" s="1998">
        <v>1.0499831390527208</v>
      </c>
      <c r="AA208" s="1998">
        <v>1.0519782901065435</v>
      </c>
      <c r="AB208" s="1998">
        <v>1.0499831390527208</v>
      </c>
      <c r="AC208" s="1998">
        <v>1.0519782901065435</v>
      </c>
      <c r="AD208" s="1998">
        <v>1.0499831390527208</v>
      </c>
      <c r="AE208" s="1998">
        <v>1.0519782901065435</v>
      </c>
      <c r="AF208" s="1998">
        <v>1.0499831390527208</v>
      </c>
      <c r="AG208" s="1998">
        <v>1.0519782901065435</v>
      </c>
      <c r="AH208" s="1999">
        <v>1.0970161357582471</v>
      </c>
      <c r="AI208" s="1979">
        <v>1.1127435535323817</v>
      </c>
      <c r="AJ208" s="1979">
        <v>1.0970161357582471</v>
      </c>
      <c r="AK208" s="1979">
        <v>1.1127435535323817</v>
      </c>
      <c r="AL208" s="1979">
        <v>1.0970161357582471</v>
      </c>
      <c r="AM208" s="1979">
        <v>1.1127435535323817</v>
      </c>
      <c r="AN208" s="1979">
        <v>1.0970161357582471</v>
      </c>
      <c r="AO208" s="1979">
        <v>1.1127435535323817</v>
      </c>
      <c r="AP208" s="1979">
        <v>1.0970161357582471</v>
      </c>
      <c r="AQ208" s="1979">
        <v>1.1127435535323817</v>
      </c>
      <c r="AR208" s="2000">
        <v>1.0631757253408356</v>
      </c>
      <c r="AS208" s="1998">
        <v>1.0728272244566142</v>
      </c>
      <c r="AT208" s="1998">
        <v>1.0631757253408356</v>
      </c>
      <c r="AU208" s="1998">
        <v>1.0728272244566142</v>
      </c>
      <c r="AV208" s="1998">
        <v>1.0631757253408356</v>
      </c>
      <c r="AW208" s="1998">
        <v>1.0728272244566142</v>
      </c>
      <c r="AX208" s="1998">
        <v>1.0631757253408356</v>
      </c>
      <c r="AY208" s="1998">
        <v>1.0728272244566142</v>
      </c>
      <c r="AZ208" s="1998">
        <v>1.0631757253408356</v>
      </c>
      <c r="BA208" s="1998">
        <v>1.0728272244566142</v>
      </c>
      <c r="BB208" s="1999">
        <v>2.2115272364255643</v>
      </c>
      <c r="BC208" s="1979">
        <v>2.2435016026188501</v>
      </c>
      <c r="BD208" s="1979">
        <v>2.2115272364255643</v>
      </c>
      <c r="BE208" s="1979">
        <v>2.2435016026188501</v>
      </c>
      <c r="BF208" s="1979">
        <v>2.2115272364255643</v>
      </c>
      <c r="BG208" s="1979">
        <v>2.2435016026188501</v>
      </c>
      <c r="BH208" s="1979">
        <v>2.2115272364255643</v>
      </c>
      <c r="BI208" s="1979">
        <v>2.2435016026188501</v>
      </c>
      <c r="BJ208" s="1979">
        <v>2.2115272364255643</v>
      </c>
      <c r="BK208" s="1979">
        <v>2.2435016026188501</v>
      </c>
      <c r="BL208" s="2000">
        <v>1.1251015530646817</v>
      </c>
      <c r="BM208" s="1998">
        <v>1.1388298168705033</v>
      </c>
      <c r="BN208" s="1998">
        <v>1.1251015530646817</v>
      </c>
      <c r="BO208" s="1998">
        <v>1.1388298168705033</v>
      </c>
      <c r="BP208" s="1998">
        <v>1.1251015530646817</v>
      </c>
      <c r="BQ208" s="1998">
        <v>1.1388298168705033</v>
      </c>
      <c r="BR208" s="1998">
        <v>1.1251015530646817</v>
      </c>
      <c r="BS208" s="1998">
        <v>1.1388298168705033</v>
      </c>
      <c r="BT208" s="1998">
        <v>1.1251015530646817</v>
      </c>
      <c r="BU208" s="1998">
        <v>1.1388298168705033</v>
      </c>
      <c r="BV208" s="1999">
        <v>1.143377194782732</v>
      </c>
      <c r="BW208" s="1979">
        <v>1.1592778053690169</v>
      </c>
      <c r="BX208" s="1979">
        <v>1.143377194782732</v>
      </c>
      <c r="BY208" s="1979">
        <v>1.1592778053690169</v>
      </c>
      <c r="BZ208" s="1979">
        <v>1.143377194782732</v>
      </c>
      <c r="CA208" s="1979">
        <v>1.1592778053690169</v>
      </c>
      <c r="CB208" s="1979">
        <v>1.143377194782732</v>
      </c>
      <c r="CC208" s="1979">
        <v>1.1592778053690169</v>
      </c>
      <c r="CD208" s="1979">
        <v>1.143377194782732</v>
      </c>
      <c r="CE208" s="1979">
        <v>1.1592778053690169</v>
      </c>
      <c r="CF208" s="2000">
        <v>1.1339929256890262</v>
      </c>
      <c r="CG208" s="1998">
        <v>1.1589029071489558</v>
      </c>
      <c r="CH208" s="1998">
        <v>1.1339929256890262</v>
      </c>
      <c r="CI208" s="1998">
        <v>1.1589029071489558</v>
      </c>
      <c r="CJ208" s="1998">
        <v>1.1339929256890262</v>
      </c>
      <c r="CK208" s="1998">
        <v>1.1589029071489558</v>
      </c>
      <c r="CL208" s="1998">
        <v>1.1339929256890262</v>
      </c>
      <c r="CM208" s="1998">
        <v>1.1589029071489558</v>
      </c>
      <c r="CN208" s="1998">
        <v>1.1339929256890262</v>
      </c>
      <c r="CO208" s="1998">
        <v>1.1589029071489558</v>
      </c>
      <c r="CP208" s="1999">
        <v>1.1421268551603387</v>
      </c>
      <c r="CQ208" s="1979">
        <v>1.1681689466314089</v>
      </c>
      <c r="CR208" s="1979">
        <v>1.1421268551603387</v>
      </c>
      <c r="CS208" s="1979">
        <v>1.1681689466314089</v>
      </c>
      <c r="CT208" s="1979">
        <v>1.1421268551603387</v>
      </c>
      <c r="CU208" s="1979">
        <v>1.1681689466314089</v>
      </c>
      <c r="CV208" s="1979">
        <v>1.1421268551603387</v>
      </c>
      <c r="CW208" s="1979">
        <v>1.1681689466314089</v>
      </c>
      <c r="CX208" s="1979">
        <v>1.1421268551603387</v>
      </c>
      <c r="CY208" s="1979">
        <v>1.1681689466314089</v>
      </c>
      <c r="CZ208" s="2000">
        <v>1.5647127023350567</v>
      </c>
      <c r="DA208" s="1998">
        <v>1.5815332278221961</v>
      </c>
      <c r="DB208" s="1998">
        <v>1.5647127023350567</v>
      </c>
      <c r="DC208" s="1998">
        <v>1.5815332278221961</v>
      </c>
      <c r="DD208" s="1998">
        <v>1.5647127023350567</v>
      </c>
      <c r="DE208" s="1998">
        <v>1.5815332278221961</v>
      </c>
      <c r="DF208" s="1998">
        <v>1.5647127023350567</v>
      </c>
      <c r="DG208" s="1998">
        <v>1.5815332278221961</v>
      </c>
      <c r="DH208" s="1998">
        <v>1.5647127023350567</v>
      </c>
      <c r="DI208" s="1998">
        <v>1.5815332278221961</v>
      </c>
      <c r="DJ208" s="1999">
        <v>1.5137884053841772</v>
      </c>
      <c r="DK208" s="1979">
        <v>1.5385691878013936</v>
      </c>
      <c r="DL208" s="1979">
        <v>1.5137884053841772</v>
      </c>
      <c r="DM208" s="1979">
        <v>1.5385691878013936</v>
      </c>
      <c r="DN208" s="1979">
        <v>1.5137884053841772</v>
      </c>
      <c r="DO208" s="1979">
        <v>1.5385691878013936</v>
      </c>
      <c r="DP208" s="1979">
        <v>1.5137884053841772</v>
      </c>
      <c r="DQ208" s="1979">
        <v>1.5385691878013936</v>
      </c>
      <c r="DR208" s="1979">
        <v>1.5137884053841772</v>
      </c>
      <c r="DS208" s="1979">
        <v>1.5385691878013936</v>
      </c>
    </row>
    <row r="209" spans="1:123">
      <c r="A209" s="1997"/>
      <c r="B209" s="2">
        <v>28</v>
      </c>
      <c r="C209" s="2" t="s">
        <v>4274</v>
      </c>
      <c r="D209" s="1998">
        <v>1.2677409788794161</v>
      </c>
      <c r="E209" s="1998">
        <v>1.2768871008274929</v>
      </c>
      <c r="F209" s="1998">
        <v>1.2677409788794161</v>
      </c>
      <c r="G209" s="1998">
        <v>1.2768871008274929</v>
      </c>
      <c r="H209" s="1998">
        <v>1.2677409788794161</v>
      </c>
      <c r="I209" s="1998">
        <v>1.2768871008274929</v>
      </c>
      <c r="J209" s="1998">
        <v>1.2677409788794161</v>
      </c>
      <c r="K209" s="1998">
        <v>1.2768871008274929</v>
      </c>
      <c r="L209" s="1998">
        <v>1.2677409788794161</v>
      </c>
      <c r="M209" s="1998">
        <v>1.2768871008274929</v>
      </c>
      <c r="N209" s="1999">
        <v>1.3169843206543983</v>
      </c>
      <c r="O209" s="1979">
        <v>1.3581173723306608</v>
      </c>
      <c r="P209" s="1979">
        <v>1.3169843206543983</v>
      </c>
      <c r="Q209" s="1979">
        <v>1.3581173723306608</v>
      </c>
      <c r="R209" s="1979">
        <v>1.3169843206543983</v>
      </c>
      <c r="S209" s="1979">
        <v>1.3581173723306608</v>
      </c>
      <c r="T209" s="1979">
        <v>1.3169843206543983</v>
      </c>
      <c r="U209" s="1979">
        <v>1.3581173723306608</v>
      </c>
      <c r="V209" s="1979">
        <v>1.3169843206543983</v>
      </c>
      <c r="W209" s="1979">
        <v>1.3581173723306608</v>
      </c>
      <c r="X209" s="2000">
        <v>1.099966278105442</v>
      </c>
      <c r="Y209" s="1998">
        <v>1.1093913143625103</v>
      </c>
      <c r="Z209" s="1998">
        <v>1.099966278105442</v>
      </c>
      <c r="AA209" s="1998">
        <v>1.1093913143625103</v>
      </c>
      <c r="AB209" s="1998">
        <v>1.099966278105442</v>
      </c>
      <c r="AC209" s="1998">
        <v>1.1093913143625103</v>
      </c>
      <c r="AD209" s="1998">
        <v>1.099966278105442</v>
      </c>
      <c r="AE209" s="1998">
        <v>1.1093913143625103</v>
      </c>
      <c r="AF209" s="1998">
        <v>1.099966278105442</v>
      </c>
      <c r="AG209" s="1998">
        <v>1.1093913143625103</v>
      </c>
      <c r="AH209" s="1999">
        <v>1.1940322715164942</v>
      </c>
      <c r="AI209" s="1979">
        <v>1.2254871070647639</v>
      </c>
      <c r="AJ209" s="1979">
        <v>1.1940322715164942</v>
      </c>
      <c r="AK209" s="1979">
        <v>1.2254871070647639</v>
      </c>
      <c r="AL209" s="1979">
        <v>1.1940322715164942</v>
      </c>
      <c r="AM209" s="1979">
        <v>1.2254871070647639</v>
      </c>
      <c r="AN209" s="1979">
        <v>1.1940322715164942</v>
      </c>
      <c r="AO209" s="1979">
        <v>1.2254871070647639</v>
      </c>
      <c r="AP209" s="1979">
        <v>1.1940322715164942</v>
      </c>
      <c r="AQ209" s="1979">
        <v>1.2254871070647639</v>
      </c>
      <c r="AR209" s="2000">
        <v>1.1263514506816714</v>
      </c>
      <c r="AS209" s="1998">
        <v>1.1456544489132279</v>
      </c>
      <c r="AT209" s="1998">
        <v>1.1263514506816714</v>
      </c>
      <c r="AU209" s="1998">
        <v>1.1456544489132279</v>
      </c>
      <c r="AV209" s="1998">
        <v>1.1263514506816714</v>
      </c>
      <c r="AW209" s="1998">
        <v>1.1456544489132279</v>
      </c>
      <c r="AX209" s="1998">
        <v>1.1263514506816714</v>
      </c>
      <c r="AY209" s="1998">
        <v>1.1456544489132279</v>
      </c>
      <c r="AZ209" s="1998">
        <v>1.1263514506816714</v>
      </c>
      <c r="BA209" s="1998">
        <v>1.1456544489132279</v>
      </c>
      <c r="BB209" s="1999">
        <v>2.5552914113630503</v>
      </c>
      <c r="BC209" s="1979">
        <v>2.6262043030781661</v>
      </c>
      <c r="BD209" s="1979">
        <v>2.5552914113630503</v>
      </c>
      <c r="BE209" s="1979">
        <v>2.6262043030781661</v>
      </c>
      <c r="BF209" s="1979">
        <v>2.5552914113630503</v>
      </c>
      <c r="BG209" s="1979">
        <v>2.6262043030781661</v>
      </c>
      <c r="BH209" s="1979">
        <v>2.5552914113630503</v>
      </c>
      <c r="BI209" s="1979">
        <v>2.6262043030781661</v>
      </c>
      <c r="BJ209" s="1979">
        <v>2.5552914113630503</v>
      </c>
      <c r="BK209" s="1979">
        <v>2.6262043030781661</v>
      </c>
      <c r="BL209" s="2000">
        <v>1.2502031061293635</v>
      </c>
      <c r="BM209" s="1998">
        <v>1.2776596337410064</v>
      </c>
      <c r="BN209" s="1998">
        <v>1.2502031061293635</v>
      </c>
      <c r="BO209" s="1998">
        <v>1.2776596337410064</v>
      </c>
      <c r="BP209" s="1998">
        <v>1.2502031061293635</v>
      </c>
      <c r="BQ209" s="1998">
        <v>1.2776596337410064</v>
      </c>
      <c r="BR209" s="1998">
        <v>1.2502031061293635</v>
      </c>
      <c r="BS209" s="1998">
        <v>1.2776596337410064</v>
      </c>
      <c r="BT209" s="1998">
        <v>1.2502031061293635</v>
      </c>
      <c r="BU209" s="1998">
        <v>1.2776596337410064</v>
      </c>
      <c r="BV209" s="1999">
        <v>1.2867543895654641</v>
      </c>
      <c r="BW209" s="1979">
        <v>1.3185556107380338</v>
      </c>
      <c r="BX209" s="1979">
        <v>1.2867543895654641</v>
      </c>
      <c r="BY209" s="1979">
        <v>1.3185556107380338</v>
      </c>
      <c r="BZ209" s="1979">
        <v>1.2867543895654641</v>
      </c>
      <c r="CA209" s="1979">
        <v>1.3185556107380338</v>
      </c>
      <c r="CB209" s="1979">
        <v>1.2867543895654641</v>
      </c>
      <c r="CC209" s="1979">
        <v>1.3185556107380338</v>
      </c>
      <c r="CD209" s="1979">
        <v>1.2867543895654641</v>
      </c>
      <c r="CE209" s="1979">
        <v>1.3185556107380338</v>
      </c>
      <c r="CF209" s="2000">
        <v>1.2679858513780522</v>
      </c>
      <c r="CG209" s="1998">
        <v>1.3178058142979114</v>
      </c>
      <c r="CH209" s="1998">
        <v>1.2679858513780522</v>
      </c>
      <c r="CI209" s="1998">
        <v>1.3178058142979114</v>
      </c>
      <c r="CJ209" s="1998">
        <v>1.2679858513780522</v>
      </c>
      <c r="CK209" s="1998">
        <v>1.3178058142979114</v>
      </c>
      <c r="CL209" s="1998">
        <v>1.2679858513780522</v>
      </c>
      <c r="CM209" s="1998">
        <v>1.3178058142979114</v>
      </c>
      <c r="CN209" s="1998">
        <v>1.2679858513780522</v>
      </c>
      <c r="CO209" s="1998">
        <v>1.3178058142979114</v>
      </c>
      <c r="CP209" s="1999">
        <v>1.284253710320677</v>
      </c>
      <c r="CQ209" s="1979">
        <v>1.3363378932628178</v>
      </c>
      <c r="CR209" s="1979">
        <v>1.284253710320677</v>
      </c>
      <c r="CS209" s="1979">
        <v>1.3363378932628178</v>
      </c>
      <c r="CT209" s="1979">
        <v>1.284253710320677</v>
      </c>
      <c r="CU209" s="1979">
        <v>1.3363378932628178</v>
      </c>
      <c r="CV209" s="1979">
        <v>1.284253710320677</v>
      </c>
      <c r="CW209" s="1979">
        <v>1.3363378932628178</v>
      </c>
      <c r="CX209" s="1979">
        <v>1.284253710320677</v>
      </c>
      <c r="CY209" s="1979">
        <v>1.3363378932628178</v>
      </c>
      <c r="CZ209" s="2000">
        <v>1.7978800916355735</v>
      </c>
      <c r="DA209" s="1998">
        <v>1.8548586629787203</v>
      </c>
      <c r="DB209" s="1998">
        <v>1.7978800916355735</v>
      </c>
      <c r="DC209" s="1998">
        <v>1.8548586629787203</v>
      </c>
      <c r="DD209" s="1998">
        <v>1.7978800916355735</v>
      </c>
      <c r="DE209" s="1998">
        <v>1.8548586629787203</v>
      </c>
      <c r="DF209" s="1998">
        <v>1.7978800916355735</v>
      </c>
      <c r="DG209" s="1998">
        <v>1.8548586629787203</v>
      </c>
      <c r="DH209" s="1998">
        <v>1.7978800916355735</v>
      </c>
      <c r="DI209" s="1998">
        <v>1.8548586629787203</v>
      </c>
      <c r="DJ209" s="1999">
        <v>1.7217527721094865</v>
      </c>
      <c r="DK209" s="1979">
        <v>1.7856710473485147</v>
      </c>
      <c r="DL209" s="1979">
        <v>1.7217527721094865</v>
      </c>
      <c r="DM209" s="1979">
        <v>1.7856710473485147</v>
      </c>
      <c r="DN209" s="1979">
        <v>1.7217527721094865</v>
      </c>
      <c r="DO209" s="1979">
        <v>1.7856710473485147</v>
      </c>
      <c r="DP209" s="1979">
        <v>1.7217527721094865</v>
      </c>
      <c r="DQ209" s="1979">
        <v>1.7856710473485147</v>
      </c>
      <c r="DR209" s="1979">
        <v>1.7217527721094865</v>
      </c>
      <c r="DS209" s="1979">
        <v>1.7856710473485147</v>
      </c>
    </row>
    <row r="210" spans="1:123">
      <c r="A210" s="1997"/>
      <c r="B210" s="2">
        <v>29</v>
      </c>
      <c r="C210" s="2" t="str">
        <f>AD$13</f>
        <v>Fondation superficielle</v>
      </c>
      <c r="D210" s="1998">
        <v>0.96772783265384288</v>
      </c>
      <c r="E210" s="1998">
        <v>0.96412957065102256</v>
      </c>
      <c r="F210" s="1998">
        <v>0.96772783265384288</v>
      </c>
      <c r="G210" s="1998">
        <v>0.96412957065102256</v>
      </c>
      <c r="H210" s="1998">
        <v>0.96772783265384288</v>
      </c>
      <c r="I210" s="1998">
        <v>0.96412957065102256</v>
      </c>
      <c r="J210" s="1998">
        <v>0.96772783265384288</v>
      </c>
      <c r="K210" s="1998">
        <v>0.96412957065102256</v>
      </c>
      <c r="L210" s="1998">
        <v>0.96772783265384288</v>
      </c>
      <c r="M210" s="1998">
        <v>0.96412957065102256</v>
      </c>
      <c r="N210" s="1999">
        <v>1</v>
      </c>
      <c r="O210" s="1979">
        <v>1</v>
      </c>
      <c r="P210" s="1979">
        <v>1</v>
      </c>
      <c r="Q210" s="1979">
        <v>1</v>
      </c>
      <c r="R210" s="1979">
        <v>1</v>
      </c>
      <c r="S210" s="1979">
        <v>1</v>
      </c>
      <c r="T210" s="1979">
        <v>1</v>
      </c>
      <c r="U210" s="1979">
        <v>1</v>
      </c>
      <c r="V210" s="1979">
        <v>1</v>
      </c>
      <c r="W210" s="1979">
        <v>1</v>
      </c>
      <c r="X210" s="2000">
        <v>1</v>
      </c>
      <c r="Y210" s="1998">
        <v>0.99456526585057647</v>
      </c>
      <c r="Z210" s="1998">
        <v>1</v>
      </c>
      <c r="AA210" s="1998">
        <v>0.99456526585057647</v>
      </c>
      <c r="AB210" s="1998">
        <v>1</v>
      </c>
      <c r="AC210" s="1998">
        <v>0.99456526585057647</v>
      </c>
      <c r="AD210" s="1998">
        <v>1</v>
      </c>
      <c r="AE210" s="1998">
        <v>0.99456526585057647</v>
      </c>
      <c r="AF210" s="1998">
        <v>1</v>
      </c>
      <c r="AG210" s="1998">
        <v>0.99456526585057647</v>
      </c>
      <c r="AH210" s="1999">
        <v>1</v>
      </c>
      <c r="AI210" s="1979">
        <v>1</v>
      </c>
      <c r="AJ210" s="1979">
        <v>1</v>
      </c>
      <c r="AK210" s="1979">
        <v>1</v>
      </c>
      <c r="AL210" s="1979">
        <v>1</v>
      </c>
      <c r="AM210" s="1979">
        <v>1</v>
      </c>
      <c r="AN210" s="1979">
        <v>1</v>
      </c>
      <c r="AO210" s="1979">
        <v>1</v>
      </c>
      <c r="AP210" s="1979">
        <v>1</v>
      </c>
      <c r="AQ210" s="1979">
        <v>1</v>
      </c>
      <c r="AR210" s="2000">
        <v>1</v>
      </c>
      <c r="AS210" s="1998">
        <v>1</v>
      </c>
      <c r="AT210" s="1998">
        <v>1</v>
      </c>
      <c r="AU210" s="1998">
        <v>1</v>
      </c>
      <c r="AV210" s="1998">
        <v>1</v>
      </c>
      <c r="AW210" s="1998">
        <v>1</v>
      </c>
      <c r="AX210" s="1998">
        <v>1</v>
      </c>
      <c r="AY210" s="1998">
        <v>1</v>
      </c>
      <c r="AZ210" s="1998">
        <v>1</v>
      </c>
      <c r="BA210" s="1998">
        <v>1</v>
      </c>
      <c r="BB210" s="1999">
        <v>1.3180265000109936</v>
      </c>
      <c r="BC210" s="1979">
        <v>1.3308586370188196</v>
      </c>
      <c r="BD210" s="1979">
        <v>1.3180265000109936</v>
      </c>
      <c r="BE210" s="1979">
        <v>1.3308586370188196</v>
      </c>
      <c r="BF210" s="1979">
        <v>1.3180265000109936</v>
      </c>
      <c r="BG210" s="1979">
        <v>1.3308586370188196</v>
      </c>
      <c r="BH210" s="1979">
        <v>1.3180265000109936</v>
      </c>
      <c r="BI210" s="1979">
        <v>1.3308586370188196</v>
      </c>
      <c r="BJ210" s="1979">
        <v>1.3180265000109936</v>
      </c>
      <c r="BK210" s="1979">
        <v>1.3308586370188196</v>
      </c>
      <c r="BL210" s="2000">
        <v>1</v>
      </c>
      <c r="BM210" s="1998">
        <v>1</v>
      </c>
      <c r="BN210" s="1998">
        <v>1</v>
      </c>
      <c r="BO210" s="1998">
        <v>1</v>
      </c>
      <c r="BP210" s="1998">
        <v>1</v>
      </c>
      <c r="BQ210" s="1998">
        <v>1</v>
      </c>
      <c r="BR210" s="1998">
        <v>1</v>
      </c>
      <c r="BS210" s="1998">
        <v>1</v>
      </c>
      <c r="BT210" s="1998">
        <v>1</v>
      </c>
      <c r="BU210" s="1998">
        <v>1</v>
      </c>
      <c r="BV210" s="1999">
        <v>1</v>
      </c>
      <c r="BW210" s="1979">
        <v>1</v>
      </c>
      <c r="BX210" s="1979">
        <v>1</v>
      </c>
      <c r="BY210" s="1979">
        <v>1</v>
      </c>
      <c r="BZ210" s="1979">
        <v>1</v>
      </c>
      <c r="CA210" s="1979">
        <v>1</v>
      </c>
      <c r="CB210" s="1979">
        <v>1</v>
      </c>
      <c r="CC210" s="1979">
        <v>1</v>
      </c>
      <c r="CD210" s="1979">
        <v>1</v>
      </c>
      <c r="CE210" s="1979">
        <v>1</v>
      </c>
      <c r="CF210" s="2000">
        <v>1</v>
      </c>
      <c r="CG210" s="1998">
        <v>1</v>
      </c>
      <c r="CH210" s="1998">
        <v>1</v>
      </c>
      <c r="CI210" s="1998">
        <v>1</v>
      </c>
      <c r="CJ210" s="1998">
        <v>1</v>
      </c>
      <c r="CK210" s="1998">
        <v>1</v>
      </c>
      <c r="CL210" s="1998">
        <v>1</v>
      </c>
      <c r="CM210" s="1998">
        <v>1</v>
      </c>
      <c r="CN210" s="1998">
        <v>1</v>
      </c>
      <c r="CO210" s="1998">
        <v>1</v>
      </c>
      <c r="CP210" s="1999">
        <v>1</v>
      </c>
      <c r="CQ210" s="1979">
        <v>1</v>
      </c>
      <c r="CR210" s="1979">
        <v>1</v>
      </c>
      <c r="CS210" s="1979">
        <v>1</v>
      </c>
      <c r="CT210" s="1979">
        <v>1</v>
      </c>
      <c r="CU210" s="1979">
        <v>1</v>
      </c>
      <c r="CV210" s="1979">
        <v>1</v>
      </c>
      <c r="CW210" s="1979">
        <v>1</v>
      </c>
      <c r="CX210" s="1979">
        <v>1</v>
      </c>
      <c r="CY210" s="1979">
        <v>1</v>
      </c>
      <c r="CZ210" s="2000">
        <v>1</v>
      </c>
      <c r="DA210" s="1998">
        <v>1</v>
      </c>
      <c r="DB210" s="1998">
        <v>1</v>
      </c>
      <c r="DC210" s="1998">
        <v>1</v>
      </c>
      <c r="DD210" s="1998">
        <v>1</v>
      </c>
      <c r="DE210" s="1998">
        <v>1</v>
      </c>
      <c r="DF210" s="1998">
        <v>1</v>
      </c>
      <c r="DG210" s="1998">
        <v>1</v>
      </c>
      <c r="DH210" s="1998">
        <v>1</v>
      </c>
      <c r="DI210" s="1998">
        <v>1</v>
      </c>
      <c r="DJ210" s="1999">
        <v>1.0002450682306379</v>
      </c>
      <c r="DK210" s="1979">
        <v>1.0001651239704095</v>
      </c>
      <c r="DL210" s="1979">
        <v>1.0002450682306379</v>
      </c>
      <c r="DM210" s="1979">
        <v>1.0001651239704095</v>
      </c>
      <c r="DN210" s="1979">
        <v>1.0002450682306379</v>
      </c>
      <c r="DO210" s="1979">
        <v>1.0001651239704095</v>
      </c>
      <c r="DP210" s="1979">
        <v>1.0002450682306379</v>
      </c>
      <c r="DQ210" s="1979">
        <v>1.0001651239704095</v>
      </c>
      <c r="DR210" s="1979">
        <v>1.0002450682306379</v>
      </c>
      <c r="DS210" s="1979">
        <v>1.0001651239704095</v>
      </c>
    </row>
    <row r="211" spans="1:123">
      <c r="A211" s="1997"/>
      <c r="B211" s="2">
        <v>30</v>
      </c>
      <c r="C211" s="2" t="str">
        <f>AD$14</f>
        <v>Micro-pieux</v>
      </c>
      <c r="D211" s="1998">
        <v>0.98215194558222918</v>
      </c>
      <c r="E211" s="1998">
        <v>0.97790342861972512</v>
      </c>
      <c r="F211" s="1998">
        <v>0.98215194558222918</v>
      </c>
      <c r="G211" s="1998">
        <v>0.97790342861972512</v>
      </c>
      <c r="H211" s="1998">
        <v>0.98215194558222918</v>
      </c>
      <c r="I211" s="1998">
        <v>0.97790342861972512</v>
      </c>
      <c r="J211" s="1998">
        <v>0.98215194558222918</v>
      </c>
      <c r="K211" s="1998">
        <v>0.97790342861972512</v>
      </c>
      <c r="L211" s="1998">
        <v>0.98215194558222918</v>
      </c>
      <c r="M211" s="1998">
        <v>0.97790342861972512</v>
      </c>
      <c r="N211" s="1999">
        <v>1.0358398385172327</v>
      </c>
      <c r="O211" s="1979">
        <v>1.034179277007147</v>
      </c>
      <c r="P211" s="1979">
        <v>1.0358398385172327</v>
      </c>
      <c r="Q211" s="1979">
        <v>1.034179277007147</v>
      </c>
      <c r="R211" s="1979">
        <v>1.0358398385172327</v>
      </c>
      <c r="S211" s="1979">
        <v>1.034179277007147</v>
      </c>
      <c r="T211" s="1979">
        <v>1.0358398385172327</v>
      </c>
      <c r="U211" s="1979">
        <v>1.034179277007147</v>
      </c>
      <c r="V211" s="1979">
        <v>1.0358398385172327</v>
      </c>
      <c r="W211" s="1979">
        <v>1.034179277007147</v>
      </c>
      <c r="X211" s="2000">
        <v>1.0118507754959125</v>
      </c>
      <c r="Y211" s="1998">
        <v>1.0060579802998373</v>
      </c>
      <c r="Z211" s="1998">
        <v>1.0118507754959125</v>
      </c>
      <c r="AA211" s="1998">
        <v>1.0060579802998373</v>
      </c>
      <c r="AB211" s="1998">
        <v>1.0118507754959125</v>
      </c>
      <c r="AC211" s="1998">
        <v>1.0060579802998373</v>
      </c>
      <c r="AD211" s="1998">
        <v>1.0118507754959125</v>
      </c>
      <c r="AE211" s="1998">
        <v>1.0060579802998373</v>
      </c>
      <c r="AF211" s="1998">
        <v>1.0118507754959125</v>
      </c>
      <c r="AG211" s="1998">
        <v>1.0060579802998373</v>
      </c>
      <c r="AH211" s="1999">
        <v>1.0213887038976559</v>
      </c>
      <c r="AI211" s="1979">
        <v>1.0209797472917035</v>
      </c>
      <c r="AJ211" s="1979">
        <v>1.0213887038976559</v>
      </c>
      <c r="AK211" s="1979">
        <v>1.0209797472917035</v>
      </c>
      <c r="AL211" s="1979">
        <v>1.0213887038976559</v>
      </c>
      <c r="AM211" s="1979">
        <v>1.0209797472917035</v>
      </c>
      <c r="AN211" s="1979">
        <v>1.0213887038976559</v>
      </c>
      <c r="AO211" s="1979">
        <v>1.0209797472917035</v>
      </c>
      <c r="AP211" s="1979">
        <v>1.0213887038976559</v>
      </c>
      <c r="AQ211" s="1979">
        <v>1.0209797472917035</v>
      </c>
      <c r="AR211" s="2000">
        <v>1.0157420354354325</v>
      </c>
      <c r="AS211" s="1998">
        <v>1.0153243205893627</v>
      </c>
      <c r="AT211" s="1998">
        <v>1.0157420354354325</v>
      </c>
      <c r="AU211" s="1998">
        <v>1.0153243205893627</v>
      </c>
      <c r="AV211" s="1998">
        <v>1.0157420354354325</v>
      </c>
      <c r="AW211" s="1998">
        <v>1.0153243205893627</v>
      </c>
      <c r="AX211" s="1998">
        <v>1.0157420354354325</v>
      </c>
      <c r="AY211" s="1998">
        <v>1.0153243205893627</v>
      </c>
      <c r="AZ211" s="1998">
        <v>1.0157420354354325</v>
      </c>
      <c r="BA211" s="1998">
        <v>1.0153243205893627</v>
      </c>
      <c r="BB211" s="1999">
        <v>1.40141854193508</v>
      </c>
      <c r="BC211" s="1979">
        <v>1.4092475041878993</v>
      </c>
      <c r="BD211" s="1979">
        <v>1.40141854193508</v>
      </c>
      <c r="BE211" s="1979">
        <v>1.4092475041878993</v>
      </c>
      <c r="BF211" s="1979">
        <v>1.40141854193508</v>
      </c>
      <c r="BG211" s="1979">
        <v>1.4092475041878993</v>
      </c>
      <c r="BH211" s="1979">
        <v>1.40141854193508</v>
      </c>
      <c r="BI211" s="1979">
        <v>1.4092475041878993</v>
      </c>
      <c r="BJ211" s="1979">
        <v>1.40141854193508</v>
      </c>
      <c r="BK211" s="1979">
        <v>1.4092475041878993</v>
      </c>
      <c r="BL211" s="2000">
        <v>1.0311726231989757</v>
      </c>
      <c r="BM211" s="1998">
        <v>1.0292126006031375</v>
      </c>
      <c r="BN211" s="1998">
        <v>1.0311726231989757</v>
      </c>
      <c r="BO211" s="1998">
        <v>1.0292126006031375</v>
      </c>
      <c r="BP211" s="1998">
        <v>1.0311726231989757</v>
      </c>
      <c r="BQ211" s="1998">
        <v>1.0292126006031375</v>
      </c>
      <c r="BR211" s="1998">
        <v>1.0311726231989757</v>
      </c>
      <c r="BS211" s="1998">
        <v>1.0292126006031375</v>
      </c>
      <c r="BT211" s="1998">
        <v>1.0311726231989757</v>
      </c>
      <c r="BU211" s="1998">
        <v>1.0292126006031375</v>
      </c>
      <c r="BV211" s="1999">
        <v>1.0214671801269579</v>
      </c>
      <c r="BW211" s="1979">
        <v>1.0214390644346296</v>
      </c>
      <c r="BX211" s="1979">
        <v>1.0214671801269579</v>
      </c>
      <c r="BY211" s="1979">
        <v>1.0214390644346296</v>
      </c>
      <c r="BZ211" s="1979">
        <v>1.0214671801269579</v>
      </c>
      <c r="CA211" s="1979">
        <v>1.0214390644346296</v>
      </c>
      <c r="CB211" s="1979">
        <v>1.0214671801269579</v>
      </c>
      <c r="CC211" s="1979">
        <v>1.0214390644346296</v>
      </c>
      <c r="CD211" s="1979">
        <v>1.0214671801269579</v>
      </c>
      <c r="CE211" s="1979">
        <v>1.0214390644346296</v>
      </c>
      <c r="CF211" s="2000">
        <v>1.0349309906091928</v>
      </c>
      <c r="CG211" s="1998">
        <v>1.0349881878015106</v>
      </c>
      <c r="CH211" s="1998">
        <v>1.0349309906091928</v>
      </c>
      <c r="CI211" s="1998">
        <v>1.0349881878015106</v>
      </c>
      <c r="CJ211" s="1998">
        <v>1.0349309906091928</v>
      </c>
      <c r="CK211" s="1998">
        <v>1.0349881878015106</v>
      </c>
      <c r="CL211" s="1998">
        <v>1.0349309906091928</v>
      </c>
      <c r="CM211" s="1998">
        <v>1.0349881878015106</v>
      </c>
      <c r="CN211" s="1998">
        <v>1.0349309906091928</v>
      </c>
      <c r="CO211" s="1998">
        <v>1.0349881878015106</v>
      </c>
      <c r="CP211" s="1999">
        <v>1.0366605151957169</v>
      </c>
      <c r="CQ211" s="1979">
        <v>1.0366360621091044</v>
      </c>
      <c r="CR211" s="1979">
        <v>1.0366605151957169</v>
      </c>
      <c r="CS211" s="1979">
        <v>1.0366360621091044</v>
      </c>
      <c r="CT211" s="1979">
        <v>1.0366605151957169</v>
      </c>
      <c r="CU211" s="1979">
        <v>1.0366360621091044</v>
      </c>
      <c r="CV211" s="1979">
        <v>1.0366605151957169</v>
      </c>
      <c r="CW211" s="1979">
        <v>1.0366360621091044</v>
      </c>
      <c r="CX211" s="1979">
        <v>1.0366605151957169</v>
      </c>
      <c r="CY211" s="1979">
        <v>1.0366360621091044</v>
      </c>
      <c r="CZ211" s="2000">
        <v>1.059981437956472</v>
      </c>
      <c r="DA211" s="1998">
        <v>1.0593833390900691</v>
      </c>
      <c r="DB211" s="1998">
        <v>1.059981437956472</v>
      </c>
      <c r="DC211" s="1998">
        <v>1.0593833390900691</v>
      </c>
      <c r="DD211" s="1998">
        <v>1.059981437956472</v>
      </c>
      <c r="DE211" s="1998">
        <v>1.0593833390900691</v>
      </c>
      <c r="DF211" s="1998">
        <v>1.059981437956472</v>
      </c>
      <c r="DG211" s="1998">
        <v>1.0593833390900691</v>
      </c>
      <c r="DH211" s="1998">
        <v>1.059981437956472</v>
      </c>
      <c r="DI211" s="1998">
        <v>1.0593833390900691</v>
      </c>
      <c r="DJ211" s="1999">
        <v>1.0531436744991662</v>
      </c>
      <c r="DK211" s="1979">
        <v>1.0532469496640777</v>
      </c>
      <c r="DL211" s="1979">
        <v>1.0531436744991662</v>
      </c>
      <c r="DM211" s="1979">
        <v>1.0532469496640777</v>
      </c>
      <c r="DN211" s="1979">
        <v>1.0531436744991662</v>
      </c>
      <c r="DO211" s="1979">
        <v>1.0532469496640777</v>
      </c>
      <c r="DP211" s="1979">
        <v>1.0531436744991662</v>
      </c>
      <c r="DQ211" s="1979">
        <v>1.0532469496640777</v>
      </c>
      <c r="DR211" s="1979">
        <v>1.0531436744991662</v>
      </c>
      <c r="DS211" s="1979">
        <v>1.0532469496640777</v>
      </c>
    </row>
    <row r="212" spans="1:123">
      <c r="A212" s="1997"/>
      <c r="B212" s="2">
        <v>31</v>
      </c>
      <c r="C212" s="2" t="str">
        <f>AD$15</f>
        <v>Pieux en béton coulé sur place</v>
      </c>
      <c r="D212" s="1998">
        <v>1.0037284271901226</v>
      </c>
      <c r="E212" s="1998">
        <v>1.0087568640961355</v>
      </c>
      <c r="F212" s="1998">
        <v>1.0037284271901226</v>
      </c>
      <c r="G212" s="1998">
        <v>1.0087568640961355</v>
      </c>
      <c r="H212" s="1998">
        <v>1.0037284271901226</v>
      </c>
      <c r="I212" s="1998">
        <v>1.0087568640961355</v>
      </c>
      <c r="J212" s="1998">
        <v>1.0037284271901226</v>
      </c>
      <c r="K212" s="1998">
        <v>1.0087568640961355</v>
      </c>
      <c r="L212" s="1998">
        <v>1.0037284271901226</v>
      </c>
      <c r="M212" s="1998">
        <v>1.0087568640961355</v>
      </c>
      <c r="N212" s="1999">
        <v>1.0894512890401353</v>
      </c>
      <c r="O212" s="1979">
        <v>1.1107408416876123</v>
      </c>
      <c r="P212" s="1979">
        <v>1.0894512890401353</v>
      </c>
      <c r="Q212" s="1979">
        <v>1.1107408416876123</v>
      </c>
      <c r="R212" s="1979">
        <v>1.0894512890401353</v>
      </c>
      <c r="S212" s="1979">
        <v>1.1107408416876123</v>
      </c>
      <c r="T212" s="1979">
        <v>1.0894512890401353</v>
      </c>
      <c r="U212" s="1979">
        <v>1.1107408416876123</v>
      </c>
      <c r="V212" s="1979">
        <v>1.0894512890401353</v>
      </c>
      <c r="W212" s="1979">
        <v>1.1107408416876123</v>
      </c>
      <c r="X212" s="2000">
        <v>1.0295778995690765</v>
      </c>
      <c r="Y212" s="1998">
        <v>1.0318016553482365</v>
      </c>
      <c r="Z212" s="1998">
        <v>1.0295778995690765</v>
      </c>
      <c r="AA212" s="1998">
        <v>1.0318016553482365</v>
      </c>
      <c r="AB212" s="1998">
        <v>1.0295778995690765</v>
      </c>
      <c r="AC212" s="1998">
        <v>1.0318016553482365</v>
      </c>
      <c r="AD212" s="1998">
        <v>1.0295778995690765</v>
      </c>
      <c r="AE212" s="1998">
        <v>1.0318016553482365</v>
      </c>
      <c r="AF212" s="1998">
        <v>1.0295778995690765</v>
      </c>
      <c r="AG212" s="1998">
        <v>1.0318016553482365</v>
      </c>
      <c r="AH212" s="1999">
        <v>1.0533832520931459</v>
      </c>
      <c r="AI212" s="1979">
        <v>1.067974371517304</v>
      </c>
      <c r="AJ212" s="1979">
        <v>1.0533832520931459</v>
      </c>
      <c r="AK212" s="1979">
        <v>1.067974371517304</v>
      </c>
      <c r="AL212" s="1979">
        <v>1.0533832520931459</v>
      </c>
      <c r="AM212" s="1979">
        <v>1.067974371517304</v>
      </c>
      <c r="AN212" s="1979">
        <v>1.0533832520931459</v>
      </c>
      <c r="AO212" s="1979">
        <v>1.067974371517304</v>
      </c>
      <c r="AP212" s="1979">
        <v>1.0533832520931459</v>
      </c>
      <c r="AQ212" s="1979">
        <v>1.067974371517304</v>
      </c>
      <c r="AR212" s="2000">
        <v>1.039289947166973</v>
      </c>
      <c r="AS212" s="1998">
        <v>1.0496507916186171</v>
      </c>
      <c r="AT212" s="1998">
        <v>1.039289947166973</v>
      </c>
      <c r="AU212" s="1998">
        <v>1.0496507916186171</v>
      </c>
      <c r="AV212" s="1998">
        <v>1.039289947166973</v>
      </c>
      <c r="AW212" s="1998">
        <v>1.0496507916186171</v>
      </c>
      <c r="AX212" s="1998">
        <v>1.039289947166973</v>
      </c>
      <c r="AY212" s="1998">
        <v>1.0496507916186171</v>
      </c>
      <c r="AZ212" s="1998">
        <v>1.039289947166973</v>
      </c>
      <c r="BA212" s="1998">
        <v>1.0496507916186171</v>
      </c>
      <c r="BB212" s="1999">
        <v>1.5261615238954289</v>
      </c>
      <c r="BC212" s="1979">
        <v>1.5848385303742931</v>
      </c>
      <c r="BD212" s="1979">
        <v>1.5261615238954289</v>
      </c>
      <c r="BE212" s="1979">
        <v>1.5848385303742931</v>
      </c>
      <c r="BF212" s="1979">
        <v>1.5261615238954289</v>
      </c>
      <c r="BG212" s="1979">
        <v>1.5848385303742931</v>
      </c>
      <c r="BH212" s="1979">
        <v>1.5261615238954289</v>
      </c>
      <c r="BI212" s="1979">
        <v>1.5848385303742931</v>
      </c>
      <c r="BJ212" s="1979">
        <v>1.5261615238954289</v>
      </c>
      <c r="BK212" s="1979">
        <v>1.5848385303742931</v>
      </c>
      <c r="BL212" s="2000">
        <v>1.0778025639420794</v>
      </c>
      <c r="BM212" s="1998">
        <v>1.0946488124368183</v>
      </c>
      <c r="BN212" s="1998">
        <v>1.0778025639420794</v>
      </c>
      <c r="BO212" s="1998">
        <v>1.0946488124368183</v>
      </c>
      <c r="BP212" s="1998">
        <v>1.0778025639420794</v>
      </c>
      <c r="BQ212" s="1998">
        <v>1.0946488124368183</v>
      </c>
      <c r="BR212" s="1998">
        <v>1.0778025639420794</v>
      </c>
      <c r="BS212" s="1998">
        <v>1.0946488124368183</v>
      </c>
      <c r="BT212" s="1998">
        <v>1.0778025639420794</v>
      </c>
      <c r="BU212" s="1998">
        <v>1.0946488124368183</v>
      </c>
      <c r="BV212" s="1999">
        <v>1.0535791179273823</v>
      </c>
      <c r="BW212" s="1979">
        <v>1.0694625588478481</v>
      </c>
      <c r="BX212" s="1979">
        <v>1.0535791179273823</v>
      </c>
      <c r="BY212" s="1979">
        <v>1.0694625588478481</v>
      </c>
      <c r="BZ212" s="1979">
        <v>1.0535791179273823</v>
      </c>
      <c r="CA212" s="1979">
        <v>1.0694625588478481</v>
      </c>
      <c r="CB212" s="1979">
        <v>1.0535791179273823</v>
      </c>
      <c r="CC212" s="1979">
        <v>1.0694625588478481</v>
      </c>
      <c r="CD212" s="1979">
        <v>1.0535791179273823</v>
      </c>
      <c r="CE212" s="1979">
        <v>1.0694625588478481</v>
      </c>
      <c r="CF212" s="2000">
        <v>1.0871829301334257</v>
      </c>
      <c r="CG212" s="1998">
        <v>1.1133617122870485</v>
      </c>
      <c r="CH212" s="1998">
        <v>1.0871829301334257</v>
      </c>
      <c r="CI212" s="1998">
        <v>1.1133617122870485</v>
      </c>
      <c r="CJ212" s="1998">
        <v>1.0871829301334257</v>
      </c>
      <c r="CK212" s="1998">
        <v>1.1133617122870485</v>
      </c>
      <c r="CL212" s="1998">
        <v>1.0871829301334257</v>
      </c>
      <c r="CM212" s="1998">
        <v>1.1133617122870485</v>
      </c>
      <c r="CN212" s="1998">
        <v>1.0871829301334257</v>
      </c>
      <c r="CO212" s="1998">
        <v>1.1133617122870485</v>
      </c>
      <c r="CP212" s="1999">
        <v>1.0914995847304267</v>
      </c>
      <c r="CQ212" s="1979">
        <v>1.1187008242811434</v>
      </c>
      <c r="CR212" s="1979">
        <v>1.0914995847304267</v>
      </c>
      <c r="CS212" s="1979">
        <v>1.1187008242811434</v>
      </c>
      <c r="CT212" s="1979">
        <v>1.0914995847304267</v>
      </c>
      <c r="CU212" s="1979">
        <v>1.1187008242811434</v>
      </c>
      <c r="CV212" s="1979">
        <v>1.0914995847304267</v>
      </c>
      <c r="CW212" s="1979">
        <v>1.1187008242811434</v>
      </c>
      <c r="CX212" s="1979">
        <v>1.0914995847304267</v>
      </c>
      <c r="CY212" s="1979">
        <v>1.1187008242811434</v>
      </c>
      <c r="CZ212" s="2000">
        <v>1.1497053883517772</v>
      </c>
      <c r="DA212" s="1998">
        <v>1.1924019911737775</v>
      </c>
      <c r="DB212" s="1998">
        <v>1.1497053883517772</v>
      </c>
      <c r="DC212" s="1998">
        <v>1.1924019911737775</v>
      </c>
      <c r="DD212" s="1998">
        <v>1.1497053883517772</v>
      </c>
      <c r="DE212" s="1998">
        <v>1.1924019911737775</v>
      </c>
      <c r="DF212" s="1998">
        <v>1.1497053883517772</v>
      </c>
      <c r="DG212" s="1998">
        <v>1.1924019911737775</v>
      </c>
      <c r="DH212" s="1998">
        <v>1.1497053883517772</v>
      </c>
      <c r="DI212" s="1998">
        <v>1.1924019911737775</v>
      </c>
      <c r="DJ212" s="1999">
        <v>1.1322726865155595</v>
      </c>
      <c r="DK212" s="1979">
        <v>1.1721502146557041</v>
      </c>
      <c r="DL212" s="1979">
        <v>1.1322726865155595</v>
      </c>
      <c r="DM212" s="1979">
        <v>1.1721502146557041</v>
      </c>
      <c r="DN212" s="1979">
        <v>1.1322726865155595</v>
      </c>
      <c r="DO212" s="1979">
        <v>1.1721502146557041</v>
      </c>
      <c r="DP212" s="1979">
        <v>1.1322726865155595</v>
      </c>
      <c r="DQ212" s="1979">
        <v>1.1721502146557041</v>
      </c>
      <c r="DR212" s="1979">
        <v>1.1322726865155595</v>
      </c>
      <c r="DS212" s="1979">
        <v>1.1721502146557041</v>
      </c>
    </row>
    <row r="213" spans="1:123">
      <c r="A213" s="1997"/>
      <c r="B213" s="2">
        <v>32</v>
      </c>
      <c r="C213" s="2" t="str">
        <f>AD$16</f>
        <v>Colonnes ballastées</v>
      </c>
      <c r="D213" s="1998">
        <v>0.97125110674546655</v>
      </c>
      <c r="E213" s="1998">
        <v>0.96679150843935979</v>
      </c>
      <c r="F213" s="1998">
        <v>0.97125110674546655</v>
      </c>
      <c r="G213" s="1998">
        <v>0.96679150843935979</v>
      </c>
      <c r="H213" s="1998">
        <v>0.97125110674546655</v>
      </c>
      <c r="I213" s="1998">
        <v>0.96679150843935979</v>
      </c>
      <c r="J213" s="1998">
        <v>0.97125110674546655</v>
      </c>
      <c r="K213" s="1998">
        <v>0.96679150843935979</v>
      </c>
      <c r="L213" s="1998">
        <v>0.97125110674546655</v>
      </c>
      <c r="M213" s="1998">
        <v>0.96679150843935979</v>
      </c>
      <c r="N213" s="1999">
        <v>1.0087543390101477</v>
      </c>
      <c r="O213" s="1979">
        <v>1.006605492030636</v>
      </c>
      <c r="P213" s="1979">
        <v>1.0087543390101477</v>
      </c>
      <c r="Q213" s="1979">
        <v>1.006605492030636</v>
      </c>
      <c r="R213" s="1979">
        <v>1.0087543390101477</v>
      </c>
      <c r="S213" s="1979">
        <v>1.006605492030636</v>
      </c>
      <c r="T213" s="1979">
        <v>1.0087543390101477</v>
      </c>
      <c r="U213" s="1979">
        <v>1.006605492030636</v>
      </c>
      <c r="V213" s="1979">
        <v>1.0087543390101477</v>
      </c>
      <c r="W213" s="1979">
        <v>1.006605492030636</v>
      </c>
      <c r="X213" s="2000">
        <v>1.0028947035063922</v>
      </c>
      <c r="Y213" s="1998">
        <v>0.99678634951156475</v>
      </c>
      <c r="Z213" s="1998">
        <v>1.0028947035063922</v>
      </c>
      <c r="AA213" s="1998">
        <v>0.99678634951156475</v>
      </c>
      <c r="AB213" s="1998">
        <v>1.0028947035063922</v>
      </c>
      <c r="AC213" s="1998">
        <v>0.99678634951156475</v>
      </c>
      <c r="AD213" s="1998">
        <v>1.0028947035063922</v>
      </c>
      <c r="AE213" s="1998">
        <v>0.99678634951156475</v>
      </c>
      <c r="AF213" s="1998">
        <v>1.0028947035063922</v>
      </c>
      <c r="AG213" s="1998">
        <v>0.99678634951156475</v>
      </c>
      <c r="AH213" s="1999">
        <v>1.0052244645247972</v>
      </c>
      <c r="AI213" s="1979">
        <v>1.0040545490038051</v>
      </c>
      <c r="AJ213" s="1979">
        <v>1.0052244645247972</v>
      </c>
      <c r="AK213" s="1979">
        <v>1.0040545490038051</v>
      </c>
      <c r="AL213" s="1979">
        <v>1.0052244645247972</v>
      </c>
      <c r="AM213" s="1979">
        <v>1.0040545490038051</v>
      </c>
      <c r="AN213" s="1979">
        <v>1.0052244645247972</v>
      </c>
      <c r="AO213" s="1979">
        <v>1.0040545490038051</v>
      </c>
      <c r="AP213" s="1979">
        <v>1.0052244645247972</v>
      </c>
      <c r="AQ213" s="1979">
        <v>1.0040545490038051</v>
      </c>
      <c r="AR213" s="2000">
        <v>1.0038451935224337</v>
      </c>
      <c r="AS213" s="1998">
        <v>1.002961580419234</v>
      </c>
      <c r="AT213" s="1998">
        <v>1.0038451935224337</v>
      </c>
      <c r="AU213" s="1998">
        <v>1.002961580419234</v>
      </c>
      <c r="AV213" s="1998">
        <v>1.0038451935224337</v>
      </c>
      <c r="AW213" s="1998">
        <v>1.002961580419234</v>
      </c>
      <c r="AX213" s="1998">
        <v>1.0038451935224337</v>
      </c>
      <c r="AY213" s="1998">
        <v>1.002961580419234</v>
      </c>
      <c r="AZ213" s="1998">
        <v>1.0038451935224337</v>
      </c>
      <c r="BA213" s="1998">
        <v>1.002961580419234</v>
      </c>
      <c r="BB213" s="1999">
        <v>1.338396072976588</v>
      </c>
      <c r="BC213" s="1979">
        <v>1.3460080808548507</v>
      </c>
      <c r="BD213" s="1979">
        <v>1.338396072976588</v>
      </c>
      <c r="BE213" s="1979">
        <v>1.3460080808548507</v>
      </c>
      <c r="BF213" s="1979">
        <v>1.338396072976588</v>
      </c>
      <c r="BG213" s="1979">
        <v>1.3460080808548507</v>
      </c>
      <c r="BH213" s="1979">
        <v>1.338396072976588</v>
      </c>
      <c r="BI213" s="1979">
        <v>1.3460080808548507</v>
      </c>
      <c r="BJ213" s="1979">
        <v>1.338396072976588</v>
      </c>
      <c r="BK213" s="1979">
        <v>1.3460080808548507</v>
      </c>
      <c r="BL213" s="2000">
        <v>1.0076143119670644</v>
      </c>
      <c r="BM213" s="1998">
        <v>1.0056456314285942</v>
      </c>
      <c r="BN213" s="1998">
        <v>1.0076143119670644</v>
      </c>
      <c r="BO213" s="1998">
        <v>1.0056456314285942</v>
      </c>
      <c r="BP213" s="1998">
        <v>1.0076143119670644</v>
      </c>
      <c r="BQ213" s="1998">
        <v>1.0056456314285942</v>
      </c>
      <c r="BR213" s="1998">
        <v>1.0076143119670644</v>
      </c>
      <c r="BS213" s="1998">
        <v>1.0056456314285942</v>
      </c>
      <c r="BT213" s="1998">
        <v>1.0076143119670644</v>
      </c>
      <c r="BU213" s="1998">
        <v>1.0056456314285942</v>
      </c>
      <c r="BV213" s="1999">
        <v>1.0052436333476482</v>
      </c>
      <c r="BW213" s="1979">
        <v>1.0041433167014511</v>
      </c>
      <c r="BX213" s="1979">
        <v>1.0052436333476482</v>
      </c>
      <c r="BY213" s="1979">
        <v>1.0041433167014511</v>
      </c>
      <c r="BZ213" s="1979">
        <v>1.0052436333476482</v>
      </c>
      <c r="CA213" s="1979">
        <v>1.0041433167014511</v>
      </c>
      <c r="CB213" s="1979">
        <v>1.0052436333476482</v>
      </c>
      <c r="CC213" s="1979">
        <v>1.0041433167014511</v>
      </c>
      <c r="CD213" s="1979">
        <v>1.0052436333476482</v>
      </c>
      <c r="CE213" s="1979">
        <v>1.0041433167014511</v>
      </c>
      <c r="CF213" s="2000">
        <v>1.0085323412829028</v>
      </c>
      <c r="CG213" s="1998">
        <v>1.0067618222480523</v>
      </c>
      <c r="CH213" s="1998">
        <v>1.0085323412829028</v>
      </c>
      <c r="CI213" s="1998">
        <v>1.0067618222480523</v>
      </c>
      <c r="CJ213" s="1998">
        <v>1.0085323412829028</v>
      </c>
      <c r="CK213" s="1998">
        <v>1.0067618222480523</v>
      </c>
      <c r="CL213" s="1998">
        <v>1.0085323412829028</v>
      </c>
      <c r="CM213" s="1998">
        <v>1.0067618222480523</v>
      </c>
      <c r="CN213" s="1998">
        <v>1.0085323412829028</v>
      </c>
      <c r="CO213" s="1998">
        <v>1.0067618222480523</v>
      </c>
      <c r="CP213" s="1999">
        <v>1.0089547997867139</v>
      </c>
      <c r="CQ213" s="1979">
        <v>1.0070802906756915</v>
      </c>
      <c r="CR213" s="1979">
        <v>1.0089547997867139</v>
      </c>
      <c r="CS213" s="1979">
        <v>1.0070802906756915</v>
      </c>
      <c r="CT213" s="1979">
        <v>1.0089547997867139</v>
      </c>
      <c r="CU213" s="1979">
        <v>1.0070802906756915</v>
      </c>
      <c r="CV213" s="1979">
        <v>1.0089547997867139</v>
      </c>
      <c r="CW213" s="1979">
        <v>1.0070802906756915</v>
      </c>
      <c r="CX213" s="1979">
        <v>1.0089547997867139</v>
      </c>
      <c r="CY213" s="1979">
        <v>1.0070802906756915</v>
      </c>
      <c r="CZ213" s="2000">
        <v>1.0146512334851789</v>
      </c>
      <c r="DA213" s="1998">
        <v>1.011476432723547</v>
      </c>
      <c r="DB213" s="1998">
        <v>1.0146512334851789</v>
      </c>
      <c r="DC213" s="1998">
        <v>1.011476432723547</v>
      </c>
      <c r="DD213" s="1998">
        <v>1.0146512334851789</v>
      </c>
      <c r="DE213" s="1998">
        <v>1.011476432723547</v>
      </c>
      <c r="DF213" s="1998">
        <v>1.0146512334851789</v>
      </c>
      <c r="DG213" s="1998">
        <v>1.011476432723547</v>
      </c>
      <c r="DH213" s="1998">
        <v>1.0146512334851789</v>
      </c>
      <c r="DI213" s="1998">
        <v>1.011476432723547</v>
      </c>
      <c r="DJ213" s="1999">
        <v>1.0131662294746078</v>
      </c>
      <c r="DK213" s="1979">
        <v>1.0104237253012045</v>
      </c>
      <c r="DL213" s="1979">
        <v>1.0131662294746078</v>
      </c>
      <c r="DM213" s="1979">
        <v>1.0104237253012045</v>
      </c>
      <c r="DN213" s="1979">
        <v>1.0131662294746078</v>
      </c>
      <c r="DO213" s="1979">
        <v>1.0104237253012045</v>
      </c>
      <c r="DP213" s="1979">
        <v>1.0131662294746078</v>
      </c>
      <c r="DQ213" s="1979">
        <v>1.0104237253012045</v>
      </c>
      <c r="DR213" s="1979">
        <v>1.0131662294746078</v>
      </c>
      <c r="DS213" s="1979">
        <v>1.0104237253012045</v>
      </c>
    </row>
    <row r="214" spans="1:123">
      <c r="A214" s="1997"/>
      <c r="B214" s="2">
        <v>33</v>
      </c>
      <c r="C214" s="2" t="str">
        <f>AD$17</f>
        <v>Pieu en béton préfabriqué (battus)</v>
      </c>
      <c r="D214" s="1998">
        <v>0.97582476936753082</v>
      </c>
      <c r="E214" s="1998">
        <v>0.97696278685316518</v>
      </c>
      <c r="F214" s="1998">
        <v>0.97582476936753082</v>
      </c>
      <c r="G214" s="1998">
        <v>0.97696278685316518</v>
      </c>
      <c r="H214" s="1998">
        <v>0.97582476936753082</v>
      </c>
      <c r="I214" s="1998">
        <v>0.97696278685316518</v>
      </c>
      <c r="J214" s="1998">
        <v>0.97582476936753082</v>
      </c>
      <c r="K214" s="1998">
        <v>0.97696278685316518</v>
      </c>
      <c r="L214" s="1998">
        <v>0.97582476936753082</v>
      </c>
      <c r="M214" s="1998">
        <v>0.97696278685316518</v>
      </c>
      <c r="N214" s="1999">
        <v>1.0201185962522339</v>
      </c>
      <c r="O214" s="1979">
        <v>1.031845112129246</v>
      </c>
      <c r="P214" s="1979">
        <v>1.0201185962522339</v>
      </c>
      <c r="Q214" s="1979">
        <v>1.031845112129246</v>
      </c>
      <c r="R214" s="1979">
        <v>1.0201185962522339</v>
      </c>
      <c r="S214" s="1979">
        <v>1.031845112129246</v>
      </c>
      <c r="T214" s="1979">
        <v>1.0201185962522339</v>
      </c>
      <c r="U214" s="1979">
        <v>1.031845112129246</v>
      </c>
      <c r="V214" s="1979">
        <v>1.0201185962522339</v>
      </c>
      <c r="W214" s="1979">
        <v>1.031845112129246</v>
      </c>
      <c r="X214" s="2000">
        <v>1.0066524007178073</v>
      </c>
      <c r="Y214" s="1998">
        <v>1.0052731219655431</v>
      </c>
      <c r="Z214" s="1998">
        <v>1.0066524007178073</v>
      </c>
      <c r="AA214" s="1998">
        <v>1.0052731219655431</v>
      </c>
      <c r="AB214" s="1998">
        <v>1.0066524007178073</v>
      </c>
      <c r="AC214" s="1998">
        <v>1.0052731219655431</v>
      </c>
      <c r="AD214" s="1998">
        <v>1.0066524007178073</v>
      </c>
      <c r="AE214" s="1998">
        <v>1.0052731219655431</v>
      </c>
      <c r="AF214" s="1998">
        <v>1.0066524007178073</v>
      </c>
      <c r="AG214" s="1998">
        <v>1.0052731219655431</v>
      </c>
      <c r="AH214" s="1999">
        <v>1.0120064909854047</v>
      </c>
      <c r="AI214" s="1979">
        <v>1.0195470022612778</v>
      </c>
      <c r="AJ214" s="1979">
        <v>1.0120064909854047</v>
      </c>
      <c r="AK214" s="1979">
        <v>1.0195470022612778</v>
      </c>
      <c r="AL214" s="1979">
        <v>1.0120064909854047</v>
      </c>
      <c r="AM214" s="1979">
        <v>1.0195470022612778</v>
      </c>
      <c r="AN214" s="1979">
        <v>1.0120064909854047</v>
      </c>
      <c r="AO214" s="1979">
        <v>1.0195470022612778</v>
      </c>
      <c r="AP214" s="1979">
        <v>1.0120064909854047</v>
      </c>
      <c r="AQ214" s="1979">
        <v>1.0195470022612778</v>
      </c>
      <c r="AR214" s="2000">
        <v>1.0088367489424246</v>
      </c>
      <c r="AS214" s="1998">
        <v>1.0142777949156363</v>
      </c>
      <c r="AT214" s="1998">
        <v>1.0088367489424246</v>
      </c>
      <c r="AU214" s="1998">
        <v>1.0142777949156363</v>
      </c>
      <c r="AV214" s="1998">
        <v>1.0088367489424246</v>
      </c>
      <c r="AW214" s="1998">
        <v>1.0142777949156363</v>
      </c>
      <c r="AX214" s="1998">
        <v>1.0088367489424246</v>
      </c>
      <c r="AY214" s="1998">
        <v>1.0142777949156363</v>
      </c>
      <c r="AZ214" s="1998">
        <v>1.0088367489424246</v>
      </c>
      <c r="BA214" s="1998">
        <v>1.0142777949156363</v>
      </c>
      <c r="BB214" s="1999">
        <v>1.3648383968144167</v>
      </c>
      <c r="BC214" s="1979">
        <v>1.4038941861371332</v>
      </c>
      <c r="BD214" s="1979">
        <v>1.3648383968144167</v>
      </c>
      <c r="BE214" s="1979">
        <v>1.4038941861371332</v>
      </c>
      <c r="BF214" s="1979">
        <v>1.3648383968144167</v>
      </c>
      <c r="BG214" s="1979">
        <v>1.4038941861371332</v>
      </c>
      <c r="BH214" s="1979">
        <v>1.3648383968144167</v>
      </c>
      <c r="BI214" s="1979">
        <v>1.4038941861371332</v>
      </c>
      <c r="BJ214" s="1979">
        <v>1.3648383968144167</v>
      </c>
      <c r="BK214" s="1979">
        <v>1.4038941861371332</v>
      </c>
      <c r="BL214" s="2000">
        <v>1.0174986675780264</v>
      </c>
      <c r="BM214" s="1998">
        <v>1.027217619073665</v>
      </c>
      <c r="BN214" s="1998">
        <v>1.0174986675780264</v>
      </c>
      <c r="BO214" s="1998">
        <v>1.027217619073665</v>
      </c>
      <c r="BP214" s="1998">
        <v>1.0174986675780264</v>
      </c>
      <c r="BQ214" s="1998">
        <v>1.027217619073665</v>
      </c>
      <c r="BR214" s="1998">
        <v>1.0174986675780264</v>
      </c>
      <c r="BS214" s="1998">
        <v>1.027217619073665</v>
      </c>
      <c r="BT214" s="1998">
        <v>1.0174986675780264</v>
      </c>
      <c r="BU214" s="1998">
        <v>1.027217619073665</v>
      </c>
      <c r="BV214" s="1999">
        <v>1.0120505434041112</v>
      </c>
      <c r="BW214" s="1979">
        <v>1.019974951802642</v>
      </c>
      <c r="BX214" s="1979">
        <v>1.0120505434041112</v>
      </c>
      <c r="BY214" s="1979">
        <v>1.019974951802642</v>
      </c>
      <c r="BZ214" s="1979">
        <v>1.0120505434041112</v>
      </c>
      <c r="CA214" s="1979">
        <v>1.019974951802642</v>
      </c>
      <c r="CB214" s="1979">
        <v>1.0120505434041112</v>
      </c>
      <c r="CC214" s="1979">
        <v>1.019974951802642</v>
      </c>
      <c r="CD214" s="1979">
        <v>1.0120505434041112</v>
      </c>
      <c r="CE214" s="1979">
        <v>1.019974951802642</v>
      </c>
      <c r="CF214" s="2000">
        <v>1.0196084169413604</v>
      </c>
      <c r="CG214" s="1998">
        <v>1.0325987809369181</v>
      </c>
      <c r="CH214" s="1998">
        <v>1.0196084169413604</v>
      </c>
      <c r="CI214" s="1998">
        <v>1.0325987809369181</v>
      </c>
      <c r="CJ214" s="1998">
        <v>1.0196084169413604</v>
      </c>
      <c r="CK214" s="1998">
        <v>1.0325987809369181</v>
      </c>
      <c r="CL214" s="1998">
        <v>1.0196084169413604</v>
      </c>
      <c r="CM214" s="1998">
        <v>1.0325987809369181</v>
      </c>
      <c r="CN214" s="1998">
        <v>1.0196084169413604</v>
      </c>
      <c r="CO214" s="1998">
        <v>1.0325987809369181</v>
      </c>
      <c r="CP214" s="1999">
        <v>1.0205792808822751</v>
      </c>
      <c r="CQ214" s="1979">
        <v>1.0341341189163979</v>
      </c>
      <c r="CR214" s="1979">
        <v>1.0205792808822751</v>
      </c>
      <c r="CS214" s="1979">
        <v>1.0341341189163979</v>
      </c>
      <c r="CT214" s="1979">
        <v>1.0205792808822751</v>
      </c>
      <c r="CU214" s="1979">
        <v>1.0341341189163979</v>
      </c>
      <c r="CV214" s="1979">
        <v>1.0205792808822751</v>
      </c>
      <c r="CW214" s="1979">
        <v>1.0341341189163979</v>
      </c>
      <c r="CX214" s="1979">
        <v>1.0205792808822751</v>
      </c>
      <c r="CY214" s="1979">
        <v>1.0341341189163979</v>
      </c>
      <c r="CZ214" s="2000">
        <v>1.0336704176915985</v>
      </c>
      <c r="DA214" s="1998">
        <v>1.0553279430555793</v>
      </c>
      <c r="DB214" s="1998">
        <v>1.0336704176915985</v>
      </c>
      <c r="DC214" s="1998">
        <v>1.0553279430555793</v>
      </c>
      <c r="DD214" s="1998">
        <v>1.0336704176915985</v>
      </c>
      <c r="DE214" s="1998">
        <v>1.0553279430555793</v>
      </c>
      <c r="DF214" s="1998">
        <v>1.0336704176915985</v>
      </c>
      <c r="DG214" s="1998">
        <v>1.0553279430555793</v>
      </c>
      <c r="DH214" s="1998">
        <v>1.0336704176915985</v>
      </c>
      <c r="DI214" s="1998">
        <v>1.0553279430555793</v>
      </c>
      <c r="DJ214" s="1999">
        <v>1.0299395575434369</v>
      </c>
      <c r="DK214" s="1979">
        <v>1.0496218954195684</v>
      </c>
      <c r="DL214" s="1979">
        <v>1.0299395575434369</v>
      </c>
      <c r="DM214" s="1979">
        <v>1.0496218954195684</v>
      </c>
      <c r="DN214" s="1979">
        <v>1.0299395575434369</v>
      </c>
      <c r="DO214" s="1979">
        <v>1.0496218954195684</v>
      </c>
      <c r="DP214" s="1979">
        <v>1.0299395575434369</v>
      </c>
      <c r="DQ214" s="1979">
        <v>1.0496218954195684</v>
      </c>
      <c r="DR214" s="1979">
        <v>1.0299395575434369</v>
      </c>
      <c r="DS214" s="1979">
        <v>1.0496218954195684</v>
      </c>
    </row>
    <row r="215" spans="1:123">
      <c r="A215" s="1997"/>
      <c r="B215" s="2">
        <v>34</v>
      </c>
      <c r="C215" s="2" t="str">
        <f>AF$13</f>
        <v/>
      </c>
      <c r="D215" s="1998">
        <v>0.96772783265384288</v>
      </c>
      <c r="E215" s="1998">
        <v>0.96412957065102256</v>
      </c>
      <c r="F215" s="1998">
        <v>0.96772783265384288</v>
      </c>
      <c r="G215" s="1998">
        <v>0.96412957065102256</v>
      </c>
      <c r="H215" s="1998">
        <v>0.96772783265384288</v>
      </c>
      <c r="I215" s="1998">
        <v>0.96412957065102256</v>
      </c>
      <c r="J215" s="1998">
        <v>0.96772783265384288</v>
      </c>
      <c r="K215" s="1998">
        <v>0.96412957065102256</v>
      </c>
      <c r="L215" s="1998">
        <v>0.96772783265384288</v>
      </c>
      <c r="M215" s="1998">
        <v>0.96412957065102256</v>
      </c>
      <c r="N215" s="1999">
        <v>1</v>
      </c>
      <c r="O215" s="1979">
        <v>1</v>
      </c>
      <c r="P215" s="1979">
        <v>1</v>
      </c>
      <c r="Q215" s="1979">
        <v>1</v>
      </c>
      <c r="R215" s="1979">
        <v>1</v>
      </c>
      <c r="S215" s="1979">
        <v>1</v>
      </c>
      <c r="T215" s="1979">
        <v>1</v>
      </c>
      <c r="U215" s="1979">
        <v>1</v>
      </c>
      <c r="V215" s="1979">
        <v>1</v>
      </c>
      <c r="W215" s="1979">
        <v>1</v>
      </c>
      <c r="X215" s="2000">
        <v>1</v>
      </c>
      <c r="Y215" s="1998">
        <v>0.99456526585057647</v>
      </c>
      <c r="Z215" s="1998">
        <v>1</v>
      </c>
      <c r="AA215" s="1998">
        <v>0.99456526585057647</v>
      </c>
      <c r="AB215" s="1998">
        <v>1</v>
      </c>
      <c r="AC215" s="1998">
        <v>0.99456526585057647</v>
      </c>
      <c r="AD215" s="1998">
        <v>1</v>
      </c>
      <c r="AE215" s="1998">
        <v>0.99456526585057647</v>
      </c>
      <c r="AF215" s="1998">
        <v>1</v>
      </c>
      <c r="AG215" s="1998">
        <v>0.99456526585057647</v>
      </c>
      <c r="AH215" s="1999">
        <v>1</v>
      </c>
      <c r="AI215" s="1979">
        <v>1</v>
      </c>
      <c r="AJ215" s="1979">
        <v>1</v>
      </c>
      <c r="AK215" s="1979">
        <v>1</v>
      </c>
      <c r="AL215" s="1979">
        <v>1</v>
      </c>
      <c r="AM215" s="1979">
        <v>1</v>
      </c>
      <c r="AN215" s="1979">
        <v>1</v>
      </c>
      <c r="AO215" s="1979">
        <v>1</v>
      </c>
      <c r="AP215" s="1979">
        <v>1</v>
      </c>
      <c r="AQ215" s="1979">
        <v>1</v>
      </c>
      <c r="AR215" s="2000">
        <v>1</v>
      </c>
      <c r="AS215" s="1998">
        <v>1</v>
      </c>
      <c r="AT215" s="1998">
        <v>1</v>
      </c>
      <c r="AU215" s="1998">
        <v>1</v>
      </c>
      <c r="AV215" s="1998">
        <v>1</v>
      </c>
      <c r="AW215" s="1998">
        <v>1</v>
      </c>
      <c r="AX215" s="1998">
        <v>1</v>
      </c>
      <c r="AY215" s="1998">
        <v>1</v>
      </c>
      <c r="AZ215" s="1998">
        <v>1</v>
      </c>
      <c r="BA215" s="1998">
        <v>1</v>
      </c>
      <c r="BB215" s="1999">
        <v>1.3180265000109936</v>
      </c>
      <c r="BC215" s="1979">
        <v>1.3308586370188196</v>
      </c>
      <c r="BD215" s="1979">
        <v>1.3180265000109936</v>
      </c>
      <c r="BE215" s="1979">
        <v>1.3308586370188196</v>
      </c>
      <c r="BF215" s="1979">
        <v>1.3180265000109936</v>
      </c>
      <c r="BG215" s="1979">
        <v>1.3308586370188196</v>
      </c>
      <c r="BH215" s="1979">
        <v>1.3180265000109936</v>
      </c>
      <c r="BI215" s="1979">
        <v>1.3308586370188196</v>
      </c>
      <c r="BJ215" s="1979">
        <v>1.3180265000109936</v>
      </c>
      <c r="BK215" s="1979">
        <v>1.3308586370188196</v>
      </c>
      <c r="BL215" s="2000">
        <v>1</v>
      </c>
      <c r="BM215" s="1998">
        <v>1</v>
      </c>
      <c r="BN215" s="1998">
        <v>1</v>
      </c>
      <c r="BO215" s="1998">
        <v>1</v>
      </c>
      <c r="BP215" s="1998">
        <v>1</v>
      </c>
      <c r="BQ215" s="1998">
        <v>1</v>
      </c>
      <c r="BR215" s="1998">
        <v>1</v>
      </c>
      <c r="BS215" s="1998">
        <v>1</v>
      </c>
      <c r="BT215" s="1998">
        <v>1</v>
      </c>
      <c r="BU215" s="1998">
        <v>1</v>
      </c>
      <c r="BV215" s="1999">
        <v>1</v>
      </c>
      <c r="BW215" s="1979">
        <v>1</v>
      </c>
      <c r="BX215" s="1979">
        <v>1</v>
      </c>
      <c r="BY215" s="1979">
        <v>1</v>
      </c>
      <c r="BZ215" s="1979">
        <v>1</v>
      </c>
      <c r="CA215" s="1979">
        <v>1</v>
      </c>
      <c r="CB215" s="1979">
        <v>1</v>
      </c>
      <c r="CC215" s="1979">
        <v>1</v>
      </c>
      <c r="CD215" s="1979">
        <v>1</v>
      </c>
      <c r="CE215" s="1979">
        <v>1</v>
      </c>
      <c r="CF215" s="2000">
        <v>1</v>
      </c>
      <c r="CG215" s="1998">
        <v>1</v>
      </c>
      <c r="CH215" s="1998">
        <v>1</v>
      </c>
      <c r="CI215" s="1998">
        <v>1</v>
      </c>
      <c r="CJ215" s="1998">
        <v>1</v>
      </c>
      <c r="CK215" s="1998">
        <v>1</v>
      </c>
      <c r="CL215" s="1998">
        <v>1</v>
      </c>
      <c r="CM215" s="1998">
        <v>1</v>
      </c>
      <c r="CN215" s="1998">
        <v>1</v>
      </c>
      <c r="CO215" s="1998">
        <v>1</v>
      </c>
      <c r="CP215" s="1999">
        <v>1</v>
      </c>
      <c r="CQ215" s="1979">
        <v>1</v>
      </c>
      <c r="CR215" s="1979">
        <v>1</v>
      </c>
      <c r="CS215" s="1979">
        <v>1</v>
      </c>
      <c r="CT215" s="1979">
        <v>1</v>
      </c>
      <c r="CU215" s="1979">
        <v>1</v>
      </c>
      <c r="CV215" s="1979">
        <v>1</v>
      </c>
      <c r="CW215" s="1979">
        <v>1</v>
      </c>
      <c r="CX215" s="1979">
        <v>1</v>
      </c>
      <c r="CY215" s="1979">
        <v>1</v>
      </c>
      <c r="CZ215" s="2000">
        <v>1</v>
      </c>
      <c r="DA215" s="1998">
        <v>1</v>
      </c>
      <c r="DB215" s="1998">
        <v>1</v>
      </c>
      <c r="DC215" s="1998">
        <v>1</v>
      </c>
      <c r="DD215" s="1998">
        <v>1</v>
      </c>
      <c r="DE215" s="1998">
        <v>1</v>
      </c>
      <c r="DF215" s="1998">
        <v>1</v>
      </c>
      <c r="DG215" s="1998">
        <v>1</v>
      </c>
      <c r="DH215" s="1998">
        <v>1</v>
      </c>
      <c r="DI215" s="1998">
        <v>1</v>
      </c>
      <c r="DJ215" s="1999">
        <v>1.0002450682306379</v>
      </c>
      <c r="DK215" s="1979">
        <v>1.0001651239704095</v>
      </c>
      <c r="DL215" s="1979">
        <v>1.0002450682306379</v>
      </c>
      <c r="DM215" s="1979">
        <v>1.0001651239704095</v>
      </c>
      <c r="DN215" s="1979">
        <v>1.0002450682306379</v>
      </c>
      <c r="DO215" s="1979">
        <v>1.0001651239704095</v>
      </c>
      <c r="DP215" s="1979">
        <v>1.0002450682306379</v>
      </c>
      <c r="DQ215" s="1979">
        <v>1.0001651239704095</v>
      </c>
      <c r="DR215" s="1979">
        <v>1.0002450682306379</v>
      </c>
      <c r="DS215" s="1979">
        <v>1.0001651239704095</v>
      </c>
    </row>
    <row r="216" spans="1:123">
      <c r="A216" s="1997"/>
      <c r="B216" s="2">
        <v>35</v>
      </c>
      <c r="C216" s="2" t="str">
        <f>AF$14</f>
        <v/>
      </c>
      <c r="D216" s="1998">
        <v>1.1085004672486292</v>
      </c>
      <c r="E216" s="1998">
        <v>1.1563231854497538</v>
      </c>
      <c r="F216" s="1998">
        <v>1.1085004672486292</v>
      </c>
      <c r="G216" s="1998">
        <v>1.1563231854497538</v>
      </c>
      <c r="H216" s="1998">
        <v>1.1085004672486292</v>
      </c>
      <c r="I216" s="1998">
        <v>1.1563231854497538</v>
      </c>
      <c r="J216" s="1998">
        <v>1.1085004672486292</v>
      </c>
      <c r="K216" s="1998">
        <v>1.1563231854497538</v>
      </c>
      <c r="L216" s="1998">
        <v>1.1085004672486292</v>
      </c>
      <c r="M216" s="1998">
        <v>1.1563231854497538</v>
      </c>
      <c r="N216" s="1999">
        <v>1.4661405894816513</v>
      </c>
      <c r="O216" s="1979">
        <v>1.6355767160242427</v>
      </c>
      <c r="P216" s="1979">
        <v>1.4661405894816513</v>
      </c>
      <c r="Q216" s="1979">
        <v>1.6355767160242427</v>
      </c>
      <c r="R216" s="1979">
        <v>1.4661405894816513</v>
      </c>
      <c r="S216" s="1979">
        <v>1.6355767160242427</v>
      </c>
      <c r="T216" s="1979">
        <v>1.4661405894816513</v>
      </c>
      <c r="U216" s="1979">
        <v>1.6355767160242427</v>
      </c>
      <c r="V216" s="1979">
        <v>1.4661405894816513</v>
      </c>
      <c r="W216" s="1979">
        <v>1.6355767160242427</v>
      </c>
      <c r="X216" s="2000">
        <v>1.1110825743123112</v>
      </c>
      <c r="Y216" s="1998">
        <v>1.1485848729928583</v>
      </c>
      <c r="Z216" s="1998">
        <v>1.1110825743123112</v>
      </c>
      <c r="AA216" s="1998">
        <v>1.1485848729928583</v>
      </c>
      <c r="AB216" s="1998">
        <v>1.1110825743123112</v>
      </c>
      <c r="AC216" s="1998">
        <v>1.1485848729928583</v>
      </c>
      <c r="AD216" s="1998">
        <v>1.1110825743123112</v>
      </c>
      <c r="AE216" s="1998">
        <v>1.1485848729928583</v>
      </c>
      <c r="AF216" s="1998">
        <v>1.1110825743123112</v>
      </c>
      <c r="AG216" s="1998">
        <v>1.1485848729928583</v>
      </c>
      <c r="AH216" s="1999">
        <v>1.3200738324007066</v>
      </c>
      <c r="AI216" s="1979">
        <v>1.4488695905462043</v>
      </c>
      <c r="AJ216" s="1979">
        <v>1.3200738324007066</v>
      </c>
      <c r="AK216" s="1979">
        <v>1.4488695905462043</v>
      </c>
      <c r="AL216" s="1979">
        <v>1.3200738324007066</v>
      </c>
      <c r="AM216" s="1979">
        <v>1.4488695905462043</v>
      </c>
      <c r="AN216" s="1979">
        <v>1.3200738324007066</v>
      </c>
      <c r="AO216" s="1979">
        <v>1.4488695905462043</v>
      </c>
      <c r="AP216" s="1979">
        <v>1.3200738324007066</v>
      </c>
      <c r="AQ216" s="1979">
        <v>1.4488695905462043</v>
      </c>
      <c r="AR216" s="2000">
        <v>1.079525499647328</v>
      </c>
      <c r="AS216" s="1998">
        <v>1.1106830147253564</v>
      </c>
      <c r="AT216" s="1998">
        <v>1.079525499647328</v>
      </c>
      <c r="AU216" s="1998">
        <v>1.1106830147253564</v>
      </c>
      <c r="AV216" s="1998">
        <v>1.079525499647328</v>
      </c>
      <c r="AW216" s="1998">
        <v>1.1106830147253564</v>
      </c>
      <c r="AX216" s="1998">
        <v>1.079525499647328</v>
      </c>
      <c r="AY216" s="1998">
        <v>1.1106830147253564</v>
      </c>
      <c r="AZ216" s="1998">
        <v>1.079525499647328</v>
      </c>
      <c r="BA216" s="1998">
        <v>1.1106830147253564</v>
      </c>
      <c r="BB216" s="1999">
        <v>1.3180265000109936</v>
      </c>
      <c r="BC216" s="1979">
        <v>1.3308586370188196</v>
      </c>
      <c r="BD216" s="1979">
        <v>1.3180265000109936</v>
      </c>
      <c r="BE216" s="1979">
        <v>1.3308586370188196</v>
      </c>
      <c r="BF216" s="1979">
        <v>1.3180265000109936</v>
      </c>
      <c r="BG216" s="1979">
        <v>1.3308586370188196</v>
      </c>
      <c r="BH216" s="1979">
        <v>1.3180265000109936</v>
      </c>
      <c r="BI216" s="1979">
        <v>1.3308586370188196</v>
      </c>
      <c r="BJ216" s="1979">
        <v>1.3180265000109936</v>
      </c>
      <c r="BK216" s="1979">
        <v>1.3308586370188196</v>
      </c>
      <c r="BL216" s="2000">
        <v>1.1814683629492135</v>
      </c>
      <c r="BM216" s="1998">
        <v>1.2431375423131188</v>
      </c>
      <c r="BN216" s="1998">
        <v>1.1814683629492135</v>
      </c>
      <c r="BO216" s="1998">
        <v>1.2431375423131188</v>
      </c>
      <c r="BP216" s="1998">
        <v>1.1814683629492135</v>
      </c>
      <c r="BQ216" s="1998">
        <v>1.2431375423131188</v>
      </c>
      <c r="BR216" s="1998">
        <v>1.1814683629492135</v>
      </c>
      <c r="BS216" s="1998">
        <v>1.2431375423131188</v>
      </c>
      <c r="BT216" s="1998">
        <v>1.1814683629492135</v>
      </c>
      <c r="BU216" s="1998">
        <v>1.2431375423131188</v>
      </c>
      <c r="BV216" s="1999">
        <v>1.2668831194801757</v>
      </c>
      <c r="BW216" s="1979">
        <v>1.3810712323180965</v>
      </c>
      <c r="BX216" s="1979">
        <v>1.2668831194801757</v>
      </c>
      <c r="BY216" s="1979">
        <v>1.3810712323180965</v>
      </c>
      <c r="BZ216" s="1979">
        <v>1.2668831194801757</v>
      </c>
      <c r="CA216" s="1979">
        <v>1.3810712323180965</v>
      </c>
      <c r="CB216" s="1979">
        <v>1.2668831194801757</v>
      </c>
      <c r="CC216" s="1979">
        <v>1.3810712323180965</v>
      </c>
      <c r="CD216" s="1979">
        <v>1.2668831194801757</v>
      </c>
      <c r="CE216" s="1979">
        <v>1.3810712323180965</v>
      </c>
      <c r="CF216" s="2000">
        <v>1.0355857826682435</v>
      </c>
      <c r="CG216" s="1998">
        <v>1.0509613939831395</v>
      </c>
      <c r="CH216" s="1998">
        <v>1.0355857826682435</v>
      </c>
      <c r="CI216" s="1998">
        <v>1.0509613939831395</v>
      </c>
      <c r="CJ216" s="1998">
        <v>1.0355857826682435</v>
      </c>
      <c r="CK216" s="1998">
        <v>1.0509613939831395</v>
      </c>
      <c r="CL216" s="1998">
        <v>1.0355857826682435</v>
      </c>
      <c r="CM216" s="1998">
        <v>1.0509613939831395</v>
      </c>
      <c r="CN216" s="1998">
        <v>1.0355857826682435</v>
      </c>
      <c r="CO216" s="1998">
        <v>1.0509613939831395</v>
      </c>
      <c r="CP216" s="1999">
        <v>1.0426831173942406</v>
      </c>
      <c r="CQ216" s="1979">
        <v>1.0609846567394052</v>
      </c>
      <c r="CR216" s="1979">
        <v>1.0426831173942406</v>
      </c>
      <c r="CS216" s="1979">
        <v>1.0609846567394052</v>
      </c>
      <c r="CT216" s="1979">
        <v>1.0426831173942406</v>
      </c>
      <c r="CU216" s="1979">
        <v>1.0609846567394052</v>
      </c>
      <c r="CV216" s="1979">
        <v>1.0426831173942406</v>
      </c>
      <c r="CW216" s="1979">
        <v>1.0609846567394052</v>
      </c>
      <c r="CX216" s="1979">
        <v>1.0426831173942406</v>
      </c>
      <c r="CY216" s="1979">
        <v>1.0609846567394052</v>
      </c>
      <c r="CZ216" s="2000">
        <v>1</v>
      </c>
      <c r="DA216" s="1998">
        <v>1</v>
      </c>
      <c r="DB216" s="1998">
        <v>1</v>
      </c>
      <c r="DC216" s="1998">
        <v>1</v>
      </c>
      <c r="DD216" s="1998">
        <v>1</v>
      </c>
      <c r="DE216" s="1998">
        <v>1</v>
      </c>
      <c r="DF216" s="1998">
        <v>1</v>
      </c>
      <c r="DG216" s="1998">
        <v>1</v>
      </c>
      <c r="DH216" s="1998">
        <v>1</v>
      </c>
      <c r="DI216" s="1998">
        <v>1</v>
      </c>
      <c r="DJ216" s="1999">
        <v>1.0085960930064017</v>
      </c>
      <c r="DK216" s="1979">
        <v>1.0121461944782337</v>
      </c>
      <c r="DL216" s="1979">
        <v>1.0085960930064017</v>
      </c>
      <c r="DM216" s="1979">
        <v>1.0121461944782337</v>
      </c>
      <c r="DN216" s="1979">
        <v>1.0085960930064017</v>
      </c>
      <c r="DO216" s="1979">
        <v>1.0121461944782337</v>
      </c>
      <c r="DP216" s="1979">
        <v>1.0085960930064017</v>
      </c>
      <c r="DQ216" s="1979">
        <v>1.0121461944782337</v>
      </c>
      <c r="DR216" s="1979">
        <v>1.0085960930064017</v>
      </c>
      <c r="DS216" s="1979">
        <v>1.0121461944782337</v>
      </c>
    </row>
    <row r="217" spans="1:123">
      <c r="A217" s="1997"/>
      <c r="B217" s="2">
        <v>36</v>
      </c>
      <c r="C217" s="2" t="str">
        <f>AF$15</f>
        <v/>
      </c>
      <c r="D217" s="1998">
        <v>0.99089193585001911</v>
      </c>
      <c r="E217" s="1998">
        <v>0.99491643010161035</v>
      </c>
      <c r="F217" s="1998">
        <v>0.99089193585001911</v>
      </c>
      <c r="G217" s="1998">
        <v>0.99491643010161035</v>
      </c>
      <c r="H217" s="1998">
        <v>0.99089193585001911</v>
      </c>
      <c r="I217" s="1998">
        <v>0.99491643010161035</v>
      </c>
      <c r="J217" s="1998">
        <v>0.99089193585001911</v>
      </c>
      <c r="K217" s="1998">
        <v>0.99491643010161035</v>
      </c>
      <c r="L217" s="1998">
        <v>0.99089193585001911</v>
      </c>
      <c r="M217" s="1998">
        <v>0.99491643010161035</v>
      </c>
      <c r="N217" s="1999">
        <v>1.0767033219898217</v>
      </c>
      <c r="O217" s="1979">
        <v>1.1018109318917584</v>
      </c>
      <c r="P217" s="1979">
        <v>1.0767033219898217</v>
      </c>
      <c r="Q217" s="1979">
        <v>1.1018109318917584</v>
      </c>
      <c r="R217" s="1979">
        <v>1.0767033219898217</v>
      </c>
      <c r="S217" s="1979">
        <v>1.1018109318917584</v>
      </c>
      <c r="T217" s="1979">
        <v>1.0767033219898217</v>
      </c>
      <c r="U217" s="1979">
        <v>1.1018109318917584</v>
      </c>
      <c r="V217" s="1979">
        <v>1.0767033219898217</v>
      </c>
      <c r="W217" s="1979">
        <v>1.1018109318917584</v>
      </c>
      <c r="X217" s="2000">
        <v>1.018278610910949</v>
      </c>
      <c r="Y217" s="1998">
        <v>1.0192371572799035</v>
      </c>
      <c r="Z217" s="1998">
        <v>1.018278610910949</v>
      </c>
      <c r="AA217" s="1998">
        <v>1.0192371572799035</v>
      </c>
      <c r="AB217" s="1998">
        <v>1.018278610910949</v>
      </c>
      <c r="AC217" s="1998">
        <v>1.0192371572799035</v>
      </c>
      <c r="AD217" s="1998">
        <v>1.018278610910949</v>
      </c>
      <c r="AE217" s="1998">
        <v>1.0192371572799035</v>
      </c>
      <c r="AF217" s="1998">
        <v>1.018278610910949</v>
      </c>
      <c r="AG217" s="1998">
        <v>1.0192371572799035</v>
      </c>
      <c r="AH217" s="1999">
        <v>1.052668072210678</v>
      </c>
      <c r="AI217" s="1979">
        <v>1.0719029350182141</v>
      </c>
      <c r="AJ217" s="1979">
        <v>1.052668072210678</v>
      </c>
      <c r="AK217" s="1979">
        <v>1.0719029350182141</v>
      </c>
      <c r="AL217" s="1979">
        <v>1.052668072210678</v>
      </c>
      <c r="AM217" s="1979">
        <v>1.0719029350182141</v>
      </c>
      <c r="AN217" s="1979">
        <v>1.052668072210678</v>
      </c>
      <c r="AO217" s="1979">
        <v>1.0719029350182141</v>
      </c>
      <c r="AP217" s="1979">
        <v>1.052668072210678</v>
      </c>
      <c r="AQ217" s="1979">
        <v>1.0719029350182141</v>
      </c>
      <c r="AR217" s="2000">
        <v>1.0130859018577067</v>
      </c>
      <c r="AS217" s="1998">
        <v>1.0177299460311695</v>
      </c>
      <c r="AT217" s="1998">
        <v>1.0130859018577067</v>
      </c>
      <c r="AU217" s="1998">
        <v>1.0177299460311695</v>
      </c>
      <c r="AV217" s="1998">
        <v>1.0130859018577067</v>
      </c>
      <c r="AW217" s="1998">
        <v>1.0177299460311695</v>
      </c>
      <c r="AX217" s="1998">
        <v>1.0130859018577067</v>
      </c>
      <c r="AY217" s="1998">
        <v>1.0177299460311695</v>
      </c>
      <c r="AZ217" s="1998">
        <v>1.0130859018577067</v>
      </c>
      <c r="BA217" s="1998">
        <v>1.0177299460311695</v>
      </c>
      <c r="BB217" s="1999">
        <v>1.3180265000109936</v>
      </c>
      <c r="BC217" s="1979">
        <v>1.3308586370188196</v>
      </c>
      <c r="BD217" s="1979">
        <v>1.3180265000109936</v>
      </c>
      <c r="BE217" s="1979">
        <v>1.3308586370188196</v>
      </c>
      <c r="BF217" s="1979">
        <v>1.3180265000109936</v>
      </c>
      <c r="BG217" s="1979">
        <v>1.3308586370188196</v>
      </c>
      <c r="BH217" s="1979">
        <v>1.3180265000109936</v>
      </c>
      <c r="BI217" s="1979">
        <v>1.3308586370188196</v>
      </c>
      <c r="BJ217" s="1979">
        <v>1.3180265000109936</v>
      </c>
      <c r="BK217" s="1979">
        <v>1.3308586370188196</v>
      </c>
      <c r="BL217" s="2000">
        <v>1.0298605755180803</v>
      </c>
      <c r="BM217" s="1998">
        <v>1.0389473986958111</v>
      </c>
      <c r="BN217" s="1998">
        <v>1.0298605755180803</v>
      </c>
      <c r="BO217" s="1998">
        <v>1.0389473986958111</v>
      </c>
      <c r="BP217" s="1998">
        <v>1.0298605755180803</v>
      </c>
      <c r="BQ217" s="1998">
        <v>1.0389473986958111</v>
      </c>
      <c r="BR217" s="1998">
        <v>1.0298605755180803</v>
      </c>
      <c r="BS217" s="1998">
        <v>1.0389473986958111</v>
      </c>
      <c r="BT217" s="1998">
        <v>1.0298605755180803</v>
      </c>
      <c r="BU217" s="1998">
        <v>1.0389473986958111</v>
      </c>
      <c r="BV217" s="1999">
        <v>1.0439155531808537</v>
      </c>
      <c r="BW217" s="1979">
        <v>1.0610425402650627</v>
      </c>
      <c r="BX217" s="1979">
        <v>1.0439155531808537</v>
      </c>
      <c r="BY217" s="1979">
        <v>1.0610425402650627</v>
      </c>
      <c r="BZ217" s="1979">
        <v>1.0439155531808537</v>
      </c>
      <c r="CA217" s="1979">
        <v>1.0610425402650627</v>
      </c>
      <c r="CB217" s="1979">
        <v>1.0439155531808537</v>
      </c>
      <c r="CC217" s="1979">
        <v>1.0610425402650627</v>
      </c>
      <c r="CD217" s="1979">
        <v>1.0439155531808537</v>
      </c>
      <c r="CE217" s="1979">
        <v>1.0610425402650627</v>
      </c>
      <c r="CF217" s="2000">
        <v>1.0058556319871166</v>
      </c>
      <c r="CG217" s="1998">
        <v>1.0081633371410803</v>
      </c>
      <c r="CH217" s="1998">
        <v>1.0058556319871166</v>
      </c>
      <c r="CI217" s="1998">
        <v>1.0081633371410803</v>
      </c>
      <c r="CJ217" s="1998">
        <v>1.0058556319871166</v>
      </c>
      <c r="CK217" s="1998">
        <v>1.0081633371410803</v>
      </c>
      <c r="CL217" s="1998">
        <v>1.0058556319871166</v>
      </c>
      <c r="CM217" s="1998">
        <v>1.0081633371410803</v>
      </c>
      <c r="CN217" s="1998">
        <v>1.0058556319871166</v>
      </c>
      <c r="CO217" s="1998">
        <v>1.0081633371410803</v>
      </c>
      <c r="CP217" s="1999">
        <v>1.0070234967108538</v>
      </c>
      <c r="CQ217" s="1979">
        <v>1.009768930448832</v>
      </c>
      <c r="CR217" s="1979">
        <v>1.0070234967108538</v>
      </c>
      <c r="CS217" s="1979">
        <v>1.009768930448832</v>
      </c>
      <c r="CT217" s="1979">
        <v>1.0070234967108538</v>
      </c>
      <c r="CU217" s="1979">
        <v>1.009768930448832</v>
      </c>
      <c r="CV217" s="1979">
        <v>1.0070234967108538</v>
      </c>
      <c r="CW217" s="1979">
        <v>1.009768930448832</v>
      </c>
      <c r="CX217" s="1979">
        <v>1.0070234967108538</v>
      </c>
      <c r="CY217" s="1979">
        <v>1.009768930448832</v>
      </c>
      <c r="CZ217" s="2000">
        <v>1</v>
      </c>
      <c r="DA217" s="1998">
        <v>1</v>
      </c>
      <c r="DB217" s="1998">
        <v>1</v>
      </c>
      <c r="DC217" s="1998">
        <v>1</v>
      </c>
      <c r="DD217" s="1998">
        <v>1</v>
      </c>
      <c r="DE217" s="1998">
        <v>1</v>
      </c>
      <c r="DF217" s="1998">
        <v>1</v>
      </c>
      <c r="DG217" s="1998">
        <v>1</v>
      </c>
      <c r="DH217" s="1998">
        <v>1</v>
      </c>
      <c r="DI217" s="1998">
        <v>1</v>
      </c>
      <c r="DJ217" s="1999">
        <v>1.0016192273508138</v>
      </c>
      <c r="DK217" s="1979">
        <v>1.0020843320261934</v>
      </c>
      <c r="DL217" s="1979">
        <v>1.0016192273508138</v>
      </c>
      <c r="DM217" s="1979">
        <v>1.0020843320261934</v>
      </c>
      <c r="DN217" s="1979">
        <v>1.0016192273508138</v>
      </c>
      <c r="DO217" s="1979">
        <v>1.0020843320261934</v>
      </c>
      <c r="DP217" s="1979">
        <v>1.0016192273508138</v>
      </c>
      <c r="DQ217" s="1979">
        <v>1.0020843320261934</v>
      </c>
      <c r="DR217" s="1979">
        <v>1.0016192273508138</v>
      </c>
      <c r="DS217" s="1979">
        <v>1.0020843320261934</v>
      </c>
    </row>
    <row r="218" spans="1:123">
      <c r="A218" s="1997"/>
      <c r="B218" s="2">
        <v>37</v>
      </c>
      <c r="C218" s="2" t="str">
        <f>AF$16</f>
        <v/>
      </c>
      <c r="D218" s="1998">
        <v>1.0125322659304401</v>
      </c>
      <c r="E218" s="1998">
        <v>1.0066655697798217</v>
      </c>
      <c r="F218" s="1998">
        <v>1.0125322659304401</v>
      </c>
      <c r="G218" s="1998">
        <v>1.0066655697798217</v>
      </c>
      <c r="H218" s="1998">
        <v>1.0125322659304401</v>
      </c>
      <c r="I218" s="1998">
        <v>1.0066655697798217</v>
      </c>
      <c r="J218" s="1998">
        <v>1.0125322659304401</v>
      </c>
      <c r="K218" s="1998">
        <v>1.0066655697798217</v>
      </c>
      <c r="L218" s="1998">
        <v>1.0125322659304401</v>
      </c>
      <c r="M218" s="1998">
        <v>1.0066655697798217</v>
      </c>
      <c r="N218" s="1999">
        <v>1.1483609722803176</v>
      </c>
      <c r="O218" s="1979">
        <v>1.1406648741551781</v>
      </c>
      <c r="P218" s="1979">
        <v>1.1483609722803176</v>
      </c>
      <c r="Q218" s="1979">
        <v>1.1406648741551781</v>
      </c>
      <c r="R218" s="1979">
        <v>1.1483609722803176</v>
      </c>
      <c r="S218" s="1979">
        <v>1.1406648741551781</v>
      </c>
      <c r="T218" s="1979">
        <v>1.1483609722803176</v>
      </c>
      <c r="U218" s="1979">
        <v>1.1406648741551781</v>
      </c>
      <c r="V218" s="1979">
        <v>1.1483609722803176</v>
      </c>
      <c r="W218" s="1979">
        <v>1.1406648741551781</v>
      </c>
      <c r="X218" s="2000">
        <v>1.0353548244891122</v>
      </c>
      <c r="Y218" s="1998">
        <v>1.0286526515427747</v>
      </c>
      <c r="Z218" s="1998">
        <v>1.0353548244891122</v>
      </c>
      <c r="AA218" s="1998">
        <v>1.0286526515427747</v>
      </c>
      <c r="AB218" s="1998">
        <v>1.0353548244891122</v>
      </c>
      <c r="AC218" s="1998">
        <v>1.0286526515427747</v>
      </c>
      <c r="AD218" s="1998">
        <v>1.0353548244891122</v>
      </c>
      <c r="AE218" s="1998">
        <v>1.0286526515427747</v>
      </c>
      <c r="AF218" s="1998">
        <v>1.0353548244891122</v>
      </c>
      <c r="AG218" s="1998">
        <v>1.0286526515427747</v>
      </c>
      <c r="AH218" s="1999">
        <v>1.1018715513044277</v>
      </c>
      <c r="AI218" s="1979">
        <v>1.0993431365158126</v>
      </c>
      <c r="AJ218" s="1979">
        <v>1.1018715513044277</v>
      </c>
      <c r="AK218" s="1979">
        <v>1.0993431365158126</v>
      </c>
      <c r="AL218" s="1979">
        <v>1.1018715513044277</v>
      </c>
      <c r="AM218" s="1979">
        <v>1.0993431365158126</v>
      </c>
      <c r="AN218" s="1979">
        <v>1.1018715513044277</v>
      </c>
      <c r="AO218" s="1979">
        <v>1.0993431365158126</v>
      </c>
      <c r="AP218" s="1979">
        <v>1.1018715513044277</v>
      </c>
      <c r="AQ218" s="1979">
        <v>1.0993431365158126</v>
      </c>
      <c r="AR218" s="2000">
        <v>1.0253109913939817</v>
      </c>
      <c r="AS218" s="1998">
        <v>1.0244961968318298</v>
      </c>
      <c r="AT218" s="1998">
        <v>1.0253109913939817</v>
      </c>
      <c r="AU218" s="1998">
        <v>1.0244961968318298</v>
      </c>
      <c r="AV218" s="1998">
        <v>1.0253109913939817</v>
      </c>
      <c r="AW218" s="1998">
        <v>1.0244961968318298</v>
      </c>
      <c r="AX218" s="1998">
        <v>1.0253109913939817</v>
      </c>
      <c r="AY218" s="1998">
        <v>1.0244961968318298</v>
      </c>
      <c r="AZ218" s="1998">
        <v>1.0253109913939817</v>
      </c>
      <c r="BA218" s="1998">
        <v>1.0244961968318298</v>
      </c>
      <c r="BB218" s="1999">
        <v>1.3180265000109936</v>
      </c>
      <c r="BC218" s="1979">
        <v>1.3308586370188196</v>
      </c>
      <c r="BD218" s="1979">
        <v>1.3180265000109936</v>
      </c>
      <c r="BE218" s="1979">
        <v>1.3308586370188196</v>
      </c>
      <c r="BF218" s="1979">
        <v>1.3180265000109936</v>
      </c>
      <c r="BG218" s="1979">
        <v>1.3308586370188196</v>
      </c>
      <c r="BH218" s="1979">
        <v>1.3180265000109936</v>
      </c>
      <c r="BI218" s="1979">
        <v>1.3308586370188196</v>
      </c>
      <c r="BJ218" s="1979">
        <v>1.3180265000109936</v>
      </c>
      <c r="BK218" s="1979">
        <v>1.3308586370188196</v>
      </c>
      <c r="BL218" s="2000">
        <v>1.057756872867907</v>
      </c>
      <c r="BM218" s="1998">
        <v>1.0538108318470396</v>
      </c>
      <c r="BN218" s="1998">
        <v>1.057756872867907</v>
      </c>
      <c r="BO218" s="1998">
        <v>1.0538108318470396</v>
      </c>
      <c r="BP218" s="1998">
        <v>1.057756872867907</v>
      </c>
      <c r="BQ218" s="1998">
        <v>1.0538108318470396</v>
      </c>
      <c r="BR218" s="1998">
        <v>1.057756872867907</v>
      </c>
      <c r="BS218" s="1998">
        <v>1.0538108318470396</v>
      </c>
      <c r="BT218" s="1998">
        <v>1.057756872867907</v>
      </c>
      <c r="BU218" s="1998">
        <v>1.0538108318470396</v>
      </c>
      <c r="BV218" s="1999">
        <v>1.0849422684587771</v>
      </c>
      <c r="BW218" s="1979">
        <v>1.0843381067725255</v>
      </c>
      <c r="BX218" s="1979">
        <v>1.0849422684587771</v>
      </c>
      <c r="BY218" s="1979">
        <v>1.0843381067725255</v>
      </c>
      <c r="BZ218" s="1979">
        <v>1.0849422684587771</v>
      </c>
      <c r="CA218" s="1979">
        <v>1.0843381067725255</v>
      </c>
      <c r="CB218" s="1979">
        <v>1.0849422684587771</v>
      </c>
      <c r="CC218" s="1979">
        <v>1.0843381067725255</v>
      </c>
      <c r="CD218" s="1979">
        <v>1.0849422684587771</v>
      </c>
      <c r="CE218" s="1979">
        <v>1.0843381067725255</v>
      </c>
      <c r="CF218" s="2000">
        <v>1.0113260707931218</v>
      </c>
      <c r="CG218" s="1998">
        <v>1.011278698370595</v>
      </c>
      <c r="CH218" s="1998">
        <v>1.0113260707931218</v>
      </c>
      <c r="CI218" s="1998">
        <v>1.011278698370595</v>
      </c>
      <c r="CJ218" s="1998">
        <v>1.0113260707931218</v>
      </c>
      <c r="CK218" s="1998">
        <v>1.011278698370595</v>
      </c>
      <c r="CL218" s="1998">
        <v>1.0113260707931218</v>
      </c>
      <c r="CM218" s="1998">
        <v>1.011278698370595</v>
      </c>
      <c r="CN218" s="1998">
        <v>1.0113260707931218</v>
      </c>
      <c r="CO218" s="1998">
        <v>1.011278698370595</v>
      </c>
      <c r="CP218" s="1999">
        <v>1.013584976162677</v>
      </c>
      <c r="CQ218" s="1979">
        <v>1.0134970316711822</v>
      </c>
      <c r="CR218" s="1979">
        <v>1.013584976162677</v>
      </c>
      <c r="CS218" s="1979">
        <v>1.0134970316711822</v>
      </c>
      <c r="CT218" s="1979">
        <v>1.013584976162677</v>
      </c>
      <c r="CU218" s="1979">
        <v>1.0134970316711822</v>
      </c>
      <c r="CV218" s="1979">
        <v>1.013584976162677</v>
      </c>
      <c r="CW218" s="1979">
        <v>1.0134970316711822</v>
      </c>
      <c r="CX218" s="1979">
        <v>1.013584976162677</v>
      </c>
      <c r="CY218" s="1979">
        <v>1.0134970316711822</v>
      </c>
      <c r="CZ218" s="2000">
        <v>1</v>
      </c>
      <c r="DA218" s="1998">
        <v>1</v>
      </c>
      <c r="DB218" s="1998">
        <v>1</v>
      </c>
      <c r="DC218" s="1998">
        <v>1</v>
      </c>
      <c r="DD218" s="1998">
        <v>1</v>
      </c>
      <c r="DE218" s="1998">
        <v>1</v>
      </c>
      <c r="DF218" s="1998">
        <v>1</v>
      </c>
      <c r="DG218" s="1998">
        <v>1</v>
      </c>
      <c r="DH218" s="1998">
        <v>1</v>
      </c>
      <c r="DI218" s="1998">
        <v>1</v>
      </c>
      <c r="DJ218" s="1999">
        <v>1.002902992005624</v>
      </c>
      <c r="DK218" s="1979">
        <v>1.0028167563111434</v>
      </c>
      <c r="DL218" s="1979">
        <v>1.002902992005624</v>
      </c>
      <c r="DM218" s="1979">
        <v>1.0028167563111434</v>
      </c>
      <c r="DN218" s="1979">
        <v>1.002902992005624</v>
      </c>
      <c r="DO218" s="1979">
        <v>1.0028167563111434</v>
      </c>
      <c r="DP218" s="1979">
        <v>1.002902992005624</v>
      </c>
      <c r="DQ218" s="1979">
        <v>1.0028167563111434</v>
      </c>
      <c r="DR218" s="1979">
        <v>1.002902992005624</v>
      </c>
      <c r="DS218" s="1979">
        <v>1.0028167563111434</v>
      </c>
    </row>
    <row r="219" spans="1:123">
      <c r="A219" s="1997"/>
      <c r="B219" s="2">
        <v>38</v>
      </c>
      <c r="C219" s="2" t="str">
        <f>AF$17</f>
        <v/>
      </c>
      <c r="D219" s="1998">
        <v>1.0585003115621834</v>
      </c>
      <c r="E219" s="1998">
        <v>1.0736221665254722</v>
      </c>
      <c r="F219" s="1998">
        <v>1.0585003115621834</v>
      </c>
      <c r="G219" s="1998">
        <v>1.0736221665254722</v>
      </c>
      <c r="H219" s="1998">
        <v>1.0585003115621834</v>
      </c>
      <c r="I219" s="1998">
        <v>1.0736221665254722</v>
      </c>
      <c r="J219" s="1998">
        <v>1.0585003115621834</v>
      </c>
      <c r="K219" s="1998">
        <v>1.0736221665254722</v>
      </c>
      <c r="L219" s="1998">
        <v>1.0585003115621834</v>
      </c>
      <c r="M219" s="1998">
        <v>1.0736221665254722</v>
      </c>
      <c r="N219" s="1999">
        <v>1.3005750155123672</v>
      </c>
      <c r="O219" s="1979">
        <v>1.3620877030057905</v>
      </c>
      <c r="P219" s="1979">
        <v>1.3005750155123672</v>
      </c>
      <c r="Q219" s="1979">
        <v>1.3620877030057905</v>
      </c>
      <c r="R219" s="1979">
        <v>1.3005750155123672</v>
      </c>
      <c r="S219" s="1979">
        <v>1.3620877030057905</v>
      </c>
      <c r="T219" s="1979">
        <v>1.3005750155123672</v>
      </c>
      <c r="U219" s="1979">
        <v>1.3620877030057905</v>
      </c>
      <c r="V219" s="1979">
        <v>1.3005750155123672</v>
      </c>
      <c r="W219" s="1979">
        <v>1.3620877030057905</v>
      </c>
      <c r="X219" s="2000">
        <v>1.0716278462989133</v>
      </c>
      <c r="Y219" s="1998">
        <v>1.0823101507117705</v>
      </c>
      <c r="Z219" s="1998">
        <v>1.0716278462989133</v>
      </c>
      <c r="AA219" s="1998">
        <v>1.0823101507117705</v>
      </c>
      <c r="AB219" s="1998">
        <v>1.0716278462989133</v>
      </c>
      <c r="AC219" s="1998">
        <v>1.0823101507117705</v>
      </c>
      <c r="AD219" s="1998">
        <v>1.0716278462989133</v>
      </c>
      <c r="AE219" s="1998">
        <v>1.0823101507117705</v>
      </c>
      <c r="AF219" s="1998">
        <v>1.0716278462989133</v>
      </c>
      <c r="AG219" s="1998">
        <v>1.0823101507117705</v>
      </c>
      <c r="AH219" s="1999">
        <v>1.206388800524594</v>
      </c>
      <c r="AI219" s="1979">
        <v>1.2557207570577924</v>
      </c>
      <c r="AJ219" s="1979">
        <v>1.206388800524594</v>
      </c>
      <c r="AK219" s="1979">
        <v>1.2557207570577924</v>
      </c>
      <c r="AL219" s="1979">
        <v>1.206388800524594</v>
      </c>
      <c r="AM219" s="1979">
        <v>1.2557207570577924</v>
      </c>
      <c r="AN219" s="1979">
        <v>1.206388800524594</v>
      </c>
      <c r="AO219" s="1979">
        <v>1.2557207570577924</v>
      </c>
      <c r="AP219" s="1979">
        <v>1.206388800524594</v>
      </c>
      <c r="AQ219" s="1979">
        <v>1.2557207570577924</v>
      </c>
      <c r="AR219" s="2000">
        <v>1.0512793325222012</v>
      </c>
      <c r="AS219" s="1998">
        <v>1.0630560521699974</v>
      </c>
      <c r="AT219" s="1998">
        <v>1.0512793325222012</v>
      </c>
      <c r="AU219" s="1998">
        <v>1.0630560521699974</v>
      </c>
      <c r="AV219" s="1998">
        <v>1.0512793325222012</v>
      </c>
      <c r="AW219" s="1998">
        <v>1.0630560521699974</v>
      </c>
      <c r="AX219" s="1998">
        <v>1.0512793325222012</v>
      </c>
      <c r="AY219" s="1998">
        <v>1.0630560521699974</v>
      </c>
      <c r="AZ219" s="1998">
        <v>1.0512793325222012</v>
      </c>
      <c r="BA219" s="1998">
        <v>1.0630560521699974</v>
      </c>
      <c r="BB219" s="1999">
        <v>1.3180265000109936</v>
      </c>
      <c r="BC219" s="1979">
        <v>1.3308586370188196</v>
      </c>
      <c r="BD219" s="1979">
        <v>1.3180265000109936</v>
      </c>
      <c r="BE219" s="1979">
        <v>1.3308586370188196</v>
      </c>
      <c r="BF219" s="1979">
        <v>1.3180265000109936</v>
      </c>
      <c r="BG219" s="1979">
        <v>1.3308586370188196</v>
      </c>
      <c r="BH219" s="1979">
        <v>1.3180265000109936</v>
      </c>
      <c r="BI219" s="1979">
        <v>1.3308586370188196</v>
      </c>
      <c r="BJ219" s="1979">
        <v>1.3180265000109936</v>
      </c>
      <c r="BK219" s="1979">
        <v>1.3308586370188196</v>
      </c>
      <c r="BL219" s="2000">
        <v>1.1170137448642214</v>
      </c>
      <c r="BM219" s="1998">
        <v>1.1385153231561622</v>
      </c>
      <c r="BN219" s="1998">
        <v>1.1170137448642214</v>
      </c>
      <c r="BO219" s="1998">
        <v>1.1385153231561622</v>
      </c>
      <c r="BP219" s="1998">
        <v>1.1170137448642214</v>
      </c>
      <c r="BQ219" s="1998">
        <v>1.1385153231561622</v>
      </c>
      <c r="BR219" s="1998">
        <v>1.1170137448642214</v>
      </c>
      <c r="BS219" s="1998">
        <v>1.1385153231561622</v>
      </c>
      <c r="BT219" s="1998">
        <v>1.1170137448642214</v>
      </c>
      <c r="BU219" s="1998">
        <v>1.1385153231561622</v>
      </c>
      <c r="BV219" s="1999">
        <v>1.1720905657817644</v>
      </c>
      <c r="BW219" s="1979">
        <v>1.2170960699359263</v>
      </c>
      <c r="BX219" s="1979">
        <v>1.1720905657817644</v>
      </c>
      <c r="BY219" s="1979">
        <v>1.2170960699359263</v>
      </c>
      <c r="BZ219" s="1979">
        <v>1.1720905657817644</v>
      </c>
      <c r="CA219" s="1979">
        <v>1.2170960699359263</v>
      </c>
      <c r="CB219" s="1979">
        <v>1.1720905657817644</v>
      </c>
      <c r="CC219" s="1979">
        <v>1.2170960699359263</v>
      </c>
      <c r="CD219" s="1979">
        <v>1.1720905657817644</v>
      </c>
      <c r="CE219" s="1979">
        <v>1.2170960699359263</v>
      </c>
      <c r="CF219" s="2000">
        <v>1.0229462900654527</v>
      </c>
      <c r="CG219" s="1998">
        <v>1.029032677919284</v>
      </c>
      <c r="CH219" s="1998">
        <v>1.0229462900654527</v>
      </c>
      <c r="CI219" s="1998">
        <v>1.029032677919284</v>
      </c>
      <c r="CJ219" s="1998">
        <v>1.0229462900654527</v>
      </c>
      <c r="CK219" s="1998">
        <v>1.029032677919284</v>
      </c>
      <c r="CL219" s="1998">
        <v>1.0229462900654527</v>
      </c>
      <c r="CM219" s="1998">
        <v>1.029032677919284</v>
      </c>
      <c r="CN219" s="1998">
        <v>1.0229462900654527</v>
      </c>
      <c r="CO219" s="1998">
        <v>1.029032677919284</v>
      </c>
      <c r="CP219" s="1999">
        <v>1.0275227666553484</v>
      </c>
      <c r="CQ219" s="1979">
        <v>1.0347429251585825</v>
      </c>
      <c r="CR219" s="1979">
        <v>1.0275227666553484</v>
      </c>
      <c r="CS219" s="1979">
        <v>1.0347429251585825</v>
      </c>
      <c r="CT219" s="1979">
        <v>1.0275227666553484</v>
      </c>
      <c r="CU219" s="1979">
        <v>1.0347429251585825</v>
      </c>
      <c r="CV219" s="1979">
        <v>1.0275227666553484</v>
      </c>
      <c r="CW219" s="1979">
        <v>1.0347429251585825</v>
      </c>
      <c r="CX219" s="1979">
        <v>1.0275227666553484</v>
      </c>
      <c r="CY219" s="1979">
        <v>1.0347429251585825</v>
      </c>
      <c r="CZ219" s="2000">
        <v>1</v>
      </c>
      <c r="DA219" s="1998">
        <v>1</v>
      </c>
      <c r="DB219" s="1998">
        <v>1</v>
      </c>
      <c r="DC219" s="1998">
        <v>1</v>
      </c>
      <c r="DD219" s="1998">
        <v>1</v>
      </c>
      <c r="DE219" s="1998">
        <v>1</v>
      </c>
      <c r="DF219" s="1998">
        <v>1</v>
      </c>
      <c r="DG219" s="1998">
        <v>1</v>
      </c>
      <c r="DH219" s="1998">
        <v>1</v>
      </c>
      <c r="DI219" s="1998">
        <v>1</v>
      </c>
      <c r="DJ219" s="1999">
        <v>1.0056299445065071</v>
      </c>
      <c r="DK219" s="1979">
        <v>1.0069907332011339</v>
      </c>
      <c r="DL219" s="1979">
        <v>1.0056299445065071</v>
      </c>
      <c r="DM219" s="1979">
        <v>1.0069907332011339</v>
      </c>
      <c r="DN219" s="1979">
        <v>1.0056299445065071</v>
      </c>
      <c r="DO219" s="1979">
        <v>1.0069907332011339</v>
      </c>
      <c r="DP219" s="1979">
        <v>1.0056299445065071</v>
      </c>
      <c r="DQ219" s="1979">
        <v>1.0069907332011339</v>
      </c>
      <c r="DR219" s="1979">
        <v>1.0056299445065071</v>
      </c>
      <c r="DS219" s="1979">
        <v>1.0069907332011339</v>
      </c>
    </row>
    <row r="220" spans="1:123">
      <c r="A220" s="1997"/>
      <c r="B220" s="2">
        <v>39</v>
      </c>
      <c r="C220" s="2" t="str">
        <f>AF$18</f>
        <v/>
      </c>
      <c r="D220" s="1998">
        <v>1.0227769495140195</v>
      </c>
      <c r="E220" s="1998">
        <v>1.0059727025741969</v>
      </c>
      <c r="F220" s="1998">
        <v>1.0227769495140195</v>
      </c>
      <c r="G220" s="1998">
        <v>1.0059727025741969</v>
      </c>
      <c r="H220" s="1998">
        <v>1.0227769495140195</v>
      </c>
      <c r="I220" s="1998">
        <v>1.0059727025741969</v>
      </c>
      <c r="J220" s="1998">
        <v>1.0227769495140195</v>
      </c>
      <c r="K220" s="1998">
        <v>1.0059727025741969</v>
      </c>
      <c r="L220" s="1998">
        <v>1.0227769495140195</v>
      </c>
      <c r="M220" s="1998">
        <v>1.0059727025741969</v>
      </c>
      <c r="N220" s="1999">
        <v>1.1822842050055484</v>
      </c>
      <c r="O220" s="1979">
        <v>1.1383735895895952</v>
      </c>
      <c r="P220" s="1979">
        <v>1.1822842050055484</v>
      </c>
      <c r="Q220" s="1979">
        <v>1.1383735895895952</v>
      </c>
      <c r="R220" s="1979">
        <v>1.1822842050055484</v>
      </c>
      <c r="S220" s="1979">
        <v>1.1383735895895952</v>
      </c>
      <c r="T220" s="1979">
        <v>1.1822842050055484</v>
      </c>
      <c r="U220" s="1979">
        <v>1.1383735895895952</v>
      </c>
      <c r="V220" s="1979">
        <v>1.1822842050055484</v>
      </c>
      <c r="W220" s="1979">
        <v>1.1383735895895952</v>
      </c>
      <c r="X220" s="2000">
        <v>1.0434388234052001</v>
      </c>
      <c r="Y220" s="1998">
        <v>1.0280974034669013</v>
      </c>
      <c r="Z220" s="1998">
        <v>1.0434388234052001</v>
      </c>
      <c r="AA220" s="1998">
        <v>1.0280974034669013</v>
      </c>
      <c r="AB220" s="1998">
        <v>1.0434388234052001</v>
      </c>
      <c r="AC220" s="1998">
        <v>1.0280974034669013</v>
      </c>
      <c r="AD220" s="1998">
        <v>1.0434388234052001</v>
      </c>
      <c r="AE220" s="1998">
        <v>1.0280974034669013</v>
      </c>
      <c r="AF220" s="1998">
        <v>1.0434388234052001</v>
      </c>
      <c r="AG220" s="1998">
        <v>1.0280974034669013</v>
      </c>
      <c r="AH220" s="1999">
        <v>1.1251648223706952</v>
      </c>
      <c r="AI220" s="1979">
        <v>1.0977249400985309</v>
      </c>
      <c r="AJ220" s="1979">
        <v>1.1251648223706952</v>
      </c>
      <c r="AK220" s="1979">
        <v>1.0977249400985309</v>
      </c>
      <c r="AL220" s="1979">
        <v>1.1251648223706952</v>
      </c>
      <c r="AM220" s="1979">
        <v>1.0977249400985309</v>
      </c>
      <c r="AN220" s="1979">
        <v>1.1251648223706952</v>
      </c>
      <c r="AO220" s="1979">
        <v>1.0977249400985309</v>
      </c>
      <c r="AP220" s="1979">
        <v>1.1251648223706952</v>
      </c>
      <c r="AQ220" s="1979">
        <v>1.0977249400985309</v>
      </c>
      <c r="AR220" s="2000">
        <v>1.0310984342663703</v>
      </c>
      <c r="AS220" s="1998">
        <v>1.0240971792515468</v>
      </c>
      <c r="AT220" s="1998">
        <v>1.0310984342663703</v>
      </c>
      <c r="AU220" s="1998">
        <v>1.0240971792515468</v>
      </c>
      <c r="AV220" s="1998">
        <v>1.0310984342663703</v>
      </c>
      <c r="AW220" s="1998">
        <v>1.0240971792515468</v>
      </c>
      <c r="AX220" s="1998">
        <v>1.0310984342663703</v>
      </c>
      <c r="AY220" s="1998">
        <v>1.0240971792515468</v>
      </c>
      <c r="AZ220" s="1998">
        <v>1.0310984342663703</v>
      </c>
      <c r="BA220" s="1998">
        <v>1.0240971792515468</v>
      </c>
      <c r="BB220" s="1999">
        <v>1.3180265000109936</v>
      </c>
      <c r="BC220" s="1979">
        <v>1.3308586370188196</v>
      </c>
      <c r="BD220" s="1979">
        <v>1.3180265000109936</v>
      </c>
      <c r="BE220" s="1979">
        <v>1.3308586370188196</v>
      </c>
      <c r="BF220" s="1979">
        <v>1.3180265000109936</v>
      </c>
      <c r="BG220" s="1979">
        <v>1.3308586370188196</v>
      </c>
      <c r="BH220" s="1979">
        <v>1.3180265000109936</v>
      </c>
      <c r="BI220" s="1979">
        <v>1.3308586370188196</v>
      </c>
      <c r="BJ220" s="1979">
        <v>1.3180265000109936</v>
      </c>
      <c r="BK220" s="1979">
        <v>1.3308586370188196</v>
      </c>
      <c r="BL220" s="2000">
        <v>1.0991807094920885</v>
      </c>
      <c r="BM220" s="1998">
        <v>1.0810384024859852</v>
      </c>
      <c r="BN220" s="1998">
        <v>1.0991807094920885</v>
      </c>
      <c r="BO220" s="1998">
        <v>1.0810384024859852</v>
      </c>
      <c r="BP220" s="1998">
        <v>1.0991807094920885</v>
      </c>
      <c r="BQ220" s="1998">
        <v>1.0810384024859852</v>
      </c>
      <c r="BR220" s="1998">
        <v>1.0991807094920885</v>
      </c>
      <c r="BS220" s="1998">
        <v>1.0810384024859852</v>
      </c>
      <c r="BT220" s="1998">
        <v>1.0991807094920885</v>
      </c>
      <c r="BU220" s="1998">
        <v>1.0810384024859852</v>
      </c>
      <c r="BV220" s="1999">
        <v>1.1043646023572886</v>
      </c>
      <c r="BW220" s="1979">
        <v>1.0829643266906182</v>
      </c>
      <c r="BX220" s="1979">
        <v>1.1043646023572886</v>
      </c>
      <c r="BY220" s="1979">
        <v>1.0829643266906182</v>
      </c>
      <c r="BZ220" s="1979">
        <v>1.1043646023572886</v>
      </c>
      <c r="CA220" s="1979">
        <v>1.0829643266906182</v>
      </c>
      <c r="CB220" s="1979">
        <v>1.1043646023572886</v>
      </c>
      <c r="CC220" s="1979">
        <v>1.0829643266906182</v>
      </c>
      <c r="CD220" s="1979">
        <v>1.1043646023572886</v>
      </c>
      <c r="CE220" s="1979">
        <v>1.0829643266906182</v>
      </c>
      <c r="CF220" s="2000">
        <v>1.013915814776813</v>
      </c>
      <c r="CG220" s="1998">
        <v>1.0110949800994089</v>
      </c>
      <c r="CH220" s="1998">
        <v>1.013915814776813</v>
      </c>
      <c r="CI220" s="1998">
        <v>1.0110949800994089</v>
      </c>
      <c r="CJ220" s="1998">
        <v>1.013915814776813</v>
      </c>
      <c r="CK220" s="1998">
        <v>1.0110949800994089</v>
      </c>
      <c r="CL220" s="1998">
        <v>1.013915814776813</v>
      </c>
      <c r="CM220" s="1998">
        <v>1.0110949800994089</v>
      </c>
      <c r="CN220" s="1998">
        <v>1.013915814776813</v>
      </c>
      <c r="CO220" s="1998">
        <v>1.0110949800994089</v>
      </c>
      <c r="CP220" s="1999">
        <v>1.0166912264173766</v>
      </c>
      <c r="CQ220" s="1979">
        <v>1.0132771790566961</v>
      </c>
      <c r="CR220" s="1979">
        <v>1.0166912264173766</v>
      </c>
      <c r="CS220" s="1979">
        <v>1.0132771790566961</v>
      </c>
      <c r="CT220" s="1979">
        <v>1.0166912264173766</v>
      </c>
      <c r="CU220" s="1979">
        <v>1.0132771790566961</v>
      </c>
      <c r="CV220" s="1979">
        <v>1.0166912264173766</v>
      </c>
      <c r="CW220" s="1979">
        <v>1.0132771790566961</v>
      </c>
      <c r="CX220" s="1979">
        <v>1.0166912264173766</v>
      </c>
      <c r="CY220" s="1979">
        <v>1.0132771790566961</v>
      </c>
      <c r="CZ220" s="2000">
        <v>1</v>
      </c>
      <c r="DA220" s="1998">
        <v>1</v>
      </c>
      <c r="DB220" s="1998">
        <v>1</v>
      </c>
      <c r="DC220" s="1998">
        <v>1</v>
      </c>
      <c r="DD220" s="1998">
        <v>1</v>
      </c>
      <c r="DE220" s="1998">
        <v>1</v>
      </c>
      <c r="DF220" s="1998">
        <v>1</v>
      </c>
      <c r="DG220" s="1998">
        <v>1</v>
      </c>
      <c r="DH220" s="1998">
        <v>1</v>
      </c>
      <c r="DI220" s="1998">
        <v>1</v>
      </c>
      <c r="DJ220" s="1999">
        <v>1.0035107351701431</v>
      </c>
      <c r="DK220" s="1979">
        <v>1.0027735639769348</v>
      </c>
      <c r="DL220" s="1979">
        <v>1.0035107351701431</v>
      </c>
      <c r="DM220" s="1979">
        <v>1.0027735639769348</v>
      </c>
      <c r="DN220" s="1979">
        <v>1.0035107351701431</v>
      </c>
      <c r="DO220" s="1979">
        <v>1.0027735639769348</v>
      </c>
      <c r="DP220" s="1979">
        <v>1.0035107351701431</v>
      </c>
      <c r="DQ220" s="1979">
        <v>1.0027735639769348</v>
      </c>
      <c r="DR220" s="1979">
        <v>1.0035107351701431</v>
      </c>
      <c r="DS220" s="1979">
        <v>1.0027735639769348</v>
      </c>
    </row>
    <row r="221" spans="1:123">
      <c r="A221" s="2001" t="str">
        <f>Uebersetzung!$D636</f>
        <v>Construction métallique</v>
      </c>
      <c r="B221" s="2">
        <v>1</v>
      </c>
      <c r="C221" s="2" t="s">
        <v>4327</v>
      </c>
      <c r="D221" s="2002">
        <v>0.89393179380408117</v>
      </c>
      <c r="E221" s="2002">
        <v>0</v>
      </c>
      <c r="F221" s="2002">
        <v>0</v>
      </c>
      <c r="G221" s="2002">
        <v>0</v>
      </c>
      <c r="H221" s="2002">
        <v>0</v>
      </c>
      <c r="I221" s="2002">
        <v>0</v>
      </c>
      <c r="J221" s="2002">
        <v>0</v>
      </c>
      <c r="K221" s="2002">
        <v>0</v>
      </c>
      <c r="L221" s="2002">
        <v>0</v>
      </c>
      <c r="M221" s="2002">
        <v>0</v>
      </c>
      <c r="N221" s="2003">
        <v>0</v>
      </c>
      <c r="O221" s="2004">
        <v>0</v>
      </c>
      <c r="P221" s="2004">
        <v>0</v>
      </c>
      <c r="Q221" s="2004">
        <v>0</v>
      </c>
      <c r="R221" s="2004">
        <v>0</v>
      </c>
      <c r="S221" s="2004">
        <v>0</v>
      </c>
      <c r="T221" s="2004">
        <v>0</v>
      </c>
      <c r="U221" s="2004">
        <v>0</v>
      </c>
      <c r="V221" s="2004">
        <v>0</v>
      </c>
      <c r="W221" s="2004">
        <v>0</v>
      </c>
      <c r="X221" s="2005">
        <v>0</v>
      </c>
      <c r="Y221" s="2002">
        <v>0</v>
      </c>
      <c r="Z221" s="2002">
        <v>0</v>
      </c>
      <c r="AA221" s="2002">
        <v>0</v>
      </c>
      <c r="AB221" s="2002">
        <v>0</v>
      </c>
      <c r="AC221" s="2002">
        <v>0</v>
      </c>
      <c r="AD221" s="2002">
        <v>0</v>
      </c>
      <c r="AE221" s="2002">
        <v>0</v>
      </c>
      <c r="AF221" s="2002">
        <v>0</v>
      </c>
      <c r="AG221" s="2002">
        <v>0</v>
      </c>
      <c r="AH221" s="2003">
        <v>0</v>
      </c>
      <c r="AI221" s="2004">
        <v>0</v>
      </c>
      <c r="AJ221" s="2004">
        <v>0</v>
      </c>
      <c r="AK221" s="2004">
        <v>0</v>
      </c>
      <c r="AL221" s="2004">
        <v>0</v>
      </c>
      <c r="AM221" s="2004">
        <v>0</v>
      </c>
      <c r="AN221" s="2004">
        <v>0</v>
      </c>
      <c r="AO221" s="2004">
        <v>0</v>
      </c>
      <c r="AP221" s="2004">
        <v>0</v>
      </c>
      <c r="AQ221" s="2004">
        <v>0</v>
      </c>
      <c r="AR221" s="2005" t="e">
        <v>#VALUE!</v>
      </c>
      <c r="AS221" s="2002">
        <v>0</v>
      </c>
      <c r="AT221" s="2002">
        <v>0</v>
      </c>
      <c r="AU221" s="2002">
        <v>0</v>
      </c>
      <c r="AV221" s="2002">
        <v>0</v>
      </c>
      <c r="AW221" s="2002">
        <v>0</v>
      </c>
      <c r="AX221" s="2002">
        <v>0</v>
      </c>
      <c r="AY221" s="2002">
        <v>0</v>
      </c>
      <c r="AZ221" s="2002">
        <v>0</v>
      </c>
      <c r="BA221" s="2002">
        <v>0</v>
      </c>
      <c r="BB221" s="2003">
        <v>0</v>
      </c>
      <c r="BC221" s="2004">
        <v>0</v>
      </c>
      <c r="BD221" s="2004">
        <v>0</v>
      </c>
      <c r="BE221" s="2004">
        <v>0</v>
      </c>
      <c r="BF221" s="2004">
        <v>0</v>
      </c>
      <c r="BG221" s="2004">
        <v>0</v>
      </c>
      <c r="BH221" s="2004">
        <v>0</v>
      </c>
      <c r="BI221" s="2004">
        <v>0</v>
      </c>
      <c r="BJ221" s="2004">
        <v>0</v>
      </c>
      <c r="BK221" s="2004">
        <v>0</v>
      </c>
      <c r="BL221" s="2005">
        <v>0.82832643393765482</v>
      </c>
      <c r="BM221" s="2002">
        <v>0.77606475549110032</v>
      </c>
      <c r="BN221" s="2002">
        <v>0.82847267014286186</v>
      </c>
      <c r="BO221" s="2002">
        <v>0.77616462983427192</v>
      </c>
      <c r="BP221" s="2002">
        <v>0.82864221936629012</v>
      </c>
      <c r="BQ221" s="2002">
        <v>0.77628042617418147</v>
      </c>
      <c r="BR221" s="2002">
        <v>0.82883720097323277</v>
      </c>
      <c r="BS221" s="2002">
        <v>0.7764135919650772</v>
      </c>
      <c r="BT221" s="2002">
        <v>0.82907668925132549</v>
      </c>
      <c r="BU221" s="2002">
        <v>0.77657715429519902</v>
      </c>
      <c r="BV221" s="2003">
        <v>0</v>
      </c>
      <c r="BW221" s="2004">
        <v>0</v>
      </c>
      <c r="BX221" s="2004">
        <v>0</v>
      </c>
      <c r="BY221" s="2004">
        <v>0</v>
      </c>
      <c r="BZ221" s="2004">
        <v>0</v>
      </c>
      <c r="CA221" s="2004">
        <v>0</v>
      </c>
      <c r="CB221" s="2004">
        <v>0</v>
      </c>
      <c r="CC221" s="2004">
        <v>0</v>
      </c>
      <c r="CD221" s="2004">
        <v>0</v>
      </c>
      <c r="CE221" s="2004">
        <v>0</v>
      </c>
      <c r="CF221" s="2005">
        <v>0.71838838967783858</v>
      </c>
      <c r="CG221" s="2002">
        <v>0.72337534368935719</v>
      </c>
      <c r="CH221" s="2002">
        <v>0.71848202817005391</v>
      </c>
      <c r="CI221" s="2002">
        <v>0.72344369819007259</v>
      </c>
      <c r="CJ221" s="2002">
        <v>0.7185905945378398</v>
      </c>
      <c r="CK221" s="2002">
        <v>0.72352294978510479</v>
      </c>
      <c r="CL221" s="2002">
        <v>0.7187154458607935</v>
      </c>
      <c r="CM221" s="2002">
        <v>0.72361408911939229</v>
      </c>
      <c r="CN221" s="2002">
        <v>0.71886879585529095</v>
      </c>
      <c r="CO221" s="2002">
        <v>0.72372603199737551</v>
      </c>
      <c r="CP221" s="2003">
        <v>0.66839202031039346</v>
      </c>
      <c r="CQ221" s="2004">
        <v>0.67360803275106707</v>
      </c>
      <c r="CR221" s="2004">
        <v>0.66849029508894675</v>
      </c>
      <c r="CS221" s="2004">
        <v>0.67367960661330462</v>
      </c>
      <c r="CT221" s="2004">
        <v>0.66860423686118231</v>
      </c>
      <c r="CU221" s="2004">
        <v>0.67376259080140621</v>
      </c>
      <c r="CV221" s="2004">
        <v>0.66873526989925325</v>
      </c>
      <c r="CW221" s="2004">
        <v>0.67385802261772298</v>
      </c>
      <c r="CX221" s="2004">
        <v>0.66889621265253607</v>
      </c>
      <c r="CY221" s="2004">
        <v>0.6739752377834165</v>
      </c>
      <c r="CZ221" s="2005">
        <v>0.59663899384193586</v>
      </c>
      <c r="DA221" s="2002">
        <v>0.59292481736445757</v>
      </c>
      <c r="DB221" s="2002">
        <v>0.59679259925826567</v>
      </c>
      <c r="DC221" s="2002">
        <v>0.59303564713324974</v>
      </c>
      <c r="DD221" s="2002">
        <v>0.59697067279401095</v>
      </c>
      <c r="DE221" s="2002">
        <v>0.59316413120149558</v>
      </c>
      <c r="DF221" s="2002">
        <v>0.59717865180904139</v>
      </c>
      <c r="DG221" s="2002">
        <v>0.59331419274685127</v>
      </c>
      <c r="DH221" s="2002">
        <v>0.59743692640287038</v>
      </c>
      <c r="DI221" s="2002">
        <v>0.59350054368552851</v>
      </c>
      <c r="DJ221" s="2003">
        <v>0.53391113626247366</v>
      </c>
      <c r="DK221" s="2004">
        <v>0.53934532870945018</v>
      </c>
      <c r="DL221" s="2004">
        <v>0.53411433693711496</v>
      </c>
      <c r="DM221" s="2004">
        <v>0.53949393217025698</v>
      </c>
      <c r="DN221" s="2004">
        <v>0.53434990586081443</v>
      </c>
      <c r="DO221" s="2004">
        <v>0.53966620697880285</v>
      </c>
      <c r="DP221" s="2004">
        <v>0.53462503597780675</v>
      </c>
      <c r="DQ221" s="2004">
        <v>0.53986741343458544</v>
      </c>
      <c r="DR221" s="2004">
        <v>0.53496670082897368</v>
      </c>
      <c r="DS221" s="2004">
        <v>0.5401172776607206</v>
      </c>
    </row>
    <row r="222" spans="1:123">
      <c r="A222" s="1997"/>
      <c r="B222" s="2">
        <v>2</v>
      </c>
      <c r="C222" s="2" t="s">
        <v>4328</v>
      </c>
      <c r="D222" s="1979">
        <v>0</v>
      </c>
      <c r="E222" s="1979">
        <v>0</v>
      </c>
      <c r="F222" s="1979">
        <v>0</v>
      </c>
      <c r="G222" s="1979">
        <v>0</v>
      </c>
      <c r="H222" s="1979">
        <v>0</v>
      </c>
      <c r="I222" s="1979">
        <v>0</v>
      </c>
      <c r="J222" s="1979">
        <v>0</v>
      </c>
      <c r="K222" s="1979">
        <v>0</v>
      </c>
      <c r="L222" s="1979">
        <v>0</v>
      </c>
      <c r="M222" s="1979">
        <v>0</v>
      </c>
      <c r="N222" s="2000">
        <v>0</v>
      </c>
      <c r="O222" s="1998">
        <v>0</v>
      </c>
      <c r="P222" s="1998">
        <v>0</v>
      </c>
      <c r="Q222" s="1998">
        <v>0</v>
      </c>
      <c r="R222" s="1998">
        <v>0</v>
      </c>
      <c r="S222" s="1998">
        <v>0</v>
      </c>
      <c r="T222" s="1998">
        <v>0</v>
      </c>
      <c r="U222" s="1998">
        <v>0</v>
      </c>
      <c r="V222" s="1998">
        <v>0</v>
      </c>
      <c r="W222" s="1998">
        <v>0</v>
      </c>
      <c r="X222" s="1999">
        <v>0</v>
      </c>
      <c r="Y222" s="1979">
        <v>0</v>
      </c>
      <c r="Z222" s="1979">
        <v>0</v>
      </c>
      <c r="AA222" s="1979">
        <v>0</v>
      </c>
      <c r="AB222" s="1979">
        <v>0</v>
      </c>
      <c r="AC222" s="1979">
        <v>0</v>
      </c>
      <c r="AD222" s="1979">
        <v>0</v>
      </c>
      <c r="AE222" s="1979">
        <v>0</v>
      </c>
      <c r="AF222" s="1979">
        <v>0</v>
      </c>
      <c r="AG222" s="1979">
        <v>0</v>
      </c>
      <c r="AH222" s="2000">
        <v>0</v>
      </c>
      <c r="AI222" s="1998">
        <v>0</v>
      </c>
      <c r="AJ222" s="1998">
        <v>0</v>
      </c>
      <c r="AK222" s="1998">
        <v>0</v>
      </c>
      <c r="AL222" s="1998">
        <v>0</v>
      </c>
      <c r="AM222" s="1998">
        <v>0</v>
      </c>
      <c r="AN222" s="1998">
        <v>0</v>
      </c>
      <c r="AO222" s="1998">
        <v>0</v>
      </c>
      <c r="AP222" s="1998">
        <v>0</v>
      </c>
      <c r="AQ222" s="1998">
        <v>0</v>
      </c>
      <c r="AR222" s="1999">
        <v>0</v>
      </c>
      <c r="AS222" s="1979">
        <v>0</v>
      </c>
      <c r="AT222" s="1979">
        <v>0</v>
      </c>
      <c r="AU222" s="1979">
        <v>0</v>
      </c>
      <c r="AV222" s="1979">
        <v>0</v>
      </c>
      <c r="AW222" s="1979">
        <v>0</v>
      </c>
      <c r="AX222" s="1979">
        <v>0</v>
      </c>
      <c r="AY222" s="1979">
        <v>0</v>
      </c>
      <c r="AZ222" s="1979">
        <v>0</v>
      </c>
      <c r="BA222" s="1979">
        <v>0</v>
      </c>
      <c r="BB222" s="2000">
        <v>0</v>
      </c>
      <c r="BC222" s="1998">
        <v>0</v>
      </c>
      <c r="BD222" s="1998">
        <v>0</v>
      </c>
      <c r="BE222" s="1998">
        <v>0</v>
      </c>
      <c r="BF222" s="1998">
        <v>0</v>
      </c>
      <c r="BG222" s="1998">
        <v>0</v>
      </c>
      <c r="BH222" s="1998">
        <v>0</v>
      </c>
      <c r="BI222" s="1998">
        <v>0</v>
      </c>
      <c r="BJ222" s="1998">
        <v>0</v>
      </c>
      <c r="BK222" s="1998">
        <v>0</v>
      </c>
      <c r="BL222" s="1999">
        <v>0.84592016400870429</v>
      </c>
      <c r="BM222" s="1979">
        <v>0.79101489332092512</v>
      </c>
      <c r="BN222" s="1979">
        <v>0.84606640021391144</v>
      </c>
      <c r="BO222" s="1979">
        <v>0.79111476766409716</v>
      </c>
      <c r="BP222" s="1979">
        <v>0.8462359494373396</v>
      </c>
      <c r="BQ222" s="1979">
        <v>0.79123056400400649</v>
      </c>
      <c r="BR222" s="1979">
        <v>0.84643093104428246</v>
      </c>
      <c r="BS222" s="1979">
        <v>0.7913637297949021</v>
      </c>
      <c r="BT222" s="1979">
        <v>0.84667041932237508</v>
      </c>
      <c r="BU222" s="1979">
        <v>0.79152729212502415</v>
      </c>
      <c r="BV222" s="2000">
        <v>0</v>
      </c>
      <c r="BW222" s="1998">
        <v>0</v>
      </c>
      <c r="BX222" s="1998">
        <v>0</v>
      </c>
      <c r="BY222" s="1998">
        <v>0</v>
      </c>
      <c r="BZ222" s="1998">
        <v>0</v>
      </c>
      <c r="CA222" s="1998">
        <v>0</v>
      </c>
      <c r="CB222" s="1998">
        <v>0</v>
      </c>
      <c r="CC222" s="1998">
        <v>0</v>
      </c>
      <c r="CD222" s="1998">
        <v>0</v>
      </c>
      <c r="CE222" s="1998">
        <v>0</v>
      </c>
      <c r="CF222" s="1999">
        <v>0.72822951620832965</v>
      </c>
      <c r="CG222" s="1979">
        <v>0.73270131492691692</v>
      </c>
      <c r="CH222" s="1979">
        <v>0.72833876111591433</v>
      </c>
      <c r="CI222" s="1979">
        <v>0.73278106184441827</v>
      </c>
      <c r="CJ222" s="1979">
        <v>0.72846542187833119</v>
      </c>
      <c r="CK222" s="1979">
        <v>0.73287352203862277</v>
      </c>
      <c r="CL222" s="1979">
        <v>0.72861108175511058</v>
      </c>
      <c r="CM222" s="1979">
        <v>0.73297985126195797</v>
      </c>
      <c r="CN222" s="1979">
        <v>0.72878999008202439</v>
      </c>
      <c r="CO222" s="1979">
        <v>0.73311045128627172</v>
      </c>
      <c r="CP222" s="2000">
        <v>0.69314965221721747</v>
      </c>
      <c r="CQ222" s="1998">
        <v>0.69690037884634681</v>
      </c>
      <c r="CR222" s="1998">
        <v>0.69328723690719207</v>
      </c>
      <c r="CS222" s="1998">
        <v>0.69700058225347938</v>
      </c>
      <c r="CT222" s="1998">
        <v>0.6934467553883219</v>
      </c>
      <c r="CU222" s="1998">
        <v>0.69711676011682155</v>
      </c>
      <c r="CV222" s="1998">
        <v>0.69363020164162126</v>
      </c>
      <c r="CW222" s="1998">
        <v>0.69725036465966506</v>
      </c>
      <c r="CX222" s="1998">
        <v>0.69385552149621721</v>
      </c>
      <c r="CY222" s="1998">
        <v>0.69741446589163592</v>
      </c>
      <c r="CZ222" s="1999">
        <v>0.60668538174700337</v>
      </c>
      <c r="DA222" s="1979">
        <v>0.60368960073796907</v>
      </c>
      <c r="DB222" s="1979">
        <v>0.60686970824659914</v>
      </c>
      <c r="DC222" s="1979">
        <v>0.60382259646051972</v>
      </c>
      <c r="DD222" s="1979">
        <v>0.60708339648949339</v>
      </c>
      <c r="DE222" s="1979">
        <v>0.60397677734241462</v>
      </c>
      <c r="DF222" s="1979">
        <v>0.60733297130753006</v>
      </c>
      <c r="DG222" s="1979">
        <v>0.6041568511968417</v>
      </c>
      <c r="DH222" s="1979">
        <v>0.60764290082012473</v>
      </c>
      <c r="DI222" s="1979">
        <v>0.60438047232325431</v>
      </c>
      <c r="DJ222" s="2000">
        <v>0.53695093309054098</v>
      </c>
      <c r="DK222" s="1998">
        <v>0.54203104600708196</v>
      </c>
      <c r="DL222" s="1998">
        <v>0.53715413376518251</v>
      </c>
      <c r="DM222" s="1998">
        <v>0.54217964946788855</v>
      </c>
      <c r="DN222" s="1998">
        <v>0.53738970268888187</v>
      </c>
      <c r="DO222" s="1998">
        <v>0.54235192427643453</v>
      </c>
      <c r="DP222" s="1998">
        <v>0.53766483280587407</v>
      </c>
      <c r="DQ222" s="1998">
        <v>0.542553130732217</v>
      </c>
      <c r="DR222" s="1998">
        <v>0.53800649765704101</v>
      </c>
      <c r="DS222" s="1998">
        <v>0.54280299495835238</v>
      </c>
    </row>
    <row r="223" spans="1:123">
      <c r="A223" s="1997"/>
      <c r="B223" s="2">
        <v>3</v>
      </c>
      <c r="C223" s="2" t="s">
        <v>4329</v>
      </c>
      <c r="D223" s="1979">
        <v>0</v>
      </c>
      <c r="E223" s="1979">
        <v>0</v>
      </c>
      <c r="F223" s="1979">
        <v>0</v>
      </c>
      <c r="G223" s="1979">
        <v>0</v>
      </c>
      <c r="H223" s="1979">
        <v>0</v>
      </c>
      <c r="I223" s="1979">
        <v>0</v>
      </c>
      <c r="J223" s="1979">
        <v>0</v>
      </c>
      <c r="K223" s="1979">
        <v>0</v>
      </c>
      <c r="L223" s="1979">
        <v>0</v>
      </c>
      <c r="M223" s="1979">
        <v>0</v>
      </c>
      <c r="N223" s="2000">
        <v>0</v>
      </c>
      <c r="O223" s="1998">
        <v>0</v>
      </c>
      <c r="P223" s="1998">
        <v>0</v>
      </c>
      <c r="Q223" s="1998">
        <v>0</v>
      </c>
      <c r="R223" s="1998">
        <v>0</v>
      </c>
      <c r="S223" s="1998">
        <v>0</v>
      </c>
      <c r="T223" s="1998">
        <v>0</v>
      </c>
      <c r="U223" s="1998">
        <v>0</v>
      </c>
      <c r="V223" s="1998">
        <v>0</v>
      </c>
      <c r="W223" s="1998">
        <v>0</v>
      </c>
      <c r="X223" s="1999">
        <v>0</v>
      </c>
      <c r="Y223" s="1979">
        <v>0</v>
      </c>
      <c r="Z223" s="1979">
        <v>0</v>
      </c>
      <c r="AA223" s="1979">
        <v>0</v>
      </c>
      <c r="AB223" s="1979">
        <v>0</v>
      </c>
      <c r="AC223" s="1979">
        <v>0</v>
      </c>
      <c r="AD223" s="1979">
        <v>0</v>
      </c>
      <c r="AE223" s="1979">
        <v>0</v>
      </c>
      <c r="AF223" s="1979">
        <v>0</v>
      </c>
      <c r="AG223" s="1979">
        <v>0</v>
      </c>
      <c r="AH223" s="2000">
        <v>0</v>
      </c>
      <c r="AI223" s="1998">
        <v>0</v>
      </c>
      <c r="AJ223" s="1998">
        <v>0</v>
      </c>
      <c r="AK223" s="1998">
        <v>0</v>
      </c>
      <c r="AL223" s="1998">
        <v>0</v>
      </c>
      <c r="AM223" s="1998">
        <v>0</v>
      </c>
      <c r="AN223" s="1998">
        <v>0</v>
      </c>
      <c r="AO223" s="1998">
        <v>0</v>
      </c>
      <c r="AP223" s="1998">
        <v>0</v>
      </c>
      <c r="AQ223" s="1998">
        <v>0</v>
      </c>
      <c r="AR223" s="1999">
        <v>0</v>
      </c>
      <c r="AS223" s="1979">
        <v>0</v>
      </c>
      <c r="AT223" s="1979">
        <v>0</v>
      </c>
      <c r="AU223" s="1979">
        <v>0</v>
      </c>
      <c r="AV223" s="1979">
        <v>0</v>
      </c>
      <c r="AW223" s="1979">
        <v>0</v>
      </c>
      <c r="AX223" s="1979">
        <v>0</v>
      </c>
      <c r="AY223" s="1979">
        <v>0</v>
      </c>
      <c r="AZ223" s="1979">
        <v>0</v>
      </c>
      <c r="BA223" s="1979">
        <v>0</v>
      </c>
      <c r="BB223" s="2000">
        <v>0</v>
      </c>
      <c r="BC223" s="1998">
        <v>0</v>
      </c>
      <c r="BD223" s="1998">
        <v>0</v>
      </c>
      <c r="BE223" s="1998">
        <v>0</v>
      </c>
      <c r="BF223" s="1998">
        <v>0</v>
      </c>
      <c r="BG223" s="1998">
        <v>0</v>
      </c>
      <c r="BH223" s="1998">
        <v>0</v>
      </c>
      <c r="BI223" s="1998">
        <v>0</v>
      </c>
      <c r="BJ223" s="1998">
        <v>0</v>
      </c>
      <c r="BK223" s="1998">
        <v>0</v>
      </c>
      <c r="BL223" s="1999">
        <v>0.86630223261756301</v>
      </c>
      <c r="BM223" s="1979">
        <v>0.80855155482374297</v>
      </c>
      <c r="BN223" s="1979">
        <v>0.86644846882276982</v>
      </c>
      <c r="BO223" s="1979">
        <v>0.8086514291669149</v>
      </c>
      <c r="BP223" s="1979">
        <v>0.86661801804619842</v>
      </c>
      <c r="BQ223" s="1979">
        <v>0.80876722550682412</v>
      </c>
      <c r="BR223" s="1979">
        <v>0.86681299965314107</v>
      </c>
      <c r="BS223" s="1979">
        <v>0.80890039129771985</v>
      </c>
      <c r="BT223" s="1979">
        <v>0.86705248793123357</v>
      </c>
      <c r="BU223" s="1979">
        <v>0.80906395362784178</v>
      </c>
      <c r="BV223" s="2000">
        <v>0</v>
      </c>
      <c r="BW223" s="1998">
        <v>0</v>
      </c>
      <c r="BX223" s="1998">
        <v>0</v>
      </c>
      <c r="BY223" s="1998">
        <v>0</v>
      </c>
      <c r="BZ223" s="1998">
        <v>0</v>
      </c>
      <c r="CA223" s="1998">
        <v>0</v>
      </c>
      <c r="CB223" s="1998">
        <v>0</v>
      </c>
      <c r="CC223" s="1998">
        <v>0</v>
      </c>
      <c r="CD223" s="1998">
        <v>0</v>
      </c>
      <c r="CE223" s="1998">
        <v>0</v>
      </c>
      <c r="CF223" s="1999">
        <v>0.75248953173899624</v>
      </c>
      <c r="CG223" s="1979">
        <v>0.75581403310274409</v>
      </c>
      <c r="CH223" s="1979">
        <v>0.75262062562809751</v>
      </c>
      <c r="CI223" s="1979">
        <v>0.75590972940374557</v>
      </c>
      <c r="CJ223" s="1979">
        <v>0.75277261854299782</v>
      </c>
      <c r="CK223" s="1979">
        <v>0.75602068163679104</v>
      </c>
      <c r="CL223" s="1979">
        <v>0.75294741039513302</v>
      </c>
      <c r="CM223" s="1979">
        <v>0.75614827670479323</v>
      </c>
      <c r="CN223" s="1979">
        <v>0.75316210038742959</v>
      </c>
      <c r="CO223" s="1979">
        <v>0.75630499673396989</v>
      </c>
      <c r="CP223" s="2000">
        <v>0.72990727816625589</v>
      </c>
      <c r="CQ223" s="1998">
        <v>0.73412674546137691</v>
      </c>
      <c r="CR223" s="1998">
        <v>0.73004486285623049</v>
      </c>
      <c r="CS223" s="1998">
        <v>0.73422694886850948</v>
      </c>
      <c r="CT223" s="1998">
        <v>0.73020438133736032</v>
      </c>
      <c r="CU223" s="1998">
        <v>0.73434312673185165</v>
      </c>
      <c r="CV223" s="1998">
        <v>0.73038782759065968</v>
      </c>
      <c r="CW223" s="1998">
        <v>0.73447673127469515</v>
      </c>
      <c r="CX223" s="1998">
        <v>0.73061314744525563</v>
      </c>
      <c r="CY223" s="1998">
        <v>0.73464083250666601</v>
      </c>
      <c r="CZ223" s="1999">
        <v>0.62175496360460447</v>
      </c>
      <c r="DA223" s="1979">
        <v>0.61983677579823648</v>
      </c>
      <c r="DB223" s="1979">
        <v>0.62198537172909929</v>
      </c>
      <c r="DC223" s="1979">
        <v>0.62000302045142475</v>
      </c>
      <c r="DD223" s="1979">
        <v>0.62225248203271688</v>
      </c>
      <c r="DE223" s="1979">
        <v>0.6201957465537935</v>
      </c>
      <c r="DF223" s="1979">
        <v>0.62256445055526288</v>
      </c>
      <c r="DG223" s="1979">
        <v>0.62042083887182731</v>
      </c>
      <c r="DH223" s="1979">
        <v>0.6229518624460062</v>
      </c>
      <c r="DI223" s="1979">
        <v>0.62070036527984296</v>
      </c>
      <c r="DJ223" s="2000">
        <v>0.55911005033942995</v>
      </c>
      <c r="DK223" s="1998">
        <v>0.56609323928973254</v>
      </c>
      <c r="DL223" s="1998">
        <v>0.55938098457228524</v>
      </c>
      <c r="DM223" s="1998">
        <v>0.5662913772374748</v>
      </c>
      <c r="DN223" s="1998">
        <v>0.55969507647055106</v>
      </c>
      <c r="DO223" s="1998">
        <v>0.56652107698220255</v>
      </c>
      <c r="DP223" s="1998">
        <v>0.5600619166265407</v>
      </c>
      <c r="DQ223" s="1998">
        <v>0.56678935225657945</v>
      </c>
      <c r="DR223" s="1998">
        <v>0.56051746976143002</v>
      </c>
      <c r="DS223" s="1998">
        <v>0.5671225045580931</v>
      </c>
    </row>
    <row r="224" spans="1:123">
      <c r="A224" s="1997"/>
      <c r="B224" s="2">
        <v>4</v>
      </c>
      <c r="C224" s="2" t="s">
        <v>4330</v>
      </c>
      <c r="D224" s="1979">
        <v>0</v>
      </c>
      <c r="E224" s="1979">
        <v>0</v>
      </c>
      <c r="F224" s="1979">
        <v>0</v>
      </c>
      <c r="G224" s="1979">
        <v>0</v>
      </c>
      <c r="H224" s="1979">
        <v>0</v>
      </c>
      <c r="I224" s="1979">
        <v>0</v>
      </c>
      <c r="J224" s="1979">
        <v>0</v>
      </c>
      <c r="K224" s="1979">
        <v>0</v>
      </c>
      <c r="L224" s="1979">
        <v>0</v>
      </c>
      <c r="M224" s="1979">
        <v>0</v>
      </c>
      <c r="N224" s="2000">
        <v>0</v>
      </c>
      <c r="O224" s="1998">
        <v>0</v>
      </c>
      <c r="P224" s="1998">
        <v>0</v>
      </c>
      <c r="Q224" s="1998">
        <v>0</v>
      </c>
      <c r="R224" s="1998">
        <v>0</v>
      </c>
      <c r="S224" s="1998">
        <v>0</v>
      </c>
      <c r="T224" s="1998">
        <v>0</v>
      </c>
      <c r="U224" s="1998">
        <v>0</v>
      </c>
      <c r="V224" s="1998">
        <v>0</v>
      </c>
      <c r="W224" s="1998">
        <v>0</v>
      </c>
      <c r="X224" s="1999">
        <v>0</v>
      </c>
      <c r="Y224" s="1979">
        <v>0</v>
      </c>
      <c r="Z224" s="1979">
        <v>0</v>
      </c>
      <c r="AA224" s="1979">
        <v>0</v>
      </c>
      <c r="AB224" s="1979">
        <v>0</v>
      </c>
      <c r="AC224" s="1979">
        <v>0</v>
      </c>
      <c r="AD224" s="1979">
        <v>0</v>
      </c>
      <c r="AE224" s="1979">
        <v>0</v>
      </c>
      <c r="AF224" s="1979">
        <v>0</v>
      </c>
      <c r="AG224" s="1979">
        <v>0</v>
      </c>
      <c r="AH224" s="2000">
        <v>0</v>
      </c>
      <c r="AI224" s="1998">
        <v>0</v>
      </c>
      <c r="AJ224" s="1998">
        <v>0</v>
      </c>
      <c r="AK224" s="1998">
        <v>0</v>
      </c>
      <c r="AL224" s="1998">
        <v>0</v>
      </c>
      <c r="AM224" s="1998">
        <v>0</v>
      </c>
      <c r="AN224" s="1998">
        <v>0</v>
      </c>
      <c r="AO224" s="1998">
        <v>0</v>
      </c>
      <c r="AP224" s="1998">
        <v>0</v>
      </c>
      <c r="AQ224" s="1998">
        <v>0</v>
      </c>
      <c r="AR224" s="1999">
        <v>0</v>
      </c>
      <c r="AS224" s="1979">
        <v>0</v>
      </c>
      <c r="AT224" s="1979">
        <v>0</v>
      </c>
      <c r="AU224" s="1979">
        <v>0</v>
      </c>
      <c r="AV224" s="1979">
        <v>0</v>
      </c>
      <c r="AW224" s="1979">
        <v>0</v>
      </c>
      <c r="AX224" s="1979">
        <v>0</v>
      </c>
      <c r="AY224" s="1979">
        <v>0</v>
      </c>
      <c r="AZ224" s="1979">
        <v>0</v>
      </c>
      <c r="BA224" s="1979">
        <v>0</v>
      </c>
      <c r="BB224" s="2000">
        <v>0</v>
      </c>
      <c r="BC224" s="1998">
        <v>0</v>
      </c>
      <c r="BD224" s="1998">
        <v>0</v>
      </c>
      <c r="BE224" s="1998">
        <v>0</v>
      </c>
      <c r="BF224" s="1998">
        <v>0</v>
      </c>
      <c r="BG224" s="1998">
        <v>0</v>
      </c>
      <c r="BH224" s="1998">
        <v>0</v>
      </c>
      <c r="BI224" s="1998">
        <v>0</v>
      </c>
      <c r="BJ224" s="1998">
        <v>0</v>
      </c>
      <c r="BK224" s="1998">
        <v>0</v>
      </c>
      <c r="BL224" s="1999">
        <v>0.88938131244872909</v>
      </c>
      <c r="BM224" s="1979">
        <v>0.83004925139235353</v>
      </c>
      <c r="BN224" s="1979">
        <v>0.88957629405567173</v>
      </c>
      <c r="BO224" s="1979">
        <v>0.83018241718324925</v>
      </c>
      <c r="BP224" s="1979">
        <v>0.88980235968690968</v>
      </c>
      <c r="BQ224" s="1979">
        <v>0.83033681230312839</v>
      </c>
      <c r="BR224" s="1979">
        <v>0.89006233516283317</v>
      </c>
      <c r="BS224" s="1979">
        <v>0.83051436669098944</v>
      </c>
      <c r="BT224" s="1979">
        <v>0.89038165286695659</v>
      </c>
      <c r="BU224" s="1979">
        <v>0.83073244979781868</v>
      </c>
      <c r="BV224" s="2000">
        <v>0</v>
      </c>
      <c r="BW224" s="1998">
        <v>0</v>
      </c>
      <c r="BX224" s="1998">
        <v>0</v>
      </c>
      <c r="BY224" s="1998">
        <v>0</v>
      </c>
      <c r="BZ224" s="1998">
        <v>0</v>
      </c>
      <c r="CA224" s="1998">
        <v>0</v>
      </c>
      <c r="CB224" s="1998">
        <v>0</v>
      </c>
      <c r="CC224" s="1998">
        <v>0</v>
      </c>
      <c r="CD224" s="1998">
        <v>0</v>
      </c>
      <c r="CE224" s="1998">
        <v>0</v>
      </c>
      <c r="CF224" s="1999">
        <v>0.77319827195353075</v>
      </c>
      <c r="CG224" s="1979">
        <v>0.77559933354531119</v>
      </c>
      <c r="CH224" s="1979">
        <v>0.7733621393149076</v>
      </c>
      <c r="CI224" s="1979">
        <v>0.7757189539215632</v>
      </c>
      <c r="CJ224" s="1979">
        <v>0.77355213045853288</v>
      </c>
      <c r="CK224" s="1979">
        <v>0.77585764421287007</v>
      </c>
      <c r="CL224" s="1979">
        <v>0.77377062027370191</v>
      </c>
      <c r="CM224" s="1979">
        <v>0.77601713804787276</v>
      </c>
      <c r="CN224" s="1979">
        <v>0.77403898276407257</v>
      </c>
      <c r="CO224" s="1979">
        <v>0.7762130380843435</v>
      </c>
      <c r="CP224" s="2000">
        <v>0.75789349627026192</v>
      </c>
      <c r="CQ224" s="1998">
        <v>0.76060484163191222</v>
      </c>
      <c r="CR224" s="1998">
        <v>0.75806547713272987</v>
      </c>
      <c r="CS224" s="1998">
        <v>0.76073009589082796</v>
      </c>
      <c r="CT224" s="1998">
        <v>0.75826487523414232</v>
      </c>
      <c r="CU224" s="1998">
        <v>0.76087531822000565</v>
      </c>
      <c r="CV224" s="1998">
        <v>0.75849418305076644</v>
      </c>
      <c r="CW224" s="1998">
        <v>0.76104232389855997</v>
      </c>
      <c r="CX224" s="1998">
        <v>0.75877583286901151</v>
      </c>
      <c r="CY224" s="1998">
        <v>0.76124745043852338</v>
      </c>
      <c r="CZ224" s="1999">
        <v>0.62978333407889808</v>
      </c>
      <c r="DA224" s="1979">
        <v>0.6268379576395352</v>
      </c>
      <c r="DB224" s="1979">
        <v>0.6300137422033929</v>
      </c>
      <c r="DC224" s="1979">
        <v>0.62700420229272347</v>
      </c>
      <c r="DD224" s="1979">
        <v>0.6302808525070106</v>
      </c>
      <c r="DE224" s="1979">
        <v>0.62719692839509211</v>
      </c>
      <c r="DF224" s="1979">
        <v>0.63059282102955649</v>
      </c>
      <c r="DG224" s="1979">
        <v>0.62742202071312581</v>
      </c>
      <c r="DH224" s="1979">
        <v>0.63098023292029992</v>
      </c>
      <c r="DI224" s="1979">
        <v>0.62770154712114157</v>
      </c>
      <c r="DJ224" s="2000">
        <v>0.6293912197601278</v>
      </c>
      <c r="DK224" s="1998">
        <v>0.62744354828322246</v>
      </c>
      <c r="DL224" s="1998">
        <v>0.62959442043476921</v>
      </c>
      <c r="DM224" s="1998">
        <v>0.62759215174402938</v>
      </c>
      <c r="DN224" s="1998">
        <v>0.62982998935846857</v>
      </c>
      <c r="DO224" s="1998">
        <v>0.62776442655257503</v>
      </c>
      <c r="DP224" s="1998">
        <v>0.63010511947546088</v>
      </c>
      <c r="DQ224" s="1998">
        <v>0.62796563300835784</v>
      </c>
      <c r="DR224" s="1998">
        <v>0.63044678432662782</v>
      </c>
      <c r="DS224" s="1998">
        <v>0.62821549723449299</v>
      </c>
    </row>
    <row r="225" spans="1:123">
      <c r="A225" s="1997"/>
      <c r="B225" s="2">
        <v>5</v>
      </c>
      <c r="C225" s="2" t="s">
        <v>4331</v>
      </c>
      <c r="D225" s="1979">
        <v>0</v>
      </c>
      <c r="E225" s="1979">
        <v>0</v>
      </c>
      <c r="F225" s="1979">
        <v>0</v>
      </c>
      <c r="G225" s="1979">
        <v>0</v>
      </c>
      <c r="H225" s="1979">
        <v>0</v>
      </c>
      <c r="I225" s="1979">
        <v>0</v>
      </c>
      <c r="J225" s="1979">
        <v>0</v>
      </c>
      <c r="K225" s="1979">
        <v>0</v>
      </c>
      <c r="L225" s="1979">
        <v>0</v>
      </c>
      <c r="M225" s="1979">
        <v>0</v>
      </c>
      <c r="N225" s="2000">
        <v>0</v>
      </c>
      <c r="O225" s="1998">
        <v>0</v>
      </c>
      <c r="P225" s="1998">
        <v>0</v>
      </c>
      <c r="Q225" s="1998">
        <v>0</v>
      </c>
      <c r="R225" s="1998">
        <v>0</v>
      </c>
      <c r="S225" s="1998">
        <v>0</v>
      </c>
      <c r="T225" s="1998">
        <v>0</v>
      </c>
      <c r="U225" s="1998">
        <v>0</v>
      </c>
      <c r="V225" s="1998">
        <v>0</v>
      </c>
      <c r="W225" s="1998">
        <v>0</v>
      </c>
      <c r="X225" s="1999">
        <v>0</v>
      </c>
      <c r="Y225" s="1979">
        <v>0</v>
      </c>
      <c r="Z225" s="1979">
        <v>0</v>
      </c>
      <c r="AA225" s="1979">
        <v>0</v>
      </c>
      <c r="AB225" s="1979">
        <v>0</v>
      </c>
      <c r="AC225" s="1979">
        <v>0</v>
      </c>
      <c r="AD225" s="1979">
        <v>0</v>
      </c>
      <c r="AE225" s="1979">
        <v>0</v>
      </c>
      <c r="AF225" s="1979">
        <v>0</v>
      </c>
      <c r="AG225" s="1979">
        <v>0</v>
      </c>
      <c r="AH225" s="2000">
        <v>0</v>
      </c>
      <c r="AI225" s="1998">
        <v>0</v>
      </c>
      <c r="AJ225" s="1998">
        <v>0</v>
      </c>
      <c r="AK225" s="1998">
        <v>0</v>
      </c>
      <c r="AL225" s="1998">
        <v>0</v>
      </c>
      <c r="AM225" s="1998">
        <v>0</v>
      </c>
      <c r="AN225" s="1998">
        <v>0</v>
      </c>
      <c r="AO225" s="1998">
        <v>0</v>
      </c>
      <c r="AP225" s="1998">
        <v>0</v>
      </c>
      <c r="AQ225" s="1998">
        <v>0</v>
      </c>
      <c r="AR225" s="1999">
        <v>0</v>
      </c>
      <c r="AS225" s="1979">
        <v>0</v>
      </c>
      <c r="AT225" s="1979">
        <v>0</v>
      </c>
      <c r="AU225" s="1979">
        <v>0</v>
      </c>
      <c r="AV225" s="1979">
        <v>0</v>
      </c>
      <c r="AW225" s="1979">
        <v>0</v>
      </c>
      <c r="AX225" s="1979">
        <v>0</v>
      </c>
      <c r="AY225" s="1979">
        <v>0</v>
      </c>
      <c r="AZ225" s="1979">
        <v>0</v>
      </c>
      <c r="BA225" s="1979">
        <v>0</v>
      </c>
      <c r="BB225" s="2000">
        <v>0</v>
      </c>
      <c r="BC225" s="1998">
        <v>0</v>
      </c>
      <c r="BD225" s="1998">
        <v>0</v>
      </c>
      <c r="BE225" s="1998">
        <v>0</v>
      </c>
      <c r="BF225" s="1998">
        <v>0</v>
      </c>
      <c r="BG225" s="1998">
        <v>0</v>
      </c>
      <c r="BH225" s="1998">
        <v>0</v>
      </c>
      <c r="BI225" s="1998">
        <v>0</v>
      </c>
      <c r="BJ225" s="1998">
        <v>0</v>
      </c>
      <c r="BK225" s="1998">
        <v>0</v>
      </c>
      <c r="BL225" s="1999">
        <v>0.90092976512979961</v>
      </c>
      <c r="BM225" s="1979">
        <v>0.84014952321907588</v>
      </c>
      <c r="BN225" s="1979">
        <v>0.90112474673674214</v>
      </c>
      <c r="BO225" s="1979">
        <v>0.84028268900997161</v>
      </c>
      <c r="BP225" s="1979">
        <v>0.90135081236798009</v>
      </c>
      <c r="BQ225" s="1979">
        <v>0.84043708412985074</v>
      </c>
      <c r="BR225" s="1979">
        <v>0.90161078784390358</v>
      </c>
      <c r="BS225" s="1979">
        <v>0.84061463851771168</v>
      </c>
      <c r="BT225" s="1979">
        <v>0.90193010554802699</v>
      </c>
      <c r="BU225" s="1979">
        <v>0.84083272162454092</v>
      </c>
      <c r="BV225" s="2000">
        <v>0</v>
      </c>
      <c r="BW225" s="1998">
        <v>0</v>
      </c>
      <c r="BX225" s="1998">
        <v>0</v>
      </c>
      <c r="BY225" s="1998">
        <v>0</v>
      </c>
      <c r="BZ225" s="1998">
        <v>0</v>
      </c>
      <c r="CA225" s="1998">
        <v>0</v>
      </c>
      <c r="CB225" s="1998">
        <v>0</v>
      </c>
      <c r="CC225" s="1998">
        <v>0</v>
      </c>
      <c r="CD225" s="1998">
        <v>0</v>
      </c>
      <c r="CE225" s="1998">
        <v>0</v>
      </c>
      <c r="CF225" s="1999">
        <v>0.78586108730461635</v>
      </c>
      <c r="CG225" s="1979">
        <v>0.78793009804570091</v>
      </c>
      <c r="CH225" s="1979">
        <v>0.7860249546659932</v>
      </c>
      <c r="CI225" s="1979">
        <v>0.78804971842195293</v>
      </c>
      <c r="CJ225" s="1979">
        <v>0.78621494580961837</v>
      </c>
      <c r="CK225" s="1979">
        <v>0.78818840871325957</v>
      </c>
      <c r="CL225" s="1979">
        <v>0.7864334356247874</v>
      </c>
      <c r="CM225" s="1979">
        <v>0.78834790254826226</v>
      </c>
      <c r="CN225" s="1979">
        <v>0.78670179811515806</v>
      </c>
      <c r="CO225" s="1979">
        <v>0.788543802584733</v>
      </c>
      <c r="CP225" s="2000">
        <v>0.79297835128887018</v>
      </c>
      <c r="CQ225" s="1998">
        <v>0.79380531724932935</v>
      </c>
      <c r="CR225" s="1998">
        <v>0.7932076591054944</v>
      </c>
      <c r="CS225" s="1998">
        <v>0.79397232292788367</v>
      </c>
      <c r="CT225" s="1998">
        <v>0.79347352324071074</v>
      </c>
      <c r="CU225" s="1998">
        <v>0.79416595270012058</v>
      </c>
      <c r="CV225" s="1998">
        <v>0.79377926699620982</v>
      </c>
      <c r="CW225" s="1998">
        <v>0.79438862693819312</v>
      </c>
      <c r="CX225" s="1998">
        <v>0.79415480008720318</v>
      </c>
      <c r="CY225" s="1998">
        <v>0.79466212899147781</v>
      </c>
      <c r="CZ225" s="1999">
        <v>0.65489930384156669</v>
      </c>
      <c r="DA225" s="1979">
        <v>0.65374991607331412</v>
      </c>
      <c r="DB225" s="1979">
        <v>0.65520651467422641</v>
      </c>
      <c r="DC225" s="1979">
        <v>0.65397157561089847</v>
      </c>
      <c r="DD225" s="1979">
        <v>0.65556266174571676</v>
      </c>
      <c r="DE225" s="1979">
        <v>0.65422854374739015</v>
      </c>
      <c r="DF225" s="1979">
        <v>0.65597861977577809</v>
      </c>
      <c r="DG225" s="1979">
        <v>0.65452866683810162</v>
      </c>
      <c r="DH225" s="1979">
        <v>0.65649516896343596</v>
      </c>
      <c r="DI225" s="1979">
        <v>0.65490136871545612</v>
      </c>
      <c r="DJ225" s="2000">
        <v>0.74771397688372832</v>
      </c>
      <c r="DK225" s="1998">
        <v>0.73696846368389446</v>
      </c>
      <c r="DL225" s="1998">
        <v>0.74791717755836984</v>
      </c>
      <c r="DM225" s="1998">
        <v>0.73711706714470115</v>
      </c>
      <c r="DN225" s="1998">
        <v>0.7481527464820692</v>
      </c>
      <c r="DO225" s="1998">
        <v>0.73728934195324713</v>
      </c>
      <c r="DP225" s="1998">
        <v>0.7484278765990614</v>
      </c>
      <c r="DQ225" s="1998">
        <v>0.73749054840902961</v>
      </c>
      <c r="DR225" s="1998">
        <v>0.74876954145022845</v>
      </c>
      <c r="DS225" s="1998">
        <v>0.73774041263516499</v>
      </c>
    </row>
    <row r="226" spans="1:123">
      <c r="A226" s="1997"/>
      <c r="B226" s="2">
        <v>6</v>
      </c>
      <c r="C226" s="2" t="s">
        <v>4332</v>
      </c>
      <c r="D226" s="1979">
        <v>0</v>
      </c>
      <c r="E226" s="1979">
        <v>0</v>
      </c>
      <c r="F226" s="1979">
        <v>0</v>
      </c>
      <c r="G226" s="1979">
        <v>0</v>
      </c>
      <c r="H226" s="1979">
        <v>0</v>
      </c>
      <c r="I226" s="1979">
        <v>0</v>
      </c>
      <c r="J226" s="1979">
        <v>0</v>
      </c>
      <c r="K226" s="1979">
        <v>0</v>
      </c>
      <c r="L226" s="1979">
        <v>0</v>
      </c>
      <c r="M226" s="1979">
        <v>0</v>
      </c>
      <c r="N226" s="2000">
        <v>0</v>
      </c>
      <c r="O226" s="1998">
        <v>0</v>
      </c>
      <c r="P226" s="1998">
        <v>0</v>
      </c>
      <c r="Q226" s="1998">
        <v>0</v>
      </c>
      <c r="R226" s="1998">
        <v>0</v>
      </c>
      <c r="S226" s="1998">
        <v>0</v>
      </c>
      <c r="T226" s="1998">
        <v>0</v>
      </c>
      <c r="U226" s="1998">
        <v>0</v>
      </c>
      <c r="V226" s="1998">
        <v>0</v>
      </c>
      <c r="W226" s="1998">
        <v>0</v>
      </c>
      <c r="X226" s="1999">
        <v>0</v>
      </c>
      <c r="Y226" s="1979">
        <v>0</v>
      </c>
      <c r="Z226" s="1979">
        <v>0</v>
      </c>
      <c r="AA226" s="1979">
        <v>0</v>
      </c>
      <c r="AB226" s="1979">
        <v>0</v>
      </c>
      <c r="AC226" s="1979">
        <v>0</v>
      </c>
      <c r="AD226" s="1979">
        <v>0</v>
      </c>
      <c r="AE226" s="1979">
        <v>0</v>
      </c>
      <c r="AF226" s="1979">
        <v>0</v>
      </c>
      <c r="AG226" s="1979">
        <v>0</v>
      </c>
      <c r="AH226" s="2000">
        <v>0</v>
      </c>
      <c r="AI226" s="1998">
        <v>0</v>
      </c>
      <c r="AJ226" s="1998">
        <v>0</v>
      </c>
      <c r="AK226" s="1998">
        <v>0</v>
      </c>
      <c r="AL226" s="1998">
        <v>0</v>
      </c>
      <c r="AM226" s="1998">
        <v>0</v>
      </c>
      <c r="AN226" s="1998">
        <v>0</v>
      </c>
      <c r="AO226" s="1998">
        <v>0</v>
      </c>
      <c r="AP226" s="1998">
        <v>0</v>
      </c>
      <c r="AQ226" s="1998">
        <v>0</v>
      </c>
      <c r="AR226" s="1999">
        <v>0</v>
      </c>
      <c r="AS226" s="1979">
        <v>0</v>
      </c>
      <c r="AT226" s="1979">
        <v>0</v>
      </c>
      <c r="AU226" s="1979">
        <v>0</v>
      </c>
      <c r="AV226" s="1979">
        <v>0</v>
      </c>
      <c r="AW226" s="1979">
        <v>0</v>
      </c>
      <c r="AX226" s="1979">
        <v>0</v>
      </c>
      <c r="AY226" s="1979">
        <v>0</v>
      </c>
      <c r="AZ226" s="1979">
        <v>0</v>
      </c>
      <c r="BA226" s="1979">
        <v>0</v>
      </c>
      <c r="BB226" s="2000">
        <v>0</v>
      </c>
      <c r="BC226" s="1998">
        <v>0</v>
      </c>
      <c r="BD226" s="1998">
        <v>0</v>
      </c>
      <c r="BE226" s="1998">
        <v>0</v>
      </c>
      <c r="BF226" s="1998">
        <v>0</v>
      </c>
      <c r="BG226" s="1998">
        <v>0</v>
      </c>
      <c r="BH226" s="1998">
        <v>0</v>
      </c>
      <c r="BI226" s="1998">
        <v>0</v>
      </c>
      <c r="BJ226" s="1998">
        <v>0</v>
      </c>
      <c r="BK226" s="1998">
        <v>0</v>
      </c>
      <c r="BL226" s="1999">
        <v>0.91631834172384474</v>
      </c>
      <c r="BM226" s="1979">
        <v>0.85361066240977135</v>
      </c>
      <c r="BN226" s="1979">
        <v>0.91651332333078739</v>
      </c>
      <c r="BO226" s="1979">
        <v>0.85374382820066719</v>
      </c>
      <c r="BP226" s="1979">
        <v>0.91673938896202534</v>
      </c>
      <c r="BQ226" s="1979">
        <v>0.85389822332054621</v>
      </c>
      <c r="BR226" s="1979">
        <v>0.91699936443794872</v>
      </c>
      <c r="BS226" s="1979">
        <v>0.85407577770840737</v>
      </c>
      <c r="BT226" s="1979">
        <v>0.91731868214207224</v>
      </c>
      <c r="BU226" s="1979">
        <v>0.85429386081523662</v>
      </c>
      <c r="BV226" s="2000">
        <v>0</v>
      </c>
      <c r="BW226" s="1998">
        <v>0</v>
      </c>
      <c r="BX226" s="1998">
        <v>0</v>
      </c>
      <c r="BY226" s="1998">
        <v>0</v>
      </c>
      <c r="BZ226" s="1998">
        <v>0</v>
      </c>
      <c r="CA226" s="1998">
        <v>0</v>
      </c>
      <c r="CB226" s="1998">
        <v>0</v>
      </c>
      <c r="CC226" s="1998">
        <v>0</v>
      </c>
      <c r="CD226" s="1998">
        <v>0</v>
      </c>
      <c r="CE226" s="1998">
        <v>0</v>
      </c>
      <c r="CF226" s="1999">
        <v>0.82047141662481593</v>
      </c>
      <c r="CG226" s="1979">
        <v>0.82131452758938528</v>
      </c>
      <c r="CH226" s="1979">
        <v>0.82068990643998518</v>
      </c>
      <c r="CI226" s="1979">
        <v>0.82147402142438797</v>
      </c>
      <c r="CJ226" s="1979">
        <v>0.82094322796481889</v>
      </c>
      <c r="CK226" s="1979">
        <v>0.82165894181279686</v>
      </c>
      <c r="CL226" s="1979">
        <v>0.82123454771837756</v>
      </c>
      <c r="CM226" s="1979">
        <v>0.82187160025946726</v>
      </c>
      <c r="CN226" s="1979">
        <v>0.82159236437220529</v>
      </c>
      <c r="CO226" s="1979">
        <v>0.82213280030809488</v>
      </c>
      <c r="CP226" s="2000">
        <v>0.82931187035781506</v>
      </c>
      <c r="CQ226" s="1998">
        <v>0.83065202824168094</v>
      </c>
      <c r="CR226" s="1998">
        <v>0.8295411781744394</v>
      </c>
      <c r="CS226" s="1998">
        <v>0.83081903392023537</v>
      </c>
      <c r="CT226" s="1998">
        <v>0.82980704230965574</v>
      </c>
      <c r="CU226" s="1998">
        <v>0.8310126636924724</v>
      </c>
      <c r="CV226" s="1998">
        <v>0.83011278606515471</v>
      </c>
      <c r="CW226" s="1998">
        <v>0.83123533793054472</v>
      </c>
      <c r="CX226" s="1998">
        <v>0.83048831915614785</v>
      </c>
      <c r="CY226" s="1998">
        <v>0.83150883998382952</v>
      </c>
      <c r="CZ226" s="1999">
        <v>0.69127211853428039</v>
      </c>
      <c r="DA226" s="1979">
        <v>0.6868508250336528</v>
      </c>
      <c r="DB226" s="1979">
        <v>0.69157932936693989</v>
      </c>
      <c r="DC226" s="1979">
        <v>0.68707248457123704</v>
      </c>
      <c r="DD226" s="1979">
        <v>0.69193547643843034</v>
      </c>
      <c r="DE226" s="1979">
        <v>0.68732945270772883</v>
      </c>
      <c r="DF226" s="1979">
        <v>0.69235143446849168</v>
      </c>
      <c r="DG226" s="1979">
        <v>0.68762957579844042</v>
      </c>
      <c r="DH226" s="1979">
        <v>0.69286798365614954</v>
      </c>
      <c r="DI226" s="1979">
        <v>0.68800227767579458</v>
      </c>
      <c r="DJ226" s="2000">
        <v>0.77693829256223801</v>
      </c>
      <c r="DK226" s="1998">
        <v>0.7627957666271501</v>
      </c>
      <c r="DL226" s="1998">
        <v>0.77714149323687942</v>
      </c>
      <c r="DM226" s="1998">
        <v>0.7629443700879569</v>
      </c>
      <c r="DN226" s="1998">
        <v>0.77737706216057878</v>
      </c>
      <c r="DO226" s="1998">
        <v>0.76311664489650266</v>
      </c>
      <c r="DP226" s="1998">
        <v>0.7776521922775711</v>
      </c>
      <c r="DQ226" s="1998">
        <v>0.76331785135228525</v>
      </c>
      <c r="DR226" s="1998">
        <v>0.77799385712873792</v>
      </c>
      <c r="DS226" s="1998">
        <v>0.76356771557842051</v>
      </c>
    </row>
    <row r="227" spans="1:123">
      <c r="A227" s="1997"/>
      <c r="B227" s="2">
        <v>7</v>
      </c>
      <c r="C227" s="2" t="s">
        <v>4333</v>
      </c>
      <c r="D227" s="1979">
        <v>0</v>
      </c>
      <c r="E227" s="1979">
        <v>0</v>
      </c>
      <c r="F227" s="1979">
        <v>0</v>
      </c>
      <c r="G227" s="1979">
        <v>0</v>
      </c>
      <c r="H227" s="1979">
        <v>0</v>
      </c>
      <c r="I227" s="1979">
        <v>0</v>
      </c>
      <c r="J227" s="1979">
        <v>0</v>
      </c>
      <c r="K227" s="1979">
        <v>0</v>
      </c>
      <c r="L227" s="1979">
        <v>0</v>
      </c>
      <c r="M227" s="1979">
        <v>0</v>
      </c>
      <c r="N227" s="2000">
        <v>0</v>
      </c>
      <c r="O227" s="1998">
        <v>0</v>
      </c>
      <c r="P227" s="1998">
        <v>0</v>
      </c>
      <c r="Q227" s="1998">
        <v>0</v>
      </c>
      <c r="R227" s="1998">
        <v>0</v>
      </c>
      <c r="S227" s="1998">
        <v>0</v>
      </c>
      <c r="T227" s="1998">
        <v>0</v>
      </c>
      <c r="U227" s="1998">
        <v>0</v>
      </c>
      <c r="V227" s="1998">
        <v>0</v>
      </c>
      <c r="W227" s="1998">
        <v>0</v>
      </c>
      <c r="X227" s="1999">
        <v>0</v>
      </c>
      <c r="Y227" s="1979">
        <v>0</v>
      </c>
      <c r="Z227" s="1979">
        <v>0</v>
      </c>
      <c r="AA227" s="1979">
        <v>0</v>
      </c>
      <c r="AB227" s="1979">
        <v>0</v>
      </c>
      <c r="AC227" s="1979">
        <v>0</v>
      </c>
      <c r="AD227" s="1979">
        <v>0</v>
      </c>
      <c r="AE227" s="1979">
        <v>0</v>
      </c>
      <c r="AF227" s="1979">
        <v>0</v>
      </c>
      <c r="AG227" s="1979">
        <v>0</v>
      </c>
      <c r="AH227" s="2000">
        <v>0</v>
      </c>
      <c r="AI227" s="1998">
        <v>0</v>
      </c>
      <c r="AJ227" s="1998">
        <v>0</v>
      </c>
      <c r="AK227" s="1998">
        <v>0</v>
      </c>
      <c r="AL227" s="1998">
        <v>0</v>
      </c>
      <c r="AM227" s="1998">
        <v>0</v>
      </c>
      <c r="AN227" s="1998">
        <v>0</v>
      </c>
      <c r="AO227" s="1998">
        <v>0</v>
      </c>
      <c r="AP227" s="1998">
        <v>0</v>
      </c>
      <c r="AQ227" s="1998">
        <v>0</v>
      </c>
      <c r="AR227" s="1999">
        <v>0</v>
      </c>
      <c r="AS227" s="1979">
        <v>0</v>
      </c>
      <c r="AT227" s="1979">
        <v>0</v>
      </c>
      <c r="AU227" s="1979">
        <v>0</v>
      </c>
      <c r="AV227" s="1979">
        <v>0</v>
      </c>
      <c r="AW227" s="1979">
        <v>0</v>
      </c>
      <c r="AX227" s="1979">
        <v>0</v>
      </c>
      <c r="AY227" s="1979">
        <v>0</v>
      </c>
      <c r="AZ227" s="1979">
        <v>0</v>
      </c>
      <c r="BA227" s="1979">
        <v>0</v>
      </c>
      <c r="BB227" s="2000">
        <v>0</v>
      </c>
      <c r="BC227" s="1998">
        <v>0</v>
      </c>
      <c r="BD227" s="1998">
        <v>0</v>
      </c>
      <c r="BE227" s="1998">
        <v>0</v>
      </c>
      <c r="BF227" s="1998">
        <v>0</v>
      </c>
      <c r="BG227" s="1998">
        <v>0</v>
      </c>
      <c r="BH227" s="1998">
        <v>0</v>
      </c>
      <c r="BI227" s="1998">
        <v>0</v>
      </c>
      <c r="BJ227" s="1998">
        <v>0</v>
      </c>
      <c r="BK227" s="1998">
        <v>0</v>
      </c>
      <c r="BL227" s="1999">
        <v>0.93260216361948467</v>
      </c>
      <c r="BM227" s="1979">
        <v>0.8678521865887131</v>
      </c>
      <c r="BN227" s="1979">
        <v>0.93279714522642732</v>
      </c>
      <c r="BO227" s="1979">
        <v>0.86798535237960894</v>
      </c>
      <c r="BP227" s="1979">
        <v>0.93302321085766515</v>
      </c>
      <c r="BQ227" s="1979">
        <v>0.86813974749948797</v>
      </c>
      <c r="BR227" s="1979">
        <v>0.93328318633358875</v>
      </c>
      <c r="BS227" s="1979">
        <v>0.8683173018873489</v>
      </c>
      <c r="BT227" s="1979">
        <v>0.93360250403771217</v>
      </c>
      <c r="BU227" s="1979">
        <v>0.86853538499417815</v>
      </c>
      <c r="BV227" s="2000">
        <v>0</v>
      </c>
      <c r="BW227" s="1998">
        <v>0</v>
      </c>
      <c r="BX227" s="1998">
        <v>0</v>
      </c>
      <c r="BY227" s="1998">
        <v>0</v>
      </c>
      <c r="BZ227" s="1998">
        <v>0</v>
      </c>
      <c r="CA227" s="1998">
        <v>0</v>
      </c>
      <c r="CB227" s="1998">
        <v>0</v>
      </c>
      <c r="CC227" s="1998">
        <v>0</v>
      </c>
      <c r="CD227" s="1998">
        <v>0</v>
      </c>
      <c r="CE227" s="1998">
        <v>0</v>
      </c>
      <c r="CF227" s="1999">
        <v>0.85874714956599885</v>
      </c>
      <c r="CG227" s="1979">
        <v>0.85953360750877028</v>
      </c>
      <c r="CH227" s="1979">
        <v>0.85896563938116788</v>
      </c>
      <c r="CI227" s="1979">
        <v>0.85969310134377297</v>
      </c>
      <c r="CJ227" s="1979">
        <v>0.85921896090600158</v>
      </c>
      <c r="CK227" s="1979">
        <v>0.85987802173218186</v>
      </c>
      <c r="CL227" s="1979">
        <v>0.85951028065956026</v>
      </c>
      <c r="CM227" s="1979">
        <v>0.86009068017885226</v>
      </c>
      <c r="CN227" s="1979">
        <v>0.85986809731338776</v>
      </c>
      <c r="CO227" s="1979">
        <v>0.86035188022747988</v>
      </c>
      <c r="CP227" s="2000">
        <v>0.82893507665760835</v>
      </c>
      <c r="CQ227" s="1998">
        <v>0.82525783560520494</v>
      </c>
      <c r="CR227" s="1998">
        <v>0.82927903838254458</v>
      </c>
      <c r="CS227" s="1998">
        <v>0.82550834412303653</v>
      </c>
      <c r="CT227" s="1998">
        <v>0.82967783458536914</v>
      </c>
      <c r="CU227" s="1998">
        <v>0.8257987887813919</v>
      </c>
      <c r="CV227" s="1998">
        <v>0.83013645021861771</v>
      </c>
      <c r="CW227" s="1998">
        <v>0.82613280013850054</v>
      </c>
      <c r="CX227" s="1998">
        <v>0.83069974985510764</v>
      </c>
      <c r="CY227" s="1998">
        <v>0.8265430532184278</v>
      </c>
      <c r="CZ227" s="1999">
        <v>0.80039056261242103</v>
      </c>
      <c r="DA227" s="1979">
        <v>0.78615355191466874</v>
      </c>
      <c r="DB227" s="1979">
        <v>0.80069777344508075</v>
      </c>
      <c r="DC227" s="1979">
        <v>0.78637521145225309</v>
      </c>
      <c r="DD227" s="1979">
        <v>0.80105392051657109</v>
      </c>
      <c r="DE227" s="1979">
        <v>0.78663217958874465</v>
      </c>
      <c r="DF227" s="1979">
        <v>0.80146987854663221</v>
      </c>
      <c r="DG227" s="1979">
        <v>0.78693230267945624</v>
      </c>
      <c r="DH227" s="1979">
        <v>0.80198642773429007</v>
      </c>
      <c r="DI227" s="1979">
        <v>0.78730500455681052</v>
      </c>
      <c r="DJ227" s="2000">
        <v>0.80973580523143851</v>
      </c>
      <c r="DK227" s="1998">
        <v>0.79625736843703576</v>
      </c>
      <c r="DL227" s="1998">
        <v>0.81000673946429369</v>
      </c>
      <c r="DM227" s="1998">
        <v>0.79645550638477813</v>
      </c>
      <c r="DN227" s="1998">
        <v>0.8103208313625595</v>
      </c>
      <c r="DO227" s="1998">
        <v>0.79668520612950611</v>
      </c>
      <c r="DP227" s="1998">
        <v>0.81068767151854915</v>
      </c>
      <c r="DQ227" s="1998">
        <v>0.79695348140388278</v>
      </c>
      <c r="DR227" s="1998">
        <v>0.81114322465343847</v>
      </c>
      <c r="DS227" s="1998">
        <v>0.79728663370539654</v>
      </c>
    </row>
    <row r="228" spans="1:123">
      <c r="A228" s="1997"/>
      <c r="B228" s="2">
        <v>8</v>
      </c>
      <c r="C228" s="2" t="s">
        <v>4334</v>
      </c>
      <c r="D228" s="1979">
        <v>0</v>
      </c>
      <c r="E228" s="1979">
        <v>0</v>
      </c>
      <c r="F228" s="1979">
        <v>0</v>
      </c>
      <c r="G228" s="1979">
        <v>0</v>
      </c>
      <c r="H228" s="1979">
        <v>0</v>
      </c>
      <c r="I228" s="1979">
        <v>0</v>
      </c>
      <c r="J228" s="1979">
        <v>0</v>
      </c>
      <c r="K228" s="1979">
        <v>0</v>
      </c>
      <c r="L228" s="1979">
        <v>0</v>
      </c>
      <c r="M228" s="1979">
        <v>0</v>
      </c>
      <c r="N228" s="2000">
        <v>0</v>
      </c>
      <c r="O228" s="1998">
        <v>0</v>
      </c>
      <c r="P228" s="1998">
        <v>0</v>
      </c>
      <c r="Q228" s="1998">
        <v>0</v>
      </c>
      <c r="R228" s="1998">
        <v>0</v>
      </c>
      <c r="S228" s="1998">
        <v>0</v>
      </c>
      <c r="T228" s="1998">
        <v>0</v>
      </c>
      <c r="U228" s="1998">
        <v>0</v>
      </c>
      <c r="V228" s="1998">
        <v>0</v>
      </c>
      <c r="W228" s="1998">
        <v>0</v>
      </c>
      <c r="X228" s="1999">
        <v>0</v>
      </c>
      <c r="Y228" s="1979">
        <v>0</v>
      </c>
      <c r="Z228" s="1979">
        <v>0</v>
      </c>
      <c r="AA228" s="1979">
        <v>0</v>
      </c>
      <c r="AB228" s="1979">
        <v>0</v>
      </c>
      <c r="AC228" s="1979">
        <v>0</v>
      </c>
      <c r="AD228" s="1979">
        <v>0</v>
      </c>
      <c r="AE228" s="1979">
        <v>0</v>
      </c>
      <c r="AF228" s="1979">
        <v>0</v>
      </c>
      <c r="AG228" s="1979">
        <v>0</v>
      </c>
      <c r="AH228" s="2000">
        <v>0</v>
      </c>
      <c r="AI228" s="1998">
        <v>0</v>
      </c>
      <c r="AJ228" s="1998">
        <v>0</v>
      </c>
      <c r="AK228" s="1998">
        <v>0</v>
      </c>
      <c r="AL228" s="1998">
        <v>0</v>
      </c>
      <c r="AM228" s="1998">
        <v>0</v>
      </c>
      <c r="AN228" s="1998">
        <v>0</v>
      </c>
      <c r="AO228" s="1998">
        <v>0</v>
      </c>
      <c r="AP228" s="1998">
        <v>0</v>
      </c>
      <c r="AQ228" s="1998">
        <v>0</v>
      </c>
      <c r="AR228" s="1999">
        <v>0</v>
      </c>
      <c r="AS228" s="1979">
        <v>0</v>
      </c>
      <c r="AT228" s="1979">
        <v>0</v>
      </c>
      <c r="AU228" s="1979">
        <v>0</v>
      </c>
      <c r="AV228" s="1979">
        <v>0</v>
      </c>
      <c r="AW228" s="1979">
        <v>0</v>
      </c>
      <c r="AX228" s="1979">
        <v>0</v>
      </c>
      <c r="AY228" s="1979">
        <v>0</v>
      </c>
      <c r="AZ228" s="1979">
        <v>0</v>
      </c>
      <c r="BA228" s="1979">
        <v>0</v>
      </c>
      <c r="BB228" s="2000">
        <v>0</v>
      </c>
      <c r="BC228" s="1998">
        <v>0</v>
      </c>
      <c r="BD228" s="1998">
        <v>0</v>
      </c>
      <c r="BE228" s="1998">
        <v>0</v>
      </c>
      <c r="BF228" s="1998">
        <v>0</v>
      </c>
      <c r="BG228" s="1998">
        <v>0</v>
      </c>
      <c r="BH228" s="1998">
        <v>0</v>
      </c>
      <c r="BI228" s="1998">
        <v>0</v>
      </c>
      <c r="BJ228" s="1998">
        <v>0</v>
      </c>
      <c r="BK228" s="1998">
        <v>0</v>
      </c>
      <c r="BL228" s="1999">
        <v>0.94766013029501539</v>
      </c>
      <c r="BM228" s="1979">
        <v>0.88102316169161754</v>
      </c>
      <c r="BN228" s="1979">
        <v>0.94785511190195804</v>
      </c>
      <c r="BO228" s="1979">
        <v>0.88115632748251327</v>
      </c>
      <c r="BP228" s="1979">
        <v>0.94808117753319576</v>
      </c>
      <c r="BQ228" s="1979">
        <v>0.8813107226023924</v>
      </c>
      <c r="BR228" s="1979">
        <v>0.94834115300911936</v>
      </c>
      <c r="BS228" s="1979">
        <v>0.88148827699025345</v>
      </c>
      <c r="BT228" s="1979">
        <v>0.94866047071324278</v>
      </c>
      <c r="BU228" s="1979">
        <v>0.8817063600970827</v>
      </c>
      <c r="BV228" s="2000">
        <v>0</v>
      </c>
      <c r="BW228" s="1998">
        <v>0</v>
      </c>
      <c r="BX228" s="1998">
        <v>0</v>
      </c>
      <c r="BY228" s="1998">
        <v>0</v>
      </c>
      <c r="BZ228" s="1998">
        <v>0</v>
      </c>
      <c r="CA228" s="1998">
        <v>0</v>
      </c>
      <c r="CB228" s="1998">
        <v>0</v>
      </c>
      <c r="CC228" s="1998">
        <v>0</v>
      </c>
      <c r="CD228" s="1998">
        <v>0</v>
      </c>
      <c r="CE228" s="1998">
        <v>0</v>
      </c>
      <c r="CF228" s="1999">
        <v>1</v>
      </c>
      <c r="CG228" s="1979">
        <v>1</v>
      </c>
      <c r="CH228" s="1979">
        <v>1.0003277347227537</v>
      </c>
      <c r="CI228" s="1979">
        <v>1.0002392407525043</v>
      </c>
      <c r="CJ228" s="1979">
        <v>1.000707717010004</v>
      </c>
      <c r="CK228" s="1979">
        <v>1.0005166213351175</v>
      </c>
      <c r="CL228" s="1979">
        <v>1.0011446966403423</v>
      </c>
      <c r="CM228" s="1979">
        <v>1.0008356090051229</v>
      </c>
      <c r="CN228" s="1979">
        <v>1.0016814216210834</v>
      </c>
      <c r="CO228" s="1979">
        <v>1.0012274090780644</v>
      </c>
      <c r="CP228" s="2000">
        <v>1</v>
      </c>
      <c r="CQ228" s="1998">
        <v>1</v>
      </c>
      <c r="CR228" s="1998">
        <v>1.0003439617249361</v>
      </c>
      <c r="CS228" s="1998">
        <v>1.0002505085178317</v>
      </c>
      <c r="CT228" s="1998">
        <v>1.000742757927761</v>
      </c>
      <c r="CU228" s="1998">
        <v>1.0005409531761871</v>
      </c>
      <c r="CV228" s="1998">
        <v>1.0012013735610095</v>
      </c>
      <c r="CW228" s="1998">
        <v>1.0008749645332957</v>
      </c>
      <c r="CX228" s="1998">
        <v>1.0017646731974992</v>
      </c>
      <c r="CY228" s="1998">
        <v>1.0012852176132228</v>
      </c>
      <c r="CZ228" s="1999">
        <v>0.83479786464510819</v>
      </c>
      <c r="DA228" s="1979">
        <v>0.81615861694880543</v>
      </c>
      <c r="DB228" s="1979">
        <v>0.8351050754777678</v>
      </c>
      <c r="DC228" s="1979">
        <v>0.81638027648638989</v>
      </c>
      <c r="DD228" s="1979">
        <v>0.83546122254925825</v>
      </c>
      <c r="DE228" s="1979">
        <v>0.81663724462288145</v>
      </c>
      <c r="DF228" s="1979">
        <v>0.83587718057931948</v>
      </c>
      <c r="DG228" s="1979">
        <v>0.81693736771359304</v>
      </c>
      <c r="DH228" s="1979">
        <v>0.83639372976697735</v>
      </c>
      <c r="DI228" s="1979">
        <v>0.81731006959094721</v>
      </c>
      <c r="DJ228" s="2000">
        <v>0.83631094596398581</v>
      </c>
      <c r="DK228" s="1998">
        <v>0.81974184275069628</v>
      </c>
      <c r="DL228" s="1998">
        <v>0.8365818801968411</v>
      </c>
      <c r="DM228" s="1998">
        <v>0.81993998069843865</v>
      </c>
      <c r="DN228" s="1998">
        <v>0.8368959720951068</v>
      </c>
      <c r="DO228" s="1998">
        <v>0.8201696804431664</v>
      </c>
      <c r="DP228" s="1998">
        <v>0.83726281225109656</v>
      </c>
      <c r="DQ228" s="1998">
        <v>0.82043795571754319</v>
      </c>
      <c r="DR228" s="1998">
        <v>0.83771836538598576</v>
      </c>
      <c r="DS228" s="1998">
        <v>0.82077110801905695</v>
      </c>
    </row>
    <row r="229" spans="1:123">
      <c r="A229" s="1997"/>
      <c r="B229" s="2">
        <v>9</v>
      </c>
      <c r="C229" s="2" t="s">
        <v>4335</v>
      </c>
      <c r="D229" s="1979">
        <v>0</v>
      </c>
      <c r="E229" s="1979">
        <v>0</v>
      </c>
      <c r="F229" s="1979">
        <v>0</v>
      </c>
      <c r="G229" s="1979">
        <v>0</v>
      </c>
      <c r="H229" s="1979">
        <v>0</v>
      </c>
      <c r="I229" s="1979">
        <v>0</v>
      </c>
      <c r="J229" s="1979">
        <v>0</v>
      </c>
      <c r="K229" s="1979">
        <v>0</v>
      </c>
      <c r="L229" s="1979">
        <v>0</v>
      </c>
      <c r="M229" s="1979">
        <v>0</v>
      </c>
      <c r="N229" s="2000">
        <v>0</v>
      </c>
      <c r="O229" s="1998">
        <v>0</v>
      </c>
      <c r="P229" s="1998">
        <v>0</v>
      </c>
      <c r="Q229" s="1998">
        <v>0</v>
      </c>
      <c r="R229" s="1998">
        <v>0</v>
      </c>
      <c r="S229" s="1998">
        <v>0</v>
      </c>
      <c r="T229" s="1998">
        <v>0</v>
      </c>
      <c r="U229" s="1998">
        <v>0</v>
      </c>
      <c r="V229" s="1998">
        <v>0</v>
      </c>
      <c r="W229" s="1998">
        <v>0</v>
      </c>
      <c r="X229" s="1999">
        <v>0</v>
      </c>
      <c r="Y229" s="1979">
        <v>0</v>
      </c>
      <c r="Z229" s="1979">
        <v>0</v>
      </c>
      <c r="AA229" s="1979">
        <v>0</v>
      </c>
      <c r="AB229" s="1979">
        <v>0</v>
      </c>
      <c r="AC229" s="1979">
        <v>0</v>
      </c>
      <c r="AD229" s="1979">
        <v>0</v>
      </c>
      <c r="AE229" s="1979">
        <v>0</v>
      </c>
      <c r="AF229" s="1979">
        <v>0</v>
      </c>
      <c r="AG229" s="1979">
        <v>0</v>
      </c>
      <c r="AH229" s="2000">
        <v>0</v>
      </c>
      <c r="AI229" s="1998">
        <v>0</v>
      </c>
      <c r="AJ229" s="1998">
        <v>0</v>
      </c>
      <c r="AK229" s="1998">
        <v>0</v>
      </c>
      <c r="AL229" s="1998">
        <v>0</v>
      </c>
      <c r="AM229" s="1998">
        <v>0</v>
      </c>
      <c r="AN229" s="1998">
        <v>0</v>
      </c>
      <c r="AO229" s="1998">
        <v>0</v>
      </c>
      <c r="AP229" s="1998">
        <v>0</v>
      </c>
      <c r="AQ229" s="1998">
        <v>0</v>
      </c>
      <c r="AR229" s="1999">
        <v>0</v>
      </c>
      <c r="AS229" s="1979">
        <v>0</v>
      </c>
      <c r="AT229" s="1979">
        <v>0</v>
      </c>
      <c r="AU229" s="1979">
        <v>0</v>
      </c>
      <c r="AV229" s="1979">
        <v>0</v>
      </c>
      <c r="AW229" s="1979">
        <v>0</v>
      </c>
      <c r="AX229" s="1979">
        <v>0</v>
      </c>
      <c r="AY229" s="1979">
        <v>0</v>
      </c>
      <c r="AZ229" s="1979">
        <v>0</v>
      </c>
      <c r="BA229" s="1979">
        <v>0</v>
      </c>
      <c r="BB229" s="2000">
        <v>0</v>
      </c>
      <c r="BC229" s="1998">
        <v>0</v>
      </c>
      <c r="BD229" s="1998">
        <v>0</v>
      </c>
      <c r="BE229" s="1998">
        <v>0</v>
      </c>
      <c r="BF229" s="1998">
        <v>0</v>
      </c>
      <c r="BG229" s="1998">
        <v>0</v>
      </c>
      <c r="BH229" s="1998">
        <v>0</v>
      </c>
      <c r="BI229" s="1998">
        <v>0</v>
      </c>
      <c r="BJ229" s="1998">
        <v>0</v>
      </c>
      <c r="BK229" s="1998">
        <v>0</v>
      </c>
      <c r="BL229" s="1999">
        <v>0.97408868607134436</v>
      </c>
      <c r="BM229" s="1979">
        <v>0.90412969127818643</v>
      </c>
      <c r="BN229" s="1979">
        <v>0.974283667678287</v>
      </c>
      <c r="BO229" s="1979">
        <v>0.90426285706908227</v>
      </c>
      <c r="BP229" s="1979">
        <v>0.97450973330952484</v>
      </c>
      <c r="BQ229" s="1979">
        <v>0.9044172521889613</v>
      </c>
      <c r="BR229" s="1979">
        <v>0.97476970878544833</v>
      </c>
      <c r="BS229" s="1979">
        <v>0.90459480657682223</v>
      </c>
      <c r="BT229" s="1979">
        <v>0.97508902648957174</v>
      </c>
      <c r="BU229" s="1979">
        <v>0.90481288968365159</v>
      </c>
      <c r="BV229" s="2000">
        <v>0</v>
      </c>
      <c r="BW229" s="1998">
        <v>0</v>
      </c>
      <c r="BX229" s="1998">
        <v>0</v>
      </c>
      <c r="BY229" s="1998">
        <v>0</v>
      </c>
      <c r="BZ229" s="1998">
        <v>0</v>
      </c>
      <c r="CA229" s="1998">
        <v>0</v>
      </c>
      <c r="CB229" s="1998">
        <v>0</v>
      </c>
      <c r="CC229" s="1998">
        <v>0</v>
      </c>
      <c r="CD229" s="1998">
        <v>0</v>
      </c>
      <c r="CE229" s="1998">
        <v>0</v>
      </c>
      <c r="CF229" s="1999">
        <v>1.0313036321874329</v>
      </c>
      <c r="CG229" s="1979">
        <v>1.0310066982208437</v>
      </c>
      <c r="CH229" s="1979">
        <v>1.0316313669101864</v>
      </c>
      <c r="CI229" s="1979">
        <v>1.0312459389733479</v>
      </c>
      <c r="CJ229" s="1979">
        <v>1.032011349197437</v>
      </c>
      <c r="CK229" s="1979">
        <v>1.0315233195559612</v>
      </c>
      <c r="CL229" s="1979">
        <v>1.032448328827775</v>
      </c>
      <c r="CM229" s="1979">
        <v>1.0318423072259666</v>
      </c>
      <c r="CN229" s="1979">
        <v>1.0329850538085166</v>
      </c>
      <c r="CO229" s="1979">
        <v>1.0322341072989081</v>
      </c>
      <c r="CP229" s="2000">
        <v>1.0434838174686216</v>
      </c>
      <c r="CQ229" s="1998">
        <v>1.0428084943166704</v>
      </c>
      <c r="CR229" s="1998">
        <v>1.043827779193558</v>
      </c>
      <c r="CS229" s="1998">
        <v>1.0430590028345019</v>
      </c>
      <c r="CT229" s="1998">
        <v>1.0442265753963826</v>
      </c>
      <c r="CU229" s="1998">
        <v>1.0433494474928575</v>
      </c>
      <c r="CV229" s="1998">
        <v>1.0446851910296311</v>
      </c>
      <c r="CW229" s="1998">
        <v>1.0436834588499662</v>
      </c>
      <c r="CX229" s="1998">
        <v>1.045248490666121</v>
      </c>
      <c r="CY229" s="1998">
        <v>1.0440937119298934</v>
      </c>
      <c r="CZ229" s="1999">
        <v>0.85062250213775825</v>
      </c>
      <c r="DA229" s="1979">
        <v>0.83997746878222657</v>
      </c>
      <c r="DB229" s="1979">
        <v>0.85108331838674767</v>
      </c>
      <c r="DC229" s="1979">
        <v>0.8403099580886032</v>
      </c>
      <c r="DD229" s="1979">
        <v>0.85161753899398329</v>
      </c>
      <c r="DE229" s="1979">
        <v>0.84069541029334061</v>
      </c>
      <c r="DF229" s="1979">
        <v>0.85224147603907507</v>
      </c>
      <c r="DG229" s="1979">
        <v>0.8411455949294081</v>
      </c>
      <c r="DH229" s="1979">
        <v>0.85301629982056182</v>
      </c>
      <c r="DI229" s="1979">
        <v>0.84170464774543952</v>
      </c>
      <c r="DJ229" s="2000">
        <v>0.86546636090407347</v>
      </c>
      <c r="DK229" s="1998">
        <v>0.85446201008041744</v>
      </c>
      <c r="DL229" s="1998">
        <v>0.8658727622533563</v>
      </c>
      <c r="DM229" s="1998">
        <v>0.85475921700203095</v>
      </c>
      <c r="DN229" s="1998">
        <v>0.86634390010075479</v>
      </c>
      <c r="DO229" s="1998">
        <v>0.8551037666191228</v>
      </c>
      <c r="DP229" s="1998">
        <v>0.86689416033473965</v>
      </c>
      <c r="DQ229" s="1998">
        <v>0.85550617953068797</v>
      </c>
      <c r="DR229" s="1998">
        <v>0.86757749003707352</v>
      </c>
      <c r="DS229" s="1998">
        <v>0.85600590798295839</v>
      </c>
    </row>
    <row r="230" spans="1:123">
      <c r="A230" s="1997"/>
      <c r="B230" s="2">
        <v>10</v>
      </c>
      <c r="C230" s="2" t="s">
        <v>4336</v>
      </c>
      <c r="D230" s="1979">
        <v>0</v>
      </c>
      <c r="E230" s="1979">
        <v>0</v>
      </c>
      <c r="F230" s="1979">
        <v>0</v>
      </c>
      <c r="G230" s="1979">
        <v>0</v>
      </c>
      <c r="H230" s="1979">
        <v>0</v>
      </c>
      <c r="I230" s="1979">
        <v>0</v>
      </c>
      <c r="J230" s="1979">
        <v>0</v>
      </c>
      <c r="K230" s="1979">
        <v>0</v>
      </c>
      <c r="L230" s="1979">
        <v>0</v>
      </c>
      <c r="M230" s="1979">
        <v>0</v>
      </c>
      <c r="N230" s="2000">
        <v>0</v>
      </c>
      <c r="O230" s="1998">
        <v>0</v>
      </c>
      <c r="P230" s="1998">
        <v>0</v>
      </c>
      <c r="Q230" s="1998">
        <v>0</v>
      </c>
      <c r="R230" s="1998">
        <v>0</v>
      </c>
      <c r="S230" s="1998">
        <v>0</v>
      </c>
      <c r="T230" s="1998">
        <v>0</v>
      </c>
      <c r="U230" s="1998">
        <v>0</v>
      </c>
      <c r="V230" s="1998">
        <v>0</v>
      </c>
      <c r="W230" s="1998">
        <v>0</v>
      </c>
      <c r="X230" s="1999">
        <v>0</v>
      </c>
      <c r="Y230" s="1979">
        <v>0</v>
      </c>
      <c r="Z230" s="1979">
        <v>0</v>
      </c>
      <c r="AA230" s="1979">
        <v>0</v>
      </c>
      <c r="AB230" s="1979">
        <v>0</v>
      </c>
      <c r="AC230" s="1979">
        <v>0</v>
      </c>
      <c r="AD230" s="1979">
        <v>0</v>
      </c>
      <c r="AE230" s="1979">
        <v>0</v>
      </c>
      <c r="AF230" s="1979">
        <v>0</v>
      </c>
      <c r="AG230" s="1979">
        <v>0</v>
      </c>
      <c r="AH230" s="2000">
        <v>0</v>
      </c>
      <c r="AI230" s="1998">
        <v>0</v>
      </c>
      <c r="AJ230" s="1998">
        <v>0</v>
      </c>
      <c r="AK230" s="1998">
        <v>0</v>
      </c>
      <c r="AL230" s="1998">
        <v>0</v>
      </c>
      <c r="AM230" s="1998">
        <v>0</v>
      </c>
      <c r="AN230" s="1998">
        <v>0</v>
      </c>
      <c r="AO230" s="1998">
        <v>0</v>
      </c>
      <c r="AP230" s="1998">
        <v>0</v>
      </c>
      <c r="AQ230" s="1998">
        <v>0</v>
      </c>
      <c r="AR230" s="1999">
        <v>0</v>
      </c>
      <c r="AS230" s="1979">
        <v>0</v>
      </c>
      <c r="AT230" s="1979">
        <v>0</v>
      </c>
      <c r="AU230" s="1979">
        <v>0</v>
      </c>
      <c r="AV230" s="1979">
        <v>0</v>
      </c>
      <c r="AW230" s="1979">
        <v>0</v>
      </c>
      <c r="AX230" s="1979">
        <v>0</v>
      </c>
      <c r="AY230" s="1979">
        <v>0</v>
      </c>
      <c r="AZ230" s="1979">
        <v>0</v>
      </c>
      <c r="BA230" s="1979">
        <v>0</v>
      </c>
      <c r="BB230" s="2000">
        <v>0</v>
      </c>
      <c r="BC230" s="1998">
        <v>0</v>
      </c>
      <c r="BD230" s="1998">
        <v>0</v>
      </c>
      <c r="BE230" s="1998">
        <v>0</v>
      </c>
      <c r="BF230" s="1998">
        <v>0</v>
      </c>
      <c r="BG230" s="1998">
        <v>0</v>
      </c>
      <c r="BH230" s="1998">
        <v>0</v>
      </c>
      <c r="BI230" s="1998">
        <v>0</v>
      </c>
      <c r="BJ230" s="1998">
        <v>0</v>
      </c>
      <c r="BK230" s="1998">
        <v>0</v>
      </c>
      <c r="BL230" s="1999">
        <v>0.98685383703872165</v>
      </c>
      <c r="BM230" s="1979">
        <v>0.91970341865261351</v>
      </c>
      <c r="BN230" s="1979">
        <v>0.98714630944913562</v>
      </c>
      <c r="BO230" s="1979">
        <v>0.91990316733895716</v>
      </c>
      <c r="BP230" s="1979">
        <v>0.98748540789599237</v>
      </c>
      <c r="BQ230" s="1979">
        <v>0.92013476001877581</v>
      </c>
      <c r="BR230" s="1979">
        <v>0.98787537110987778</v>
      </c>
      <c r="BS230" s="1979">
        <v>0.92040109160056727</v>
      </c>
      <c r="BT230" s="1979">
        <v>0.988354347666063</v>
      </c>
      <c r="BU230" s="1979">
        <v>0.92072821626081125</v>
      </c>
      <c r="BV230" s="2000">
        <v>0</v>
      </c>
      <c r="BW230" s="1998">
        <v>0</v>
      </c>
      <c r="BX230" s="1998">
        <v>0</v>
      </c>
      <c r="BY230" s="1998">
        <v>0</v>
      </c>
      <c r="BZ230" s="1998">
        <v>0</v>
      </c>
      <c r="CA230" s="1998">
        <v>0</v>
      </c>
      <c r="CB230" s="1998">
        <v>0</v>
      </c>
      <c r="CC230" s="1998">
        <v>0</v>
      </c>
      <c r="CD230" s="1998">
        <v>0</v>
      </c>
      <c r="CE230" s="1998">
        <v>0</v>
      </c>
      <c r="CF230" s="1999">
        <v>1.0800838301065325</v>
      </c>
      <c r="CG230" s="1979">
        <v>1.0792969508208505</v>
      </c>
      <c r="CH230" s="1979">
        <v>1.0804115648292862</v>
      </c>
      <c r="CI230" s="1979">
        <v>1.0795361915733546</v>
      </c>
      <c r="CJ230" s="1979">
        <v>1.0807915471165368</v>
      </c>
      <c r="CK230" s="1979">
        <v>1.0798135721559681</v>
      </c>
      <c r="CL230" s="1979">
        <v>1.0812285267468749</v>
      </c>
      <c r="CM230" s="1979">
        <v>1.0801325598259732</v>
      </c>
      <c r="CN230" s="1979">
        <v>1.0817652517276162</v>
      </c>
      <c r="CO230" s="1979">
        <v>1.0805243598989149</v>
      </c>
      <c r="CP230" s="2000">
        <v>1.0815321577536654</v>
      </c>
      <c r="CQ230" s="1998">
        <v>1.0802659268437569</v>
      </c>
      <c r="CR230" s="1998">
        <v>1.0818761194786017</v>
      </c>
      <c r="CS230" s="1998">
        <v>1.0805164353615886</v>
      </c>
      <c r="CT230" s="1998">
        <v>1.0822749156814264</v>
      </c>
      <c r="CU230" s="1998">
        <v>1.080806880019944</v>
      </c>
      <c r="CV230" s="1998">
        <v>1.0827335313146749</v>
      </c>
      <c r="CW230" s="1998">
        <v>1.0811408913770526</v>
      </c>
      <c r="CX230" s="1998">
        <v>1.0832968309511648</v>
      </c>
      <c r="CY230" s="1998">
        <v>1.0815511444569796</v>
      </c>
      <c r="CZ230" s="1999">
        <v>0.88502980417044552</v>
      </c>
      <c r="DA230" s="1979">
        <v>0.86998253381636326</v>
      </c>
      <c r="DB230" s="1979">
        <v>0.88549062041943494</v>
      </c>
      <c r="DC230" s="1979">
        <v>0.87031502312273989</v>
      </c>
      <c r="DD230" s="1979">
        <v>0.88602484102667056</v>
      </c>
      <c r="DE230" s="1979">
        <v>0.8707004753274773</v>
      </c>
      <c r="DF230" s="1979">
        <v>0.88664877807176246</v>
      </c>
      <c r="DG230" s="1979">
        <v>0.87115065996354468</v>
      </c>
      <c r="DH230" s="1979">
        <v>0.88742360185324898</v>
      </c>
      <c r="DI230" s="1979">
        <v>0.8717097127795761</v>
      </c>
      <c r="DJ230" s="2000">
        <v>0.89282879916962354</v>
      </c>
      <c r="DK230" s="1998">
        <v>0.87863634068537222</v>
      </c>
      <c r="DL230" s="1998">
        <v>0.89323520051890659</v>
      </c>
      <c r="DM230" s="1998">
        <v>0.87893354760698561</v>
      </c>
      <c r="DN230" s="1998">
        <v>0.8937063383663052</v>
      </c>
      <c r="DO230" s="1998">
        <v>0.87927809722407724</v>
      </c>
      <c r="DP230" s="1998">
        <v>0.89425659860028972</v>
      </c>
      <c r="DQ230" s="1998">
        <v>0.87968051013564263</v>
      </c>
      <c r="DR230" s="1998">
        <v>0.8949399283026237</v>
      </c>
      <c r="DS230" s="1998">
        <v>0.88018023858791283</v>
      </c>
    </row>
    <row r="231" spans="1:123">
      <c r="A231" s="1997"/>
      <c r="B231" s="2">
        <v>11</v>
      </c>
      <c r="C231" s="2" t="s">
        <v>4337</v>
      </c>
      <c r="D231" s="1979">
        <v>0</v>
      </c>
      <c r="E231" s="1979">
        <v>0</v>
      </c>
      <c r="F231" s="1979">
        <v>0</v>
      </c>
      <c r="G231" s="1979">
        <v>0</v>
      </c>
      <c r="H231" s="1979">
        <v>0</v>
      </c>
      <c r="I231" s="1979">
        <v>0</v>
      </c>
      <c r="J231" s="1979">
        <v>0</v>
      </c>
      <c r="K231" s="1979">
        <v>0</v>
      </c>
      <c r="L231" s="1979">
        <v>0</v>
      </c>
      <c r="M231" s="1979">
        <v>0</v>
      </c>
      <c r="N231" s="2000">
        <v>0</v>
      </c>
      <c r="O231" s="1998">
        <v>0</v>
      </c>
      <c r="P231" s="1998">
        <v>0</v>
      </c>
      <c r="Q231" s="1998">
        <v>0</v>
      </c>
      <c r="R231" s="1998">
        <v>0</v>
      </c>
      <c r="S231" s="1998">
        <v>0</v>
      </c>
      <c r="T231" s="1998">
        <v>0</v>
      </c>
      <c r="U231" s="1998">
        <v>0</v>
      </c>
      <c r="V231" s="1998">
        <v>0</v>
      </c>
      <c r="W231" s="1998">
        <v>0</v>
      </c>
      <c r="X231" s="1999">
        <v>0</v>
      </c>
      <c r="Y231" s="1979">
        <v>0</v>
      </c>
      <c r="Z231" s="1979">
        <v>0</v>
      </c>
      <c r="AA231" s="1979">
        <v>0</v>
      </c>
      <c r="AB231" s="1979">
        <v>0</v>
      </c>
      <c r="AC231" s="1979">
        <v>0</v>
      </c>
      <c r="AD231" s="1979">
        <v>0</v>
      </c>
      <c r="AE231" s="1979">
        <v>0</v>
      </c>
      <c r="AF231" s="1979">
        <v>0</v>
      </c>
      <c r="AG231" s="1979">
        <v>0</v>
      </c>
      <c r="AH231" s="2000">
        <v>0</v>
      </c>
      <c r="AI231" s="1998">
        <v>0</v>
      </c>
      <c r="AJ231" s="1998">
        <v>0</v>
      </c>
      <c r="AK231" s="1998">
        <v>0</v>
      </c>
      <c r="AL231" s="1998">
        <v>0</v>
      </c>
      <c r="AM231" s="1998">
        <v>0</v>
      </c>
      <c r="AN231" s="1998">
        <v>0</v>
      </c>
      <c r="AO231" s="1998">
        <v>0</v>
      </c>
      <c r="AP231" s="1998">
        <v>0</v>
      </c>
      <c r="AQ231" s="1998">
        <v>0</v>
      </c>
      <c r="AR231" s="1999">
        <v>0</v>
      </c>
      <c r="AS231" s="1979">
        <v>0</v>
      </c>
      <c r="AT231" s="1979">
        <v>0</v>
      </c>
      <c r="AU231" s="1979">
        <v>0</v>
      </c>
      <c r="AV231" s="1979">
        <v>0</v>
      </c>
      <c r="AW231" s="1979">
        <v>0</v>
      </c>
      <c r="AX231" s="1979">
        <v>0</v>
      </c>
      <c r="AY231" s="1979">
        <v>0</v>
      </c>
      <c r="AZ231" s="1979">
        <v>0</v>
      </c>
      <c r="BA231" s="1979">
        <v>0</v>
      </c>
      <c r="BB231" s="2000">
        <v>0</v>
      </c>
      <c r="BC231" s="1998">
        <v>0</v>
      </c>
      <c r="BD231" s="1998">
        <v>0</v>
      </c>
      <c r="BE231" s="1998">
        <v>0</v>
      </c>
      <c r="BF231" s="1998">
        <v>0</v>
      </c>
      <c r="BG231" s="1998">
        <v>0</v>
      </c>
      <c r="BH231" s="1998">
        <v>0</v>
      </c>
      <c r="BI231" s="1998">
        <v>0</v>
      </c>
      <c r="BJ231" s="1998">
        <v>0</v>
      </c>
      <c r="BK231" s="1998">
        <v>0</v>
      </c>
      <c r="BL231" s="1999">
        <v>1.0101477521333579</v>
      </c>
      <c r="BM231" s="1979">
        <v>0.94086792639434269</v>
      </c>
      <c r="BN231" s="1979">
        <v>1.010440224543772</v>
      </c>
      <c r="BO231" s="1979">
        <v>0.94106767508068634</v>
      </c>
      <c r="BP231" s="1979">
        <v>1.0107793229906288</v>
      </c>
      <c r="BQ231" s="1979">
        <v>0.94129926776050521</v>
      </c>
      <c r="BR231" s="1979">
        <v>1.0111692862045141</v>
      </c>
      <c r="BS231" s="1979">
        <v>0.94156559934229656</v>
      </c>
      <c r="BT231" s="1979">
        <v>1.0116482627606993</v>
      </c>
      <c r="BU231" s="1979">
        <v>0.94189272400254043</v>
      </c>
      <c r="BV231" s="2000">
        <v>0</v>
      </c>
      <c r="BW231" s="1998">
        <v>0</v>
      </c>
      <c r="BX231" s="1998">
        <v>0</v>
      </c>
      <c r="BY231" s="1998">
        <v>0</v>
      </c>
      <c r="BZ231" s="1998">
        <v>0</v>
      </c>
      <c r="CA231" s="1998">
        <v>0</v>
      </c>
      <c r="CB231" s="1998">
        <v>0</v>
      </c>
      <c r="CC231" s="1998">
        <v>0</v>
      </c>
      <c r="CD231" s="1998">
        <v>0</v>
      </c>
      <c r="CE231" s="1998">
        <v>0</v>
      </c>
      <c r="CF231" s="1999">
        <v>1.1149582951772299</v>
      </c>
      <c r="CG231" s="1979">
        <v>1.1138111515885389</v>
      </c>
      <c r="CH231" s="1979">
        <v>1.1152860298999834</v>
      </c>
      <c r="CI231" s="1979">
        <v>1.114050392341043</v>
      </c>
      <c r="CJ231" s="1979">
        <v>1.1156660121872339</v>
      </c>
      <c r="CK231" s="1979">
        <v>1.1143277729236563</v>
      </c>
      <c r="CL231" s="1979">
        <v>1.1161029918175722</v>
      </c>
      <c r="CM231" s="1979">
        <v>1.1146467605936619</v>
      </c>
      <c r="CN231" s="1979">
        <v>1.1166397167983135</v>
      </c>
      <c r="CO231" s="1979">
        <v>1.1150385606666033</v>
      </c>
      <c r="CP231" s="2000">
        <v>1.1120897183562519</v>
      </c>
      <c r="CQ231" s="1998">
        <v>1.1103116486525173</v>
      </c>
      <c r="CR231" s="1998">
        <v>1.1124336800811883</v>
      </c>
      <c r="CS231" s="1998">
        <v>1.1105621571703488</v>
      </c>
      <c r="CT231" s="1998">
        <v>1.1128324762840129</v>
      </c>
      <c r="CU231" s="1998">
        <v>1.1108526018287044</v>
      </c>
      <c r="CV231" s="1998">
        <v>1.1132910919172614</v>
      </c>
      <c r="CW231" s="1998">
        <v>1.111186613185813</v>
      </c>
      <c r="CX231" s="1998">
        <v>1.1138543915537513</v>
      </c>
      <c r="CY231" s="1998">
        <v>1.1115968662657401</v>
      </c>
      <c r="CZ231" s="1999">
        <v>0.92803893171130458</v>
      </c>
      <c r="DA231" s="1979">
        <v>0.90748886510903437</v>
      </c>
      <c r="DB231" s="1979">
        <v>0.928499747960294</v>
      </c>
      <c r="DC231" s="1979">
        <v>0.9078213544154109</v>
      </c>
      <c r="DD231" s="1979">
        <v>0.92903396856752973</v>
      </c>
      <c r="DE231" s="1979">
        <v>0.9082068066201483</v>
      </c>
      <c r="DF231" s="1979">
        <v>0.92965790561262163</v>
      </c>
      <c r="DG231" s="1979">
        <v>0.90865699125621568</v>
      </c>
      <c r="DH231" s="1979">
        <v>0.93043272939410837</v>
      </c>
      <c r="DI231" s="1979">
        <v>0.90921604407224721</v>
      </c>
      <c r="DJ231" s="2000">
        <v>0.91790228180956968</v>
      </c>
      <c r="DK231" s="1998">
        <v>0.90079024645525674</v>
      </c>
      <c r="DL231" s="1998">
        <v>0.91830868315885239</v>
      </c>
      <c r="DM231" s="1998">
        <v>0.90108745337687002</v>
      </c>
      <c r="DN231" s="1998">
        <v>0.91877982100625122</v>
      </c>
      <c r="DO231" s="1998">
        <v>0.90143200299396165</v>
      </c>
      <c r="DP231" s="1998">
        <v>0.91933008124023574</v>
      </c>
      <c r="DQ231" s="1998">
        <v>0.90183441590552704</v>
      </c>
      <c r="DR231" s="1998">
        <v>0.92001341094256972</v>
      </c>
      <c r="DS231" s="1998">
        <v>0.90233414435779735</v>
      </c>
    </row>
    <row r="232" spans="1:123">
      <c r="A232" s="1997"/>
      <c r="B232" s="2">
        <v>12</v>
      </c>
      <c r="C232" s="2" t="s">
        <v>4338</v>
      </c>
      <c r="D232" s="1979">
        <v>0</v>
      </c>
      <c r="E232" s="1979">
        <v>0</v>
      </c>
      <c r="F232" s="1979">
        <v>0</v>
      </c>
      <c r="G232" s="1979">
        <v>0</v>
      </c>
      <c r="H232" s="1979">
        <v>0</v>
      </c>
      <c r="I232" s="1979">
        <v>0</v>
      </c>
      <c r="J232" s="1979">
        <v>0</v>
      </c>
      <c r="K232" s="1979">
        <v>0</v>
      </c>
      <c r="L232" s="1979">
        <v>0</v>
      </c>
      <c r="M232" s="1979">
        <v>0</v>
      </c>
      <c r="N232" s="2000">
        <v>0</v>
      </c>
      <c r="O232" s="1998">
        <v>0</v>
      </c>
      <c r="P232" s="1998">
        <v>0</v>
      </c>
      <c r="Q232" s="1998">
        <v>0</v>
      </c>
      <c r="R232" s="1998">
        <v>0</v>
      </c>
      <c r="S232" s="1998">
        <v>0</v>
      </c>
      <c r="T232" s="1998">
        <v>0</v>
      </c>
      <c r="U232" s="1998">
        <v>0</v>
      </c>
      <c r="V232" s="1998">
        <v>0</v>
      </c>
      <c r="W232" s="1998">
        <v>0</v>
      </c>
      <c r="X232" s="1999">
        <v>0</v>
      </c>
      <c r="Y232" s="1979">
        <v>0</v>
      </c>
      <c r="Z232" s="1979">
        <v>0</v>
      </c>
      <c r="AA232" s="1979">
        <v>0</v>
      </c>
      <c r="AB232" s="1979">
        <v>0</v>
      </c>
      <c r="AC232" s="1979">
        <v>0</v>
      </c>
      <c r="AD232" s="1979">
        <v>0</v>
      </c>
      <c r="AE232" s="1979">
        <v>0</v>
      </c>
      <c r="AF232" s="1979">
        <v>0</v>
      </c>
      <c r="AG232" s="1979">
        <v>0</v>
      </c>
      <c r="AH232" s="2000">
        <v>0</v>
      </c>
      <c r="AI232" s="1998">
        <v>0</v>
      </c>
      <c r="AJ232" s="1998">
        <v>0</v>
      </c>
      <c r="AK232" s="1998">
        <v>0</v>
      </c>
      <c r="AL232" s="1998">
        <v>0</v>
      </c>
      <c r="AM232" s="1998">
        <v>0</v>
      </c>
      <c r="AN232" s="1998">
        <v>0</v>
      </c>
      <c r="AO232" s="1998">
        <v>0</v>
      </c>
      <c r="AP232" s="1998">
        <v>0</v>
      </c>
      <c r="AQ232" s="1998">
        <v>0</v>
      </c>
      <c r="AR232" s="1999">
        <v>0</v>
      </c>
      <c r="AS232" s="1979">
        <v>0</v>
      </c>
      <c r="AT232" s="1979">
        <v>0</v>
      </c>
      <c r="AU232" s="1979">
        <v>0</v>
      </c>
      <c r="AV232" s="1979">
        <v>0</v>
      </c>
      <c r="AW232" s="1979">
        <v>0</v>
      </c>
      <c r="AX232" s="1979">
        <v>0</v>
      </c>
      <c r="AY232" s="1979">
        <v>0</v>
      </c>
      <c r="AZ232" s="1979">
        <v>0</v>
      </c>
      <c r="BA232" s="1979">
        <v>0</v>
      </c>
      <c r="BB232" s="2000">
        <v>0</v>
      </c>
      <c r="BC232" s="1998">
        <v>0</v>
      </c>
      <c r="BD232" s="1998">
        <v>0</v>
      </c>
      <c r="BE232" s="1998">
        <v>0</v>
      </c>
      <c r="BF232" s="1998">
        <v>0</v>
      </c>
      <c r="BG232" s="1998">
        <v>0</v>
      </c>
      <c r="BH232" s="1998">
        <v>0</v>
      </c>
      <c r="BI232" s="1998">
        <v>0</v>
      </c>
      <c r="BJ232" s="1998">
        <v>0</v>
      </c>
      <c r="BK232" s="1998">
        <v>0</v>
      </c>
      <c r="BL232" s="1999">
        <v>1.1119322664327305</v>
      </c>
      <c r="BM232" s="1979">
        <v>1.0333831339577957</v>
      </c>
      <c r="BN232" s="1979">
        <v>1.1122247388431445</v>
      </c>
      <c r="BO232" s="1979">
        <v>1.0335828826441391</v>
      </c>
      <c r="BP232" s="1979">
        <v>1.1125638372900013</v>
      </c>
      <c r="BQ232" s="1979">
        <v>1.0338144753239578</v>
      </c>
      <c r="BR232" s="1979">
        <v>1.1129538005038864</v>
      </c>
      <c r="BS232" s="1979">
        <v>1.0340808069057492</v>
      </c>
      <c r="BT232" s="1979">
        <v>1.1134327770600718</v>
      </c>
      <c r="BU232" s="1979">
        <v>1.0344079315659929</v>
      </c>
      <c r="BV232" s="2000">
        <v>0</v>
      </c>
      <c r="BW232" s="1998">
        <v>0</v>
      </c>
      <c r="BX232" s="1998">
        <v>0</v>
      </c>
      <c r="BY232" s="1998">
        <v>0</v>
      </c>
      <c r="BZ232" s="1998">
        <v>0</v>
      </c>
      <c r="CA232" s="1998">
        <v>0</v>
      </c>
      <c r="CB232" s="1998">
        <v>0</v>
      </c>
      <c r="CC232" s="1998">
        <v>0</v>
      </c>
      <c r="CD232" s="1998">
        <v>0</v>
      </c>
      <c r="CE232" s="1998">
        <v>0</v>
      </c>
      <c r="CF232" s="1999">
        <v>1.2057546239335555</v>
      </c>
      <c r="CG232" s="1979">
        <v>1.2036306100499248</v>
      </c>
      <c r="CH232" s="1979">
        <v>1.2060823586563092</v>
      </c>
      <c r="CI232" s="1979">
        <v>1.2038698508024288</v>
      </c>
      <c r="CJ232" s="1979">
        <v>1.2064623409435598</v>
      </c>
      <c r="CK232" s="1979">
        <v>1.2041472313850421</v>
      </c>
      <c r="CL232" s="1979">
        <v>1.2068993205738976</v>
      </c>
      <c r="CM232" s="1979">
        <v>1.2044662190550472</v>
      </c>
      <c r="CN232" s="1979">
        <v>1.2074360455546391</v>
      </c>
      <c r="CO232" s="1979">
        <v>1.2048580191279887</v>
      </c>
      <c r="CP232" s="2000">
        <v>1.2266805706159516</v>
      </c>
      <c r="CQ232" s="1998">
        <v>1.2229831054353681</v>
      </c>
      <c r="CR232" s="1998">
        <v>1.2270245323408877</v>
      </c>
      <c r="CS232" s="1998">
        <v>1.2232336139531996</v>
      </c>
      <c r="CT232" s="1998">
        <v>1.2274233285437126</v>
      </c>
      <c r="CU232" s="1998">
        <v>1.223524058611555</v>
      </c>
      <c r="CV232" s="1998">
        <v>1.2278819441769611</v>
      </c>
      <c r="CW232" s="1998">
        <v>1.2238580699686636</v>
      </c>
      <c r="CX232" s="1998">
        <v>1.2284452438134508</v>
      </c>
      <c r="CY232" s="1998">
        <v>1.2242683230485909</v>
      </c>
      <c r="CZ232" s="1999">
        <v>0.8919547290772375</v>
      </c>
      <c r="DA232" s="1979">
        <v>0.90055090182938968</v>
      </c>
      <c r="DB232" s="1979">
        <v>0.89287636157521633</v>
      </c>
      <c r="DC232" s="1979">
        <v>0.90121588044214285</v>
      </c>
      <c r="DD232" s="1979">
        <v>0.89394480278968758</v>
      </c>
      <c r="DE232" s="1979">
        <v>0.90198678485161765</v>
      </c>
      <c r="DF232" s="1979">
        <v>0.89519267687987136</v>
      </c>
      <c r="DG232" s="1979">
        <v>0.90288715412375253</v>
      </c>
      <c r="DH232" s="1979">
        <v>0.89674232444284463</v>
      </c>
      <c r="DI232" s="1979">
        <v>0.90400525975581525</v>
      </c>
      <c r="DJ232" s="2000">
        <v>0.99848998983727488</v>
      </c>
      <c r="DK232" s="1998">
        <v>0.99888161089299887</v>
      </c>
      <c r="DL232" s="1998">
        <v>0.99930279253584053</v>
      </c>
      <c r="DM232" s="1998">
        <v>0.99947602473622577</v>
      </c>
      <c r="DN232" s="1998">
        <v>1.0002450682306379</v>
      </c>
      <c r="DO232" s="1998">
        <v>1.0001651239704095</v>
      </c>
      <c r="DP232" s="1998">
        <v>1.0013455886986071</v>
      </c>
      <c r="DQ232" s="1998">
        <v>1.0009699497935398</v>
      </c>
      <c r="DR232" s="1998">
        <v>1.0027122481032751</v>
      </c>
      <c r="DS232" s="1998">
        <v>1.0019694066980807</v>
      </c>
    </row>
    <row r="233" spans="1:123">
      <c r="A233" s="1997"/>
      <c r="B233" s="2">
        <v>13</v>
      </c>
      <c r="C233" s="2" t="str">
        <f>CONCATENATE($U$8," ",V$10)</f>
        <v>Proportion de fenêtres 0</v>
      </c>
      <c r="D233" s="1979">
        <v>0</v>
      </c>
      <c r="E233" s="1979">
        <v>0</v>
      </c>
      <c r="F233" s="1979">
        <v>0</v>
      </c>
      <c r="G233" s="1979">
        <v>0</v>
      </c>
      <c r="H233" s="1979">
        <v>0</v>
      </c>
      <c r="I233" s="1979">
        <v>0</v>
      </c>
      <c r="J233" s="1979">
        <v>0</v>
      </c>
      <c r="K233" s="1979">
        <v>0</v>
      </c>
      <c r="L233" s="1979">
        <v>0</v>
      </c>
      <c r="M233" s="1979">
        <v>0</v>
      </c>
      <c r="N233" s="2000">
        <v>0</v>
      </c>
      <c r="O233" s="1998">
        <v>0</v>
      </c>
      <c r="P233" s="1998">
        <v>0</v>
      </c>
      <c r="Q233" s="1998">
        <v>0</v>
      </c>
      <c r="R233" s="1998">
        <v>0</v>
      </c>
      <c r="S233" s="1998">
        <v>0</v>
      </c>
      <c r="T233" s="1998">
        <v>0</v>
      </c>
      <c r="U233" s="1998">
        <v>0</v>
      </c>
      <c r="V233" s="1998">
        <v>0</v>
      </c>
      <c r="W233" s="1998">
        <v>0</v>
      </c>
      <c r="X233" s="1999">
        <v>0</v>
      </c>
      <c r="Y233" s="1979">
        <v>0</v>
      </c>
      <c r="Z233" s="1979">
        <v>0</v>
      </c>
      <c r="AA233" s="1979">
        <v>0</v>
      </c>
      <c r="AB233" s="1979">
        <v>0</v>
      </c>
      <c r="AC233" s="1979">
        <v>0</v>
      </c>
      <c r="AD233" s="1979">
        <v>0</v>
      </c>
      <c r="AE233" s="1979">
        <v>0</v>
      </c>
      <c r="AF233" s="1979">
        <v>0</v>
      </c>
      <c r="AG233" s="1979">
        <v>0</v>
      </c>
      <c r="AH233" s="2000">
        <v>0</v>
      </c>
      <c r="AI233" s="1998">
        <v>0</v>
      </c>
      <c r="AJ233" s="1998">
        <v>0</v>
      </c>
      <c r="AK233" s="1998">
        <v>0</v>
      </c>
      <c r="AL233" s="1998">
        <v>0</v>
      </c>
      <c r="AM233" s="1998">
        <v>0</v>
      </c>
      <c r="AN233" s="1998">
        <v>0</v>
      </c>
      <c r="AO233" s="1998">
        <v>0</v>
      </c>
      <c r="AP233" s="1998">
        <v>0</v>
      </c>
      <c r="AQ233" s="1998">
        <v>0</v>
      </c>
      <c r="AR233" s="1999">
        <v>0</v>
      </c>
      <c r="AS233" s="1979">
        <v>0</v>
      </c>
      <c r="AT233" s="1979">
        <v>0</v>
      </c>
      <c r="AU233" s="1979">
        <v>0</v>
      </c>
      <c r="AV233" s="1979">
        <v>0</v>
      </c>
      <c r="AW233" s="1979">
        <v>0</v>
      </c>
      <c r="AX233" s="1979">
        <v>0</v>
      </c>
      <c r="AY233" s="1979">
        <v>0</v>
      </c>
      <c r="AZ233" s="1979">
        <v>0</v>
      </c>
      <c r="BA233" s="1979">
        <v>0</v>
      </c>
      <c r="BB233" s="2000">
        <v>0</v>
      </c>
      <c r="BC233" s="1998">
        <v>0</v>
      </c>
      <c r="BD233" s="1998">
        <v>0</v>
      </c>
      <c r="BE233" s="1998">
        <v>0</v>
      </c>
      <c r="BF233" s="1998">
        <v>0</v>
      </c>
      <c r="BG233" s="1998">
        <v>0</v>
      </c>
      <c r="BH233" s="1998">
        <v>0</v>
      </c>
      <c r="BI233" s="1998">
        <v>0</v>
      </c>
      <c r="BJ233" s="1998">
        <v>0</v>
      </c>
      <c r="BK233" s="1998">
        <v>0</v>
      </c>
      <c r="BL233" s="1999">
        <v>0.95378321751061257</v>
      </c>
      <c r="BM233" s="1979">
        <v>0.89587804644162516</v>
      </c>
      <c r="BN233" s="1979">
        <v>0.95407568992102654</v>
      </c>
      <c r="BO233" s="1979">
        <v>0.8960777951279687</v>
      </c>
      <c r="BP233" s="1979">
        <v>0.95441478836788352</v>
      </c>
      <c r="BQ233" s="1979">
        <v>0.89630938780778746</v>
      </c>
      <c r="BR233" s="1979">
        <v>0.95480475158176858</v>
      </c>
      <c r="BS233" s="1979">
        <v>0.89657571938957892</v>
      </c>
      <c r="BT233" s="1979">
        <v>0.95528372813795392</v>
      </c>
      <c r="BU233" s="1979">
        <v>0.89690284404982279</v>
      </c>
      <c r="BV233" s="2000">
        <v>0</v>
      </c>
      <c r="BW233" s="1998">
        <v>0</v>
      </c>
      <c r="BX233" s="1998">
        <v>0</v>
      </c>
      <c r="BY233" s="1998">
        <v>0</v>
      </c>
      <c r="BZ233" s="1998">
        <v>0</v>
      </c>
      <c r="CA233" s="1998">
        <v>0</v>
      </c>
      <c r="CB233" s="1998">
        <v>0</v>
      </c>
      <c r="CC233" s="1998">
        <v>0</v>
      </c>
      <c r="CD233" s="1998">
        <v>0</v>
      </c>
      <c r="CE233" s="1998">
        <v>0</v>
      </c>
      <c r="CF233" s="1999">
        <v>0.99009545503250573</v>
      </c>
      <c r="CG233" s="1979">
        <v>0.99237314363840889</v>
      </c>
      <c r="CH233" s="1979">
        <v>0.99042318975525923</v>
      </c>
      <c r="CI233" s="1979">
        <v>0.99261238439091271</v>
      </c>
      <c r="CJ233" s="1979">
        <v>0.99080317204250978</v>
      </c>
      <c r="CK233" s="1979">
        <v>0.99288976497352632</v>
      </c>
      <c r="CL233" s="1979">
        <v>0.99124015167284807</v>
      </c>
      <c r="CM233" s="1979">
        <v>0.99320875264353159</v>
      </c>
      <c r="CN233" s="1979">
        <v>0.99177687665358905</v>
      </c>
      <c r="CO233" s="1979">
        <v>0.99360055271647296</v>
      </c>
      <c r="CP233" s="2000">
        <v>0.98918077167633389</v>
      </c>
      <c r="CQ233" s="1998">
        <v>0.99168797193333669</v>
      </c>
      <c r="CR233" s="1998">
        <v>0.98952473340127012</v>
      </c>
      <c r="CS233" s="1998">
        <v>0.99193848045116839</v>
      </c>
      <c r="CT233" s="1998">
        <v>0.98992352960409502</v>
      </c>
      <c r="CU233" s="1998">
        <v>0.99222892510952365</v>
      </c>
      <c r="CV233" s="1998">
        <v>0.99038214523734325</v>
      </c>
      <c r="CW233" s="1998">
        <v>0.9925629364666323</v>
      </c>
      <c r="CX233" s="1998">
        <v>0.99094544487383329</v>
      </c>
      <c r="CY233" s="1998">
        <v>0.99297318954655933</v>
      </c>
      <c r="CZ233" s="1999">
        <v>0.97114368194964051</v>
      </c>
      <c r="DA233" s="1979">
        <v>0.97811591183687274</v>
      </c>
      <c r="DB233" s="1979">
        <v>0.97206531444761946</v>
      </c>
      <c r="DC233" s="1979">
        <v>0.97878089044962602</v>
      </c>
      <c r="DD233" s="1979">
        <v>0.97313375566209059</v>
      </c>
      <c r="DE233" s="1979">
        <v>0.97955179485910082</v>
      </c>
      <c r="DF233" s="1979">
        <v>0.97438162975227416</v>
      </c>
      <c r="DG233" s="1979">
        <v>0.98045216413123559</v>
      </c>
      <c r="DH233" s="1979">
        <v>0.97593127731524765</v>
      </c>
      <c r="DI233" s="1979">
        <v>0.98157026976329842</v>
      </c>
      <c r="DJ233" s="2000">
        <v>0.95295672931192388</v>
      </c>
      <c r="DK233" s="1998">
        <v>0.96375543560325849</v>
      </c>
      <c r="DL233" s="1998">
        <v>0.95376953201048964</v>
      </c>
      <c r="DM233" s="1998">
        <v>0.96434984944648561</v>
      </c>
      <c r="DN233" s="1998">
        <v>0.95471180770528685</v>
      </c>
      <c r="DO233" s="1998">
        <v>0.96503894868066897</v>
      </c>
      <c r="DP233" s="1998">
        <v>0.95581232817325612</v>
      </c>
      <c r="DQ233" s="1998">
        <v>0.96584377450379932</v>
      </c>
      <c r="DR233" s="1998">
        <v>0.95717898757792408</v>
      </c>
      <c r="DS233" s="1998">
        <v>0.96684323140834028</v>
      </c>
    </row>
    <row r="234" spans="1:123">
      <c r="A234" s="1997"/>
      <c r="B234" s="2">
        <v>14</v>
      </c>
      <c r="C234" s="2" t="str">
        <f>CONCATENATE($U$8," ",V$11)</f>
        <v>Proportion de fenêtres 10</v>
      </c>
      <c r="D234" s="1979">
        <v>0</v>
      </c>
      <c r="E234" s="1979">
        <v>0</v>
      </c>
      <c r="F234" s="1979">
        <v>0</v>
      </c>
      <c r="G234" s="1979">
        <v>0</v>
      </c>
      <c r="H234" s="1979">
        <v>0</v>
      </c>
      <c r="I234" s="1979">
        <v>0</v>
      </c>
      <c r="J234" s="1979">
        <v>0</v>
      </c>
      <c r="K234" s="1979">
        <v>0</v>
      </c>
      <c r="L234" s="1979">
        <v>0</v>
      </c>
      <c r="M234" s="1979">
        <v>0</v>
      </c>
      <c r="N234" s="2000">
        <v>0</v>
      </c>
      <c r="O234" s="1998">
        <v>0</v>
      </c>
      <c r="P234" s="1998">
        <v>0</v>
      </c>
      <c r="Q234" s="1998">
        <v>0</v>
      </c>
      <c r="R234" s="1998">
        <v>0</v>
      </c>
      <c r="S234" s="1998">
        <v>0</v>
      </c>
      <c r="T234" s="1998">
        <v>0</v>
      </c>
      <c r="U234" s="1998">
        <v>0</v>
      </c>
      <c r="V234" s="1998">
        <v>0</v>
      </c>
      <c r="W234" s="1998">
        <v>0</v>
      </c>
      <c r="X234" s="1999">
        <v>0</v>
      </c>
      <c r="Y234" s="1979">
        <v>0</v>
      </c>
      <c r="Z234" s="1979">
        <v>0</v>
      </c>
      <c r="AA234" s="1979">
        <v>0</v>
      </c>
      <c r="AB234" s="1979">
        <v>0</v>
      </c>
      <c r="AC234" s="1979">
        <v>0</v>
      </c>
      <c r="AD234" s="1979">
        <v>0</v>
      </c>
      <c r="AE234" s="1979">
        <v>0</v>
      </c>
      <c r="AF234" s="1979">
        <v>0</v>
      </c>
      <c r="AG234" s="1979">
        <v>0</v>
      </c>
      <c r="AH234" s="2000">
        <v>0</v>
      </c>
      <c r="AI234" s="1998">
        <v>0</v>
      </c>
      <c r="AJ234" s="1998">
        <v>0</v>
      </c>
      <c r="AK234" s="1998">
        <v>0</v>
      </c>
      <c r="AL234" s="1998">
        <v>0</v>
      </c>
      <c r="AM234" s="1998">
        <v>0</v>
      </c>
      <c r="AN234" s="1998">
        <v>0</v>
      </c>
      <c r="AO234" s="1998">
        <v>0</v>
      </c>
      <c r="AP234" s="1998">
        <v>0</v>
      </c>
      <c r="AQ234" s="1998">
        <v>0</v>
      </c>
      <c r="AR234" s="1999">
        <v>0</v>
      </c>
      <c r="AS234" s="1979">
        <v>0</v>
      </c>
      <c r="AT234" s="1979">
        <v>0</v>
      </c>
      <c r="AU234" s="1979">
        <v>0</v>
      </c>
      <c r="AV234" s="1979">
        <v>0</v>
      </c>
      <c r="AW234" s="1979">
        <v>0</v>
      </c>
      <c r="AX234" s="1979">
        <v>0</v>
      </c>
      <c r="AY234" s="1979">
        <v>0</v>
      </c>
      <c r="AZ234" s="1979">
        <v>0</v>
      </c>
      <c r="BA234" s="1979">
        <v>0</v>
      </c>
      <c r="BB234" s="2000">
        <v>0</v>
      </c>
      <c r="BC234" s="1998">
        <v>0</v>
      </c>
      <c r="BD234" s="1998">
        <v>0</v>
      </c>
      <c r="BE234" s="1998">
        <v>0</v>
      </c>
      <c r="BF234" s="1998">
        <v>0</v>
      </c>
      <c r="BG234" s="1998">
        <v>0</v>
      </c>
      <c r="BH234" s="1998">
        <v>0</v>
      </c>
      <c r="BI234" s="1998">
        <v>0</v>
      </c>
      <c r="BJ234" s="1998">
        <v>0</v>
      </c>
      <c r="BK234" s="1998">
        <v>0</v>
      </c>
      <c r="BL234" s="1999">
        <v>0.96039734141623445</v>
      </c>
      <c r="BM234" s="1979">
        <v>0.90064312088382281</v>
      </c>
      <c r="BN234" s="1979">
        <v>0.96068981382664853</v>
      </c>
      <c r="BO234" s="1979">
        <v>0.90084286957016646</v>
      </c>
      <c r="BP234" s="1979">
        <v>0.96102891227350518</v>
      </c>
      <c r="BQ234" s="1979">
        <v>0.90107446224998511</v>
      </c>
      <c r="BR234" s="1979">
        <v>0.96141887548739058</v>
      </c>
      <c r="BS234" s="1979">
        <v>0.90134079383177657</v>
      </c>
      <c r="BT234" s="1979">
        <v>0.96189785204357559</v>
      </c>
      <c r="BU234" s="1979">
        <v>0.90166791849202055</v>
      </c>
      <c r="BV234" s="2000">
        <v>0</v>
      </c>
      <c r="BW234" s="1998">
        <v>0</v>
      </c>
      <c r="BX234" s="1998">
        <v>0</v>
      </c>
      <c r="BY234" s="1998">
        <v>0</v>
      </c>
      <c r="BZ234" s="1998">
        <v>0</v>
      </c>
      <c r="CA234" s="1998">
        <v>0</v>
      </c>
      <c r="CB234" s="1998">
        <v>0</v>
      </c>
      <c r="CC234" s="1998">
        <v>0</v>
      </c>
      <c r="CD234" s="1998">
        <v>0</v>
      </c>
      <c r="CE234" s="1998">
        <v>0</v>
      </c>
      <c r="CF234" s="1999">
        <v>0.99339697002167038</v>
      </c>
      <c r="CG234" s="1979">
        <v>0.9949154290922726</v>
      </c>
      <c r="CH234" s="1979">
        <v>0.99372470474442409</v>
      </c>
      <c r="CI234" s="1979">
        <v>0.99515466984477674</v>
      </c>
      <c r="CJ234" s="1979">
        <v>0.99410468703167454</v>
      </c>
      <c r="CK234" s="1979">
        <v>0.99543205042739002</v>
      </c>
      <c r="CL234" s="1979">
        <v>0.99454166666201271</v>
      </c>
      <c r="CM234" s="1979">
        <v>0.99575103809739529</v>
      </c>
      <c r="CN234" s="1979">
        <v>0.99507839164275391</v>
      </c>
      <c r="CO234" s="1979">
        <v>0.996142838170337</v>
      </c>
      <c r="CP234" s="2000">
        <v>0.99278718111755593</v>
      </c>
      <c r="CQ234" s="1998">
        <v>0.99445864795555794</v>
      </c>
      <c r="CR234" s="1998">
        <v>0.99313114284249238</v>
      </c>
      <c r="CS234" s="1998">
        <v>0.99470915647338942</v>
      </c>
      <c r="CT234" s="1998">
        <v>0.99352993904531706</v>
      </c>
      <c r="CU234" s="1998">
        <v>0.99499960113174468</v>
      </c>
      <c r="CV234" s="1998">
        <v>0.99398855467856528</v>
      </c>
      <c r="CW234" s="1998">
        <v>0.99533361248885344</v>
      </c>
      <c r="CX234" s="1998">
        <v>0.99455185431505533</v>
      </c>
      <c r="CY234" s="1998">
        <v>0.99574386556878036</v>
      </c>
      <c r="CZ234" s="1999">
        <v>0.97651693081722246</v>
      </c>
      <c r="DA234" s="1979">
        <v>0.98220555286505273</v>
      </c>
      <c r="DB234" s="1979">
        <v>0.97743856331520129</v>
      </c>
      <c r="DC234" s="1979">
        <v>0.98287053147780579</v>
      </c>
      <c r="DD234" s="1979">
        <v>0.97850700452967243</v>
      </c>
      <c r="DE234" s="1979">
        <v>0.98364143588728059</v>
      </c>
      <c r="DF234" s="1979">
        <v>0.979754878619856</v>
      </c>
      <c r="DG234" s="1979">
        <v>0.98454180515941536</v>
      </c>
      <c r="DH234" s="1979">
        <v>0.98130452618282948</v>
      </c>
      <c r="DI234" s="1979">
        <v>0.98565991079147819</v>
      </c>
      <c r="DJ234" s="2000">
        <v>0.9620633814169941</v>
      </c>
      <c r="DK234" s="1998">
        <v>0.97078067066120666</v>
      </c>
      <c r="DL234" s="1998">
        <v>0.96287618411555953</v>
      </c>
      <c r="DM234" s="1998">
        <v>0.97137508450443355</v>
      </c>
      <c r="DN234" s="1998">
        <v>0.96381845981035696</v>
      </c>
      <c r="DO234" s="1998">
        <v>0.97206418373861703</v>
      </c>
      <c r="DP234" s="1998">
        <v>0.96491898027832623</v>
      </c>
      <c r="DQ234" s="1998">
        <v>0.9728690095617476</v>
      </c>
      <c r="DR234" s="1998">
        <v>0.96628563968299397</v>
      </c>
      <c r="DS234" s="1998">
        <v>0.97386846646628833</v>
      </c>
    </row>
    <row r="235" spans="1:123">
      <c r="A235" s="1997"/>
      <c r="B235" s="2">
        <v>15</v>
      </c>
      <c r="C235" s="2" t="str">
        <f>CONCATENATE($U$8," ",V$12)</f>
        <v>Proportion de fenêtres 20</v>
      </c>
      <c r="D235" s="1979">
        <v>0</v>
      </c>
      <c r="E235" s="1979">
        <v>0</v>
      </c>
      <c r="F235" s="1979">
        <v>0</v>
      </c>
      <c r="G235" s="1979">
        <v>0</v>
      </c>
      <c r="H235" s="1979">
        <v>0</v>
      </c>
      <c r="I235" s="1979">
        <v>0</v>
      </c>
      <c r="J235" s="1979">
        <v>0</v>
      </c>
      <c r="K235" s="1979">
        <v>0</v>
      </c>
      <c r="L235" s="1979">
        <v>0</v>
      </c>
      <c r="M235" s="1979">
        <v>0</v>
      </c>
      <c r="N235" s="2000">
        <v>0</v>
      </c>
      <c r="O235" s="1998">
        <v>0</v>
      </c>
      <c r="P235" s="1998">
        <v>0</v>
      </c>
      <c r="Q235" s="1998">
        <v>0</v>
      </c>
      <c r="R235" s="1998">
        <v>0</v>
      </c>
      <c r="S235" s="1998">
        <v>0</v>
      </c>
      <c r="T235" s="1998">
        <v>0</v>
      </c>
      <c r="U235" s="1998">
        <v>0</v>
      </c>
      <c r="V235" s="1998">
        <v>0</v>
      </c>
      <c r="W235" s="1998">
        <v>0</v>
      </c>
      <c r="X235" s="1999">
        <v>0</v>
      </c>
      <c r="Y235" s="1979">
        <v>0</v>
      </c>
      <c r="Z235" s="1979">
        <v>0</v>
      </c>
      <c r="AA235" s="1979">
        <v>0</v>
      </c>
      <c r="AB235" s="1979">
        <v>0</v>
      </c>
      <c r="AC235" s="1979">
        <v>0</v>
      </c>
      <c r="AD235" s="1979">
        <v>0</v>
      </c>
      <c r="AE235" s="1979">
        <v>0</v>
      </c>
      <c r="AF235" s="1979">
        <v>0</v>
      </c>
      <c r="AG235" s="1979">
        <v>0</v>
      </c>
      <c r="AH235" s="2000">
        <v>0</v>
      </c>
      <c r="AI235" s="1998">
        <v>0</v>
      </c>
      <c r="AJ235" s="1998">
        <v>0</v>
      </c>
      <c r="AK235" s="1998">
        <v>0</v>
      </c>
      <c r="AL235" s="1998">
        <v>0</v>
      </c>
      <c r="AM235" s="1998">
        <v>0</v>
      </c>
      <c r="AN235" s="1998">
        <v>0</v>
      </c>
      <c r="AO235" s="1998">
        <v>0</v>
      </c>
      <c r="AP235" s="1998">
        <v>0</v>
      </c>
      <c r="AQ235" s="1998">
        <v>0</v>
      </c>
      <c r="AR235" s="1999">
        <v>0</v>
      </c>
      <c r="AS235" s="1979">
        <v>0</v>
      </c>
      <c r="AT235" s="1979">
        <v>0</v>
      </c>
      <c r="AU235" s="1979">
        <v>0</v>
      </c>
      <c r="AV235" s="1979">
        <v>0</v>
      </c>
      <c r="AW235" s="1979">
        <v>0</v>
      </c>
      <c r="AX235" s="1979">
        <v>0</v>
      </c>
      <c r="AY235" s="1979">
        <v>0</v>
      </c>
      <c r="AZ235" s="1979">
        <v>0</v>
      </c>
      <c r="BA235" s="1979">
        <v>0</v>
      </c>
      <c r="BB235" s="2000">
        <v>0</v>
      </c>
      <c r="BC235" s="1998">
        <v>0</v>
      </c>
      <c r="BD235" s="1998">
        <v>0</v>
      </c>
      <c r="BE235" s="1998">
        <v>0</v>
      </c>
      <c r="BF235" s="1998">
        <v>0</v>
      </c>
      <c r="BG235" s="1998">
        <v>0</v>
      </c>
      <c r="BH235" s="1998">
        <v>0</v>
      </c>
      <c r="BI235" s="1998">
        <v>0</v>
      </c>
      <c r="BJ235" s="1998">
        <v>0</v>
      </c>
      <c r="BK235" s="1998">
        <v>0</v>
      </c>
      <c r="BL235" s="1999">
        <v>0.96701146532185622</v>
      </c>
      <c r="BM235" s="1979">
        <v>0.90540819532602057</v>
      </c>
      <c r="BN235" s="1979">
        <v>0.96730393773227019</v>
      </c>
      <c r="BO235" s="1979">
        <v>0.90560794401236411</v>
      </c>
      <c r="BP235" s="1979">
        <v>0.96764303617912717</v>
      </c>
      <c r="BQ235" s="1979">
        <v>0.90583953669218276</v>
      </c>
      <c r="BR235" s="1979">
        <v>0.96803299939301224</v>
      </c>
      <c r="BS235" s="1979">
        <v>0.90610586827397432</v>
      </c>
      <c r="BT235" s="1979">
        <v>0.96851197594919758</v>
      </c>
      <c r="BU235" s="1979">
        <v>0.90643299293421831</v>
      </c>
      <c r="BV235" s="2000">
        <v>0</v>
      </c>
      <c r="BW235" s="1998">
        <v>0</v>
      </c>
      <c r="BX235" s="1998">
        <v>0</v>
      </c>
      <c r="BY235" s="1998">
        <v>0</v>
      </c>
      <c r="BZ235" s="1998">
        <v>0</v>
      </c>
      <c r="CA235" s="1998">
        <v>0</v>
      </c>
      <c r="CB235" s="1998">
        <v>0</v>
      </c>
      <c r="CC235" s="1998">
        <v>0</v>
      </c>
      <c r="CD235" s="1998">
        <v>0</v>
      </c>
      <c r="CE235" s="1998">
        <v>0</v>
      </c>
      <c r="CF235" s="1999">
        <v>0.99669848501083524</v>
      </c>
      <c r="CG235" s="1979">
        <v>0.9974577145461363</v>
      </c>
      <c r="CH235" s="1979">
        <v>0.99702621973358874</v>
      </c>
      <c r="CI235" s="1979">
        <v>0.99769695529864055</v>
      </c>
      <c r="CJ235" s="1979">
        <v>0.99740620202083929</v>
      </c>
      <c r="CK235" s="1979">
        <v>0.99797433588125373</v>
      </c>
      <c r="CL235" s="1979">
        <v>0.99784318165117747</v>
      </c>
      <c r="CM235" s="1979">
        <v>0.9982933235512591</v>
      </c>
      <c r="CN235" s="1979">
        <v>0.99837990663191867</v>
      </c>
      <c r="CO235" s="1979">
        <v>0.9986851236242007</v>
      </c>
      <c r="CP235" s="2000">
        <v>0.99639359055877785</v>
      </c>
      <c r="CQ235" s="1998">
        <v>0.99722932397777897</v>
      </c>
      <c r="CR235" s="1998">
        <v>0.9967375522837143</v>
      </c>
      <c r="CS235" s="1998">
        <v>0.99747983249561045</v>
      </c>
      <c r="CT235" s="1998">
        <v>0.99713634848653887</v>
      </c>
      <c r="CU235" s="1998">
        <v>0.99777027715396593</v>
      </c>
      <c r="CV235" s="1998">
        <v>0.99759496411978743</v>
      </c>
      <c r="CW235" s="1998">
        <v>0.99810428851107458</v>
      </c>
      <c r="CX235" s="1998">
        <v>0.99815826375627714</v>
      </c>
      <c r="CY235" s="1998">
        <v>0.99851454159100173</v>
      </c>
      <c r="CZ235" s="1999">
        <v>0.9818901796848043</v>
      </c>
      <c r="DA235" s="1979">
        <v>0.9862951938932325</v>
      </c>
      <c r="DB235" s="1979">
        <v>0.98281181218278313</v>
      </c>
      <c r="DC235" s="1979">
        <v>0.98696017250598556</v>
      </c>
      <c r="DD235" s="1979">
        <v>0.98388025339725427</v>
      </c>
      <c r="DE235" s="1979">
        <v>0.98773107691546058</v>
      </c>
      <c r="DF235" s="1979">
        <v>0.98512812748743805</v>
      </c>
      <c r="DG235" s="1979">
        <v>0.98863144618759535</v>
      </c>
      <c r="DH235" s="1979">
        <v>0.98667777505041132</v>
      </c>
      <c r="DI235" s="1979">
        <v>0.98974955181965796</v>
      </c>
      <c r="DJ235" s="2000">
        <v>0.97117003352206421</v>
      </c>
      <c r="DK235" s="1998">
        <v>0.9778059057191546</v>
      </c>
      <c r="DL235" s="1998">
        <v>0.97198283622062998</v>
      </c>
      <c r="DM235" s="1998">
        <v>0.9784003195623816</v>
      </c>
      <c r="DN235" s="1998">
        <v>0.97292511191542719</v>
      </c>
      <c r="DO235" s="1998">
        <v>0.97908941879656519</v>
      </c>
      <c r="DP235" s="1998">
        <v>0.97402563238339646</v>
      </c>
      <c r="DQ235" s="1998">
        <v>0.97989424461969554</v>
      </c>
      <c r="DR235" s="1998">
        <v>0.97539229178806441</v>
      </c>
      <c r="DS235" s="1998">
        <v>0.98089370152423649</v>
      </c>
    </row>
    <row r="236" spans="1:123">
      <c r="A236" s="1997"/>
      <c r="B236" s="2">
        <v>16</v>
      </c>
      <c r="C236" s="2" t="str">
        <f>CONCATENATE($U$8," ",V$13)</f>
        <v>Proportion de fenêtres 30</v>
      </c>
      <c r="D236" s="1979">
        <v>0</v>
      </c>
      <c r="E236" s="1979">
        <v>0</v>
      </c>
      <c r="F236" s="1979">
        <v>0</v>
      </c>
      <c r="G236" s="1979">
        <v>0</v>
      </c>
      <c r="H236" s="1979">
        <v>0</v>
      </c>
      <c r="I236" s="1979">
        <v>0</v>
      </c>
      <c r="J236" s="1979">
        <v>0</v>
      </c>
      <c r="K236" s="1979">
        <v>0</v>
      </c>
      <c r="L236" s="1979">
        <v>0</v>
      </c>
      <c r="M236" s="1979">
        <v>0</v>
      </c>
      <c r="N236" s="2000">
        <v>0</v>
      </c>
      <c r="O236" s="1998">
        <v>0</v>
      </c>
      <c r="P236" s="1998">
        <v>0</v>
      </c>
      <c r="Q236" s="1998">
        <v>0</v>
      </c>
      <c r="R236" s="1998">
        <v>0</v>
      </c>
      <c r="S236" s="1998">
        <v>0</v>
      </c>
      <c r="T236" s="1998">
        <v>0</v>
      </c>
      <c r="U236" s="1998">
        <v>0</v>
      </c>
      <c r="V236" s="1998">
        <v>0</v>
      </c>
      <c r="W236" s="1998">
        <v>0</v>
      </c>
      <c r="X236" s="1999">
        <v>0</v>
      </c>
      <c r="Y236" s="1979">
        <v>0</v>
      </c>
      <c r="Z236" s="1979">
        <v>0</v>
      </c>
      <c r="AA236" s="1979">
        <v>0</v>
      </c>
      <c r="AB236" s="1979">
        <v>0</v>
      </c>
      <c r="AC236" s="1979">
        <v>0</v>
      </c>
      <c r="AD236" s="1979">
        <v>0</v>
      </c>
      <c r="AE236" s="1979">
        <v>0</v>
      </c>
      <c r="AF236" s="1979">
        <v>0</v>
      </c>
      <c r="AG236" s="1979">
        <v>0</v>
      </c>
      <c r="AH236" s="2000">
        <v>0</v>
      </c>
      <c r="AI236" s="1998">
        <v>0</v>
      </c>
      <c r="AJ236" s="1998">
        <v>0</v>
      </c>
      <c r="AK236" s="1998">
        <v>0</v>
      </c>
      <c r="AL236" s="1998">
        <v>0</v>
      </c>
      <c r="AM236" s="1998">
        <v>0</v>
      </c>
      <c r="AN236" s="1998">
        <v>0</v>
      </c>
      <c r="AO236" s="1998">
        <v>0</v>
      </c>
      <c r="AP236" s="1998">
        <v>0</v>
      </c>
      <c r="AQ236" s="1998">
        <v>0</v>
      </c>
      <c r="AR236" s="1999">
        <v>0</v>
      </c>
      <c r="AS236" s="1979">
        <v>0</v>
      </c>
      <c r="AT236" s="1979">
        <v>0</v>
      </c>
      <c r="AU236" s="1979">
        <v>0</v>
      </c>
      <c r="AV236" s="1979">
        <v>0</v>
      </c>
      <c r="AW236" s="1979">
        <v>0</v>
      </c>
      <c r="AX236" s="1979">
        <v>0</v>
      </c>
      <c r="AY236" s="1979">
        <v>0</v>
      </c>
      <c r="AZ236" s="1979">
        <v>0</v>
      </c>
      <c r="BA236" s="1979">
        <v>0</v>
      </c>
      <c r="BB236" s="2000">
        <v>0</v>
      </c>
      <c r="BC236" s="1998">
        <v>0</v>
      </c>
      <c r="BD236" s="1998">
        <v>0</v>
      </c>
      <c r="BE236" s="1998">
        <v>0</v>
      </c>
      <c r="BF236" s="1998">
        <v>0</v>
      </c>
      <c r="BG236" s="1998">
        <v>0</v>
      </c>
      <c r="BH236" s="1998">
        <v>0</v>
      </c>
      <c r="BI236" s="1998">
        <v>0</v>
      </c>
      <c r="BJ236" s="1998">
        <v>0</v>
      </c>
      <c r="BK236" s="1998">
        <v>0</v>
      </c>
      <c r="BL236" s="1999">
        <v>0.97362558922747811</v>
      </c>
      <c r="BM236" s="1979">
        <v>0.91017326976821833</v>
      </c>
      <c r="BN236" s="1979">
        <v>0.97391806163789219</v>
      </c>
      <c r="BO236" s="1979">
        <v>0.91037301845456187</v>
      </c>
      <c r="BP236" s="1979">
        <v>0.97425716008474883</v>
      </c>
      <c r="BQ236" s="1979">
        <v>0.91060461113438051</v>
      </c>
      <c r="BR236" s="1979">
        <v>0.97464712329863423</v>
      </c>
      <c r="BS236" s="1979">
        <v>0.91087094271617208</v>
      </c>
      <c r="BT236" s="1979">
        <v>0.97512609985481946</v>
      </c>
      <c r="BU236" s="1979">
        <v>0.91119806737641595</v>
      </c>
      <c r="BV236" s="2000">
        <v>0</v>
      </c>
      <c r="BW236" s="1998">
        <v>0</v>
      </c>
      <c r="BX236" s="1998">
        <v>0</v>
      </c>
      <c r="BY236" s="1998">
        <v>0</v>
      </c>
      <c r="BZ236" s="1998">
        <v>0</v>
      </c>
      <c r="CA236" s="1998">
        <v>0</v>
      </c>
      <c r="CB236" s="1998">
        <v>0</v>
      </c>
      <c r="CC236" s="1998">
        <v>0</v>
      </c>
      <c r="CD236" s="1998">
        <v>0</v>
      </c>
      <c r="CE236" s="1998">
        <v>0</v>
      </c>
      <c r="CF236" s="1999">
        <v>1</v>
      </c>
      <c r="CG236" s="1979">
        <v>1</v>
      </c>
      <c r="CH236" s="1979">
        <v>1.0003277347227537</v>
      </c>
      <c r="CI236" s="1979">
        <v>1.0002392407525043</v>
      </c>
      <c r="CJ236" s="1979">
        <v>1.000707717010004</v>
      </c>
      <c r="CK236" s="1979">
        <v>1.0005166213351175</v>
      </c>
      <c r="CL236" s="1979">
        <v>1.0011446966403423</v>
      </c>
      <c r="CM236" s="1979">
        <v>1.0008356090051229</v>
      </c>
      <c r="CN236" s="1979">
        <v>1.0016814216210834</v>
      </c>
      <c r="CO236" s="1979">
        <v>1.0012274090780644</v>
      </c>
      <c r="CP236" s="2000">
        <v>1</v>
      </c>
      <c r="CQ236" s="1998">
        <v>1</v>
      </c>
      <c r="CR236" s="1998">
        <v>1.0003439617249361</v>
      </c>
      <c r="CS236" s="1998">
        <v>1.0002505085178317</v>
      </c>
      <c r="CT236" s="1998">
        <v>1.000742757927761</v>
      </c>
      <c r="CU236" s="1998">
        <v>1.0005409531761871</v>
      </c>
      <c r="CV236" s="1998">
        <v>1.0012013735610095</v>
      </c>
      <c r="CW236" s="1998">
        <v>1.0008749645332957</v>
      </c>
      <c r="CX236" s="1998">
        <v>1.0017646731974992</v>
      </c>
      <c r="CY236" s="1998">
        <v>1.0012852176132228</v>
      </c>
      <c r="CZ236" s="1999">
        <v>0.98726342855238614</v>
      </c>
      <c r="DA236" s="1979">
        <v>0.99038483492141227</v>
      </c>
      <c r="DB236" s="1979">
        <v>0.98818506105036497</v>
      </c>
      <c r="DC236" s="1979">
        <v>0.99104981353416544</v>
      </c>
      <c r="DD236" s="1979">
        <v>0.98925350226483622</v>
      </c>
      <c r="DE236" s="1979">
        <v>0.99182071794364035</v>
      </c>
      <c r="DF236" s="1979">
        <v>0.99050137635502</v>
      </c>
      <c r="DG236" s="1979">
        <v>0.99272108721577523</v>
      </c>
      <c r="DH236" s="1979">
        <v>0.99205102391799316</v>
      </c>
      <c r="DI236" s="1979">
        <v>0.99383919284783795</v>
      </c>
      <c r="DJ236" s="2000">
        <v>0.98027668562713455</v>
      </c>
      <c r="DK236" s="1998">
        <v>0.98483114077710288</v>
      </c>
      <c r="DL236" s="1998">
        <v>0.98108948832569998</v>
      </c>
      <c r="DM236" s="1998">
        <v>0.98542555462032977</v>
      </c>
      <c r="DN236" s="1998">
        <v>0.98203176402049752</v>
      </c>
      <c r="DO236" s="1998">
        <v>0.98611465385451336</v>
      </c>
      <c r="DP236" s="1998">
        <v>0.98313228448846668</v>
      </c>
      <c r="DQ236" s="1998">
        <v>0.9869194796776436</v>
      </c>
      <c r="DR236" s="1998">
        <v>0.98449894389313464</v>
      </c>
      <c r="DS236" s="1998">
        <v>0.98791893658218466</v>
      </c>
    </row>
    <row r="237" spans="1:123">
      <c r="A237" s="1997"/>
      <c r="B237" s="2">
        <v>17</v>
      </c>
      <c r="C237" s="2" t="str">
        <f>CONCATENATE($U$8," ",V$14)</f>
        <v>Proportion de fenêtres 40</v>
      </c>
      <c r="D237" s="1979">
        <v>0</v>
      </c>
      <c r="E237" s="1979">
        <v>0</v>
      </c>
      <c r="F237" s="1979">
        <v>0</v>
      </c>
      <c r="G237" s="1979">
        <v>0</v>
      </c>
      <c r="H237" s="1979">
        <v>0</v>
      </c>
      <c r="I237" s="1979">
        <v>0</v>
      </c>
      <c r="J237" s="1979">
        <v>0</v>
      </c>
      <c r="K237" s="1979">
        <v>0</v>
      </c>
      <c r="L237" s="1979">
        <v>0</v>
      </c>
      <c r="M237" s="1979">
        <v>0</v>
      </c>
      <c r="N237" s="2000">
        <v>0</v>
      </c>
      <c r="O237" s="1998">
        <v>0</v>
      </c>
      <c r="P237" s="1998">
        <v>0</v>
      </c>
      <c r="Q237" s="1998">
        <v>0</v>
      </c>
      <c r="R237" s="1998">
        <v>0</v>
      </c>
      <c r="S237" s="1998">
        <v>0</v>
      </c>
      <c r="T237" s="1998">
        <v>0</v>
      </c>
      <c r="U237" s="1998">
        <v>0</v>
      </c>
      <c r="V237" s="1998">
        <v>0</v>
      </c>
      <c r="W237" s="1998">
        <v>0</v>
      </c>
      <c r="X237" s="1999">
        <v>0</v>
      </c>
      <c r="Y237" s="1979">
        <v>0</v>
      </c>
      <c r="Z237" s="1979">
        <v>0</v>
      </c>
      <c r="AA237" s="1979">
        <v>0</v>
      </c>
      <c r="AB237" s="1979">
        <v>0</v>
      </c>
      <c r="AC237" s="1979">
        <v>0</v>
      </c>
      <c r="AD237" s="1979">
        <v>0</v>
      </c>
      <c r="AE237" s="1979">
        <v>0</v>
      </c>
      <c r="AF237" s="1979">
        <v>0</v>
      </c>
      <c r="AG237" s="1979">
        <v>0</v>
      </c>
      <c r="AH237" s="2000">
        <v>0</v>
      </c>
      <c r="AI237" s="1998">
        <v>0</v>
      </c>
      <c r="AJ237" s="1998">
        <v>0</v>
      </c>
      <c r="AK237" s="1998">
        <v>0</v>
      </c>
      <c r="AL237" s="1998">
        <v>0</v>
      </c>
      <c r="AM237" s="1998">
        <v>0</v>
      </c>
      <c r="AN237" s="1998">
        <v>0</v>
      </c>
      <c r="AO237" s="1998">
        <v>0</v>
      </c>
      <c r="AP237" s="1998">
        <v>0</v>
      </c>
      <c r="AQ237" s="1998">
        <v>0</v>
      </c>
      <c r="AR237" s="1999">
        <v>0</v>
      </c>
      <c r="AS237" s="1979">
        <v>0</v>
      </c>
      <c r="AT237" s="1979">
        <v>0</v>
      </c>
      <c r="AU237" s="1979">
        <v>0</v>
      </c>
      <c r="AV237" s="1979">
        <v>0</v>
      </c>
      <c r="AW237" s="1979">
        <v>0</v>
      </c>
      <c r="AX237" s="1979">
        <v>0</v>
      </c>
      <c r="AY237" s="1979">
        <v>0</v>
      </c>
      <c r="AZ237" s="1979">
        <v>0</v>
      </c>
      <c r="BA237" s="1979">
        <v>0</v>
      </c>
      <c r="BB237" s="2000">
        <v>0</v>
      </c>
      <c r="BC237" s="1998">
        <v>0</v>
      </c>
      <c r="BD237" s="1998">
        <v>0</v>
      </c>
      <c r="BE237" s="1998">
        <v>0</v>
      </c>
      <c r="BF237" s="1998">
        <v>0</v>
      </c>
      <c r="BG237" s="1998">
        <v>0</v>
      </c>
      <c r="BH237" s="1998">
        <v>0</v>
      </c>
      <c r="BI237" s="1998">
        <v>0</v>
      </c>
      <c r="BJ237" s="1998">
        <v>0</v>
      </c>
      <c r="BK237" s="1998">
        <v>0</v>
      </c>
      <c r="BL237" s="1999">
        <v>0.9802397131331001</v>
      </c>
      <c r="BM237" s="1979">
        <v>0.91493834421041598</v>
      </c>
      <c r="BN237" s="1979">
        <v>0.98053218554351385</v>
      </c>
      <c r="BO237" s="1979">
        <v>0.91513809289675963</v>
      </c>
      <c r="BP237" s="1979">
        <v>0.98087128399037082</v>
      </c>
      <c r="BQ237" s="1979">
        <v>0.91536968557657827</v>
      </c>
      <c r="BR237" s="1979">
        <v>0.98126124720425623</v>
      </c>
      <c r="BS237" s="1979">
        <v>0.91563601715836973</v>
      </c>
      <c r="BT237" s="1979">
        <v>0.98174022376044123</v>
      </c>
      <c r="BU237" s="1979">
        <v>0.91596314181861349</v>
      </c>
      <c r="BV237" s="2000">
        <v>0</v>
      </c>
      <c r="BW237" s="1998">
        <v>0</v>
      </c>
      <c r="BX237" s="1998">
        <v>0</v>
      </c>
      <c r="BY237" s="1998">
        <v>0</v>
      </c>
      <c r="BZ237" s="1998">
        <v>0</v>
      </c>
      <c r="CA237" s="1998">
        <v>0</v>
      </c>
      <c r="CB237" s="1998">
        <v>0</v>
      </c>
      <c r="CC237" s="1998">
        <v>0</v>
      </c>
      <c r="CD237" s="1998">
        <v>0</v>
      </c>
      <c r="CE237" s="1998">
        <v>0</v>
      </c>
      <c r="CF237" s="1999">
        <v>1.0033015149891649</v>
      </c>
      <c r="CG237" s="1979">
        <v>1.0025422854538637</v>
      </c>
      <c r="CH237" s="1979">
        <v>1.0036292497119184</v>
      </c>
      <c r="CI237" s="1979">
        <v>1.002781526206368</v>
      </c>
      <c r="CJ237" s="1979">
        <v>1.0040092319991687</v>
      </c>
      <c r="CK237" s="1979">
        <v>1.0030589067889812</v>
      </c>
      <c r="CL237" s="1979">
        <v>1.004446211629507</v>
      </c>
      <c r="CM237" s="1979">
        <v>1.0033778944589868</v>
      </c>
      <c r="CN237" s="1979">
        <v>1.0049829366102483</v>
      </c>
      <c r="CO237" s="1979">
        <v>1.0037696945319281</v>
      </c>
      <c r="CP237" s="2000">
        <v>1.003606409441222</v>
      </c>
      <c r="CQ237" s="1998">
        <v>1.0027706760222213</v>
      </c>
      <c r="CR237" s="1998">
        <v>1.0039503711661582</v>
      </c>
      <c r="CS237" s="1998">
        <v>1.0030211845400527</v>
      </c>
      <c r="CT237" s="1998">
        <v>1.0043491673689831</v>
      </c>
      <c r="CU237" s="1998">
        <v>1.0033116291984081</v>
      </c>
      <c r="CV237" s="1998">
        <v>1.0048077830022313</v>
      </c>
      <c r="CW237" s="1998">
        <v>1.0036456405555167</v>
      </c>
      <c r="CX237" s="1998">
        <v>1.0053710826387214</v>
      </c>
      <c r="CY237" s="1998">
        <v>1.0040558936354438</v>
      </c>
      <c r="CZ237" s="1999">
        <v>0.99263667741996819</v>
      </c>
      <c r="DA237" s="1979">
        <v>0.99447447594959215</v>
      </c>
      <c r="DB237" s="1979">
        <v>0.99355830991794702</v>
      </c>
      <c r="DC237" s="1979">
        <v>0.99513945456234543</v>
      </c>
      <c r="DD237" s="1979">
        <v>0.99462675113241816</v>
      </c>
      <c r="DE237" s="1979">
        <v>0.99591035897182023</v>
      </c>
      <c r="DF237" s="1979">
        <v>0.99587462522260184</v>
      </c>
      <c r="DG237" s="1979">
        <v>0.996810728243955</v>
      </c>
      <c r="DH237" s="1979">
        <v>0.99742427278557533</v>
      </c>
      <c r="DI237" s="1979">
        <v>0.99792883387601783</v>
      </c>
      <c r="DJ237" s="2000">
        <v>0.98938333773220466</v>
      </c>
      <c r="DK237" s="1998">
        <v>0.99185637583505082</v>
      </c>
      <c r="DL237" s="1998">
        <v>0.99019614043077031</v>
      </c>
      <c r="DM237" s="1998">
        <v>0.99245078967827782</v>
      </c>
      <c r="DN237" s="1998">
        <v>0.99113841612556752</v>
      </c>
      <c r="DO237" s="1998">
        <v>0.99313988891246141</v>
      </c>
      <c r="DP237" s="1998">
        <v>0.9922389365935369</v>
      </c>
      <c r="DQ237" s="1998">
        <v>0.99394471473559154</v>
      </c>
      <c r="DR237" s="1998">
        <v>0.99360559599820475</v>
      </c>
      <c r="DS237" s="1998">
        <v>0.99494417164013271</v>
      </c>
    </row>
    <row r="238" spans="1:123">
      <c r="A238" s="1997"/>
      <c r="B238" s="2">
        <v>18</v>
      </c>
      <c r="C238" s="2" t="str">
        <f>CONCATENATE($U$8," ",V$15)</f>
        <v>Proportion de fenêtres 50</v>
      </c>
      <c r="D238" s="1979">
        <v>0</v>
      </c>
      <c r="E238" s="1979">
        <v>0</v>
      </c>
      <c r="F238" s="1979">
        <v>0</v>
      </c>
      <c r="G238" s="1979">
        <v>0</v>
      </c>
      <c r="H238" s="1979">
        <v>0</v>
      </c>
      <c r="I238" s="1979">
        <v>0</v>
      </c>
      <c r="J238" s="1979">
        <v>0</v>
      </c>
      <c r="K238" s="1979">
        <v>0</v>
      </c>
      <c r="L238" s="1979">
        <v>0</v>
      </c>
      <c r="M238" s="1979">
        <v>0</v>
      </c>
      <c r="N238" s="2000">
        <v>0</v>
      </c>
      <c r="O238" s="1998">
        <v>0</v>
      </c>
      <c r="P238" s="1998">
        <v>0</v>
      </c>
      <c r="Q238" s="1998">
        <v>0</v>
      </c>
      <c r="R238" s="1998">
        <v>0</v>
      </c>
      <c r="S238" s="1998">
        <v>0</v>
      </c>
      <c r="T238" s="1998">
        <v>0</v>
      </c>
      <c r="U238" s="1998">
        <v>0</v>
      </c>
      <c r="V238" s="1998">
        <v>0</v>
      </c>
      <c r="W238" s="1998">
        <v>0</v>
      </c>
      <c r="X238" s="1999">
        <v>0</v>
      </c>
      <c r="Y238" s="1979">
        <v>0</v>
      </c>
      <c r="Z238" s="1979">
        <v>0</v>
      </c>
      <c r="AA238" s="1979">
        <v>0</v>
      </c>
      <c r="AB238" s="1979">
        <v>0</v>
      </c>
      <c r="AC238" s="1979">
        <v>0</v>
      </c>
      <c r="AD238" s="1979">
        <v>0</v>
      </c>
      <c r="AE238" s="1979">
        <v>0</v>
      </c>
      <c r="AF238" s="1979">
        <v>0</v>
      </c>
      <c r="AG238" s="1979">
        <v>0</v>
      </c>
      <c r="AH238" s="2000">
        <v>0</v>
      </c>
      <c r="AI238" s="1998">
        <v>0</v>
      </c>
      <c r="AJ238" s="1998">
        <v>0</v>
      </c>
      <c r="AK238" s="1998">
        <v>0</v>
      </c>
      <c r="AL238" s="1998">
        <v>0</v>
      </c>
      <c r="AM238" s="1998">
        <v>0</v>
      </c>
      <c r="AN238" s="1998">
        <v>0</v>
      </c>
      <c r="AO238" s="1998">
        <v>0</v>
      </c>
      <c r="AP238" s="1998">
        <v>0</v>
      </c>
      <c r="AQ238" s="1998">
        <v>0</v>
      </c>
      <c r="AR238" s="1999">
        <v>0</v>
      </c>
      <c r="AS238" s="1979">
        <v>0</v>
      </c>
      <c r="AT238" s="1979">
        <v>0</v>
      </c>
      <c r="AU238" s="1979">
        <v>0</v>
      </c>
      <c r="AV238" s="1979">
        <v>0</v>
      </c>
      <c r="AW238" s="1979">
        <v>0</v>
      </c>
      <c r="AX238" s="1979">
        <v>0</v>
      </c>
      <c r="AY238" s="1979">
        <v>0</v>
      </c>
      <c r="AZ238" s="1979">
        <v>0</v>
      </c>
      <c r="BA238" s="1979">
        <v>0</v>
      </c>
      <c r="BB238" s="2000">
        <v>0</v>
      </c>
      <c r="BC238" s="1998">
        <v>0</v>
      </c>
      <c r="BD238" s="1998">
        <v>0</v>
      </c>
      <c r="BE238" s="1998">
        <v>0</v>
      </c>
      <c r="BF238" s="1998">
        <v>0</v>
      </c>
      <c r="BG238" s="1998">
        <v>0</v>
      </c>
      <c r="BH238" s="1998">
        <v>0</v>
      </c>
      <c r="BI238" s="1998">
        <v>0</v>
      </c>
      <c r="BJ238" s="1998">
        <v>0</v>
      </c>
      <c r="BK238" s="1998">
        <v>0</v>
      </c>
      <c r="BL238" s="1999">
        <v>0.98685383703872165</v>
      </c>
      <c r="BM238" s="1979">
        <v>0.91970341865261351</v>
      </c>
      <c r="BN238" s="1979">
        <v>0.98714630944913562</v>
      </c>
      <c r="BO238" s="1979">
        <v>0.91990316733895716</v>
      </c>
      <c r="BP238" s="1979">
        <v>0.98748540789599237</v>
      </c>
      <c r="BQ238" s="1979">
        <v>0.92013476001877581</v>
      </c>
      <c r="BR238" s="1979">
        <v>0.98787537110987778</v>
      </c>
      <c r="BS238" s="1979">
        <v>0.92040109160056727</v>
      </c>
      <c r="BT238" s="1979">
        <v>0.988354347666063</v>
      </c>
      <c r="BU238" s="1979">
        <v>0.92072821626081125</v>
      </c>
      <c r="BV238" s="2000">
        <v>0</v>
      </c>
      <c r="BW238" s="1998">
        <v>0</v>
      </c>
      <c r="BX238" s="1998">
        <v>0</v>
      </c>
      <c r="BY238" s="1998">
        <v>0</v>
      </c>
      <c r="BZ238" s="1998">
        <v>0</v>
      </c>
      <c r="CA238" s="1998">
        <v>0</v>
      </c>
      <c r="CB238" s="1998">
        <v>0</v>
      </c>
      <c r="CC238" s="1998">
        <v>0</v>
      </c>
      <c r="CD238" s="1998">
        <v>0</v>
      </c>
      <c r="CE238" s="1998">
        <v>0</v>
      </c>
      <c r="CF238" s="1999">
        <v>1.0066030299783293</v>
      </c>
      <c r="CG238" s="1979">
        <v>1.0050845709077274</v>
      </c>
      <c r="CH238" s="1979">
        <v>1.0069307647010832</v>
      </c>
      <c r="CI238" s="1979">
        <v>1.0053238116602317</v>
      </c>
      <c r="CJ238" s="1979">
        <v>1.0073107469883336</v>
      </c>
      <c r="CK238" s="1979">
        <v>1.0056011922428449</v>
      </c>
      <c r="CL238" s="1979">
        <v>1.0077477266186716</v>
      </c>
      <c r="CM238" s="1979">
        <v>1.0059201799128505</v>
      </c>
      <c r="CN238" s="1979">
        <v>1.0082844515994129</v>
      </c>
      <c r="CO238" s="1979">
        <v>1.0063119799857918</v>
      </c>
      <c r="CP238" s="2000">
        <v>1.0072128188824441</v>
      </c>
      <c r="CQ238" s="1998">
        <v>1.0055413520444423</v>
      </c>
      <c r="CR238" s="1998">
        <v>1.0075567806073802</v>
      </c>
      <c r="CS238" s="1998">
        <v>1.0057918605622738</v>
      </c>
      <c r="CT238" s="1998">
        <v>1.0079555768102051</v>
      </c>
      <c r="CU238" s="1998">
        <v>1.0060823052206294</v>
      </c>
      <c r="CV238" s="1998">
        <v>1.0084141924434533</v>
      </c>
      <c r="CW238" s="1998">
        <v>1.006416316577738</v>
      </c>
      <c r="CX238" s="1998">
        <v>1.0089774920799435</v>
      </c>
      <c r="CY238" s="1998">
        <v>1.006826569657665</v>
      </c>
      <c r="CZ238" s="1999">
        <v>0.99800992628755003</v>
      </c>
      <c r="DA238" s="1979">
        <v>0.99856411697777192</v>
      </c>
      <c r="DB238" s="1979">
        <v>0.99893155878552886</v>
      </c>
      <c r="DC238" s="1979">
        <v>0.9992290955905252</v>
      </c>
      <c r="DD238" s="1979">
        <v>1</v>
      </c>
      <c r="DE238" s="1979">
        <v>1</v>
      </c>
      <c r="DF238" s="1979">
        <v>1.0012478740901838</v>
      </c>
      <c r="DG238" s="1979">
        <v>1.0009003692721348</v>
      </c>
      <c r="DH238" s="1979">
        <v>1.0027975216531571</v>
      </c>
      <c r="DI238" s="1979">
        <v>1.0020184749041976</v>
      </c>
      <c r="DJ238" s="2000">
        <v>0.99848998983727488</v>
      </c>
      <c r="DK238" s="1998">
        <v>0.99888161089299887</v>
      </c>
      <c r="DL238" s="1998">
        <v>0.99930279253584053</v>
      </c>
      <c r="DM238" s="1998">
        <v>0.99947602473622577</v>
      </c>
      <c r="DN238" s="1998">
        <v>1.0002450682306379</v>
      </c>
      <c r="DO238" s="1998">
        <v>1.0001651239704095</v>
      </c>
      <c r="DP238" s="1998">
        <v>1.0013455886986071</v>
      </c>
      <c r="DQ238" s="1998">
        <v>1.0009699497935398</v>
      </c>
      <c r="DR238" s="1998">
        <v>1.0027122481032751</v>
      </c>
      <c r="DS238" s="1998">
        <v>1.0019694066980807</v>
      </c>
    </row>
    <row r="239" spans="1:123">
      <c r="A239" s="1997"/>
      <c r="B239" s="2">
        <v>19</v>
      </c>
      <c r="C239" s="2" t="str">
        <f>CONCATENATE($U$8," ",V$16)</f>
        <v>Proportion de fenêtres 60</v>
      </c>
      <c r="D239" s="1979">
        <v>0</v>
      </c>
      <c r="E239" s="1979">
        <v>0</v>
      </c>
      <c r="F239" s="1979">
        <v>0</v>
      </c>
      <c r="G239" s="1979">
        <v>0</v>
      </c>
      <c r="H239" s="1979">
        <v>0</v>
      </c>
      <c r="I239" s="1979">
        <v>0</v>
      </c>
      <c r="J239" s="1979">
        <v>0</v>
      </c>
      <c r="K239" s="1979">
        <v>0</v>
      </c>
      <c r="L239" s="1979">
        <v>0</v>
      </c>
      <c r="M239" s="1979">
        <v>0</v>
      </c>
      <c r="N239" s="2000">
        <v>0</v>
      </c>
      <c r="O239" s="1998">
        <v>0</v>
      </c>
      <c r="P239" s="1998">
        <v>0</v>
      </c>
      <c r="Q239" s="1998">
        <v>0</v>
      </c>
      <c r="R239" s="1998">
        <v>0</v>
      </c>
      <c r="S239" s="1998">
        <v>0</v>
      </c>
      <c r="T239" s="1998">
        <v>0</v>
      </c>
      <c r="U239" s="1998">
        <v>0</v>
      </c>
      <c r="V239" s="1998">
        <v>0</v>
      </c>
      <c r="W239" s="1998">
        <v>0</v>
      </c>
      <c r="X239" s="1999">
        <v>0</v>
      </c>
      <c r="Y239" s="1979">
        <v>0</v>
      </c>
      <c r="Z239" s="1979">
        <v>0</v>
      </c>
      <c r="AA239" s="1979">
        <v>0</v>
      </c>
      <c r="AB239" s="1979">
        <v>0</v>
      </c>
      <c r="AC239" s="1979">
        <v>0</v>
      </c>
      <c r="AD239" s="1979">
        <v>0</v>
      </c>
      <c r="AE239" s="1979">
        <v>0</v>
      </c>
      <c r="AF239" s="1979">
        <v>0</v>
      </c>
      <c r="AG239" s="1979">
        <v>0</v>
      </c>
      <c r="AH239" s="2000">
        <v>0</v>
      </c>
      <c r="AI239" s="1998">
        <v>0</v>
      </c>
      <c r="AJ239" s="1998">
        <v>0</v>
      </c>
      <c r="AK239" s="1998">
        <v>0</v>
      </c>
      <c r="AL239" s="1998">
        <v>0</v>
      </c>
      <c r="AM239" s="1998">
        <v>0</v>
      </c>
      <c r="AN239" s="1998">
        <v>0</v>
      </c>
      <c r="AO239" s="1998">
        <v>0</v>
      </c>
      <c r="AP239" s="1998">
        <v>0</v>
      </c>
      <c r="AQ239" s="1998">
        <v>0</v>
      </c>
      <c r="AR239" s="1999">
        <v>0</v>
      </c>
      <c r="AS239" s="1979">
        <v>0</v>
      </c>
      <c r="AT239" s="1979">
        <v>0</v>
      </c>
      <c r="AU239" s="1979">
        <v>0</v>
      </c>
      <c r="AV239" s="1979">
        <v>0</v>
      </c>
      <c r="AW239" s="1979">
        <v>0</v>
      </c>
      <c r="AX239" s="1979">
        <v>0</v>
      </c>
      <c r="AY239" s="1979">
        <v>0</v>
      </c>
      <c r="AZ239" s="1979">
        <v>0</v>
      </c>
      <c r="BA239" s="1979">
        <v>0</v>
      </c>
      <c r="BB239" s="2000">
        <v>0</v>
      </c>
      <c r="BC239" s="1998">
        <v>0</v>
      </c>
      <c r="BD239" s="1998">
        <v>0</v>
      </c>
      <c r="BE239" s="1998">
        <v>0</v>
      </c>
      <c r="BF239" s="1998">
        <v>0</v>
      </c>
      <c r="BG239" s="1998">
        <v>0</v>
      </c>
      <c r="BH239" s="1998">
        <v>0</v>
      </c>
      <c r="BI239" s="1998">
        <v>0</v>
      </c>
      <c r="BJ239" s="1998">
        <v>0</v>
      </c>
      <c r="BK239" s="1998">
        <v>0</v>
      </c>
      <c r="BL239" s="1999">
        <v>0.99346796094434364</v>
      </c>
      <c r="BM239" s="1979">
        <v>0.92446849309481127</v>
      </c>
      <c r="BN239" s="1979">
        <v>0.99376043335475761</v>
      </c>
      <c r="BO239" s="1979">
        <v>0.92466824178115481</v>
      </c>
      <c r="BP239" s="1979">
        <v>0.99409953180161426</v>
      </c>
      <c r="BQ239" s="1979">
        <v>0.92489983446097357</v>
      </c>
      <c r="BR239" s="1979">
        <v>0.99448949501549966</v>
      </c>
      <c r="BS239" s="1979">
        <v>0.92516616604276503</v>
      </c>
      <c r="BT239" s="1979">
        <v>0.99496847157168467</v>
      </c>
      <c r="BU239" s="1979">
        <v>0.92549329070300901</v>
      </c>
      <c r="BV239" s="2000">
        <v>0</v>
      </c>
      <c r="BW239" s="1998">
        <v>0</v>
      </c>
      <c r="BX239" s="1998">
        <v>0</v>
      </c>
      <c r="BY239" s="1998">
        <v>0</v>
      </c>
      <c r="BZ239" s="1998">
        <v>0</v>
      </c>
      <c r="CA239" s="1998">
        <v>0</v>
      </c>
      <c r="CB239" s="1998">
        <v>0</v>
      </c>
      <c r="CC239" s="1998">
        <v>0</v>
      </c>
      <c r="CD239" s="1998">
        <v>0</v>
      </c>
      <c r="CE239" s="1998">
        <v>0</v>
      </c>
      <c r="CF239" s="1999">
        <v>1.0099045449674939</v>
      </c>
      <c r="CG239" s="1979">
        <v>1.0076268563615913</v>
      </c>
      <c r="CH239" s="1979">
        <v>1.0102322796902476</v>
      </c>
      <c r="CI239" s="1979">
        <v>1.0078660971140954</v>
      </c>
      <c r="CJ239" s="1979">
        <v>1.0106122619774984</v>
      </c>
      <c r="CK239" s="1979">
        <v>1.0081434776967091</v>
      </c>
      <c r="CL239" s="1979">
        <v>1.0110492416078363</v>
      </c>
      <c r="CM239" s="1979">
        <v>1.0084624653667142</v>
      </c>
      <c r="CN239" s="1979">
        <v>1.0115859665885778</v>
      </c>
      <c r="CO239" s="1979">
        <v>1.0088542654396557</v>
      </c>
      <c r="CP239" s="2000">
        <v>1.0108192283236659</v>
      </c>
      <c r="CQ239" s="1998">
        <v>1.0083120280666633</v>
      </c>
      <c r="CR239" s="1998">
        <v>1.0111631900486024</v>
      </c>
      <c r="CS239" s="1998">
        <v>1.008562536584495</v>
      </c>
      <c r="CT239" s="1998">
        <v>1.0115619862514269</v>
      </c>
      <c r="CU239" s="1998">
        <v>1.0088529812428504</v>
      </c>
      <c r="CV239" s="1998">
        <v>1.0120206018846754</v>
      </c>
      <c r="CW239" s="1998">
        <v>1.009186992599959</v>
      </c>
      <c r="CX239" s="1998">
        <v>1.0125839015211653</v>
      </c>
      <c r="CY239" s="1998">
        <v>1.0095972456798861</v>
      </c>
      <c r="CZ239" s="1999">
        <v>1.0033831751551319</v>
      </c>
      <c r="DA239" s="1979">
        <v>1.0026537580059518</v>
      </c>
      <c r="DB239" s="1979">
        <v>1.0043048076531107</v>
      </c>
      <c r="DC239" s="1979">
        <v>1.0033187366187051</v>
      </c>
      <c r="DD239" s="1979">
        <v>1.0053732488675819</v>
      </c>
      <c r="DE239" s="1979">
        <v>1.0040896410281799</v>
      </c>
      <c r="DF239" s="1979">
        <v>1.0066211229577657</v>
      </c>
      <c r="DG239" s="1979">
        <v>1.0049900103003147</v>
      </c>
      <c r="DH239" s="1979">
        <v>1.008170770520739</v>
      </c>
      <c r="DI239" s="1979">
        <v>1.0061081159323775</v>
      </c>
      <c r="DJ239" s="2000">
        <v>1.007596641942345</v>
      </c>
      <c r="DK239" s="1998">
        <v>1.005906845950947</v>
      </c>
      <c r="DL239" s="1998">
        <v>1.0084094446409106</v>
      </c>
      <c r="DM239" s="1998">
        <v>1.0065012597941738</v>
      </c>
      <c r="DN239" s="1998">
        <v>1.0093517203357081</v>
      </c>
      <c r="DO239" s="1998">
        <v>1.0071903590283575</v>
      </c>
      <c r="DP239" s="1998">
        <v>1.0104522408036773</v>
      </c>
      <c r="DQ239" s="1998">
        <v>1.0079951848514879</v>
      </c>
      <c r="DR239" s="1998">
        <v>1.0118189002083451</v>
      </c>
      <c r="DS239" s="1998">
        <v>1.0089946417560287</v>
      </c>
    </row>
    <row r="240" spans="1:123">
      <c r="A240" s="1997"/>
      <c r="B240" s="2">
        <v>20</v>
      </c>
      <c r="C240" s="2" t="str">
        <f>CONCATENATE($U$8," ",V$17)</f>
        <v>Proportion de fenêtres 70</v>
      </c>
      <c r="D240" s="1979">
        <v>0</v>
      </c>
      <c r="E240" s="1979">
        <v>0</v>
      </c>
      <c r="F240" s="1979">
        <v>0</v>
      </c>
      <c r="G240" s="1979">
        <v>0</v>
      </c>
      <c r="H240" s="1979">
        <v>0</v>
      </c>
      <c r="I240" s="1979">
        <v>0</v>
      </c>
      <c r="J240" s="1979">
        <v>0</v>
      </c>
      <c r="K240" s="1979">
        <v>0</v>
      </c>
      <c r="L240" s="1979">
        <v>0</v>
      </c>
      <c r="M240" s="1979">
        <v>0</v>
      </c>
      <c r="N240" s="2000">
        <v>0</v>
      </c>
      <c r="O240" s="1998">
        <v>0</v>
      </c>
      <c r="P240" s="1998">
        <v>0</v>
      </c>
      <c r="Q240" s="1998">
        <v>0</v>
      </c>
      <c r="R240" s="1998">
        <v>0</v>
      </c>
      <c r="S240" s="1998">
        <v>0</v>
      </c>
      <c r="T240" s="1998">
        <v>0</v>
      </c>
      <c r="U240" s="1998">
        <v>0</v>
      </c>
      <c r="V240" s="1998">
        <v>0</v>
      </c>
      <c r="W240" s="1998">
        <v>0</v>
      </c>
      <c r="X240" s="1999">
        <v>0</v>
      </c>
      <c r="Y240" s="1979">
        <v>0</v>
      </c>
      <c r="Z240" s="1979">
        <v>0</v>
      </c>
      <c r="AA240" s="1979">
        <v>0</v>
      </c>
      <c r="AB240" s="1979">
        <v>0</v>
      </c>
      <c r="AC240" s="1979">
        <v>0</v>
      </c>
      <c r="AD240" s="1979">
        <v>0</v>
      </c>
      <c r="AE240" s="1979">
        <v>0</v>
      </c>
      <c r="AF240" s="1979">
        <v>0</v>
      </c>
      <c r="AG240" s="1979">
        <v>0</v>
      </c>
      <c r="AH240" s="2000">
        <v>0</v>
      </c>
      <c r="AI240" s="1998">
        <v>0</v>
      </c>
      <c r="AJ240" s="1998">
        <v>0</v>
      </c>
      <c r="AK240" s="1998">
        <v>0</v>
      </c>
      <c r="AL240" s="1998">
        <v>0</v>
      </c>
      <c r="AM240" s="1998">
        <v>0</v>
      </c>
      <c r="AN240" s="1998">
        <v>0</v>
      </c>
      <c r="AO240" s="1998">
        <v>0</v>
      </c>
      <c r="AP240" s="1998">
        <v>0</v>
      </c>
      <c r="AQ240" s="1998">
        <v>0</v>
      </c>
      <c r="AR240" s="1999">
        <v>0</v>
      </c>
      <c r="AS240" s="1979">
        <v>0</v>
      </c>
      <c r="AT240" s="1979">
        <v>0</v>
      </c>
      <c r="AU240" s="1979">
        <v>0</v>
      </c>
      <c r="AV240" s="1979">
        <v>0</v>
      </c>
      <c r="AW240" s="1979">
        <v>0</v>
      </c>
      <c r="AX240" s="1979">
        <v>0</v>
      </c>
      <c r="AY240" s="1979">
        <v>0</v>
      </c>
      <c r="AZ240" s="1979">
        <v>0</v>
      </c>
      <c r="BA240" s="1979">
        <v>0</v>
      </c>
      <c r="BB240" s="2000">
        <v>0</v>
      </c>
      <c r="BC240" s="1998">
        <v>0</v>
      </c>
      <c r="BD240" s="1998">
        <v>0</v>
      </c>
      <c r="BE240" s="1998">
        <v>0</v>
      </c>
      <c r="BF240" s="1998">
        <v>0</v>
      </c>
      <c r="BG240" s="1998">
        <v>0</v>
      </c>
      <c r="BH240" s="1998">
        <v>0</v>
      </c>
      <c r="BI240" s="1998">
        <v>0</v>
      </c>
      <c r="BJ240" s="1998">
        <v>0</v>
      </c>
      <c r="BK240" s="1998">
        <v>0</v>
      </c>
      <c r="BL240" s="1999">
        <v>1.0000820848499652</v>
      </c>
      <c r="BM240" s="1979">
        <v>0.92923356753700892</v>
      </c>
      <c r="BN240" s="1979">
        <v>1.0003745572603793</v>
      </c>
      <c r="BO240" s="1979">
        <v>0.92943331622335257</v>
      </c>
      <c r="BP240" s="1979">
        <v>1.000713655707236</v>
      </c>
      <c r="BQ240" s="1979">
        <v>0.92966490890317133</v>
      </c>
      <c r="BR240" s="1979">
        <v>1.0011036189211213</v>
      </c>
      <c r="BS240" s="1979">
        <v>0.92993124048496278</v>
      </c>
      <c r="BT240" s="1979">
        <v>1.0015825954773065</v>
      </c>
      <c r="BU240" s="1979">
        <v>0.93025836514520666</v>
      </c>
      <c r="BV240" s="2000">
        <v>0</v>
      </c>
      <c r="BW240" s="1998">
        <v>0</v>
      </c>
      <c r="BX240" s="1998">
        <v>0</v>
      </c>
      <c r="BY240" s="1998">
        <v>0</v>
      </c>
      <c r="BZ240" s="1998">
        <v>0</v>
      </c>
      <c r="CA240" s="1998">
        <v>0</v>
      </c>
      <c r="CB240" s="1998">
        <v>0</v>
      </c>
      <c r="CC240" s="1998">
        <v>0</v>
      </c>
      <c r="CD240" s="1998">
        <v>0</v>
      </c>
      <c r="CE240" s="1998">
        <v>0</v>
      </c>
      <c r="CF240" s="1999">
        <v>1.0132060599566588</v>
      </c>
      <c r="CG240" s="1979">
        <v>1.0101691418154553</v>
      </c>
      <c r="CH240" s="1979">
        <v>1.0135337946794123</v>
      </c>
      <c r="CI240" s="1979">
        <v>1.0104083825679591</v>
      </c>
      <c r="CJ240" s="1979">
        <v>1.0139137769666633</v>
      </c>
      <c r="CK240" s="1979">
        <v>1.0106857631505726</v>
      </c>
      <c r="CL240" s="1979">
        <v>1.0143507565970011</v>
      </c>
      <c r="CM240" s="1979">
        <v>1.0110047508205779</v>
      </c>
      <c r="CN240" s="1979">
        <v>1.0148874815777424</v>
      </c>
      <c r="CO240" s="1979">
        <v>1.0113965508935192</v>
      </c>
      <c r="CP240" s="2000">
        <v>1.0144256377648879</v>
      </c>
      <c r="CQ240" s="1998">
        <v>1.0110827040888846</v>
      </c>
      <c r="CR240" s="1998">
        <v>1.014769599489824</v>
      </c>
      <c r="CS240" s="1998">
        <v>1.011333212606716</v>
      </c>
      <c r="CT240" s="1998">
        <v>1.0151683956926489</v>
      </c>
      <c r="CU240" s="1998">
        <v>1.0116236572650714</v>
      </c>
      <c r="CV240" s="1998">
        <v>1.0156270113258974</v>
      </c>
      <c r="CW240" s="1998">
        <v>1.0119576686221801</v>
      </c>
      <c r="CX240" s="1998">
        <v>1.0161903109623873</v>
      </c>
      <c r="CY240" s="1998">
        <v>1.0123679217021071</v>
      </c>
      <c r="CZ240" s="1999">
        <v>1.0087564240227138</v>
      </c>
      <c r="DA240" s="1979">
        <v>1.0067433990341315</v>
      </c>
      <c r="DB240" s="1979">
        <v>1.0096780565206929</v>
      </c>
      <c r="DC240" s="1979">
        <v>1.0074083776468847</v>
      </c>
      <c r="DD240" s="1979">
        <v>1.0107464977351639</v>
      </c>
      <c r="DE240" s="1979">
        <v>1.0081792820563595</v>
      </c>
      <c r="DF240" s="1979">
        <v>1.0119943718253475</v>
      </c>
      <c r="DG240" s="1979">
        <v>1.0090796513284943</v>
      </c>
      <c r="DH240" s="1979">
        <v>1.0135440193883209</v>
      </c>
      <c r="DI240" s="1979">
        <v>1.0101977569605571</v>
      </c>
      <c r="DJ240" s="2000">
        <v>1.0167032940474152</v>
      </c>
      <c r="DK240" s="1998">
        <v>1.0129320810088951</v>
      </c>
      <c r="DL240" s="1998">
        <v>1.0175160967459809</v>
      </c>
      <c r="DM240" s="1998">
        <v>1.0135264948521221</v>
      </c>
      <c r="DN240" s="1998">
        <v>1.0184583724407783</v>
      </c>
      <c r="DO240" s="1998">
        <v>1.0142155940863056</v>
      </c>
      <c r="DP240" s="1998">
        <v>1.0195588929087476</v>
      </c>
      <c r="DQ240" s="1998">
        <v>1.0150204199094359</v>
      </c>
      <c r="DR240" s="1998">
        <v>1.0209255523134153</v>
      </c>
      <c r="DS240" s="1998">
        <v>1.016019876813977</v>
      </c>
    </row>
    <row r="241" spans="1:123">
      <c r="A241" s="1997"/>
      <c r="B241" s="2">
        <v>21</v>
      </c>
      <c r="C241" s="2" t="str">
        <f>CONCATENATE($U$8," ",V$18)</f>
        <v>Proportion de fenêtres 80</v>
      </c>
      <c r="D241" s="1979">
        <v>0</v>
      </c>
      <c r="E241" s="1979">
        <v>0</v>
      </c>
      <c r="F241" s="1979">
        <v>0</v>
      </c>
      <c r="G241" s="1979">
        <v>0</v>
      </c>
      <c r="H241" s="1979">
        <v>0</v>
      </c>
      <c r="I241" s="1979">
        <v>0</v>
      </c>
      <c r="J241" s="1979">
        <v>0</v>
      </c>
      <c r="K241" s="1979">
        <v>0</v>
      </c>
      <c r="L241" s="1979">
        <v>0</v>
      </c>
      <c r="M241" s="1979">
        <v>0</v>
      </c>
      <c r="N241" s="2000">
        <v>0</v>
      </c>
      <c r="O241" s="1998">
        <v>0</v>
      </c>
      <c r="P241" s="1998">
        <v>0</v>
      </c>
      <c r="Q241" s="1998">
        <v>0</v>
      </c>
      <c r="R241" s="1998">
        <v>0</v>
      </c>
      <c r="S241" s="1998">
        <v>0</v>
      </c>
      <c r="T241" s="1998">
        <v>0</v>
      </c>
      <c r="U241" s="1998">
        <v>0</v>
      </c>
      <c r="V241" s="1998">
        <v>0</v>
      </c>
      <c r="W241" s="1998">
        <v>0</v>
      </c>
      <c r="X241" s="1999">
        <v>0</v>
      </c>
      <c r="Y241" s="1979">
        <v>0</v>
      </c>
      <c r="Z241" s="1979">
        <v>0</v>
      </c>
      <c r="AA241" s="1979">
        <v>0</v>
      </c>
      <c r="AB241" s="1979">
        <v>0</v>
      </c>
      <c r="AC241" s="1979">
        <v>0</v>
      </c>
      <c r="AD241" s="1979">
        <v>0</v>
      </c>
      <c r="AE241" s="1979">
        <v>0</v>
      </c>
      <c r="AF241" s="1979">
        <v>0</v>
      </c>
      <c r="AG241" s="1979">
        <v>0</v>
      </c>
      <c r="AH241" s="2000">
        <v>0</v>
      </c>
      <c r="AI241" s="1998">
        <v>0</v>
      </c>
      <c r="AJ241" s="1998">
        <v>0</v>
      </c>
      <c r="AK241" s="1998">
        <v>0</v>
      </c>
      <c r="AL241" s="1998">
        <v>0</v>
      </c>
      <c r="AM241" s="1998">
        <v>0</v>
      </c>
      <c r="AN241" s="1998">
        <v>0</v>
      </c>
      <c r="AO241" s="1998">
        <v>0</v>
      </c>
      <c r="AP241" s="1998">
        <v>0</v>
      </c>
      <c r="AQ241" s="1998">
        <v>0</v>
      </c>
      <c r="AR241" s="1999">
        <v>0</v>
      </c>
      <c r="AS241" s="1979">
        <v>0</v>
      </c>
      <c r="AT241" s="1979">
        <v>0</v>
      </c>
      <c r="AU241" s="1979">
        <v>0</v>
      </c>
      <c r="AV241" s="1979">
        <v>0</v>
      </c>
      <c r="AW241" s="1979">
        <v>0</v>
      </c>
      <c r="AX241" s="1979">
        <v>0</v>
      </c>
      <c r="AY241" s="1979">
        <v>0</v>
      </c>
      <c r="AZ241" s="1979">
        <v>0</v>
      </c>
      <c r="BA241" s="1979">
        <v>0</v>
      </c>
      <c r="BB241" s="2000">
        <v>0</v>
      </c>
      <c r="BC241" s="1998">
        <v>0</v>
      </c>
      <c r="BD241" s="1998">
        <v>0</v>
      </c>
      <c r="BE241" s="1998">
        <v>0</v>
      </c>
      <c r="BF241" s="1998">
        <v>0</v>
      </c>
      <c r="BG241" s="1998">
        <v>0</v>
      </c>
      <c r="BH241" s="1998">
        <v>0</v>
      </c>
      <c r="BI241" s="1998">
        <v>0</v>
      </c>
      <c r="BJ241" s="1998">
        <v>0</v>
      </c>
      <c r="BK241" s="1998">
        <v>0</v>
      </c>
      <c r="BL241" s="1999">
        <v>1.0066962087555873</v>
      </c>
      <c r="BM241" s="1979">
        <v>0.93399864197920668</v>
      </c>
      <c r="BN241" s="1979">
        <v>1.0069886811660012</v>
      </c>
      <c r="BO241" s="1979">
        <v>0.93419839066555033</v>
      </c>
      <c r="BP241" s="1979">
        <v>1.0073277796128579</v>
      </c>
      <c r="BQ241" s="1979">
        <v>0.93442998334536898</v>
      </c>
      <c r="BR241" s="1979">
        <v>1.0077177428267434</v>
      </c>
      <c r="BS241" s="1979">
        <v>0.93469631492716043</v>
      </c>
      <c r="BT241" s="1979">
        <v>1.0081967193829284</v>
      </c>
      <c r="BU241" s="1979">
        <v>0.93502343958740441</v>
      </c>
      <c r="BV241" s="2000">
        <v>0</v>
      </c>
      <c r="BW241" s="1998">
        <v>0</v>
      </c>
      <c r="BX241" s="1998">
        <v>0</v>
      </c>
      <c r="BY241" s="1998">
        <v>0</v>
      </c>
      <c r="BZ241" s="1998">
        <v>0</v>
      </c>
      <c r="CA241" s="1998">
        <v>0</v>
      </c>
      <c r="CB241" s="1998">
        <v>0</v>
      </c>
      <c r="CC241" s="1998">
        <v>0</v>
      </c>
      <c r="CD241" s="1998">
        <v>0</v>
      </c>
      <c r="CE241" s="1998">
        <v>0</v>
      </c>
      <c r="CF241" s="1999">
        <v>1.0165075749458234</v>
      </c>
      <c r="CG241" s="1979">
        <v>1.012711427269319</v>
      </c>
      <c r="CH241" s="1979">
        <v>1.0168353096685772</v>
      </c>
      <c r="CI241" s="1979">
        <v>1.0129506680218228</v>
      </c>
      <c r="CJ241" s="1979">
        <v>1.0172152919558279</v>
      </c>
      <c r="CK241" s="1979">
        <v>1.0132280486044365</v>
      </c>
      <c r="CL241" s="1979">
        <v>1.0176522715861658</v>
      </c>
      <c r="CM241" s="1979">
        <v>1.0135470362744416</v>
      </c>
      <c r="CN241" s="1979">
        <v>1.0181889965669073</v>
      </c>
      <c r="CO241" s="1979">
        <v>1.0139388363473831</v>
      </c>
      <c r="CP241" s="2000">
        <v>1.01803204720611</v>
      </c>
      <c r="CQ241" s="1998">
        <v>1.0138533801111056</v>
      </c>
      <c r="CR241" s="1998">
        <v>1.0183760089310463</v>
      </c>
      <c r="CS241" s="1998">
        <v>1.0141038886289371</v>
      </c>
      <c r="CT241" s="1998">
        <v>1.018774805133871</v>
      </c>
      <c r="CU241" s="1998">
        <v>1.0143943332872924</v>
      </c>
      <c r="CV241" s="1998">
        <v>1.0192334207671192</v>
      </c>
      <c r="CW241" s="1998">
        <v>1.0147283446444013</v>
      </c>
      <c r="CX241" s="1998">
        <v>1.0197967204036094</v>
      </c>
      <c r="CY241" s="1998">
        <v>1.0151385977243284</v>
      </c>
      <c r="CZ241" s="1999">
        <v>1.0141296728902958</v>
      </c>
      <c r="DA241" s="1979">
        <v>1.0108330400623113</v>
      </c>
      <c r="DB241" s="1979">
        <v>1.0150513053882746</v>
      </c>
      <c r="DC241" s="1979">
        <v>1.0114980186750644</v>
      </c>
      <c r="DD241" s="1979">
        <v>1.0161197466027458</v>
      </c>
      <c r="DE241" s="1979">
        <v>1.0122689230845394</v>
      </c>
      <c r="DF241" s="1979">
        <v>1.0173676206929296</v>
      </c>
      <c r="DG241" s="1979">
        <v>1.0131692923566742</v>
      </c>
      <c r="DH241" s="1979">
        <v>1.0189172682559029</v>
      </c>
      <c r="DI241" s="1979">
        <v>1.014287397988737</v>
      </c>
      <c r="DJ241" s="2000">
        <v>1.0258099461524854</v>
      </c>
      <c r="DK241" s="1998">
        <v>1.0199573160668431</v>
      </c>
      <c r="DL241" s="1998">
        <v>1.0266227488510511</v>
      </c>
      <c r="DM241" s="1998">
        <v>1.0205517299100701</v>
      </c>
      <c r="DN241" s="1998">
        <v>1.0275650245458483</v>
      </c>
      <c r="DO241" s="1998">
        <v>1.0212408291442536</v>
      </c>
      <c r="DP241" s="1998">
        <v>1.0286655450138178</v>
      </c>
      <c r="DQ241" s="1998">
        <v>1.022045654967384</v>
      </c>
      <c r="DR241" s="1998">
        <v>1.0300322044184855</v>
      </c>
      <c r="DS241" s="1998">
        <v>1.0230451118719248</v>
      </c>
    </row>
    <row r="242" spans="1:123">
      <c r="A242" s="1997"/>
      <c r="B242" s="2">
        <v>22</v>
      </c>
      <c r="C242" s="2" t="str">
        <f>CONCATENATE($U$8," ",V$19)</f>
        <v>Proportion de fenêtres 90</v>
      </c>
      <c r="D242" s="1979">
        <v>0</v>
      </c>
      <c r="E242" s="1979">
        <v>0</v>
      </c>
      <c r="F242" s="1979">
        <v>0</v>
      </c>
      <c r="G242" s="1979">
        <v>0</v>
      </c>
      <c r="H242" s="1979">
        <v>0</v>
      </c>
      <c r="I242" s="1979">
        <v>0</v>
      </c>
      <c r="J242" s="1979">
        <v>0</v>
      </c>
      <c r="K242" s="1979">
        <v>0</v>
      </c>
      <c r="L242" s="1979">
        <v>0</v>
      </c>
      <c r="M242" s="1979">
        <v>0</v>
      </c>
      <c r="N242" s="2000">
        <v>0</v>
      </c>
      <c r="O242" s="1998">
        <v>0</v>
      </c>
      <c r="P242" s="1998">
        <v>0</v>
      </c>
      <c r="Q242" s="1998">
        <v>0</v>
      </c>
      <c r="R242" s="1998">
        <v>0</v>
      </c>
      <c r="S242" s="1998">
        <v>0</v>
      </c>
      <c r="T242" s="1998">
        <v>0</v>
      </c>
      <c r="U242" s="1998">
        <v>0</v>
      </c>
      <c r="V242" s="1998">
        <v>0</v>
      </c>
      <c r="W242" s="1998">
        <v>0</v>
      </c>
      <c r="X242" s="1999">
        <v>0</v>
      </c>
      <c r="Y242" s="1979">
        <v>0</v>
      </c>
      <c r="Z242" s="1979">
        <v>0</v>
      </c>
      <c r="AA242" s="1979">
        <v>0</v>
      </c>
      <c r="AB242" s="1979">
        <v>0</v>
      </c>
      <c r="AC242" s="1979">
        <v>0</v>
      </c>
      <c r="AD242" s="1979">
        <v>0</v>
      </c>
      <c r="AE242" s="1979">
        <v>0</v>
      </c>
      <c r="AF242" s="1979">
        <v>0</v>
      </c>
      <c r="AG242" s="1979">
        <v>0</v>
      </c>
      <c r="AH242" s="2000">
        <v>0</v>
      </c>
      <c r="AI242" s="1998">
        <v>0</v>
      </c>
      <c r="AJ242" s="1998">
        <v>0</v>
      </c>
      <c r="AK242" s="1998">
        <v>0</v>
      </c>
      <c r="AL242" s="1998">
        <v>0</v>
      </c>
      <c r="AM242" s="1998">
        <v>0</v>
      </c>
      <c r="AN242" s="1998">
        <v>0</v>
      </c>
      <c r="AO242" s="1998">
        <v>0</v>
      </c>
      <c r="AP242" s="1998">
        <v>0</v>
      </c>
      <c r="AQ242" s="1998">
        <v>0</v>
      </c>
      <c r="AR242" s="1999">
        <v>0</v>
      </c>
      <c r="AS242" s="1979">
        <v>0</v>
      </c>
      <c r="AT242" s="1979">
        <v>0</v>
      </c>
      <c r="AU242" s="1979">
        <v>0</v>
      </c>
      <c r="AV242" s="1979">
        <v>0</v>
      </c>
      <c r="AW242" s="1979">
        <v>0</v>
      </c>
      <c r="AX242" s="1979">
        <v>0</v>
      </c>
      <c r="AY242" s="1979">
        <v>0</v>
      </c>
      <c r="AZ242" s="1979">
        <v>0</v>
      </c>
      <c r="BA242" s="1979">
        <v>0</v>
      </c>
      <c r="BB242" s="2000">
        <v>0</v>
      </c>
      <c r="BC242" s="1998">
        <v>0</v>
      </c>
      <c r="BD242" s="1998">
        <v>0</v>
      </c>
      <c r="BE242" s="1998">
        <v>0</v>
      </c>
      <c r="BF242" s="1998">
        <v>0</v>
      </c>
      <c r="BG242" s="1998">
        <v>0</v>
      </c>
      <c r="BH242" s="1998">
        <v>0</v>
      </c>
      <c r="BI242" s="1998">
        <v>0</v>
      </c>
      <c r="BJ242" s="1998">
        <v>0</v>
      </c>
      <c r="BK242" s="1998">
        <v>0</v>
      </c>
      <c r="BL242" s="1999">
        <v>1.013310332661209</v>
      </c>
      <c r="BM242" s="1979">
        <v>0.93876371642140444</v>
      </c>
      <c r="BN242" s="1979">
        <v>1.013602805071623</v>
      </c>
      <c r="BO242" s="1979">
        <v>0.93896346510774797</v>
      </c>
      <c r="BP242" s="1979">
        <v>1.0139419035184796</v>
      </c>
      <c r="BQ242" s="1979">
        <v>0.93919505778756673</v>
      </c>
      <c r="BR242" s="1979">
        <v>1.0143318667323651</v>
      </c>
      <c r="BS242" s="1979">
        <v>0.93946138936935819</v>
      </c>
      <c r="BT242" s="1979">
        <v>1.0148108432885503</v>
      </c>
      <c r="BU242" s="1979">
        <v>0.93978851402960217</v>
      </c>
      <c r="BV242" s="2000">
        <v>0</v>
      </c>
      <c r="BW242" s="1998">
        <v>0</v>
      </c>
      <c r="BX242" s="1998">
        <v>0</v>
      </c>
      <c r="BY242" s="1998">
        <v>0</v>
      </c>
      <c r="BZ242" s="1998">
        <v>0</v>
      </c>
      <c r="CA242" s="1998">
        <v>0</v>
      </c>
      <c r="CB242" s="1998">
        <v>0</v>
      </c>
      <c r="CC242" s="1998">
        <v>0</v>
      </c>
      <c r="CD242" s="1998">
        <v>0</v>
      </c>
      <c r="CE242" s="1998">
        <v>0</v>
      </c>
      <c r="CF242" s="1999">
        <v>1.0198090899349883</v>
      </c>
      <c r="CG242" s="1979">
        <v>1.0152537127231827</v>
      </c>
      <c r="CH242" s="1979">
        <v>1.0201368246577418</v>
      </c>
      <c r="CI242" s="1979">
        <v>1.0154929534756869</v>
      </c>
      <c r="CJ242" s="1979">
        <v>1.0205168069449924</v>
      </c>
      <c r="CK242" s="1979">
        <v>1.0157703340583</v>
      </c>
      <c r="CL242" s="1979">
        <v>1.0209537865753306</v>
      </c>
      <c r="CM242" s="1979">
        <v>1.0160893217283054</v>
      </c>
      <c r="CN242" s="1979">
        <v>1.021490511556072</v>
      </c>
      <c r="CO242" s="1979">
        <v>1.0164811218012471</v>
      </c>
      <c r="CP242" s="2000">
        <v>1.0216384566473322</v>
      </c>
      <c r="CQ242" s="1998">
        <v>1.0166240561333268</v>
      </c>
      <c r="CR242" s="1998">
        <v>1.0219824183722683</v>
      </c>
      <c r="CS242" s="1998">
        <v>1.0168745646511586</v>
      </c>
      <c r="CT242" s="1998">
        <v>1.022381214575093</v>
      </c>
      <c r="CU242" s="1998">
        <v>1.0171650093095137</v>
      </c>
      <c r="CV242" s="1998">
        <v>1.0228398302083415</v>
      </c>
      <c r="CW242" s="1998">
        <v>1.0174990206666226</v>
      </c>
      <c r="CX242" s="1998">
        <v>1.0234031298448314</v>
      </c>
      <c r="CY242" s="1998">
        <v>1.0179092737465494</v>
      </c>
      <c r="CZ242" s="1999">
        <v>1.0195029217578777</v>
      </c>
      <c r="DA242" s="1979">
        <v>1.0149226810904912</v>
      </c>
      <c r="DB242" s="1979">
        <v>1.0204245542558565</v>
      </c>
      <c r="DC242" s="1979">
        <v>1.0155876597032443</v>
      </c>
      <c r="DD242" s="1979">
        <v>1.0214929954703278</v>
      </c>
      <c r="DE242" s="1979">
        <v>1.0163585641127193</v>
      </c>
      <c r="DF242" s="1979">
        <v>1.0227408695605114</v>
      </c>
      <c r="DG242" s="1979">
        <v>1.0172589333848541</v>
      </c>
      <c r="DH242" s="1979">
        <v>1.0242905171234848</v>
      </c>
      <c r="DI242" s="1979">
        <v>1.0183770390169169</v>
      </c>
      <c r="DJ242" s="2000">
        <v>1.0349165982575557</v>
      </c>
      <c r="DK242" s="1998">
        <v>1.026982551124791</v>
      </c>
      <c r="DL242" s="1998">
        <v>1.0357294009561213</v>
      </c>
      <c r="DM242" s="1998">
        <v>1.0275769649680184</v>
      </c>
      <c r="DN242" s="1998">
        <v>1.0366716766509185</v>
      </c>
      <c r="DO242" s="1998">
        <v>1.0282660642022017</v>
      </c>
      <c r="DP242" s="1998">
        <v>1.0377721971188878</v>
      </c>
      <c r="DQ242" s="1998">
        <v>1.0290708900253323</v>
      </c>
      <c r="DR242" s="1998">
        <v>1.0391388565235558</v>
      </c>
      <c r="DS242" s="1998">
        <v>1.0300703469298729</v>
      </c>
    </row>
    <row r="243" spans="1:123">
      <c r="A243" s="1997"/>
      <c r="B243" s="2">
        <v>23</v>
      </c>
      <c r="C243" s="2" t="str">
        <f>CONCATENATE($U$8," ",V$20)</f>
        <v>Proportion de fenêtres 100</v>
      </c>
      <c r="D243" s="1979">
        <v>0</v>
      </c>
      <c r="E243" s="1979">
        <v>0</v>
      </c>
      <c r="F243" s="1979">
        <v>0</v>
      </c>
      <c r="G243" s="1979">
        <v>0</v>
      </c>
      <c r="H243" s="1979">
        <v>0</v>
      </c>
      <c r="I243" s="1979">
        <v>0</v>
      </c>
      <c r="J243" s="1979">
        <v>0</v>
      </c>
      <c r="K243" s="1979">
        <v>0</v>
      </c>
      <c r="L243" s="1979">
        <v>0</v>
      </c>
      <c r="M243" s="1979">
        <v>0</v>
      </c>
      <c r="N243" s="2000">
        <v>0</v>
      </c>
      <c r="O243" s="1998">
        <v>0</v>
      </c>
      <c r="P243" s="1998">
        <v>0</v>
      </c>
      <c r="Q243" s="1998">
        <v>0</v>
      </c>
      <c r="R243" s="1998">
        <v>0</v>
      </c>
      <c r="S243" s="1998">
        <v>0</v>
      </c>
      <c r="T243" s="1998">
        <v>0</v>
      </c>
      <c r="U243" s="1998">
        <v>0</v>
      </c>
      <c r="V243" s="1998">
        <v>0</v>
      </c>
      <c r="W243" s="1998">
        <v>0</v>
      </c>
      <c r="X243" s="1999">
        <v>0</v>
      </c>
      <c r="Y243" s="1979">
        <v>0</v>
      </c>
      <c r="Z243" s="1979">
        <v>0</v>
      </c>
      <c r="AA243" s="1979">
        <v>0</v>
      </c>
      <c r="AB243" s="1979">
        <v>0</v>
      </c>
      <c r="AC243" s="1979">
        <v>0</v>
      </c>
      <c r="AD243" s="1979">
        <v>0</v>
      </c>
      <c r="AE243" s="1979">
        <v>0</v>
      </c>
      <c r="AF243" s="1979">
        <v>0</v>
      </c>
      <c r="AG243" s="1979">
        <v>0</v>
      </c>
      <c r="AH243" s="2000">
        <v>0</v>
      </c>
      <c r="AI243" s="1998">
        <v>0</v>
      </c>
      <c r="AJ243" s="1998">
        <v>0</v>
      </c>
      <c r="AK243" s="1998">
        <v>0</v>
      </c>
      <c r="AL243" s="1998">
        <v>0</v>
      </c>
      <c r="AM243" s="1998">
        <v>0</v>
      </c>
      <c r="AN243" s="1998">
        <v>0</v>
      </c>
      <c r="AO243" s="1998">
        <v>0</v>
      </c>
      <c r="AP243" s="1998">
        <v>0</v>
      </c>
      <c r="AQ243" s="1998">
        <v>0</v>
      </c>
      <c r="AR243" s="1999">
        <v>0</v>
      </c>
      <c r="AS243" s="1979">
        <v>0</v>
      </c>
      <c r="AT243" s="1979">
        <v>0</v>
      </c>
      <c r="AU243" s="1979">
        <v>0</v>
      </c>
      <c r="AV243" s="1979">
        <v>0</v>
      </c>
      <c r="AW243" s="1979">
        <v>0</v>
      </c>
      <c r="AX243" s="1979">
        <v>0</v>
      </c>
      <c r="AY243" s="1979">
        <v>0</v>
      </c>
      <c r="AZ243" s="1979">
        <v>0</v>
      </c>
      <c r="BA243" s="1979">
        <v>0</v>
      </c>
      <c r="BB243" s="2000">
        <v>0</v>
      </c>
      <c r="BC243" s="1998">
        <v>0</v>
      </c>
      <c r="BD243" s="1998">
        <v>0</v>
      </c>
      <c r="BE243" s="1998">
        <v>0</v>
      </c>
      <c r="BF243" s="1998">
        <v>0</v>
      </c>
      <c r="BG243" s="1998">
        <v>0</v>
      </c>
      <c r="BH243" s="1998">
        <v>0</v>
      </c>
      <c r="BI243" s="1998">
        <v>0</v>
      </c>
      <c r="BJ243" s="1998">
        <v>0</v>
      </c>
      <c r="BK243" s="1998">
        <v>0</v>
      </c>
      <c r="BL243" s="1999">
        <v>1.0199244565668308</v>
      </c>
      <c r="BM243" s="1979">
        <v>0.9435287908636022</v>
      </c>
      <c r="BN243" s="1979">
        <v>1.0202169289772449</v>
      </c>
      <c r="BO243" s="1979">
        <v>0.94372853954994573</v>
      </c>
      <c r="BP243" s="1979">
        <v>1.0205560274241015</v>
      </c>
      <c r="BQ243" s="1979">
        <v>0.94396013222976449</v>
      </c>
      <c r="BR243" s="1979">
        <v>1.020945990637987</v>
      </c>
      <c r="BS243" s="1979">
        <v>0.94422646381155595</v>
      </c>
      <c r="BT243" s="1979">
        <v>1.021424967194172</v>
      </c>
      <c r="BU243" s="1979">
        <v>0.9445535884717996</v>
      </c>
      <c r="BV243" s="2000">
        <v>0</v>
      </c>
      <c r="BW243" s="1998">
        <v>0</v>
      </c>
      <c r="BX243" s="1998">
        <v>0</v>
      </c>
      <c r="BY243" s="1998">
        <v>0</v>
      </c>
      <c r="BZ243" s="1998">
        <v>0</v>
      </c>
      <c r="CA243" s="1998">
        <v>0</v>
      </c>
      <c r="CB243" s="1998">
        <v>0</v>
      </c>
      <c r="CC243" s="1998">
        <v>0</v>
      </c>
      <c r="CD243" s="1998">
        <v>0</v>
      </c>
      <c r="CE243" s="1998">
        <v>0</v>
      </c>
      <c r="CF243" s="1999">
        <v>1.0231106049241532</v>
      </c>
      <c r="CG243" s="1979">
        <v>1.0177959981770464</v>
      </c>
      <c r="CH243" s="1979">
        <v>1.0234383396469067</v>
      </c>
      <c r="CI243" s="1979">
        <v>1.0180352389295506</v>
      </c>
      <c r="CJ243" s="1979">
        <v>1.0238183219341572</v>
      </c>
      <c r="CK243" s="1979">
        <v>1.0183126195121639</v>
      </c>
      <c r="CL243" s="1979">
        <v>1.0242553015644955</v>
      </c>
      <c r="CM243" s="1979">
        <v>1.0186316071821691</v>
      </c>
      <c r="CN243" s="1979">
        <v>1.0247920265452368</v>
      </c>
      <c r="CO243" s="1979">
        <v>1.0190234072551108</v>
      </c>
      <c r="CP243" s="2000">
        <v>1.025244866088554</v>
      </c>
      <c r="CQ243" s="1998">
        <v>1.0193947321555479</v>
      </c>
      <c r="CR243" s="1998">
        <v>1.0255888278134904</v>
      </c>
      <c r="CS243" s="1998">
        <v>1.0196452406733796</v>
      </c>
      <c r="CT243" s="1998">
        <v>1.025987624016315</v>
      </c>
      <c r="CU243" s="1998">
        <v>1.019935685331735</v>
      </c>
      <c r="CV243" s="1998">
        <v>1.0264462396495635</v>
      </c>
      <c r="CW243" s="1998">
        <v>1.0202696966888436</v>
      </c>
      <c r="CX243" s="1998">
        <v>1.0270095392860532</v>
      </c>
      <c r="CY243" s="1998">
        <v>1.0206799497687704</v>
      </c>
      <c r="CZ243" s="1999">
        <v>1.0248761706254597</v>
      </c>
      <c r="DA243" s="1979">
        <v>1.0190123221186707</v>
      </c>
      <c r="DB243" s="1979">
        <v>1.0257978031234385</v>
      </c>
      <c r="DC243" s="1979">
        <v>1.0196773007314239</v>
      </c>
      <c r="DD243" s="1979">
        <v>1.0268662443379095</v>
      </c>
      <c r="DE243" s="1979">
        <v>1.0204482051408987</v>
      </c>
      <c r="DF243" s="1979">
        <v>1.0281141184280935</v>
      </c>
      <c r="DG243" s="1979">
        <v>1.0213485744130335</v>
      </c>
      <c r="DH243" s="1979">
        <v>1.0296637659910668</v>
      </c>
      <c r="DI243" s="1979">
        <v>1.0224666800450966</v>
      </c>
      <c r="DJ243" s="2000">
        <v>1.0440232503626261</v>
      </c>
      <c r="DK243" s="1998">
        <v>1.0340077861827393</v>
      </c>
      <c r="DL243" s="1998">
        <v>1.0448360530611913</v>
      </c>
      <c r="DM243" s="1998">
        <v>1.0346022000259665</v>
      </c>
      <c r="DN243" s="1998">
        <v>1.045778328755989</v>
      </c>
      <c r="DO243" s="1998">
        <v>1.0352912992601495</v>
      </c>
      <c r="DP243" s="1998">
        <v>1.0468788492239582</v>
      </c>
      <c r="DQ243" s="1998">
        <v>1.0360961250832801</v>
      </c>
      <c r="DR243" s="1998">
        <v>1.0482455086286262</v>
      </c>
      <c r="DS243" s="1998">
        <v>1.0370955819878209</v>
      </c>
    </row>
    <row r="244" spans="1:123">
      <c r="A244" s="1997"/>
      <c r="B244" s="2">
        <v>24</v>
      </c>
      <c r="C244" s="2" t="s">
        <v>4211</v>
      </c>
      <c r="D244" s="1979">
        <v>0.8826013366689236</v>
      </c>
      <c r="E244" s="1979">
        <v>0.88191265901315286</v>
      </c>
      <c r="F244" s="1979">
        <v>0.8826013366689236</v>
      </c>
      <c r="G244" s="1979">
        <v>0.88191265901315286</v>
      </c>
      <c r="H244" s="1979">
        <v>0.8826013366689236</v>
      </c>
      <c r="I244" s="1979">
        <v>0.88191265901315286</v>
      </c>
      <c r="J244" s="1979">
        <v>0.8826013366689236</v>
      </c>
      <c r="K244" s="1979">
        <v>0.88191265901315286</v>
      </c>
      <c r="L244" s="1979">
        <v>0.8826013366689236</v>
      </c>
      <c r="M244" s="1979">
        <v>0.88191265901315286</v>
      </c>
      <c r="N244" s="2000">
        <v>0.76334582665060702</v>
      </c>
      <c r="O244" s="1998">
        <v>0.76788521867535808</v>
      </c>
      <c r="P244" s="1998">
        <v>0.76334582665060702</v>
      </c>
      <c r="Q244" s="1998">
        <v>0.76788521867535808</v>
      </c>
      <c r="R244" s="1998">
        <v>0.76334582665060702</v>
      </c>
      <c r="S244" s="1998">
        <v>0.76788521867535808</v>
      </c>
      <c r="T244" s="1998">
        <v>0.76334582665060702</v>
      </c>
      <c r="U244" s="1998">
        <v>0.76788521867535808</v>
      </c>
      <c r="V244" s="1998">
        <v>0.76334582665060702</v>
      </c>
      <c r="W244" s="1998">
        <v>0.76788521867535808</v>
      </c>
      <c r="X244" s="1999">
        <v>0.92312868655307501</v>
      </c>
      <c r="Y244" s="1979">
        <v>0.91669361180519193</v>
      </c>
      <c r="Z244" s="1979">
        <v>0.92312868655307501</v>
      </c>
      <c r="AA244" s="1979">
        <v>0.91669361180519193</v>
      </c>
      <c r="AB244" s="1979">
        <v>0.92312868655307501</v>
      </c>
      <c r="AC244" s="1979">
        <v>0.91669361180519193</v>
      </c>
      <c r="AD244" s="1979">
        <v>0.92312868655307501</v>
      </c>
      <c r="AE244" s="1979">
        <v>0.91669361180519193</v>
      </c>
      <c r="AF244" s="1979">
        <v>0.92312868655307501</v>
      </c>
      <c r="AG244" s="1979">
        <v>0.91669361180519193</v>
      </c>
      <c r="AH244" s="2000">
        <v>0.83515927062346285</v>
      </c>
      <c r="AI244" s="1998">
        <v>0.82782218967614762</v>
      </c>
      <c r="AJ244" s="1998">
        <v>0.83515927062346285</v>
      </c>
      <c r="AK244" s="1998">
        <v>0.82782218967614762</v>
      </c>
      <c r="AL244" s="1998">
        <v>0.83515927062346285</v>
      </c>
      <c r="AM244" s="1998">
        <v>0.82782218967614762</v>
      </c>
      <c r="AN244" s="1998">
        <v>0.83515927062346285</v>
      </c>
      <c r="AO244" s="1998">
        <v>0.82782218967614762</v>
      </c>
      <c r="AP244" s="1998">
        <v>0.83515927062346285</v>
      </c>
      <c r="AQ244" s="1998">
        <v>0.82782218967614762</v>
      </c>
      <c r="AR244" s="1999">
        <v>0.91408103122428785</v>
      </c>
      <c r="AS244" s="1979">
        <v>0.91475539883448376</v>
      </c>
      <c r="AT244" s="1979">
        <v>0.91408103122428785</v>
      </c>
      <c r="AU244" s="1979">
        <v>0.91475539883448376</v>
      </c>
      <c r="AV244" s="1979">
        <v>0.91408103122428785</v>
      </c>
      <c r="AW244" s="1979">
        <v>0.91475539883448376</v>
      </c>
      <c r="AX244" s="1979">
        <v>0.91408103122428785</v>
      </c>
      <c r="AY244" s="1979">
        <v>0.91475539883448376</v>
      </c>
      <c r="AZ244" s="1979">
        <v>0.91408103122428785</v>
      </c>
      <c r="BA244" s="1979">
        <v>0.91475539883448376</v>
      </c>
      <c r="BB244" s="2000">
        <v>1.3779240903170769</v>
      </c>
      <c r="BC244" s="1998">
        <v>1.3862499617484139</v>
      </c>
      <c r="BD244" s="1998">
        <v>1.3779240903170769</v>
      </c>
      <c r="BE244" s="1998">
        <v>1.3862499617484139</v>
      </c>
      <c r="BF244" s="1998">
        <v>1.3779240903170769</v>
      </c>
      <c r="BG244" s="1998">
        <v>1.3862499617484139</v>
      </c>
      <c r="BH244" s="1998">
        <v>1.3779240903170769</v>
      </c>
      <c r="BI244" s="1998">
        <v>1.3862499617484139</v>
      </c>
      <c r="BJ244" s="1998">
        <v>1.3779240903170769</v>
      </c>
      <c r="BK244" s="1998">
        <v>1.3862499617484139</v>
      </c>
      <c r="BL244" s="1999">
        <v>0.81504532796908635</v>
      </c>
      <c r="BM244" s="1979">
        <v>0.81939147790231492</v>
      </c>
      <c r="BN244" s="1979">
        <v>0.81504532796908635</v>
      </c>
      <c r="BO244" s="1979">
        <v>0.81939147790231492</v>
      </c>
      <c r="BP244" s="1979">
        <v>0.81504532796908635</v>
      </c>
      <c r="BQ244" s="1979">
        <v>0.81939147790231492</v>
      </c>
      <c r="BR244" s="1979">
        <v>0.81504532796908635</v>
      </c>
      <c r="BS244" s="1979">
        <v>0.81939147790231492</v>
      </c>
      <c r="BT244" s="1979">
        <v>0.81504532796908635</v>
      </c>
      <c r="BU244" s="1979">
        <v>0.81939147790231492</v>
      </c>
      <c r="BV244" s="2000">
        <v>0.75818607942942884</v>
      </c>
      <c r="BW244" s="1998">
        <v>0.75642464860108916</v>
      </c>
      <c r="BX244" s="1998">
        <v>0.75818607942942884</v>
      </c>
      <c r="BY244" s="1998">
        <v>0.75642464860108916</v>
      </c>
      <c r="BZ244" s="1998">
        <v>0.75818607942942884</v>
      </c>
      <c r="CA244" s="1998">
        <v>0.75642464860108916</v>
      </c>
      <c r="CB244" s="1998">
        <v>0.75818607942942884</v>
      </c>
      <c r="CC244" s="1998">
        <v>0.75642464860108916</v>
      </c>
      <c r="CD244" s="1998">
        <v>0.75818607942942884</v>
      </c>
      <c r="CE244" s="1998">
        <v>0.75642464860108916</v>
      </c>
      <c r="CF244" s="1999">
        <v>0.80719296136381258</v>
      </c>
      <c r="CG244" s="1979">
        <v>0.81872288984299058</v>
      </c>
      <c r="CH244" s="1979">
        <v>0.80719296136381258</v>
      </c>
      <c r="CI244" s="1979">
        <v>0.81872288984299058</v>
      </c>
      <c r="CJ244" s="1979">
        <v>0.80719296136381258</v>
      </c>
      <c r="CK244" s="1979">
        <v>0.81872288984299058</v>
      </c>
      <c r="CL244" s="1979">
        <v>0.80719296136381258</v>
      </c>
      <c r="CM244" s="1979">
        <v>0.81872288984299058</v>
      </c>
      <c r="CN244" s="1979">
        <v>0.80719296136381258</v>
      </c>
      <c r="CO244" s="1979">
        <v>0.81872288984299058</v>
      </c>
      <c r="CP244" s="2000">
        <v>0.79813582946748696</v>
      </c>
      <c r="CQ244" s="1998">
        <v>0.81077198351634028</v>
      </c>
      <c r="CR244" s="1998">
        <v>0.79813582946748696</v>
      </c>
      <c r="CS244" s="1998">
        <v>0.81077198351634028</v>
      </c>
      <c r="CT244" s="1998">
        <v>0.79813582946748696</v>
      </c>
      <c r="CU244" s="1998">
        <v>0.81077198351634028</v>
      </c>
      <c r="CV244" s="1998">
        <v>0.79813582946748696</v>
      </c>
      <c r="CW244" s="1998">
        <v>0.81077198351634028</v>
      </c>
      <c r="CX244" s="1998">
        <v>0.79813582946748696</v>
      </c>
      <c r="CY244" s="1998">
        <v>0.81077198351634028</v>
      </c>
      <c r="CZ244" s="1999">
        <v>1</v>
      </c>
      <c r="DA244" s="1979">
        <v>1</v>
      </c>
      <c r="DB244" s="1979">
        <v>1</v>
      </c>
      <c r="DC244" s="1979">
        <v>1</v>
      </c>
      <c r="DD244" s="1979">
        <v>1</v>
      </c>
      <c r="DE244" s="1979">
        <v>1</v>
      </c>
      <c r="DF244" s="1979">
        <v>1</v>
      </c>
      <c r="DG244" s="1979">
        <v>1</v>
      </c>
      <c r="DH244" s="1979">
        <v>1</v>
      </c>
      <c r="DI244" s="1979">
        <v>1</v>
      </c>
      <c r="DJ244" s="2000">
        <v>1.0002450682306379</v>
      </c>
      <c r="DK244" s="1998">
        <v>1.0001651239704095</v>
      </c>
      <c r="DL244" s="1998">
        <v>1.0002450682306379</v>
      </c>
      <c r="DM244" s="1998">
        <v>1.0001651239704095</v>
      </c>
      <c r="DN244" s="1998">
        <v>1.0002450682306379</v>
      </c>
      <c r="DO244" s="1998">
        <v>1.0001651239704095</v>
      </c>
      <c r="DP244" s="1998">
        <v>1.0002450682306379</v>
      </c>
      <c r="DQ244" s="1998">
        <v>1.0001651239704095</v>
      </c>
      <c r="DR244" s="1998">
        <v>1.0002450682306379</v>
      </c>
      <c r="DS244" s="1998">
        <v>1.0001651239704095</v>
      </c>
    </row>
    <row r="245" spans="1:123">
      <c r="A245" s="1997"/>
      <c r="B245" s="2">
        <v>25</v>
      </c>
      <c r="C245" s="2" t="s">
        <v>4229</v>
      </c>
      <c r="D245" s="1979">
        <v>0.91292982313176918</v>
      </c>
      <c r="E245" s="1979">
        <v>0.9125827720671047</v>
      </c>
      <c r="F245" s="1979">
        <v>0.91292982313176918</v>
      </c>
      <c r="G245" s="1979">
        <v>0.9125827720671047</v>
      </c>
      <c r="H245" s="1979">
        <v>0.91292982313176918</v>
      </c>
      <c r="I245" s="1979">
        <v>0.9125827720671047</v>
      </c>
      <c r="J245" s="1979">
        <v>0.91292982313176918</v>
      </c>
      <c r="K245" s="1979">
        <v>0.9125827720671047</v>
      </c>
      <c r="L245" s="1979">
        <v>0.91292982313176918</v>
      </c>
      <c r="M245" s="1979">
        <v>0.9125827720671047</v>
      </c>
      <c r="N245" s="2000">
        <v>0.85169000385791704</v>
      </c>
      <c r="O245" s="1998">
        <v>0.85830731292323603</v>
      </c>
      <c r="P245" s="1998">
        <v>0.85169000385791704</v>
      </c>
      <c r="Q245" s="1998">
        <v>0.85830731292323603</v>
      </c>
      <c r="R245" s="1998">
        <v>0.85169000385791704</v>
      </c>
      <c r="S245" s="1998">
        <v>0.85830731292323603</v>
      </c>
      <c r="T245" s="1998">
        <v>0.85169000385791704</v>
      </c>
      <c r="U245" s="1998">
        <v>0.85830731292323603</v>
      </c>
      <c r="V245" s="1998">
        <v>0.85169000385791704</v>
      </c>
      <c r="W245" s="1998">
        <v>0.85830731292323603</v>
      </c>
      <c r="X245" s="1999">
        <v>0.96981513216885551</v>
      </c>
      <c r="Y245" s="1979">
        <v>0.96505817916298342</v>
      </c>
      <c r="Z245" s="1979">
        <v>0.96981513216885551</v>
      </c>
      <c r="AA245" s="1979">
        <v>0.96505817916298342</v>
      </c>
      <c r="AB245" s="1979">
        <v>0.96981513216885551</v>
      </c>
      <c r="AC245" s="1979">
        <v>0.96505817916298342</v>
      </c>
      <c r="AD245" s="1979">
        <v>0.96981513216885551</v>
      </c>
      <c r="AE245" s="1979">
        <v>0.96505817916298342</v>
      </c>
      <c r="AF245" s="1979">
        <v>0.96981513216885551</v>
      </c>
      <c r="AG245" s="1979">
        <v>0.96505817916298342</v>
      </c>
      <c r="AH245" s="2000">
        <v>0.93871649296211201</v>
      </c>
      <c r="AI245" s="1998">
        <v>0.93819824274275199</v>
      </c>
      <c r="AJ245" s="1998">
        <v>0.93871649296211201</v>
      </c>
      <c r="AK245" s="1998">
        <v>0.93819824274275199</v>
      </c>
      <c r="AL245" s="1998">
        <v>0.93871649296211201</v>
      </c>
      <c r="AM245" s="1998">
        <v>0.93819824274275199</v>
      </c>
      <c r="AN245" s="1998">
        <v>0.93871649296211201</v>
      </c>
      <c r="AO245" s="1998">
        <v>0.93819824274275199</v>
      </c>
      <c r="AP245" s="1998">
        <v>0.93871649296211201</v>
      </c>
      <c r="AQ245" s="1998">
        <v>0.93819824274275199</v>
      </c>
      <c r="AR245" s="1999">
        <v>0.96312340480789194</v>
      </c>
      <c r="AS245" s="1979">
        <v>0.96438239521439473</v>
      </c>
      <c r="AT245" s="1979">
        <v>0.96312340480789194</v>
      </c>
      <c r="AU245" s="1979">
        <v>0.96438239521439473</v>
      </c>
      <c r="AV245" s="1979">
        <v>0.96312340480789194</v>
      </c>
      <c r="AW245" s="1979">
        <v>0.96438239521439473</v>
      </c>
      <c r="AX245" s="1979">
        <v>0.96312340480789194</v>
      </c>
      <c r="AY245" s="1979">
        <v>0.96438239521439473</v>
      </c>
      <c r="AZ245" s="1979">
        <v>0.96312340480789194</v>
      </c>
      <c r="BA245" s="1979">
        <v>0.96438239521439473</v>
      </c>
      <c r="BB245" s="2000">
        <v>1.6633162050082382</v>
      </c>
      <c r="BC245" s="1998">
        <v>1.6684354677572975</v>
      </c>
      <c r="BD245" s="1998">
        <v>1.6633162050082382</v>
      </c>
      <c r="BE245" s="1998">
        <v>1.6684354677572975</v>
      </c>
      <c r="BF245" s="1998">
        <v>1.6633162050082382</v>
      </c>
      <c r="BG245" s="1998">
        <v>1.6684354677572975</v>
      </c>
      <c r="BH245" s="1998">
        <v>1.6633162050082382</v>
      </c>
      <c r="BI245" s="1998">
        <v>1.6684354677572975</v>
      </c>
      <c r="BJ245" s="1998">
        <v>1.6633162050082382</v>
      </c>
      <c r="BK245" s="1998">
        <v>1.6684354677572975</v>
      </c>
      <c r="BL245" s="1999">
        <v>0.92257945362571736</v>
      </c>
      <c r="BM245" s="1979">
        <v>0.92638696675106547</v>
      </c>
      <c r="BN245" s="1979">
        <v>0.92257945362571736</v>
      </c>
      <c r="BO245" s="1979">
        <v>0.92638696675106547</v>
      </c>
      <c r="BP245" s="1979">
        <v>0.92257945362571736</v>
      </c>
      <c r="BQ245" s="1979">
        <v>0.92638696675106547</v>
      </c>
      <c r="BR245" s="1979">
        <v>0.92257945362571736</v>
      </c>
      <c r="BS245" s="1979">
        <v>0.92638696675106547</v>
      </c>
      <c r="BT245" s="1979">
        <v>0.92257945362571736</v>
      </c>
      <c r="BU245" s="1979">
        <v>0.92638696675106547</v>
      </c>
      <c r="BV245" s="2000">
        <v>0.82284332182257303</v>
      </c>
      <c r="BW245" s="1998">
        <v>0.82198011587613595</v>
      </c>
      <c r="BX245" s="1998">
        <v>0.82284332182257303</v>
      </c>
      <c r="BY245" s="1998">
        <v>0.82198011587613595</v>
      </c>
      <c r="BZ245" s="1998">
        <v>0.82284332182257303</v>
      </c>
      <c r="CA245" s="1998">
        <v>0.82198011587613595</v>
      </c>
      <c r="CB245" s="1998">
        <v>0.82284332182257303</v>
      </c>
      <c r="CC245" s="1998">
        <v>0.82198011587613595</v>
      </c>
      <c r="CD245" s="1998">
        <v>0.82284332182257303</v>
      </c>
      <c r="CE245" s="1998">
        <v>0.82198011587613595</v>
      </c>
      <c r="CF245" s="1999">
        <v>0.86128226688212361</v>
      </c>
      <c r="CG245" s="1979">
        <v>0.87102719352858338</v>
      </c>
      <c r="CH245" s="1979">
        <v>0.86128226688212361</v>
      </c>
      <c r="CI245" s="1979">
        <v>0.87102719352858338</v>
      </c>
      <c r="CJ245" s="1979">
        <v>0.86128226688212361</v>
      </c>
      <c r="CK245" s="1979">
        <v>0.87102719352858338</v>
      </c>
      <c r="CL245" s="1979">
        <v>0.86128226688212361</v>
      </c>
      <c r="CM245" s="1979">
        <v>0.87102719352858338</v>
      </c>
      <c r="CN245" s="1979">
        <v>0.86128226688212361</v>
      </c>
      <c r="CO245" s="1979">
        <v>0.87102719352858338</v>
      </c>
      <c r="CP245" s="2000">
        <v>0.85466392119864998</v>
      </c>
      <c r="CQ245" s="1998">
        <v>0.86524983451263915</v>
      </c>
      <c r="CR245" s="1998">
        <v>0.85466392119864998</v>
      </c>
      <c r="CS245" s="1998">
        <v>0.86524983451263915</v>
      </c>
      <c r="CT245" s="1998">
        <v>0.85466392119864998</v>
      </c>
      <c r="CU245" s="1998">
        <v>0.86524983451263915</v>
      </c>
      <c r="CV245" s="1998">
        <v>0.85466392119864998</v>
      </c>
      <c r="CW245" s="1998">
        <v>0.86524983451263915</v>
      </c>
      <c r="CX245" s="1998">
        <v>0.85466392119864998</v>
      </c>
      <c r="CY245" s="1998">
        <v>0.86524983451263915</v>
      </c>
      <c r="CZ245" s="1999">
        <v>1.0931272105979928</v>
      </c>
      <c r="DA245" s="1979">
        <v>1.0890508106235626</v>
      </c>
      <c r="DB245" s="1979">
        <v>1.0931272105979928</v>
      </c>
      <c r="DC245" s="1979">
        <v>1.0890508106235626</v>
      </c>
      <c r="DD245" s="1979">
        <v>1.0931272105979928</v>
      </c>
      <c r="DE245" s="1979">
        <v>1.0890508106235626</v>
      </c>
      <c r="DF245" s="1979">
        <v>1.0931272105979928</v>
      </c>
      <c r="DG245" s="1979">
        <v>1.0890508106235626</v>
      </c>
      <c r="DH245" s="1979">
        <v>1.0931272105979928</v>
      </c>
      <c r="DI245" s="1979">
        <v>1.0890508106235626</v>
      </c>
      <c r="DJ245" s="2000">
        <v>1.0889013725521897</v>
      </c>
      <c r="DK245" s="1998">
        <v>1.0876218473174644</v>
      </c>
      <c r="DL245" s="1998">
        <v>1.0889013725521897</v>
      </c>
      <c r="DM245" s="1998">
        <v>1.0876218473174644</v>
      </c>
      <c r="DN245" s="1998">
        <v>1.0889013725521897</v>
      </c>
      <c r="DO245" s="1998">
        <v>1.0876218473174644</v>
      </c>
      <c r="DP245" s="1998">
        <v>1.0889013725521897</v>
      </c>
      <c r="DQ245" s="1998">
        <v>1.0876218473174644</v>
      </c>
      <c r="DR245" s="1998">
        <v>1.0889013725521897</v>
      </c>
      <c r="DS245" s="1998">
        <v>1.0876218473174644</v>
      </c>
    </row>
    <row r="246" spans="1:123">
      <c r="A246" s="1997"/>
      <c r="B246" s="2">
        <v>26</v>
      </c>
      <c r="C246" s="2" t="s">
        <v>4244</v>
      </c>
      <c r="D246" s="1979">
        <v>0.96772783265384288</v>
      </c>
      <c r="E246" s="1979">
        <v>0.96412957065102256</v>
      </c>
      <c r="F246" s="1979">
        <v>0.96772783265384288</v>
      </c>
      <c r="G246" s="1979">
        <v>0.96412957065102256</v>
      </c>
      <c r="H246" s="1979">
        <v>0.96772783265384288</v>
      </c>
      <c r="I246" s="1979">
        <v>0.96412957065102256</v>
      </c>
      <c r="J246" s="1979">
        <v>0.96772783265384288</v>
      </c>
      <c r="K246" s="1979">
        <v>0.96412957065102256</v>
      </c>
      <c r="L246" s="1979">
        <v>0.96772783265384288</v>
      </c>
      <c r="M246" s="1979">
        <v>0.96412957065102256</v>
      </c>
      <c r="N246" s="2000">
        <v>1</v>
      </c>
      <c r="O246" s="1998">
        <v>1</v>
      </c>
      <c r="P246" s="1998">
        <v>1</v>
      </c>
      <c r="Q246" s="1998">
        <v>1</v>
      </c>
      <c r="R246" s="1998">
        <v>1</v>
      </c>
      <c r="S246" s="1998">
        <v>1</v>
      </c>
      <c r="T246" s="1998">
        <v>1</v>
      </c>
      <c r="U246" s="1998">
        <v>1</v>
      </c>
      <c r="V246" s="1998">
        <v>1</v>
      </c>
      <c r="W246" s="1998">
        <v>1</v>
      </c>
      <c r="X246" s="1999">
        <v>1</v>
      </c>
      <c r="Y246" s="1979">
        <v>0.99456526585057647</v>
      </c>
      <c r="Z246" s="1979">
        <v>1</v>
      </c>
      <c r="AA246" s="1979">
        <v>0.99456526585057647</v>
      </c>
      <c r="AB246" s="1979">
        <v>1</v>
      </c>
      <c r="AC246" s="1979">
        <v>0.99456526585057647</v>
      </c>
      <c r="AD246" s="1979">
        <v>1</v>
      </c>
      <c r="AE246" s="1979">
        <v>0.99456526585057647</v>
      </c>
      <c r="AF246" s="1979">
        <v>1</v>
      </c>
      <c r="AG246" s="1979">
        <v>0.99456526585057647</v>
      </c>
      <c r="AH246" s="2000">
        <v>1</v>
      </c>
      <c r="AI246" s="1998">
        <v>1</v>
      </c>
      <c r="AJ246" s="1998">
        <v>1</v>
      </c>
      <c r="AK246" s="1998">
        <v>1</v>
      </c>
      <c r="AL246" s="1998">
        <v>1</v>
      </c>
      <c r="AM246" s="1998">
        <v>1</v>
      </c>
      <c r="AN246" s="1998">
        <v>1</v>
      </c>
      <c r="AO246" s="1998">
        <v>1</v>
      </c>
      <c r="AP246" s="1998">
        <v>1</v>
      </c>
      <c r="AQ246" s="1998">
        <v>1</v>
      </c>
      <c r="AR246" s="1999">
        <v>1</v>
      </c>
      <c r="AS246" s="1979">
        <v>1</v>
      </c>
      <c r="AT246" s="1979">
        <v>1</v>
      </c>
      <c r="AU246" s="1979">
        <v>1</v>
      </c>
      <c r="AV246" s="1979">
        <v>1</v>
      </c>
      <c r="AW246" s="1979">
        <v>1</v>
      </c>
      <c r="AX246" s="1979">
        <v>1</v>
      </c>
      <c r="AY246" s="1979">
        <v>1</v>
      </c>
      <c r="AZ246" s="1979">
        <v>1</v>
      </c>
      <c r="BA246" s="1979">
        <v>1</v>
      </c>
      <c r="BB246" s="2000">
        <v>1.8677630614880787</v>
      </c>
      <c r="BC246" s="1998">
        <v>1.8607989021595341</v>
      </c>
      <c r="BD246" s="1998">
        <v>1.8677630614880787</v>
      </c>
      <c r="BE246" s="1998">
        <v>1.8607989021595341</v>
      </c>
      <c r="BF246" s="1998">
        <v>1.8677630614880787</v>
      </c>
      <c r="BG246" s="1998">
        <v>1.8607989021595341</v>
      </c>
      <c r="BH246" s="1998">
        <v>1.8677630614880787</v>
      </c>
      <c r="BI246" s="1998">
        <v>1.8607989021595341</v>
      </c>
      <c r="BJ246" s="1998">
        <v>1.8677630614880787</v>
      </c>
      <c r="BK246" s="1998">
        <v>1.8607989021595341</v>
      </c>
      <c r="BL246" s="1999">
        <v>1</v>
      </c>
      <c r="BM246" s="1979">
        <v>1</v>
      </c>
      <c r="BN246" s="1979">
        <v>1</v>
      </c>
      <c r="BO246" s="1979">
        <v>1</v>
      </c>
      <c r="BP246" s="1979">
        <v>1</v>
      </c>
      <c r="BQ246" s="1979">
        <v>1</v>
      </c>
      <c r="BR246" s="1979">
        <v>1</v>
      </c>
      <c r="BS246" s="1979">
        <v>1</v>
      </c>
      <c r="BT246" s="1979">
        <v>1</v>
      </c>
      <c r="BU246" s="1979">
        <v>1</v>
      </c>
      <c r="BV246" s="2000">
        <v>1</v>
      </c>
      <c r="BW246" s="1998">
        <v>1</v>
      </c>
      <c r="BX246" s="1998">
        <v>1</v>
      </c>
      <c r="BY246" s="1998">
        <v>1</v>
      </c>
      <c r="BZ246" s="1998">
        <v>1</v>
      </c>
      <c r="CA246" s="1998">
        <v>1</v>
      </c>
      <c r="CB246" s="1998">
        <v>1</v>
      </c>
      <c r="CC246" s="1998">
        <v>1</v>
      </c>
      <c r="CD246" s="1998">
        <v>1</v>
      </c>
      <c r="CE246" s="1998">
        <v>1</v>
      </c>
      <c r="CF246" s="1999">
        <v>1</v>
      </c>
      <c r="CG246" s="1979">
        <v>1</v>
      </c>
      <c r="CH246" s="1979">
        <v>1</v>
      </c>
      <c r="CI246" s="1979">
        <v>1</v>
      </c>
      <c r="CJ246" s="1979">
        <v>1</v>
      </c>
      <c r="CK246" s="1979">
        <v>1</v>
      </c>
      <c r="CL246" s="1979">
        <v>1</v>
      </c>
      <c r="CM246" s="1979">
        <v>1</v>
      </c>
      <c r="CN246" s="1979">
        <v>1</v>
      </c>
      <c r="CO246" s="1979">
        <v>1</v>
      </c>
      <c r="CP246" s="2000">
        <v>1</v>
      </c>
      <c r="CQ246" s="1998">
        <v>1</v>
      </c>
      <c r="CR246" s="1998">
        <v>1</v>
      </c>
      <c r="CS246" s="1998">
        <v>1</v>
      </c>
      <c r="CT246" s="1998">
        <v>1</v>
      </c>
      <c r="CU246" s="1998">
        <v>1</v>
      </c>
      <c r="CV246" s="1998">
        <v>1</v>
      </c>
      <c r="CW246" s="1998">
        <v>1</v>
      </c>
      <c r="CX246" s="1998">
        <v>1</v>
      </c>
      <c r="CY246" s="1998">
        <v>1</v>
      </c>
      <c r="CZ246" s="1999">
        <v>1.3315453130345394</v>
      </c>
      <c r="DA246" s="1979">
        <v>1.3082077926656719</v>
      </c>
      <c r="DB246" s="1979">
        <v>1.3315453130345394</v>
      </c>
      <c r="DC246" s="1979">
        <v>1.3082077926656719</v>
      </c>
      <c r="DD246" s="1979">
        <v>1.3315453130345394</v>
      </c>
      <c r="DE246" s="1979">
        <v>1.3082077926656719</v>
      </c>
      <c r="DF246" s="1979">
        <v>1.3315453130345394</v>
      </c>
      <c r="DG246" s="1979">
        <v>1.3082077926656719</v>
      </c>
      <c r="DH246" s="1979">
        <v>1.3315453130345394</v>
      </c>
      <c r="DI246" s="1979">
        <v>1.3082077926656719</v>
      </c>
      <c r="DJ246" s="2000">
        <v>1.3058240386588684</v>
      </c>
      <c r="DK246" s="1998">
        <v>1.291467328254273</v>
      </c>
      <c r="DL246" s="1998">
        <v>1.3058240386588684</v>
      </c>
      <c r="DM246" s="1998">
        <v>1.291467328254273</v>
      </c>
      <c r="DN246" s="1998">
        <v>1.3058240386588684</v>
      </c>
      <c r="DO246" s="1998">
        <v>1.291467328254273</v>
      </c>
      <c r="DP246" s="1998">
        <v>1.3058240386588684</v>
      </c>
      <c r="DQ246" s="1998">
        <v>1.291467328254273</v>
      </c>
      <c r="DR246" s="1998">
        <v>1.3058240386588684</v>
      </c>
      <c r="DS246" s="1998">
        <v>1.291467328254273</v>
      </c>
    </row>
    <row r="247" spans="1:123">
      <c r="A247" s="1997"/>
      <c r="B247" s="2">
        <v>27</v>
      </c>
      <c r="C247" s="2" t="s">
        <v>4259</v>
      </c>
      <c r="D247" s="1979">
        <v>1.0276667149414613</v>
      </c>
      <c r="E247" s="1979">
        <v>1.0319187461350141</v>
      </c>
      <c r="F247" s="1979">
        <v>1.0276667149414613</v>
      </c>
      <c r="G247" s="1979">
        <v>1.0319187461350141</v>
      </c>
      <c r="H247" s="1979">
        <v>1.0276667149414613</v>
      </c>
      <c r="I247" s="1979">
        <v>1.0319187461350141</v>
      </c>
      <c r="J247" s="1979">
        <v>1.0276667149414613</v>
      </c>
      <c r="K247" s="1979">
        <v>1.0319187461350141</v>
      </c>
      <c r="L247" s="1979">
        <v>1.0276667149414613</v>
      </c>
      <c r="M247" s="1979">
        <v>1.0319187461350141</v>
      </c>
      <c r="N247" s="2000">
        <v>1.1584921603271991</v>
      </c>
      <c r="O247" s="1998">
        <v>1.1790586861653303</v>
      </c>
      <c r="P247" s="1998">
        <v>1.1584921603271991</v>
      </c>
      <c r="Q247" s="1998">
        <v>1.1790586861653303</v>
      </c>
      <c r="R247" s="1998">
        <v>1.1584921603271991</v>
      </c>
      <c r="S247" s="1998">
        <v>1.1790586861653303</v>
      </c>
      <c r="T247" s="1998">
        <v>1.1584921603271991</v>
      </c>
      <c r="U247" s="1998">
        <v>1.1790586861653303</v>
      </c>
      <c r="V247" s="1998">
        <v>1.1584921603271991</v>
      </c>
      <c r="W247" s="1998">
        <v>1.1790586861653303</v>
      </c>
      <c r="X247" s="1999">
        <v>1.0499831390527208</v>
      </c>
      <c r="Y247" s="1979">
        <v>1.0519782901065435</v>
      </c>
      <c r="Z247" s="1979">
        <v>1.0499831390527208</v>
      </c>
      <c r="AA247" s="1979">
        <v>1.0519782901065435</v>
      </c>
      <c r="AB247" s="1979">
        <v>1.0499831390527208</v>
      </c>
      <c r="AC247" s="1979">
        <v>1.0519782901065435</v>
      </c>
      <c r="AD247" s="1979">
        <v>1.0499831390527208</v>
      </c>
      <c r="AE247" s="1979">
        <v>1.0519782901065435</v>
      </c>
      <c r="AF247" s="1979">
        <v>1.0499831390527208</v>
      </c>
      <c r="AG247" s="1979">
        <v>1.0519782901065435</v>
      </c>
      <c r="AH247" s="2000">
        <v>1.0970161357582471</v>
      </c>
      <c r="AI247" s="1998">
        <v>1.1127435535323817</v>
      </c>
      <c r="AJ247" s="1998">
        <v>1.0970161357582471</v>
      </c>
      <c r="AK247" s="1998">
        <v>1.1127435535323817</v>
      </c>
      <c r="AL247" s="1998">
        <v>1.0970161357582471</v>
      </c>
      <c r="AM247" s="1998">
        <v>1.1127435535323817</v>
      </c>
      <c r="AN247" s="1998">
        <v>1.0970161357582471</v>
      </c>
      <c r="AO247" s="1998">
        <v>1.1127435535323817</v>
      </c>
      <c r="AP247" s="1998">
        <v>1.0970161357582471</v>
      </c>
      <c r="AQ247" s="1998">
        <v>1.1127435535323817</v>
      </c>
      <c r="AR247" s="1999">
        <v>1.0631757253408356</v>
      </c>
      <c r="AS247" s="1979">
        <v>1.0728272244566142</v>
      </c>
      <c r="AT247" s="1979">
        <v>1.0631757253408356</v>
      </c>
      <c r="AU247" s="1979">
        <v>1.0728272244566142</v>
      </c>
      <c r="AV247" s="1979">
        <v>1.0631757253408356</v>
      </c>
      <c r="AW247" s="1979">
        <v>1.0728272244566142</v>
      </c>
      <c r="AX247" s="1979">
        <v>1.0631757253408356</v>
      </c>
      <c r="AY247" s="1979">
        <v>1.0728272244566142</v>
      </c>
      <c r="AZ247" s="1979">
        <v>1.0631757253408356</v>
      </c>
      <c r="BA247" s="1979">
        <v>1.0728272244566142</v>
      </c>
      <c r="BB247" s="2000">
        <v>2.2115272364255643</v>
      </c>
      <c r="BC247" s="1998">
        <v>2.2435016026188501</v>
      </c>
      <c r="BD247" s="1998">
        <v>2.2115272364255643</v>
      </c>
      <c r="BE247" s="1998">
        <v>2.2435016026188501</v>
      </c>
      <c r="BF247" s="1998">
        <v>2.2115272364255643</v>
      </c>
      <c r="BG247" s="1998">
        <v>2.2435016026188501</v>
      </c>
      <c r="BH247" s="1998">
        <v>2.2115272364255643</v>
      </c>
      <c r="BI247" s="1998">
        <v>2.2435016026188501</v>
      </c>
      <c r="BJ247" s="1998">
        <v>2.2115272364255643</v>
      </c>
      <c r="BK247" s="1998">
        <v>2.2435016026188501</v>
      </c>
      <c r="BL247" s="1999">
        <v>1.1251015530646817</v>
      </c>
      <c r="BM247" s="1979">
        <v>1.1388298168705033</v>
      </c>
      <c r="BN247" s="1979">
        <v>1.1251015530646817</v>
      </c>
      <c r="BO247" s="1979">
        <v>1.1388298168705033</v>
      </c>
      <c r="BP247" s="1979">
        <v>1.1251015530646817</v>
      </c>
      <c r="BQ247" s="1979">
        <v>1.1388298168705033</v>
      </c>
      <c r="BR247" s="1979">
        <v>1.1251015530646817</v>
      </c>
      <c r="BS247" s="1979">
        <v>1.1388298168705033</v>
      </c>
      <c r="BT247" s="1979">
        <v>1.1251015530646817</v>
      </c>
      <c r="BU247" s="1979">
        <v>1.1388298168705033</v>
      </c>
      <c r="BV247" s="2000">
        <v>1.143377194782732</v>
      </c>
      <c r="BW247" s="1998">
        <v>1.1592778053690169</v>
      </c>
      <c r="BX247" s="1998">
        <v>1.143377194782732</v>
      </c>
      <c r="BY247" s="1998">
        <v>1.1592778053690169</v>
      </c>
      <c r="BZ247" s="1998">
        <v>1.143377194782732</v>
      </c>
      <c r="CA247" s="1998">
        <v>1.1592778053690169</v>
      </c>
      <c r="CB247" s="1998">
        <v>1.143377194782732</v>
      </c>
      <c r="CC247" s="1998">
        <v>1.1592778053690169</v>
      </c>
      <c r="CD247" s="1998">
        <v>1.143377194782732</v>
      </c>
      <c r="CE247" s="1998">
        <v>1.1592778053690169</v>
      </c>
      <c r="CF247" s="1999">
        <v>1.1339929256890262</v>
      </c>
      <c r="CG247" s="1979">
        <v>1.1589029071489558</v>
      </c>
      <c r="CH247" s="1979">
        <v>1.1339929256890262</v>
      </c>
      <c r="CI247" s="1979">
        <v>1.1589029071489558</v>
      </c>
      <c r="CJ247" s="1979">
        <v>1.1339929256890262</v>
      </c>
      <c r="CK247" s="1979">
        <v>1.1589029071489558</v>
      </c>
      <c r="CL247" s="1979">
        <v>1.1339929256890262</v>
      </c>
      <c r="CM247" s="1979">
        <v>1.1589029071489558</v>
      </c>
      <c r="CN247" s="1979">
        <v>1.1339929256890262</v>
      </c>
      <c r="CO247" s="1979">
        <v>1.1589029071489558</v>
      </c>
      <c r="CP247" s="2000">
        <v>1.1421268551603387</v>
      </c>
      <c r="CQ247" s="1998">
        <v>1.1681689466314089</v>
      </c>
      <c r="CR247" s="1998">
        <v>1.1421268551603387</v>
      </c>
      <c r="CS247" s="1998">
        <v>1.1681689466314089</v>
      </c>
      <c r="CT247" s="1998">
        <v>1.1421268551603387</v>
      </c>
      <c r="CU247" s="1998">
        <v>1.1681689466314089</v>
      </c>
      <c r="CV247" s="1998">
        <v>1.1421268551603387</v>
      </c>
      <c r="CW247" s="1998">
        <v>1.1681689466314089</v>
      </c>
      <c r="CX247" s="1998">
        <v>1.1421268551603387</v>
      </c>
      <c r="CY247" s="1998">
        <v>1.1681689466314089</v>
      </c>
      <c r="CZ247" s="1999">
        <v>1.5647127023350567</v>
      </c>
      <c r="DA247" s="1979">
        <v>1.5815332278221961</v>
      </c>
      <c r="DB247" s="1979">
        <v>1.5647127023350567</v>
      </c>
      <c r="DC247" s="1979">
        <v>1.5815332278221961</v>
      </c>
      <c r="DD247" s="1979">
        <v>1.5647127023350567</v>
      </c>
      <c r="DE247" s="1979">
        <v>1.5815332278221961</v>
      </c>
      <c r="DF247" s="1979">
        <v>1.5647127023350567</v>
      </c>
      <c r="DG247" s="1979">
        <v>1.5815332278221961</v>
      </c>
      <c r="DH247" s="1979">
        <v>1.5647127023350567</v>
      </c>
      <c r="DI247" s="1979">
        <v>1.5815332278221961</v>
      </c>
      <c r="DJ247" s="2000">
        <v>1.5137884053841772</v>
      </c>
      <c r="DK247" s="1998">
        <v>1.5385691878013936</v>
      </c>
      <c r="DL247" s="1998">
        <v>1.5137884053841772</v>
      </c>
      <c r="DM247" s="1998">
        <v>1.5385691878013936</v>
      </c>
      <c r="DN247" s="1998">
        <v>1.5137884053841772</v>
      </c>
      <c r="DO247" s="1998">
        <v>1.5385691878013936</v>
      </c>
      <c r="DP247" s="1998">
        <v>1.5137884053841772</v>
      </c>
      <c r="DQ247" s="1998">
        <v>1.5385691878013936</v>
      </c>
      <c r="DR247" s="1998">
        <v>1.5137884053841772</v>
      </c>
      <c r="DS247" s="1998">
        <v>1.5385691878013936</v>
      </c>
    </row>
    <row r="248" spans="1:123">
      <c r="A248" s="1997"/>
      <c r="B248" s="2">
        <v>28</v>
      </c>
      <c r="C248" s="2" t="s">
        <v>4274</v>
      </c>
      <c r="D248" s="1979">
        <v>1.2677409788794161</v>
      </c>
      <c r="E248" s="1979">
        <v>1.2768871008274929</v>
      </c>
      <c r="F248" s="1979">
        <v>1.2677409788794161</v>
      </c>
      <c r="G248" s="1979">
        <v>1.2768871008274929</v>
      </c>
      <c r="H248" s="1979">
        <v>1.2677409788794161</v>
      </c>
      <c r="I248" s="1979">
        <v>1.2768871008274929</v>
      </c>
      <c r="J248" s="1979">
        <v>1.2677409788794161</v>
      </c>
      <c r="K248" s="1979">
        <v>1.2768871008274929</v>
      </c>
      <c r="L248" s="1979">
        <v>1.2677409788794161</v>
      </c>
      <c r="M248" s="1979">
        <v>1.2768871008274929</v>
      </c>
      <c r="N248" s="2000">
        <v>1.3169843206543983</v>
      </c>
      <c r="O248" s="1998">
        <v>1.3581173723306608</v>
      </c>
      <c r="P248" s="1998">
        <v>1.3169843206543983</v>
      </c>
      <c r="Q248" s="1998">
        <v>1.3581173723306608</v>
      </c>
      <c r="R248" s="1998">
        <v>1.3169843206543983</v>
      </c>
      <c r="S248" s="1998">
        <v>1.3581173723306608</v>
      </c>
      <c r="T248" s="1998">
        <v>1.3169843206543983</v>
      </c>
      <c r="U248" s="1998">
        <v>1.3581173723306608</v>
      </c>
      <c r="V248" s="1998">
        <v>1.3169843206543983</v>
      </c>
      <c r="W248" s="1998">
        <v>1.3581173723306608</v>
      </c>
      <c r="X248" s="1999">
        <v>1.099966278105442</v>
      </c>
      <c r="Y248" s="1979">
        <v>1.1093913143625103</v>
      </c>
      <c r="Z248" s="1979">
        <v>1.099966278105442</v>
      </c>
      <c r="AA248" s="1979">
        <v>1.1093913143625103</v>
      </c>
      <c r="AB248" s="1979">
        <v>1.099966278105442</v>
      </c>
      <c r="AC248" s="1979">
        <v>1.1093913143625103</v>
      </c>
      <c r="AD248" s="1979">
        <v>1.099966278105442</v>
      </c>
      <c r="AE248" s="1979">
        <v>1.1093913143625103</v>
      </c>
      <c r="AF248" s="1979">
        <v>1.099966278105442</v>
      </c>
      <c r="AG248" s="1979">
        <v>1.1093913143625103</v>
      </c>
      <c r="AH248" s="2000">
        <v>1.1940322715164942</v>
      </c>
      <c r="AI248" s="1998">
        <v>1.2254871070647639</v>
      </c>
      <c r="AJ248" s="1998">
        <v>1.1940322715164942</v>
      </c>
      <c r="AK248" s="1998">
        <v>1.2254871070647639</v>
      </c>
      <c r="AL248" s="1998">
        <v>1.1940322715164942</v>
      </c>
      <c r="AM248" s="1998">
        <v>1.2254871070647639</v>
      </c>
      <c r="AN248" s="1998">
        <v>1.1940322715164942</v>
      </c>
      <c r="AO248" s="1998">
        <v>1.2254871070647639</v>
      </c>
      <c r="AP248" s="1998">
        <v>1.1940322715164942</v>
      </c>
      <c r="AQ248" s="1998">
        <v>1.2254871070647639</v>
      </c>
      <c r="AR248" s="1999">
        <v>1.1263514506816714</v>
      </c>
      <c r="AS248" s="1979">
        <v>1.1456544489132279</v>
      </c>
      <c r="AT248" s="1979">
        <v>1.1263514506816714</v>
      </c>
      <c r="AU248" s="1979">
        <v>1.1456544489132279</v>
      </c>
      <c r="AV248" s="1979">
        <v>1.1263514506816714</v>
      </c>
      <c r="AW248" s="1979">
        <v>1.1456544489132279</v>
      </c>
      <c r="AX248" s="1979">
        <v>1.1263514506816714</v>
      </c>
      <c r="AY248" s="1979">
        <v>1.1456544489132279</v>
      </c>
      <c r="AZ248" s="1979">
        <v>1.1263514506816714</v>
      </c>
      <c r="BA248" s="1979">
        <v>1.1456544489132279</v>
      </c>
      <c r="BB248" s="2000">
        <v>2.5552914113630503</v>
      </c>
      <c r="BC248" s="1998">
        <v>2.6262043030781661</v>
      </c>
      <c r="BD248" s="1998">
        <v>2.5552914113630503</v>
      </c>
      <c r="BE248" s="1998">
        <v>2.6262043030781661</v>
      </c>
      <c r="BF248" s="1998">
        <v>2.5552914113630503</v>
      </c>
      <c r="BG248" s="1998">
        <v>2.6262043030781661</v>
      </c>
      <c r="BH248" s="1998">
        <v>2.5552914113630503</v>
      </c>
      <c r="BI248" s="1998">
        <v>2.6262043030781661</v>
      </c>
      <c r="BJ248" s="1998">
        <v>2.5552914113630503</v>
      </c>
      <c r="BK248" s="1998">
        <v>2.6262043030781661</v>
      </c>
      <c r="BL248" s="1999">
        <v>1.2502031061293635</v>
      </c>
      <c r="BM248" s="1979">
        <v>1.2776596337410064</v>
      </c>
      <c r="BN248" s="1979">
        <v>1.2502031061293635</v>
      </c>
      <c r="BO248" s="1979">
        <v>1.2776596337410064</v>
      </c>
      <c r="BP248" s="1979">
        <v>1.2502031061293635</v>
      </c>
      <c r="BQ248" s="1979">
        <v>1.2776596337410064</v>
      </c>
      <c r="BR248" s="1979">
        <v>1.2502031061293635</v>
      </c>
      <c r="BS248" s="1979">
        <v>1.2776596337410064</v>
      </c>
      <c r="BT248" s="1979">
        <v>1.2502031061293635</v>
      </c>
      <c r="BU248" s="1979">
        <v>1.2776596337410064</v>
      </c>
      <c r="BV248" s="2000">
        <v>1.2867543895654641</v>
      </c>
      <c r="BW248" s="1998">
        <v>1.3185556107380338</v>
      </c>
      <c r="BX248" s="1998">
        <v>1.2867543895654641</v>
      </c>
      <c r="BY248" s="1998">
        <v>1.3185556107380338</v>
      </c>
      <c r="BZ248" s="1998">
        <v>1.2867543895654641</v>
      </c>
      <c r="CA248" s="1998">
        <v>1.3185556107380338</v>
      </c>
      <c r="CB248" s="1998">
        <v>1.2867543895654641</v>
      </c>
      <c r="CC248" s="1998">
        <v>1.3185556107380338</v>
      </c>
      <c r="CD248" s="1998">
        <v>1.2867543895654641</v>
      </c>
      <c r="CE248" s="1998">
        <v>1.3185556107380338</v>
      </c>
      <c r="CF248" s="1999">
        <v>1.2679858513780522</v>
      </c>
      <c r="CG248" s="1979">
        <v>1.3178058142979114</v>
      </c>
      <c r="CH248" s="1979">
        <v>1.2679858513780522</v>
      </c>
      <c r="CI248" s="1979">
        <v>1.3178058142979114</v>
      </c>
      <c r="CJ248" s="1979">
        <v>1.2679858513780522</v>
      </c>
      <c r="CK248" s="1979">
        <v>1.3178058142979114</v>
      </c>
      <c r="CL248" s="1979">
        <v>1.2679858513780522</v>
      </c>
      <c r="CM248" s="1979">
        <v>1.3178058142979114</v>
      </c>
      <c r="CN248" s="1979">
        <v>1.2679858513780522</v>
      </c>
      <c r="CO248" s="1979">
        <v>1.3178058142979114</v>
      </c>
      <c r="CP248" s="2000">
        <v>1.284253710320677</v>
      </c>
      <c r="CQ248" s="1998">
        <v>1.3363378932628178</v>
      </c>
      <c r="CR248" s="1998">
        <v>1.284253710320677</v>
      </c>
      <c r="CS248" s="1998">
        <v>1.3363378932628178</v>
      </c>
      <c r="CT248" s="1998">
        <v>1.284253710320677</v>
      </c>
      <c r="CU248" s="1998">
        <v>1.3363378932628178</v>
      </c>
      <c r="CV248" s="1998">
        <v>1.284253710320677</v>
      </c>
      <c r="CW248" s="1998">
        <v>1.3363378932628178</v>
      </c>
      <c r="CX248" s="1998">
        <v>1.284253710320677</v>
      </c>
      <c r="CY248" s="1998">
        <v>1.3363378932628178</v>
      </c>
      <c r="CZ248" s="1999">
        <v>1.7978800916355735</v>
      </c>
      <c r="DA248" s="1979">
        <v>1.8548586629787203</v>
      </c>
      <c r="DB248" s="1979">
        <v>1.7978800916355735</v>
      </c>
      <c r="DC248" s="1979">
        <v>1.8548586629787203</v>
      </c>
      <c r="DD248" s="1979">
        <v>1.7978800916355735</v>
      </c>
      <c r="DE248" s="1979">
        <v>1.8548586629787203</v>
      </c>
      <c r="DF248" s="1979">
        <v>1.7978800916355735</v>
      </c>
      <c r="DG248" s="1979">
        <v>1.8548586629787203</v>
      </c>
      <c r="DH248" s="1979">
        <v>1.7978800916355735</v>
      </c>
      <c r="DI248" s="1979">
        <v>1.8548586629787203</v>
      </c>
      <c r="DJ248" s="2000">
        <v>1.7217527721094865</v>
      </c>
      <c r="DK248" s="1998">
        <v>1.7856710473485147</v>
      </c>
      <c r="DL248" s="1998">
        <v>1.7217527721094865</v>
      </c>
      <c r="DM248" s="1998">
        <v>1.7856710473485147</v>
      </c>
      <c r="DN248" s="1998">
        <v>1.7217527721094865</v>
      </c>
      <c r="DO248" s="1998">
        <v>1.7856710473485147</v>
      </c>
      <c r="DP248" s="1998">
        <v>1.7217527721094865</v>
      </c>
      <c r="DQ248" s="1998">
        <v>1.7856710473485147</v>
      </c>
      <c r="DR248" s="1998">
        <v>1.7217527721094865</v>
      </c>
      <c r="DS248" s="1998">
        <v>1.7856710473485147</v>
      </c>
    </row>
    <row r="249" spans="1:123">
      <c r="A249" s="1997"/>
      <c r="B249" s="2">
        <v>29</v>
      </c>
      <c r="C249" s="2" t="str">
        <f>AD$13</f>
        <v>Fondation superficielle</v>
      </c>
      <c r="D249" s="1979">
        <v>0.96772783265384288</v>
      </c>
      <c r="E249" s="1979">
        <v>0.96412957065102256</v>
      </c>
      <c r="F249" s="1979">
        <v>0.96772783265384288</v>
      </c>
      <c r="G249" s="1979">
        <v>0.96412957065102256</v>
      </c>
      <c r="H249" s="1979">
        <v>0.96772783265384288</v>
      </c>
      <c r="I249" s="1979">
        <v>0.96412957065102256</v>
      </c>
      <c r="J249" s="1979">
        <v>0.96772783265384288</v>
      </c>
      <c r="K249" s="1979">
        <v>0.96412957065102256</v>
      </c>
      <c r="L249" s="1979">
        <v>0.96772783265384288</v>
      </c>
      <c r="M249" s="1979">
        <v>0.96412957065102256</v>
      </c>
      <c r="N249" s="2000">
        <v>1</v>
      </c>
      <c r="O249" s="1998">
        <v>1</v>
      </c>
      <c r="P249" s="1998">
        <v>1</v>
      </c>
      <c r="Q249" s="1998">
        <v>1</v>
      </c>
      <c r="R249" s="1998">
        <v>1</v>
      </c>
      <c r="S249" s="1998">
        <v>1</v>
      </c>
      <c r="T249" s="1998">
        <v>1</v>
      </c>
      <c r="U249" s="1998">
        <v>1</v>
      </c>
      <c r="V249" s="1998">
        <v>1</v>
      </c>
      <c r="W249" s="1998">
        <v>1</v>
      </c>
      <c r="X249" s="1999">
        <v>1</v>
      </c>
      <c r="Y249" s="1979">
        <v>0.99456526585057647</v>
      </c>
      <c r="Z249" s="1979">
        <v>1</v>
      </c>
      <c r="AA249" s="1979">
        <v>0.99456526585057647</v>
      </c>
      <c r="AB249" s="1979">
        <v>1</v>
      </c>
      <c r="AC249" s="1979">
        <v>0.99456526585057647</v>
      </c>
      <c r="AD249" s="1979">
        <v>1</v>
      </c>
      <c r="AE249" s="1979">
        <v>0.99456526585057647</v>
      </c>
      <c r="AF249" s="1979">
        <v>1</v>
      </c>
      <c r="AG249" s="1979">
        <v>0.99456526585057647</v>
      </c>
      <c r="AH249" s="2000">
        <v>1</v>
      </c>
      <c r="AI249" s="1998">
        <v>1</v>
      </c>
      <c r="AJ249" s="1998">
        <v>1</v>
      </c>
      <c r="AK249" s="1998">
        <v>1</v>
      </c>
      <c r="AL249" s="1998">
        <v>1</v>
      </c>
      <c r="AM249" s="1998">
        <v>1</v>
      </c>
      <c r="AN249" s="1998">
        <v>1</v>
      </c>
      <c r="AO249" s="1998">
        <v>1</v>
      </c>
      <c r="AP249" s="1998">
        <v>1</v>
      </c>
      <c r="AQ249" s="1998">
        <v>1</v>
      </c>
      <c r="AR249" s="1999">
        <v>1</v>
      </c>
      <c r="AS249" s="1979">
        <v>1</v>
      </c>
      <c r="AT249" s="1979">
        <v>1</v>
      </c>
      <c r="AU249" s="1979">
        <v>1</v>
      </c>
      <c r="AV249" s="1979">
        <v>1</v>
      </c>
      <c r="AW249" s="1979">
        <v>1</v>
      </c>
      <c r="AX249" s="1979">
        <v>1</v>
      </c>
      <c r="AY249" s="1979">
        <v>1</v>
      </c>
      <c r="AZ249" s="1979">
        <v>1</v>
      </c>
      <c r="BA249" s="1979">
        <v>1</v>
      </c>
      <c r="BB249" s="2000">
        <v>1.3180265000109936</v>
      </c>
      <c r="BC249" s="1998">
        <v>1.3308586370188196</v>
      </c>
      <c r="BD249" s="1998">
        <v>1.3180265000109936</v>
      </c>
      <c r="BE249" s="1998">
        <v>1.3308586370188196</v>
      </c>
      <c r="BF249" s="1998">
        <v>1.3180265000109936</v>
      </c>
      <c r="BG249" s="1998">
        <v>1.3308586370188196</v>
      </c>
      <c r="BH249" s="1998">
        <v>1.3180265000109936</v>
      </c>
      <c r="BI249" s="1998">
        <v>1.3308586370188196</v>
      </c>
      <c r="BJ249" s="1998">
        <v>1.3180265000109936</v>
      </c>
      <c r="BK249" s="1998">
        <v>1.3308586370188196</v>
      </c>
      <c r="BL249" s="1999">
        <v>1</v>
      </c>
      <c r="BM249" s="1979">
        <v>1</v>
      </c>
      <c r="BN249" s="1979">
        <v>1</v>
      </c>
      <c r="BO249" s="1979">
        <v>1</v>
      </c>
      <c r="BP249" s="1979">
        <v>1</v>
      </c>
      <c r="BQ249" s="1979">
        <v>1</v>
      </c>
      <c r="BR249" s="1979">
        <v>1</v>
      </c>
      <c r="BS249" s="1979">
        <v>1</v>
      </c>
      <c r="BT249" s="1979">
        <v>1</v>
      </c>
      <c r="BU249" s="1979">
        <v>1</v>
      </c>
      <c r="BV249" s="2000">
        <v>1</v>
      </c>
      <c r="BW249" s="1998">
        <v>1</v>
      </c>
      <c r="BX249" s="1998">
        <v>1</v>
      </c>
      <c r="BY249" s="1998">
        <v>1</v>
      </c>
      <c r="BZ249" s="1998">
        <v>1</v>
      </c>
      <c r="CA249" s="1998">
        <v>1</v>
      </c>
      <c r="CB249" s="1998">
        <v>1</v>
      </c>
      <c r="CC249" s="1998">
        <v>1</v>
      </c>
      <c r="CD249" s="1998">
        <v>1</v>
      </c>
      <c r="CE249" s="1998">
        <v>1</v>
      </c>
      <c r="CF249" s="1999">
        <v>1</v>
      </c>
      <c r="CG249" s="1979">
        <v>1</v>
      </c>
      <c r="CH249" s="1979">
        <v>1</v>
      </c>
      <c r="CI249" s="1979">
        <v>1</v>
      </c>
      <c r="CJ249" s="1979">
        <v>1</v>
      </c>
      <c r="CK249" s="1979">
        <v>1</v>
      </c>
      <c r="CL249" s="1979">
        <v>1</v>
      </c>
      <c r="CM249" s="1979">
        <v>1</v>
      </c>
      <c r="CN249" s="1979">
        <v>1</v>
      </c>
      <c r="CO249" s="1979">
        <v>1</v>
      </c>
      <c r="CP249" s="2000">
        <v>1</v>
      </c>
      <c r="CQ249" s="1998">
        <v>1</v>
      </c>
      <c r="CR249" s="1998">
        <v>1</v>
      </c>
      <c r="CS249" s="1998">
        <v>1</v>
      </c>
      <c r="CT249" s="1998">
        <v>1</v>
      </c>
      <c r="CU249" s="1998">
        <v>1</v>
      </c>
      <c r="CV249" s="1998">
        <v>1</v>
      </c>
      <c r="CW249" s="1998">
        <v>1</v>
      </c>
      <c r="CX249" s="1998">
        <v>1</v>
      </c>
      <c r="CY249" s="1998">
        <v>1</v>
      </c>
      <c r="CZ249" s="1999">
        <v>1</v>
      </c>
      <c r="DA249" s="1979">
        <v>1</v>
      </c>
      <c r="DB249" s="1979">
        <v>1</v>
      </c>
      <c r="DC249" s="1979">
        <v>1</v>
      </c>
      <c r="DD249" s="1979">
        <v>1</v>
      </c>
      <c r="DE249" s="1979">
        <v>1</v>
      </c>
      <c r="DF249" s="1979">
        <v>1</v>
      </c>
      <c r="DG249" s="1979">
        <v>1</v>
      </c>
      <c r="DH249" s="1979">
        <v>1</v>
      </c>
      <c r="DI249" s="1979">
        <v>1</v>
      </c>
      <c r="DJ249" s="2000">
        <v>1.0002450682306379</v>
      </c>
      <c r="DK249" s="1998">
        <v>1.0001651239704095</v>
      </c>
      <c r="DL249" s="1998">
        <v>1.0002450682306379</v>
      </c>
      <c r="DM249" s="1998">
        <v>1.0001651239704095</v>
      </c>
      <c r="DN249" s="1998">
        <v>1.0002450682306379</v>
      </c>
      <c r="DO249" s="1998">
        <v>1.0001651239704095</v>
      </c>
      <c r="DP249" s="1998">
        <v>1.0002450682306379</v>
      </c>
      <c r="DQ249" s="1998">
        <v>1.0001651239704095</v>
      </c>
      <c r="DR249" s="1998">
        <v>1.0002450682306379</v>
      </c>
      <c r="DS249" s="1998">
        <v>1.0001651239704095</v>
      </c>
    </row>
    <row r="250" spans="1:123">
      <c r="A250" s="1997"/>
      <c r="B250" s="2">
        <v>30</v>
      </c>
      <c r="C250" s="2" t="str">
        <f>AD$14</f>
        <v>Micro-pieux</v>
      </c>
      <c r="D250" s="1979">
        <v>0.98215194558222918</v>
      </c>
      <c r="E250" s="1979">
        <v>0.97790342861972512</v>
      </c>
      <c r="F250" s="1979">
        <v>0.98215194558222918</v>
      </c>
      <c r="G250" s="1979">
        <v>0.97790342861972512</v>
      </c>
      <c r="H250" s="1979">
        <v>0.98215194558222918</v>
      </c>
      <c r="I250" s="1979">
        <v>0.97790342861972512</v>
      </c>
      <c r="J250" s="1979">
        <v>0.98215194558222918</v>
      </c>
      <c r="K250" s="1979">
        <v>0.97790342861972512</v>
      </c>
      <c r="L250" s="1979">
        <v>0.98215194558222918</v>
      </c>
      <c r="M250" s="1979">
        <v>0.97790342861972512</v>
      </c>
      <c r="N250" s="2000">
        <v>1.0358398385172327</v>
      </c>
      <c r="O250" s="1998">
        <v>1.034179277007147</v>
      </c>
      <c r="P250" s="1998">
        <v>1.0358398385172327</v>
      </c>
      <c r="Q250" s="1998">
        <v>1.034179277007147</v>
      </c>
      <c r="R250" s="1998">
        <v>1.0358398385172327</v>
      </c>
      <c r="S250" s="1998">
        <v>1.034179277007147</v>
      </c>
      <c r="T250" s="1998">
        <v>1.0358398385172327</v>
      </c>
      <c r="U250" s="1998">
        <v>1.034179277007147</v>
      </c>
      <c r="V250" s="1998">
        <v>1.0358398385172327</v>
      </c>
      <c r="W250" s="1998">
        <v>1.034179277007147</v>
      </c>
      <c r="X250" s="1999">
        <v>1.0118507754959125</v>
      </c>
      <c r="Y250" s="1979">
        <v>1.0060579802998373</v>
      </c>
      <c r="Z250" s="1979">
        <v>1.0118507754959125</v>
      </c>
      <c r="AA250" s="1979">
        <v>1.0060579802998373</v>
      </c>
      <c r="AB250" s="1979">
        <v>1.0118507754959125</v>
      </c>
      <c r="AC250" s="1979">
        <v>1.0060579802998373</v>
      </c>
      <c r="AD250" s="1979">
        <v>1.0118507754959125</v>
      </c>
      <c r="AE250" s="1979">
        <v>1.0060579802998373</v>
      </c>
      <c r="AF250" s="1979">
        <v>1.0118507754959125</v>
      </c>
      <c r="AG250" s="1979">
        <v>1.0060579802998373</v>
      </c>
      <c r="AH250" s="2000">
        <v>1.0213887038976559</v>
      </c>
      <c r="AI250" s="1998">
        <v>1.0209797472917035</v>
      </c>
      <c r="AJ250" s="1998">
        <v>1.0213887038976559</v>
      </c>
      <c r="AK250" s="1998">
        <v>1.0209797472917035</v>
      </c>
      <c r="AL250" s="1998">
        <v>1.0213887038976559</v>
      </c>
      <c r="AM250" s="1998">
        <v>1.0209797472917035</v>
      </c>
      <c r="AN250" s="1998">
        <v>1.0213887038976559</v>
      </c>
      <c r="AO250" s="1998">
        <v>1.0209797472917035</v>
      </c>
      <c r="AP250" s="1998">
        <v>1.0213887038976559</v>
      </c>
      <c r="AQ250" s="1998">
        <v>1.0209797472917035</v>
      </c>
      <c r="AR250" s="1999">
        <v>1.0157420354354325</v>
      </c>
      <c r="AS250" s="1979">
        <v>1.0153243205893627</v>
      </c>
      <c r="AT250" s="1979">
        <v>1.0157420354354325</v>
      </c>
      <c r="AU250" s="1979">
        <v>1.0153243205893627</v>
      </c>
      <c r="AV250" s="1979">
        <v>1.0157420354354325</v>
      </c>
      <c r="AW250" s="1979">
        <v>1.0153243205893627</v>
      </c>
      <c r="AX250" s="1979">
        <v>1.0157420354354325</v>
      </c>
      <c r="AY250" s="1979">
        <v>1.0153243205893627</v>
      </c>
      <c r="AZ250" s="1979">
        <v>1.0157420354354325</v>
      </c>
      <c r="BA250" s="1979">
        <v>1.0153243205893627</v>
      </c>
      <c r="BB250" s="2000">
        <v>1.40141854193508</v>
      </c>
      <c r="BC250" s="1998">
        <v>1.4092475041878993</v>
      </c>
      <c r="BD250" s="1998">
        <v>1.40141854193508</v>
      </c>
      <c r="BE250" s="1998">
        <v>1.4092475041878993</v>
      </c>
      <c r="BF250" s="1998">
        <v>1.40141854193508</v>
      </c>
      <c r="BG250" s="1998">
        <v>1.4092475041878993</v>
      </c>
      <c r="BH250" s="1998">
        <v>1.40141854193508</v>
      </c>
      <c r="BI250" s="1998">
        <v>1.4092475041878993</v>
      </c>
      <c r="BJ250" s="1998">
        <v>1.40141854193508</v>
      </c>
      <c r="BK250" s="1998">
        <v>1.4092475041878993</v>
      </c>
      <c r="BL250" s="1999">
        <v>1.0311726231989757</v>
      </c>
      <c r="BM250" s="1979">
        <v>1.0292126006031375</v>
      </c>
      <c r="BN250" s="1979">
        <v>1.0311726231989757</v>
      </c>
      <c r="BO250" s="1979">
        <v>1.0292126006031375</v>
      </c>
      <c r="BP250" s="1979">
        <v>1.0311726231989757</v>
      </c>
      <c r="BQ250" s="1979">
        <v>1.0292126006031375</v>
      </c>
      <c r="BR250" s="1979">
        <v>1.0311726231989757</v>
      </c>
      <c r="BS250" s="1979">
        <v>1.0292126006031375</v>
      </c>
      <c r="BT250" s="1979">
        <v>1.0311726231989757</v>
      </c>
      <c r="BU250" s="1979">
        <v>1.0292126006031375</v>
      </c>
      <c r="BV250" s="2000">
        <v>1.0214671801269579</v>
      </c>
      <c r="BW250" s="1998">
        <v>1.0214390644346296</v>
      </c>
      <c r="BX250" s="1998">
        <v>1.0214671801269579</v>
      </c>
      <c r="BY250" s="1998">
        <v>1.0214390644346296</v>
      </c>
      <c r="BZ250" s="1998">
        <v>1.0214671801269579</v>
      </c>
      <c r="CA250" s="1998">
        <v>1.0214390644346296</v>
      </c>
      <c r="CB250" s="1998">
        <v>1.0214671801269579</v>
      </c>
      <c r="CC250" s="1998">
        <v>1.0214390644346296</v>
      </c>
      <c r="CD250" s="1998">
        <v>1.0214671801269579</v>
      </c>
      <c r="CE250" s="1998">
        <v>1.0214390644346296</v>
      </c>
      <c r="CF250" s="1999">
        <v>1.0349309906091928</v>
      </c>
      <c r="CG250" s="1979">
        <v>1.0349881878015106</v>
      </c>
      <c r="CH250" s="1979">
        <v>1.0349309906091928</v>
      </c>
      <c r="CI250" s="1979">
        <v>1.0349881878015106</v>
      </c>
      <c r="CJ250" s="1979">
        <v>1.0349309906091928</v>
      </c>
      <c r="CK250" s="1979">
        <v>1.0349881878015106</v>
      </c>
      <c r="CL250" s="1979">
        <v>1.0349309906091928</v>
      </c>
      <c r="CM250" s="1979">
        <v>1.0349881878015106</v>
      </c>
      <c r="CN250" s="1979">
        <v>1.0349309906091928</v>
      </c>
      <c r="CO250" s="1979">
        <v>1.0349881878015106</v>
      </c>
      <c r="CP250" s="2000">
        <v>1.0366605151957169</v>
      </c>
      <c r="CQ250" s="1998">
        <v>1.0366360621091044</v>
      </c>
      <c r="CR250" s="1998">
        <v>1.0366605151957169</v>
      </c>
      <c r="CS250" s="1998">
        <v>1.0366360621091044</v>
      </c>
      <c r="CT250" s="1998">
        <v>1.0366605151957169</v>
      </c>
      <c r="CU250" s="1998">
        <v>1.0366360621091044</v>
      </c>
      <c r="CV250" s="1998">
        <v>1.0366605151957169</v>
      </c>
      <c r="CW250" s="1998">
        <v>1.0366360621091044</v>
      </c>
      <c r="CX250" s="1998">
        <v>1.0366605151957169</v>
      </c>
      <c r="CY250" s="1998">
        <v>1.0366360621091044</v>
      </c>
      <c r="CZ250" s="1999">
        <v>1.059981437956472</v>
      </c>
      <c r="DA250" s="1979">
        <v>1.0593833390900691</v>
      </c>
      <c r="DB250" s="1979">
        <v>1.059981437956472</v>
      </c>
      <c r="DC250" s="1979">
        <v>1.0593833390900691</v>
      </c>
      <c r="DD250" s="1979">
        <v>1.059981437956472</v>
      </c>
      <c r="DE250" s="1979">
        <v>1.0593833390900691</v>
      </c>
      <c r="DF250" s="1979">
        <v>1.059981437956472</v>
      </c>
      <c r="DG250" s="1979">
        <v>1.0593833390900691</v>
      </c>
      <c r="DH250" s="1979">
        <v>1.059981437956472</v>
      </c>
      <c r="DI250" s="1979">
        <v>1.0593833390900691</v>
      </c>
      <c r="DJ250" s="2000">
        <v>1.0531436744991662</v>
      </c>
      <c r="DK250" s="1998">
        <v>1.0532469496640777</v>
      </c>
      <c r="DL250" s="1998">
        <v>1.0531436744991662</v>
      </c>
      <c r="DM250" s="1998">
        <v>1.0532469496640777</v>
      </c>
      <c r="DN250" s="1998">
        <v>1.0531436744991662</v>
      </c>
      <c r="DO250" s="1998">
        <v>1.0532469496640777</v>
      </c>
      <c r="DP250" s="1998">
        <v>1.0531436744991662</v>
      </c>
      <c r="DQ250" s="1998">
        <v>1.0532469496640777</v>
      </c>
      <c r="DR250" s="1998">
        <v>1.0531436744991662</v>
      </c>
      <c r="DS250" s="1998">
        <v>1.0532469496640777</v>
      </c>
    </row>
    <row r="251" spans="1:123">
      <c r="A251" s="1997"/>
      <c r="B251" s="2">
        <v>31</v>
      </c>
      <c r="C251" s="2" t="str">
        <f>AD$15</f>
        <v>Pieux en béton coulé sur place</v>
      </c>
      <c r="D251" s="1979">
        <v>1.0037284271901226</v>
      </c>
      <c r="E251" s="1979">
        <v>1.0087568640961355</v>
      </c>
      <c r="F251" s="1979">
        <v>1.0037284271901226</v>
      </c>
      <c r="G251" s="1979">
        <v>1.0087568640961355</v>
      </c>
      <c r="H251" s="1979">
        <v>1.0037284271901226</v>
      </c>
      <c r="I251" s="1979">
        <v>1.0087568640961355</v>
      </c>
      <c r="J251" s="1979">
        <v>1.0037284271901226</v>
      </c>
      <c r="K251" s="1979">
        <v>1.0087568640961355</v>
      </c>
      <c r="L251" s="1979">
        <v>1.0037284271901226</v>
      </c>
      <c r="M251" s="1979">
        <v>1.0087568640961355</v>
      </c>
      <c r="N251" s="2000">
        <v>1.0894512890401353</v>
      </c>
      <c r="O251" s="1998">
        <v>1.1107408416876123</v>
      </c>
      <c r="P251" s="1998">
        <v>1.0894512890401353</v>
      </c>
      <c r="Q251" s="1998">
        <v>1.1107408416876123</v>
      </c>
      <c r="R251" s="1998">
        <v>1.0894512890401353</v>
      </c>
      <c r="S251" s="1998">
        <v>1.1107408416876123</v>
      </c>
      <c r="T251" s="1998">
        <v>1.0894512890401353</v>
      </c>
      <c r="U251" s="1998">
        <v>1.1107408416876123</v>
      </c>
      <c r="V251" s="1998">
        <v>1.0894512890401353</v>
      </c>
      <c r="W251" s="1998">
        <v>1.1107408416876123</v>
      </c>
      <c r="X251" s="1999">
        <v>1.0295778995690765</v>
      </c>
      <c r="Y251" s="1979">
        <v>1.0318016553482365</v>
      </c>
      <c r="Z251" s="1979">
        <v>1.0295778995690765</v>
      </c>
      <c r="AA251" s="1979">
        <v>1.0318016553482365</v>
      </c>
      <c r="AB251" s="1979">
        <v>1.0295778995690765</v>
      </c>
      <c r="AC251" s="1979">
        <v>1.0318016553482365</v>
      </c>
      <c r="AD251" s="1979">
        <v>1.0295778995690765</v>
      </c>
      <c r="AE251" s="1979">
        <v>1.0318016553482365</v>
      </c>
      <c r="AF251" s="1979">
        <v>1.0295778995690765</v>
      </c>
      <c r="AG251" s="1979">
        <v>1.0318016553482365</v>
      </c>
      <c r="AH251" s="2000">
        <v>1.0533832520931459</v>
      </c>
      <c r="AI251" s="1998">
        <v>1.067974371517304</v>
      </c>
      <c r="AJ251" s="1998">
        <v>1.0533832520931459</v>
      </c>
      <c r="AK251" s="1998">
        <v>1.067974371517304</v>
      </c>
      <c r="AL251" s="1998">
        <v>1.0533832520931459</v>
      </c>
      <c r="AM251" s="1998">
        <v>1.067974371517304</v>
      </c>
      <c r="AN251" s="1998">
        <v>1.0533832520931459</v>
      </c>
      <c r="AO251" s="1998">
        <v>1.067974371517304</v>
      </c>
      <c r="AP251" s="1998">
        <v>1.0533832520931459</v>
      </c>
      <c r="AQ251" s="1998">
        <v>1.067974371517304</v>
      </c>
      <c r="AR251" s="1999">
        <v>1.039289947166973</v>
      </c>
      <c r="AS251" s="1979">
        <v>1.0496507916186171</v>
      </c>
      <c r="AT251" s="1979">
        <v>1.039289947166973</v>
      </c>
      <c r="AU251" s="1979">
        <v>1.0496507916186171</v>
      </c>
      <c r="AV251" s="1979">
        <v>1.039289947166973</v>
      </c>
      <c r="AW251" s="1979">
        <v>1.0496507916186171</v>
      </c>
      <c r="AX251" s="1979">
        <v>1.039289947166973</v>
      </c>
      <c r="AY251" s="1979">
        <v>1.0496507916186171</v>
      </c>
      <c r="AZ251" s="1979">
        <v>1.039289947166973</v>
      </c>
      <c r="BA251" s="1979">
        <v>1.0496507916186171</v>
      </c>
      <c r="BB251" s="2000">
        <v>1.5261615238954289</v>
      </c>
      <c r="BC251" s="1998">
        <v>1.5848385303742931</v>
      </c>
      <c r="BD251" s="1998">
        <v>1.5261615238954289</v>
      </c>
      <c r="BE251" s="1998">
        <v>1.5848385303742931</v>
      </c>
      <c r="BF251" s="1998">
        <v>1.5261615238954289</v>
      </c>
      <c r="BG251" s="1998">
        <v>1.5848385303742931</v>
      </c>
      <c r="BH251" s="1998">
        <v>1.5261615238954289</v>
      </c>
      <c r="BI251" s="1998">
        <v>1.5848385303742931</v>
      </c>
      <c r="BJ251" s="1998">
        <v>1.5261615238954289</v>
      </c>
      <c r="BK251" s="1998">
        <v>1.5848385303742931</v>
      </c>
      <c r="BL251" s="1999">
        <v>1.0778025639420794</v>
      </c>
      <c r="BM251" s="1979">
        <v>1.0946488124368183</v>
      </c>
      <c r="BN251" s="1979">
        <v>1.0778025639420794</v>
      </c>
      <c r="BO251" s="1979">
        <v>1.0946488124368183</v>
      </c>
      <c r="BP251" s="1979">
        <v>1.0778025639420794</v>
      </c>
      <c r="BQ251" s="1979">
        <v>1.0946488124368183</v>
      </c>
      <c r="BR251" s="1979">
        <v>1.0778025639420794</v>
      </c>
      <c r="BS251" s="1979">
        <v>1.0946488124368183</v>
      </c>
      <c r="BT251" s="1979">
        <v>1.0778025639420794</v>
      </c>
      <c r="BU251" s="1979">
        <v>1.0946488124368183</v>
      </c>
      <c r="BV251" s="2000">
        <v>1.0535791179273823</v>
      </c>
      <c r="BW251" s="1998">
        <v>1.0694625588478481</v>
      </c>
      <c r="BX251" s="1998">
        <v>1.0535791179273823</v>
      </c>
      <c r="BY251" s="1998">
        <v>1.0694625588478481</v>
      </c>
      <c r="BZ251" s="1998">
        <v>1.0535791179273823</v>
      </c>
      <c r="CA251" s="1998">
        <v>1.0694625588478481</v>
      </c>
      <c r="CB251" s="1998">
        <v>1.0535791179273823</v>
      </c>
      <c r="CC251" s="1998">
        <v>1.0694625588478481</v>
      </c>
      <c r="CD251" s="1998">
        <v>1.0535791179273823</v>
      </c>
      <c r="CE251" s="1998">
        <v>1.0694625588478481</v>
      </c>
      <c r="CF251" s="1999">
        <v>1.0871829301334257</v>
      </c>
      <c r="CG251" s="1979">
        <v>1.1133617122870485</v>
      </c>
      <c r="CH251" s="1979">
        <v>1.0871829301334257</v>
      </c>
      <c r="CI251" s="1979">
        <v>1.1133617122870485</v>
      </c>
      <c r="CJ251" s="1979">
        <v>1.0871829301334257</v>
      </c>
      <c r="CK251" s="1979">
        <v>1.1133617122870485</v>
      </c>
      <c r="CL251" s="1979">
        <v>1.0871829301334257</v>
      </c>
      <c r="CM251" s="1979">
        <v>1.1133617122870485</v>
      </c>
      <c r="CN251" s="1979">
        <v>1.0871829301334257</v>
      </c>
      <c r="CO251" s="1979">
        <v>1.1133617122870485</v>
      </c>
      <c r="CP251" s="2000">
        <v>1.0914995847304267</v>
      </c>
      <c r="CQ251" s="1998">
        <v>1.1187008242811434</v>
      </c>
      <c r="CR251" s="1998">
        <v>1.0914995847304267</v>
      </c>
      <c r="CS251" s="1998">
        <v>1.1187008242811434</v>
      </c>
      <c r="CT251" s="1998">
        <v>1.0914995847304267</v>
      </c>
      <c r="CU251" s="1998">
        <v>1.1187008242811434</v>
      </c>
      <c r="CV251" s="1998">
        <v>1.0914995847304267</v>
      </c>
      <c r="CW251" s="1998">
        <v>1.1187008242811434</v>
      </c>
      <c r="CX251" s="1998">
        <v>1.0914995847304267</v>
      </c>
      <c r="CY251" s="1998">
        <v>1.1187008242811434</v>
      </c>
      <c r="CZ251" s="1999">
        <v>1.1497053883517772</v>
      </c>
      <c r="DA251" s="1979">
        <v>1.1924019911737775</v>
      </c>
      <c r="DB251" s="1979">
        <v>1.1497053883517772</v>
      </c>
      <c r="DC251" s="1979">
        <v>1.1924019911737775</v>
      </c>
      <c r="DD251" s="1979">
        <v>1.1497053883517772</v>
      </c>
      <c r="DE251" s="1979">
        <v>1.1924019911737775</v>
      </c>
      <c r="DF251" s="1979">
        <v>1.1497053883517772</v>
      </c>
      <c r="DG251" s="1979">
        <v>1.1924019911737775</v>
      </c>
      <c r="DH251" s="1979">
        <v>1.1497053883517772</v>
      </c>
      <c r="DI251" s="1979">
        <v>1.1924019911737775</v>
      </c>
      <c r="DJ251" s="2000">
        <v>1.1322726865155595</v>
      </c>
      <c r="DK251" s="1998">
        <v>1.1721502146557041</v>
      </c>
      <c r="DL251" s="1998">
        <v>1.1322726865155595</v>
      </c>
      <c r="DM251" s="1998">
        <v>1.1721502146557041</v>
      </c>
      <c r="DN251" s="1998">
        <v>1.1322726865155595</v>
      </c>
      <c r="DO251" s="1998">
        <v>1.1721502146557041</v>
      </c>
      <c r="DP251" s="1998">
        <v>1.1322726865155595</v>
      </c>
      <c r="DQ251" s="1998">
        <v>1.1721502146557041</v>
      </c>
      <c r="DR251" s="1998">
        <v>1.1322726865155595</v>
      </c>
      <c r="DS251" s="1998">
        <v>1.1721502146557041</v>
      </c>
    </row>
    <row r="252" spans="1:123">
      <c r="A252" s="1997"/>
      <c r="B252" s="2">
        <v>32</v>
      </c>
      <c r="C252" s="2" t="str">
        <f>AD$16</f>
        <v>Colonnes ballastées</v>
      </c>
      <c r="D252" s="1979">
        <v>0.97125110674546655</v>
      </c>
      <c r="E252" s="1979">
        <v>0.96679150843935979</v>
      </c>
      <c r="F252" s="1979">
        <v>0.97125110674546655</v>
      </c>
      <c r="G252" s="1979">
        <v>0.96679150843935979</v>
      </c>
      <c r="H252" s="1979">
        <v>0.97125110674546655</v>
      </c>
      <c r="I252" s="1979">
        <v>0.96679150843935979</v>
      </c>
      <c r="J252" s="1979">
        <v>0.97125110674546655</v>
      </c>
      <c r="K252" s="1979">
        <v>0.96679150843935979</v>
      </c>
      <c r="L252" s="1979">
        <v>0.97125110674546655</v>
      </c>
      <c r="M252" s="1979">
        <v>0.96679150843935979</v>
      </c>
      <c r="N252" s="2000">
        <v>1.0087543390101477</v>
      </c>
      <c r="O252" s="1998">
        <v>1.006605492030636</v>
      </c>
      <c r="P252" s="1998">
        <v>1.0087543390101477</v>
      </c>
      <c r="Q252" s="1998">
        <v>1.006605492030636</v>
      </c>
      <c r="R252" s="1998">
        <v>1.0087543390101477</v>
      </c>
      <c r="S252" s="1998">
        <v>1.006605492030636</v>
      </c>
      <c r="T252" s="1998">
        <v>1.0087543390101477</v>
      </c>
      <c r="U252" s="1998">
        <v>1.006605492030636</v>
      </c>
      <c r="V252" s="1998">
        <v>1.0087543390101477</v>
      </c>
      <c r="W252" s="1998">
        <v>1.006605492030636</v>
      </c>
      <c r="X252" s="1999">
        <v>1.0028947035063922</v>
      </c>
      <c r="Y252" s="1979">
        <v>0.99678634951156475</v>
      </c>
      <c r="Z252" s="1979">
        <v>1.0028947035063922</v>
      </c>
      <c r="AA252" s="1979">
        <v>0.99678634951156475</v>
      </c>
      <c r="AB252" s="1979">
        <v>1.0028947035063922</v>
      </c>
      <c r="AC252" s="1979">
        <v>0.99678634951156475</v>
      </c>
      <c r="AD252" s="1979">
        <v>1.0028947035063922</v>
      </c>
      <c r="AE252" s="1979">
        <v>0.99678634951156475</v>
      </c>
      <c r="AF252" s="1979">
        <v>1.0028947035063922</v>
      </c>
      <c r="AG252" s="1979">
        <v>0.99678634951156475</v>
      </c>
      <c r="AH252" s="2000">
        <v>1.0052244645247972</v>
      </c>
      <c r="AI252" s="1998">
        <v>1.0040545490038051</v>
      </c>
      <c r="AJ252" s="1998">
        <v>1.0052244645247972</v>
      </c>
      <c r="AK252" s="1998">
        <v>1.0040545490038051</v>
      </c>
      <c r="AL252" s="1998">
        <v>1.0052244645247972</v>
      </c>
      <c r="AM252" s="1998">
        <v>1.0040545490038051</v>
      </c>
      <c r="AN252" s="1998">
        <v>1.0052244645247972</v>
      </c>
      <c r="AO252" s="1998">
        <v>1.0040545490038051</v>
      </c>
      <c r="AP252" s="1998">
        <v>1.0052244645247972</v>
      </c>
      <c r="AQ252" s="1998">
        <v>1.0040545490038051</v>
      </c>
      <c r="AR252" s="1999">
        <v>1.0038451935224337</v>
      </c>
      <c r="AS252" s="1979">
        <v>1.002961580419234</v>
      </c>
      <c r="AT252" s="1979">
        <v>1.0038451935224337</v>
      </c>
      <c r="AU252" s="1979">
        <v>1.002961580419234</v>
      </c>
      <c r="AV252" s="1979">
        <v>1.0038451935224337</v>
      </c>
      <c r="AW252" s="1979">
        <v>1.002961580419234</v>
      </c>
      <c r="AX252" s="1979">
        <v>1.0038451935224337</v>
      </c>
      <c r="AY252" s="1979">
        <v>1.002961580419234</v>
      </c>
      <c r="AZ252" s="1979">
        <v>1.0038451935224337</v>
      </c>
      <c r="BA252" s="1979">
        <v>1.002961580419234</v>
      </c>
      <c r="BB252" s="2000">
        <v>1.338396072976588</v>
      </c>
      <c r="BC252" s="1998">
        <v>1.3460080808548507</v>
      </c>
      <c r="BD252" s="1998">
        <v>1.338396072976588</v>
      </c>
      <c r="BE252" s="1998">
        <v>1.3460080808548507</v>
      </c>
      <c r="BF252" s="1998">
        <v>1.338396072976588</v>
      </c>
      <c r="BG252" s="1998">
        <v>1.3460080808548507</v>
      </c>
      <c r="BH252" s="1998">
        <v>1.338396072976588</v>
      </c>
      <c r="BI252" s="1998">
        <v>1.3460080808548507</v>
      </c>
      <c r="BJ252" s="1998">
        <v>1.338396072976588</v>
      </c>
      <c r="BK252" s="1998">
        <v>1.3460080808548507</v>
      </c>
      <c r="BL252" s="1999">
        <v>1.0076143119670644</v>
      </c>
      <c r="BM252" s="1979">
        <v>1.0056456314285942</v>
      </c>
      <c r="BN252" s="1979">
        <v>1.0076143119670644</v>
      </c>
      <c r="BO252" s="1979">
        <v>1.0056456314285942</v>
      </c>
      <c r="BP252" s="1979">
        <v>1.0076143119670644</v>
      </c>
      <c r="BQ252" s="1979">
        <v>1.0056456314285942</v>
      </c>
      <c r="BR252" s="1979">
        <v>1.0076143119670644</v>
      </c>
      <c r="BS252" s="1979">
        <v>1.0056456314285942</v>
      </c>
      <c r="BT252" s="1979">
        <v>1.0076143119670644</v>
      </c>
      <c r="BU252" s="1979">
        <v>1.0056456314285942</v>
      </c>
      <c r="BV252" s="2000">
        <v>1.0052436333476482</v>
      </c>
      <c r="BW252" s="1998">
        <v>1.0041433167014511</v>
      </c>
      <c r="BX252" s="1998">
        <v>1.0052436333476482</v>
      </c>
      <c r="BY252" s="1998">
        <v>1.0041433167014511</v>
      </c>
      <c r="BZ252" s="1998">
        <v>1.0052436333476482</v>
      </c>
      <c r="CA252" s="1998">
        <v>1.0041433167014511</v>
      </c>
      <c r="CB252" s="1998">
        <v>1.0052436333476482</v>
      </c>
      <c r="CC252" s="1998">
        <v>1.0041433167014511</v>
      </c>
      <c r="CD252" s="1998">
        <v>1.0052436333476482</v>
      </c>
      <c r="CE252" s="1998">
        <v>1.0041433167014511</v>
      </c>
      <c r="CF252" s="1999">
        <v>1.0085323412829028</v>
      </c>
      <c r="CG252" s="1979">
        <v>1.0067618222480523</v>
      </c>
      <c r="CH252" s="1979">
        <v>1.0085323412829028</v>
      </c>
      <c r="CI252" s="1979">
        <v>1.0067618222480523</v>
      </c>
      <c r="CJ252" s="1979">
        <v>1.0085323412829028</v>
      </c>
      <c r="CK252" s="1979">
        <v>1.0067618222480523</v>
      </c>
      <c r="CL252" s="1979">
        <v>1.0085323412829028</v>
      </c>
      <c r="CM252" s="1979">
        <v>1.0067618222480523</v>
      </c>
      <c r="CN252" s="1979">
        <v>1.0085323412829028</v>
      </c>
      <c r="CO252" s="1979">
        <v>1.0067618222480523</v>
      </c>
      <c r="CP252" s="2000">
        <v>1.0089547997867139</v>
      </c>
      <c r="CQ252" s="1998">
        <v>1.0070802906756915</v>
      </c>
      <c r="CR252" s="1998">
        <v>1.0089547997867139</v>
      </c>
      <c r="CS252" s="1998">
        <v>1.0070802906756915</v>
      </c>
      <c r="CT252" s="1998">
        <v>1.0089547997867139</v>
      </c>
      <c r="CU252" s="1998">
        <v>1.0070802906756915</v>
      </c>
      <c r="CV252" s="1998">
        <v>1.0089547997867139</v>
      </c>
      <c r="CW252" s="1998">
        <v>1.0070802906756915</v>
      </c>
      <c r="CX252" s="1998">
        <v>1.0089547997867139</v>
      </c>
      <c r="CY252" s="1998">
        <v>1.0070802906756915</v>
      </c>
      <c r="CZ252" s="1999">
        <v>1.0146512334851789</v>
      </c>
      <c r="DA252" s="1979">
        <v>1.011476432723547</v>
      </c>
      <c r="DB252" s="1979">
        <v>1.0146512334851789</v>
      </c>
      <c r="DC252" s="1979">
        <v>1.011476432723547</v>
      </c>
      <c r="DD252" s="1979">
        <v>1.0146512334851789</v>
      </c>
      <c r="DE252" s="1979">
        <v>1.011476432723547</v>
      </c>
      <c r="DF252" s="1979">
        <v>1.0146512334851789</v>
      </c>
      <c r="DG252" s="1979">
        <v>1.011476432723547</v>
      </c>
      <c r="DH252" s="1979">
        <v>1.0146512334851789</v>
      </c>
      <c r="DI252" s="1979">
        <v>1.011476432723547</v>
      </c>
      <c r="DJ252" s="2000">
        <v>1.0131662294746078</v>
      </c>
      <c r="DK252" s="1998">
        <v>1.0104237253012045</v>
      </c>
      <c r="DL252" s="1998">
        <v>1.0131662294746078</v>
      </c>
      <c r="DM252" s="1998">
        <v>1.0104237253012045</v>
      </c>
      <c r="DN252" s="1998">
        <v>1.0131662294746078</v>
      </c>
      <c r="DO252" s="1998">
        <v>1.0104237253012045</v>
      </c>
      <c r="DP252" s="1998">
        <v>1.0131662294746078</v>
      </c>
      <c r="DQ252" s="1998">
        <v>1.0104237253012045</v>
      </c>
      <c r="DR252" s="1998">
        <v>1.0131662294746078</v>
      </c>
      <c r="DS252" s="1998">
        <v>1.0104237253012045</v>
      </c>
    </row>
    <row r="253" spans="1:123">
      <c r="A253" s="1997"/>
      <c r="B253" s="2">
        <v>33</v>
      </c>
      <c r="C253" s="2" t="str">
        <f>AD$17</f>
        <v>Pieu en béton préfabriqué (battus)</v>
      </c>
      <c r="D253" s="1979">
        <v>0.97582476936753082</v>
      </c>
      <c r="E253" s="1979">
        <v>0.97696278685316518</v>
      </c>
      <c r="F253" s="1979">
        <v>0.97582476936753082</v>
      </c>
      <c r="G253" s="1979">
        <v>0.97696278685316518</v>
      </c>
      <c r="H253" s="1979">
        <v>0.97582476936753082</v>
      </c>
      <c r="I253" s="1979">
        <v>0.97696278685316518</v>
      </c>
      <c r="J253" s="1979">
        <v>0.97582476936753082</v>
      </c>
      <c r="K253" s="1979">
        <v>0.97696278685316518</v>
      </c>
      <c r="L253" s="1979">
        <v>0.97582476936753082</v>
      </c>
      <c r="M253" s="1979">
        <v>0.97696278685316518</v>
      </c>
      <c r="N253" s="2000">
        <v>1.0201185962522339</v>
      </c>
      <c r="O253" s="1998">
        <v>1.031845112129246</v>
      </c>
      <c r="P253" s="1998">
        <v>1.0201185962522339</v>
      </c>
      <c r="Q253" s="1998">
        <v>1.031845112129246</v>
      </c>
      <c r="R253" s="1998">
        <v>1.0201185962522339</v>
      </c>
      <c r="S253" s="1998">
        <v>1.031845112129246</v>
      </c>
      <c r="T253" s="1998">
        <v>1.0201185962522339</v>
      </c>
      <c r="U253" s="1998">
        <v>1.031845112129246</v>
      </c>
      <c r="V253" s="1998">
        <v>1.0201185962522339</v>
      </c>
      <c r="W253" s="1998">
        <v>1.031845112129246</v>
      </c>
      <c r="X253" s="1999">
        <v>1.0066524007178073</v>
      </c>
      <c r="Y253" s="1979">
        <v>1.0052731219655431</v>
      </c>
      <c r="Z253" s="1979">
        <v>1.0066524007178073</v>
      </c>
      <c r="AA253" s="1979">
        <v>1.0052731219655431</v>
      </c>
      <c r="AB253" s="1979">
        <v>1.0066524007178073</v>
      </c>
      <c r="AC253" s="1979">
        <v>1.0052731219655431</v>
      </c>
      <c r="AD253" s="1979">
        <v>1.0066524007178073</v>
      </c>
      <c r="AE253" s="1979">
        <v>1.0052731219655431</v>
      </c>
      <c r="AF253" s="1979">
        <v>1.0066524007178073</v>
      </c>
      <c r="AG253" s="1979">
        <v>1.0052731219655431</v>
      </c>
      <c r="AH253" s="2000">
        <v>1.0120064909854047</v>
      </c>
      <c r="AI253" s="1998">
        <v>1.0195470022612778</v>
      </c>
      <c r="AJ253" s="1998">
        <v>1.0120064909854047</v>
      </c>
      <c r="AK253" s="1998">
        <v>1.0195470022612778</v>
      </c>
      <c r="AL253" s="1998">
        <v>1.0120064909854047</v>
      </c>
      <c r="AM253" s="1998">
        <v>1.0195470022612778</v>
      </c>
      <c r="AN253" s="1998">
        <v>1.0120064909854047</v>
      </c>
      <c r="AO253" s="1998">
        <v>1.0195470022612778</v>
      </c>
      <c r="AP253" s="1998">
        <v>1.0120064909854047</v>
      </c>
      <c r="AQ253" s="1998">
        <v>1.0195470022612778</v>
      </c>
      <c r="AR253" s="1999">
        <v>1.0088367489424246</v>
      </c>
      <c r="AS253" s="1979">
        <v>1.0142777949156363</v>
      </c>
      <c r="AT253" s="1979">
        <v>1.0088367489424246</v>
      </c>
      <c r="AU253" s="1979">
        <v>1.0142777949156363</v>
      </c>
      <c r="AV253" s="1979">
        <v>1.0088367489424246</v>
      </c>
      <c r="AW253" s="1979">
        <v>1.0142777949156363</v>
      </c>
      <c r="AX253" s="1979">
        <v>1.0088367489424246</v>
      </c>
      <c r="AY253" s="1979">
        <v>1.0142777949156363</v>
      </c>
      <c r="AZ253" s="1979">
        <v>1.0088367489424246</v>
      </c>
      <c r="BA253" s="1979">
        <v>1.0142777949156363</v>
      </c>
      <c r="BB253" s="2000">
        <v>1.3648383968144167</v>
      </c>
      <c r="BC253" s="1998">
        <v>1.4038941861371332</v>
      </c>
      <c r="BD253" s="1998">
        <v>1.3648383968144167</v>
      </c>
      <c r="BE253" s="1998">
        <v>1.4038941861371332</v>
      </c>
      <c r="BF253" s="1998">
        <v>1.3648383968144167</v>
      </c>
      <c r="BG253" s="1998">
        <v>1.4038941861371332</v>
      </c>
      <c r="BH253" s="1998">
        <v>1.3648383968144167</v>
      </c>
      <c r="BI253" s="1998">
        <v>1.4038941861371332</v>
      </c>
      <c r="BJ253" s="1998">
        <v>1.3648383968144167</v>
      </c>
      <c r="BK253" s="1998">
        <v>1.4038941861371332</v>
      </c>
      <c r="BL253" s="1999">
        <v>1.0174986675780264</v>
      </c>
      <c r="BM253" s="1979">
        <v>1.027217619073665</v>
      </c>
      <c r="BN253" s="1979">
        <v>1.0174986675780264</v>
      </c>
      <c r="BO253" s="1979">
        <v>1.027217619073665</v>
      </c>
      <c r="BP253" s="1979">
        <v>1.0174986675780264</v>
      </c>
      <c r="BQ253" s="1979">
        <v>1.027217619073665</v>
      </c>
      <c r="BR253" s="1979">
        <v>1.0174986675780264</v>
      </c>
      <c r="BS253" s="1979">
        <v>1.027217619073665</v>
      </c>
      <c r="BT253" s="1979">
        <v>1.0174986675780264</v>
      </c>
      <c r="BU253" s="1979">
        <v>1.027217619073665</v>
      </c>
      <c r="BV253" s="2000">
        <v>1.0120505434041112</v>
      </c>
      <c r="BW253" s="1998">
        <v>1.019974951802642</v>
      </c>
      <c r="BX253" s="1998">
        <v>1.0120505434041112</v>
      </c>
      <c r="BY253" s="1998">
        <v>1.019974951802642</v>
      </c>
      <c r="BZ253" s="1998">
        <v>1.0120505434041112</v>
      </c>
      <c r="CA253" s="1998">
        <v>1.019974951802642</v>
      </c>
      <c r="CB253" s="1998">
        <v>1.0120505434041112</v>
      </c>
      <c r="CC253" s="1998">
        <v>1.019974951802642</v>
      </c>
      <c r="CD253" s="1998">
        <v>1.0120505434041112</v>
      </c>
      <c r="CE253" s="1998">
        <v>1.019974951802642</v>
      </c>
      <c r="CF253" s="1999">
        <v>1.0196084169413604</v>
      </c>
      <c r="CG253" s="1979">
        <v>1.0325987809369181</v>
      </c>
      <c r="CH253" s="1979">
        <v>1.0196084169413604</v>
      </c>
      <c r="CI253" s="1979">
        <v>1.0325987809369181</v>
      </c>
      <c r="CJ253" s="1979">
        <v>1.0196084169413604</v>
      </c>
      <c r="CK253" s="1979">
        <v>1.0325987809369181</v>
      </c>
      <c r="CL253" s="1979">
        <v>1.0196084169413604</v>
      </c>
      <c r="CM253" s="1979">
        <v>1.0325987809369181</v>
      </c>
      <c r="CN253" s="1979">
        <v>1.0196084169413604</v>
      </c>
      <c r="CO253" s="1979">
        <v>1.0325987809369181</v>
      </c>
      <c r="CP253" s="2000">
        <v>1.0205792808822751</v>
      </c>
      <c r="CQ253" s="1998">
        <v>1.0341341189163979</v>
      </c>
      <c r="CR253" s="1998">
        <v>1.0205792808822751</v>
      </c>
      <c r="CS253" s="1998">
        <v>1.0341341189163979</v>
      </c>
      <c r="CT253" s="1998">
        <v>1.0205792808822751</v>
      </c>
      <c r="CU253" s="1998">
        <v>1.0341341189163979</v>
      </c>
      <c r="CV253" s="1998">
        <v>1.0205792808822751</v>
      </c>
      <c r="CW253" s="1998">
        <v>1.0341341189163979</v>
      </c>
      <c r="CX253" s="1998">
        <v>1.0205792808822751</v>
      </c>
      <c r="CY253" s="1998">
        <v>1.0341341189163979</v>
      </c>
      <c r="CZ253" s="1999">
        <v>1.0336704176915985</v>
      </c>
      <c r="DA253" s="1979">
        <v>1.0553279430555793</v>
      </c>
      <c r="DB253" s="1979">
        <v>1.0336704176915985</v>
      </c>
      <c r="DC253" s="1979">
        <v>1.0553279430555793</v>
      </c>
      <c r="DD253" s="1979">
        <v>1.0336704176915985</v>
      </c>
      <c r="DE253" s="1979">
        <v>1.0553279430555793</v>
      </c>
      <c r="DF253" s="1979">
        <v>1.0336704176915985</v>
      </c>
      <c r="DG253" s="1979">
        <v>1.0553279430555793</v>
      </c>
      <c r="DH253" s="1979">
        <v>1.0336704176915985</v>
      </c>
      <c r="DI253" s="1979">
        <v>1.0553279430555793</v>
      </c>
      <c r="DJ253" s="2000">
        <v>1.0299395575434369</v>
      </c>
      <c r="DK253" s="1998">
        <v>1.0496218954195684</v>
      </c>
      <c r="DL253" s="1998">
        <v>1.0299395575434369</v>
      </c>
      <c r="DM253" s="1998">
        <v>1.0496218954195684</v>
      </c>
      <c r="DN253" s="1998">
        <v>1.0299395575434369</v>
      </c>
      <c r="DO253" s="1998">
        <v>1.0496218954195684</v>
      </c>
      <c r="DP253" s="1998">
        <v>1.0299395575434369</v>
      </c>
      <c r="DQ253" s="1998">
        <v>1.0496218954195684</v>
      </c>
      <c r="DR253" s="1998">
        <v>1.0299395575434369</v>
      </c>
      <c r="DS253" s="1998">
        <v>1.0496218954195684</v>
      </c>
    </row>
    <row r="254" spans="1:123">
      <c r="A254" s="1997"/>
      <c r="B254" s="2">
        <v>34</v>
      </c>
      <c r="C254" s="2" t="str">
        <f>AF$13</f>
        <v/>
      </c>
      <c r="D254" s="1979">
        <v>0.96772783265384288</v>
      </c>
      <c r="E254" s="1979">
        <v>0.96412957065102256</v>
      </c>
      <c r="F254" s="1979">
        <v>0.96772783265384288</v>
      </c>
      <c r="G254" s="1979">
        <v>0.96412957065102256</v>
      </c>
      <c r="H254" s="1979">
        <v>0.96772783265384288</v>
      </c>
      <c r="I254" s="1979">
        <v>0.96412957065102256</v>
      </c>
      <c r="J254" s="1979">
        <v>0.96772783265384288</v>
      </c>
      <c r="K254" s="1979">
        <v>0.96412957065102256</v>
      </c>
      <c r="L254" s="1979">
        <v>0.96772783265384288</v>
      </c>
      <c r="M254" s="1979">
        <v>0.96412957065102256</v>
      </c>
      <c r="N254" s="2000">
        <v>1</v>
      </c>
      <c r="O254" s="1998">
        <v>1</v>
      </c>
      <c r="P254" s="1998">
        <v>1</v>
      </c>
      <c r="Q254" s="1998">
        <v>1</v>
      </c>
      <c r="R254" s="1998">
        <v>1</v>
      </c>
      <c r="S254" s="1998">
        <v>1</v>
      </c>
      <c r="T254" s="1998">
        <v>1</v>
      </c>
      <c r="U254" s="1998">
        <v>1</v>
      </c>
      <c r="V254" s="1998">
        <v>1</v>
      </c>
      <c r="W254" s="1998">
        <v>1</v>
      </c>
      <c r="X254" s="1999">
        <v>1</v>
      </c>
      <c r="Y254" s="1979">
        <v>0.99456526585057647</v>
      </c>
      <c r="Z254" s="1979">
        <v>1</v>
      </c>
      <c r="AA254" s="1979">
        <v>0.99456526585057647</v>
      </c>
      <c r="AB254" s="1979">
        <v>1</v>
      </c>
      <c r="AC254" s="1979">
        <v>0.99456526585057647</v>
      </c>
      <c r="AD254" s="1979">
        <v>1</v>
      </c>
      <c r="AE254" s="1979">
        <v>0.99456526585057647</v>
      </c>
      <c r="AF254" s="1979">
        <v>1</v>
      </c>
      <c r="AG254" s="1979">
        <v>0.99456526585057647</v>
      </c>
      <c r="AH254" s="2000">
        <v>1</v>
      </c>
      <c r="AI254" s="1998">
        <v>1</v>
      </c>
      <c r="AJ254" s="1998">
        <v>1</v>
      </c>
      <c r="AK254" s="1998">
        <v>1</v>
      </c>
      <c r="AL254" s="1998">
        <v>1</v>
      </c>
      <c r="AM254" s="1998">
        <v>1</v>
      </c>
      <c r="AN254" s="1998">
        <v>1</v>
      </c>
      <c r="AO254" s="1998">
        <v>1</v>
      </c>
      <c r="AP254" s="1998">
        <v>1</v>
      </c>
      <c r="AQ254" s="1998">
        <v>1</v>
      </c>
      <c r="AR254" s="1999">
        <v>1</v>
      </c>
      <c r="AS254" s="1979">
        <v>1</v>
      </c>
      <c r="AT254" s="1979">
        <v>1</v>
      </c>
      <c r="AU254" s="1979">
        <v>1</v>
      </c>
      <c r="AV254" s="1979">
        <v>1</v>
      </c>
      <c r="AW254" s="1979">
        <v>1</v>
      </c>
      <c r="AX254" s="1979">
        <v>1</v>
      </c>
      <c r="AY254" s="1979">
        <v>1</v>
      </c>
      <c r="AZ254" s="1979">
        <v>1</v>
      </c>
      <c r="BA254" s="1979">
        <v>1</v>
      </c>
      <c r="BB254" s="2000">
        <v>1.3180265000109936</v>
      </c>
      <c r="BC254" s="1998">
        <v>1.3308586370188196</v>
      </c>
      <c r="BD254" s="1998">
        <v>1.3180265000109936</v>
      </c>
      <c r="BE254" s="1998">
        <v>1.3308586370188196</v>
      </c>
      <c r="BF254" s="1998">
        <v>1.3180265000109936</v>
      </c>
      <c r="BG254" s="1998">
        <v>1.3308586370188196</v>
      </c>
      <c r="BH254" s="1998">
        <v>1.3180265000109936</v>
      </c>
      <c r="BI254" s="1998">
        <v>1.3308586370188196</v>
      </c>
      <c r="BJ254" s="1998">
        <v>1.3180265000109936</v>
      </c>
      <c r="BK254" s="1998">
        <v>1.3308586370188196</v>
      </c>
      <c r="BL254" s="1999">
        <v>1</v>
      </c>
      <c r="BM254" s="1979">
        <v>1</v>
      </c>
      <c r="BN254" s="1979">
        <v>1</v>
      </c>
      <c r="BO254" s="1979">
        <v>1</v>
      </c>
      <c r="BP254" s="1979">
        <v>1</v>
      </c>
      <c r="BQ254" s="1979">
        <v>1</v>
      </c>
      <c r="BR254" s="1979">
        <v>1</v>
      </c>
      <c r="BS254" s="1979">
        <v>1</v>
      </c>
      <c r="BT254" s="1979">
        <v>1</v>
      </c>
      <c r="BU254" s="1979">
        <v>1</v>
      </c>
      <c r="BV254" s="2000">
        <v>1</v>
      </c>
      <c r="BW254" s="1998">
        <v>1</v>
      </c>
      <c r="BX254" s="1998">
        <v>1</v>
      </c>
      <c r="BY254" s="1998">
        <v>1</v>
      </c>
      <c r="BZ254" s="1998">
        <v>1</v>
      </c>
      <c r="CA254" s="1998">
        <v>1</v>
      </c>
      <c r="CB254" s="1998">
        <v>1</v>
      </c>
      <c r="CC254" s="1998">
        <v>1</v>
      </c>
      <c r="CD254" s="1998">
        <v>1</v>
      </c>
      <c r="CE254" s="1998">
        <v>1</v>
      </c>
      <c r="CF254" s="1999">
        <v>1</v>
      </c>
      <c r="CG254" s="1979">
        <v>1</v>
      </c>
      <c r="CH254" s="1979">
        <v>1</v>
      </c>
      <c r="CI254" s="1979">
        <v>1</v>
      </c>
      <c r="CJ254" s="1979">
        <v>1</v>
      </c>
      <c r="CK254" s="1979">
        <v>1</v>
      </c>
      <c r="CL254" s="1979">
        <v>1</v>
      </c>
      <c r="CM254" s="1979">
        <v>1</v>
      </c>
      <c r="CN254" s="1979">
        <v>1</v>
      </c>
      <c r="CO254" s="1979">
        <v>1</v>
      </c>
      <c r="CP254" s="2000">
        <v>1</v>
      </c>
      <c r="CQ254" s="1998">
        <v>1</v>
      </c>
      <c r="CR254" s="1998">
        <v>1</v>
      </c>
      <c r="CS254" s="1998">
        <v>1</v>
      </c>
      <c r="CT254" s="1998">
        <v>1</v>
      </c>
      <c r="CU254" s="1998">
        <v>1</v>
      </c>
      <c r="CV254" s="1998">
        <v>1</v>
      </c>
      <c r="CW254" s="1998">
        <v>1</v>
      </c>
      <c r="CX254" s="1998">
        <v>1</v>
      </c>
      <c r="CY254" s="1998">
        <v>1</v>
      </c>
      <c r="CZ254" s="1999">
        <v>1</v>
      </c>
      <c r="DA254" s="1979">
        <v>1</v>
      </c>
      <c r="DB254" s="1979">
        <v>1</v>
      </c>
      <c r="DC254" s="1979">
        <v>1</v>
      </c>
      <c r="DD254" s="1979">
        <v>1</v>
      </c>
      <c r="DE254" s="1979">
        <v>1</v>
      </c>
      <c r="DF254" s="1979">
        <v>1</v>
      </c>
      <c r="DG254" s="1979">
        <v>1</v>
      </c>
      <c r="DH254" s="1979">
        <v>1</v>
      </c>
      <c r="DI254" s="1979">
        <v>1</v>
      </c>
      <c r="DJ254" s="2000">
        <v>1.0002450682306379</v>
      </c>
      <c r="DK254" s="1998">
        <v>1.0001651239704095</v>
      </c>
      <c r="DL254" s="1998">
        <v>1.0002450682306379</v>
      </c>
      <c r="DM254" s="1998">
        <v>1.0001651239704095</v>
      </c>
      <c r="DN254" s="1998">
        <v>1.0002450682306379</v>
      </c>
      <c r="DO254" s="1998">
        <v>1.0001651239704095</v>
      </c>
      <c r="DP254" s="1998">
        <v>1.0002450682306379</v>
      </c>
      <c r="DQ254" s="1998">
        <v>1.0001651239704095</v>
      </c>
      <c r="DR254" s="1998">
        <v>1.0002450682306379</v>
      </c>
      <c r="DS254" s="1998">
        <v>1.0001651239704095</v>
      </c>
    </row>
    <row r="255" spans="1:123">
      <c r="A255" s="1997"/>
      <c r="B255" s="2">
        <v>35</v>
      </c>
      <c r="C255" s="2" t="str">
        <f>AF$14</f>
        <v/>
      </c>
      <c r="D255" s="1979">
        <v>1.1085004672486292</v>
      </c>
      <c r="E255" s="1979">
        <v>1.1563231854497538</v>
      </c>
      <c r="F255" s="1979">
        <v>1.1085004672486292</v>
      </c>
      <c r="G255" s="1979">
        <v>1.1563231854497538</v>
      </c>
      <c r="H255" s="1979">
        <v>1.1085004672486292</v>
      </c>
      <c r="I255" s="1979">
        <v>1.1563231854497538</v>
      </c>
      <c r="J255" s="1979">
        <v>1.1085004672486292</v>
      </c>
      <c r="K255" s="1979">
        <v>1.1563231854497538</v>
      </c>
      <c r="L255" s="1979">
        <v>1.1085004672486292</v>
      </c>
      <c r="M255" s="1979">
        <v>1.1563231854497538</v>
      </c>
      <c r="N255" s="2000">
        <v>1.4661405894816513</v>
      </c>
      <c r="O255" s="1998">
        <v>1.6355767160242427</v>
      </c>
      <c r="P255" s="1998">
        <v>1.4661405894816513</v>
      </c>
      <c r="Q255" s="1998">
        <v>1.6355767160242427</v>
      </c>
      <c r="R255" s="1998">
        <v>1.4661405894816513</v>
      </c>
      <c r="S255" s="1998">
        <v>1.6355767160242427</v>
      </c>
      <c r="T255" s="1998">
        <v>1.4661405894816513</v>
      </c>
      <c r="U255" s="1998">
        <v>1.6355767160242427</v>
      </c>
      <c r="V255" s="1998">
        <v>1.4661405894816513</v>
      </c>
      <c r="W255" s="1998">
        <v>1.6355767160242427</v>
      </c>
      <c r="X255" s="1999">
        <v>1.1110825743123112</v>
      </c>
      <c r="Y255" s="1979">
        <v>1.1485848729928583</v>
      </c>
      <c r="Z255" s="1979">
        <v>1.1110825743123112</v>
      </c>
      <c r="AA255" s="1979">
        <v>1.1485848729928583</v>
      </c>
      <c r="AB255" s="1979">
        <v>1.1110825743123112</v>
      </c>
      <c r="AC255" s="1979">
        <v>1.1485848729928583</v>
      </c>
      <c r="AD255" s="1979">
        <v>1.1110825743123112</v>
      </c>
      <c r="AE255" s="1979">
        <v>1.1485848729928583</v>
      </c>
      <c r="AF255" s="1979">
        <v>1.1110825743123112</v>
      </c>
      <c r="AG255" s="1979">
        <v>1.1485848729928583</v>
      </c>
      <c r="AH255" s="2000">
        <v>1.3200738324007066</v>
      </c>
      <c r="AI255" s="1998">
        <v>1.4488695905462043</v>
      </c>
      <c r="AJ255" s="1998">
        <v>1.3200738324007066</v>
      </c>
      <c r="AK255" s="1998">
        <v>1.4488695905462043</v>
      </c>
      <c r="AL255" s="1998">
        <v>1.3200738324007066</v>
      </c>
      <c r="AM255" s="1998">
        <v>1.4488695905462043</v>
      </c>
      <c r="AN255" s="1998">
        <v>1.3200738324007066</v>
      </c>
      <c r="AO255" s="1998">
        <v>1.4488695905462043</v>
      </c>
      <c r="AP255" s="1998">
        <v>1.3200738324007066</v>
      </c>
      <c r="AQ255" s="1998">
        <v>1.4488695905462043</v>
      </c>
      <c r="AR255" s="1999">
        <v>1.079525499647328</v>
      </c>
      <c r="AS255" s="1979">
        <v>1.1106830147253564</v>
      </c>
      <c r="AT255" s="1979">
        <v>1.079525499647328</v>
      </c>
      <c r="AU255" s="1979">
        <v>1.1106830147253564</v>
      </c>
      <c r="AV255" s="1979">
        <v>1.079525499647328</v>
      </c>
      <c r="AW255" s="1979">
        <v>1.1106830147253564</v>
      </c>
      <c r="AX255" s="1979">
        <v>1.079525499647328</v>
      </c>
      <c r="AY255" s="1979">
        <v>1.1106830147253564</v>
      </c>
      <c r="AZ255" s="1979">
        <v>1.079525499647328</v>
      </c>
      <c r="BA255" s="1979">
        <v>1.1106830147253564</v>
      </c>
      <c r="BB255" s="2000">
        <v>1.3180265000109936</v>
      </c>
      <c r="BC255" s="1998">
        <v>1.3308586370188196</v>
      </c>
      <c r="BD255" s="1998">
        <v>1.3180265000109936</v>
      </c>
      <c r="BE255" s="1998">
        <v>1.3308586370188196</v>
      </c>
      <c r="BF255" s="1998">
        <v>1.3180265000109936</v>
      </c>
      <c r="BG255" s="1998">
        <v>1.3308586370188196</v>
      </c>
      <c r="BH255" s="1998">
        <v>1.3180265000109936</v>
      </c>
      <c r="BI255" s="1998">
        <v>1.3308586370188196</v>
      </c>
      <c r="BJ255" s="1998">
        <v>1.3180265000109936</v>
      </c>
      <c r="BK255" s="1998">
        <v>1.3308586370188196</v>
      </c>
      <c r="BL255" s="1999">
        <v>1.1814683629492135</v>
      </c>
      <c r="BM255" s="1979">
        <v>1.2431375423131188</v>
      </c>
      <c r="BN255" s="1979">
        <v>1.1814683629492135</v>
      </c>
      <c r="BO255" s="1979">
        <v>1.2431375423131188</v>
      </c>
      <c r="BP255" s="1979">
        <v>1.1814683629492135</v>
      </c>
      <c r="BQ255" s="1979">
        <v>1.2431375423131188</v>
      </c>
      <c r="BR255" s="1979">
        <v>1.1814683629492135</v>
      </c>
      <c r="BS255" s="1979">
        <v>1.2431375423131188</v>
      </c>
      <c r="BT255" s="1979">
        <v>1.1814683629492135</v>
      </c>
      <c r="BU255" s="1979">
        <v>1.2431375423131188</v>
      </c>
      <c r="BV255" s="2000">
        <v>1.2668831194801757</v>
      </c>
      <c r="BW255" s="1998">
        <v>1.3810712323180965</v>
      </c>
      <c r="BX255" s="1998">
        <v>1.2668831194801757</v>
      </c>
      <c r="BY255" s="1998">
        <v>1.3810712323180965</v>
      </c>
      <c r="BZ255" s="1998">
        <v>1.2668831194801757</v>
      </c>
      <c r="CA255" s="1998">
        <v>1.3810712323180965</v>
      </c>
      <c r="CB255" s="1998">
        <v>1.2668831194801757</v>
      </c>
      <c r="CC255" s="1998">
        <v>1.3810712323180965</v>
      </c>
      <c r="CD255" s="1998">
        <v>1.2668831194801757</v>
      </c>
      <c r="CE255" s="1998">
        <v>1.3810712323180965</v>
      </c>
      <c r="CF255" s="1999">
        <v>1.0355857826682435</v>
      </c>
      <c r="CG255" s="1979">
        <v>1.0509613939831395</v>
      </c>
      <c r="CH255" s="1979">
        <v>1.0355857826682435</v>
      </c>
      <c r="CI255" s="1979">
        <v>1.0509613939831395</v>
      </c>
      <c r="CJ255" s="1979">
        <v>1.0355857826682435</v>
      </c>
      <c r="CK255" s="1979">
        <v>1.0509613939831395</v>
      </c>
      <c r="CL255" s="1979">
        <v>1.0355857826682435</v>
      </c>
      <c r="CM255" s="1979">
        <v>1.0509613939831395</v>
      </c>
      <c r="CN255" s="1979">
        <v>1.0355857826682435</v>
      </c>
      <c r="CO255" s="1979">
        <v>1.0509613939831395</v>
      </c>
      <c r="CP255" s="2000">
        <v>1.0426831173942406</v>
      </c>
      <c r="CQ255" s="1998">
        <v>1.0609846567394052</v>
      </c>
      <c r="CR255" s="1998">
        <v>1.0426831173942406</v>
      </c>
      <c r="CS255" s="1998">
        <v>1.0609846567394052</v>
      </c>
      <c r="CT255" s="1998">
        <v>1.0426831173942406</v>
      </c>
      <c r="CU255" s="1998">
        <v>1.0609846567394052</v>
      </c>
      <c r="CV255" s="1998">
        <v>1.0426831173942406</v>
      </c>
      <c r="CW255" s="1998">
        <v>1.0609846567394052</v>
      </c>
      <c r="CX255" s="1998">
        <v>1.0426831173942406</v>
      </c>
      <c r="CY255" s="1998">
        <v>1.0609846567394052</v>
      </c>
      <c r="CZ255" s="1999">
        <v>1</v>
      </c>
      <c r="DA255" s="1979">
        <v>1</v>
      </c>
      <c r="DB255" s="1979">
        <v>1</v>
      </c>
      <c r="DC255" s="1979">
        <v>1</v>
      </c>
      <c r="DD255" s="1979">
        <v>1</v>
      </c>
      <c r="DE255" s="1979">
        <v>1</v>
      </c>
      <c r="DF255" s="1979">
        <v>1</v>
      </c>
      <c r="DG255" s="1979">
        <v>1</v>
      </c>
      <c r="DH255" s="1979">
        <v>1</v>
      </c>
      <c r="DI255" s="1979">
        <v>1</v>
      </c>
      <c r="DJ255" s="2000">
        <v>1.0085960930064017</v>
      </c>
      <c r="DK255" s="1998">
        <v>1.0121461944782337</v>
      </c>
      <c r="DL255" s="1998">
        <v>1.0085960930064017</v>
      </c>
      <c r="DM255" s="1998">
        <v>1.0121461944782337</v>
      </c>
      <c r="DN255" s="1998">
        <v>1.0085960930064017</v>
      </c>
      <c r="DO255" s="1998">
        <v>1.0121461944782337</v>
      </c>
      <c r="DP255" s="1998">
        <v>1.0085960930064017</v>
      </c>
      <c r="DQ255" s="1998">
        <v>1.0121461944782337</v>
      </c>
      <c r="DR255" s="1998">
        <v>1.0085960930064017</v>
      </c>
      <c r="DS255" s="1998">
        <v>1.0121461944782337</v>
      </c>
    </row>
    <row r="256" spans="1:123">
      <c r="A256" s="1997"/>
      <c r="B256" s="2">
        <v>36</v>
      </c>
      <c r="C256" s="2" t="str">
        <f>AF$15</f>
        <v/>
      </c>
      <c r="D256" s="1979">
        <v>0.99089193585001911</v>
      </c>
      <c r="E256" s="1979">
        <v>0.99491643010161035</v>
      </c>
      <c r="F256" s="1979">
        <v>0.99089193585001911</v>
      </c>
      <c r="G256" s="1979">
        <v>0.99491643010161035</v>
      </c>
      <c r="H256" s="1979">
        <v>0.99089193585001911</v>
      </c>
      <c r="I256" s="1979">
        <v>0.99491643010161035</v>
      </c>
      <c r="J256" s="1979">
        <v>0.99089193585001911</v>
      </c>
      <c r="K256" s="1979">
        <v>0.99491643010161035</v>
      </c>
      <c r="L256" s="1979">
        <v>0.99089193585001911</v>
      </c>
      <c r="M256" s="1979">
        <v>0.99491643010161035</v>
      </c>
      <c r="N256" s="2000">
        <v>1.0767033219898217</v>
      </c>
      <c r="O256" s="1998">
        <v>1.1018109318917584</v>
      </c>
      <c r="P256" s="1998">
        <v>1.0767033219898217</v>
      </c>
      <c r="Q256" s="1998">
        <v>1.1018109318917584</v>
      </c>
      <c r="R256" s="1998">
        <v>1.0767033219898217</v>
      </c>
      <c r="S256" s="1998">
        <v>1.1018109318917584</v>
      </c>
      <c r="T256" s="1998">
        <v>1.0767033219898217</v>
      </c>
      <c r="U256" s="1998">
        <v>1.1018109318917584</v>
      </c>
      <c r="V256" s="1998">
        <v>1.0767033219898217</v>
      </c>
      <c r="W256" s="1998">
        <v>1.1018109318917584</v>
      </c>
      <c r="X256" s="1999">
        <v>1.018278610910949</v>
      </c>
      <c r="Y256" s="1979">
        <v>1.0192371572799035</v>
      </c>
      <c r="Z256" s="1979">
        <v>1.018278610910949</v>
      </c>
      <c r="AA256" s="1979">
        <v>1.0192371572799035</v>
      </c>
      <c r="AB256" s="1979">
        <v>1.018278610910949</v>
      </c>
      <c r="AC256" s="1979">
        <v>1.0192371572799035</v>
      </c>
      <c r="AD256" s="1979">
        <v>1.018278610910949</v>
      </c>
      <c r="AE256" s="1979">
        <v>1.0192371572799035</v>
      </c>
      <c r="AF256" s="1979">
        <v>1.018278610910949</v>
      </c>
      <c r="AG256" s="1979">
        <v>1.0192371572799035</v>
      </c>
      <c r="AH256" s="2000">
        <v>1.052668072210678</v>
      </c>
      <c r="AI256" s="1998">
        <v>1.0719029350182141</v>
      </c>
      <c r="AJ256" s="1998">
        <v>1.052668072210678</v>
      </c>
      <c r="AK256" s="1998">
        <v>1.0719029350182141</v>
      </c>
      <c r="AL256" s="1998">
        <v>1.052668072210678</v>
      </c>
      <c r="AM256" s="1998">
        <v>1.0719029350182141</v>
      </c>
      <c r="AN256" s="1998">
        <v>1.052668072210678</v>
      </c>
      <c r="AO256" s="1998">
        <v>1.0719029350182141</v>
      </c>
      <c r="AP256" s="1998">
        <v>1.052668072210678</v>
      </c>
      <c r="AQ256" s="1998">
        <v>1.0719029350182141</v>
      </c>
      <c r="AR256" s="1999">
        <v>1.0130859018577067</v>
      </c>
      <c r="AS256" s="1979">
        <v>1.0177299460311695</v>
      </c>
      <c r="AT256" s="1979">
        <v>1.0130859018577067</v>
      </c>
      <c r="AU256" s="1979">
        <v>1.0177299460311695</v>
      </c>
      <c r="AV256" s="1979">
        <v>1.0130859018577067</v>
      </c>
      <c r="AW256" s="1979">
        <v>1.0177299460311695</v>
      </c>
      <c r="AX256" s="1979">
        <v>1.0130859018577067</v>
      </c>
      <c r="AY256" s="1979">
        <v>1.0177299460311695</v>
      </c>
      <c r="AZ256" s="1979">
        <v>1.0130859018577067</v>
      </c>
      <c r="BA256" s="1979">
        <v>1.0177299460311695</v>
      </c>
      <c r="BB256" s="2000">
        <v>1.3180265000109936</v>
      </c>
      <c r="BC256" s="1998">
        <v>1.3308586370188196</v>
      </c>
      <c r="BD256" s="1998">
        <v>1.3180265000109936</v>
      </c>
      <c r="BE256" s="1998">
        <v>1.3308586370188196</v>
      </c>
      <c r="BF256" s="1998">
        <v>1.3180265000109936</v>
      </c>
      <c r="BG256" s="1998">
        <v>1.3308586370188196</v>
      </c>
      <c r="BH256" s="1998">
        <v>1.3180265000109936</v>
      </c>
      <c r="BI256" s="1998">
        <v>1.3308586370188196</v>
      </c>
      <c r="BJ256" s="1998">
        <v>1.3180265000109936</v>
      </c>
      <c r="BK256" s="1998">
        <v>1.3308586370188196</v>
      </c>
      <c r="BL256" s="1999">
        <v>1.0298605755180803</v>
      </c>
      <c r="BM256" s="1979">
        <v>1.0389473986958111</v>
      </c>
      <c r="BN256" s="1979">
        <v>1.0298605755180803</v>
      </c>
      <c r="BO256" s="1979">
        <v>1.0389473986958111</v>
      </c>
      <c r="BP256" s="1979">
        <v>1.0298605755180803</v>
      </c>
      <c r="BQ256" s="1979">
        <v>1.0389473986958111</v>
      </c>
      <c r="BR256" s="1979">
        <v>1.0298605755180803</v>
      </c>
      <c r="BS256" s="1979">
        <v>1.0389473986958111</v>
      </c>
      <c r="BT256" s="1979">
        <v>1.0298605755180803</v>
      </c>
      <c r="BU256" s="1979">
        <v>1.0389473986958111</v>
      </c>
      <c r="BV256" s="2000">
        <v>1.0439155531808537</v>
      </c>
      <c r="BW256" s="1998">
        <v>1.0610425402650627</v>
      </c>
      <c r="BX256" s="1998">
        <v>1.0439155531808537</v>
      </c>
      <c r="BY256" s="1998">
        <v>1.0610425402650627</v>
      </c>
      <c r="BZ256" s="1998">
        <v>1.0439155531808537</v>
      </c>
      <c r="CA256" s="1998">
        <v>1.0610425402650627</v>
      </c>
      <c r="CB256" s="1998">
        <v>1.0439155531808537</v>
      </c>
      <c r="CC256" s="1998">
        <v>1.0610425402650627</v>
      </c>
      <c r="CD256" s="1998">
        <v>1.0439155531808537</v>
      </c>
      <c r="CE256" s="1998">
        <v>1.0610425402650627</v>
      </c>
      <c r="CF256" s="1999">
        <v>1.0058556319871166</v>
      </c>
      <c r="CG256" s="1979">
        <v>1.0081633371410803</v>
      </c>
      <c r="CH256" s="1979">
        <v>1.0058556319871166</v>
      </c>
      <c r="CI256" s="1979">
        <v>1.0081633371410803</v>
      </c>
      <c r="CJ256" s="1979">
        <v>1.0058556319871166</v>
      </c>
      <c r="CK256" s="1979">
        <v>1.0081633371410803</v>
      </c>
      <c r="CL256" s="1979">
        <v>1.0058556319871166</v>
      </c>
      <c r="CM256" s="1979">
        <v>1.0081633371410803</v>
      </c>
      <c r="CN256" s="1979">
        <v>1.0058556319871166</v>
      </c>
      <c r="CO256" s="1979">
        <v>1.0081633371410803</v>
      </c>
      <c r="CP256" s="2000">
        <v>1.0070234967108538</v>
      </c>
      <c r="CQ256" s="1998">
        <v>1.009768930448832</v>
      </c>
      <c r="CR256" s="1998">
        <v>1.0070234967108538</v>
      </c>
      <c r="CS256" s="1998">
        <v>1.009768930448832</v>
      </c>
      <c r="CT256" s="1998">
        <v>1.0070234967108538</v>
      </c>
      <c r="CU256" s="1998">
        <v>1.009768930448832</v>
      </c>
      <c r="CV256" s="1998">
        <v>1.0070234967108538</v>
      </c>
      <c r="CW256" s="1998">
        <v>1.009768930448832</v>
      </c>
      <c r="CX256" s="1998">
        <v>1.0070234967108538</v>
      </c>
      <c r="CY256" s="1998">
        <v>1.009768930448832</v>
      </c>
      <c r="CZ256" s="1999">
        <v>1</v>
      </c>
      <c r="DA256" s="1979">
        <v>1</v>
      </c>
      <c r="DB256" s="1979">
        <v>1</v>
      </c>
      <c r="DC256" s="1979">
        <v>1</v>
      </c>
      <c r="DD256" s="1979">
        <v>1</v>
      </c>
      <c r="DE256" s="1979">
        <v>1</v>
      </c>
      <c r="DF256" s="1979">
        <v>1</v>
      </c>
      <c r="DG256" s="1979">
        <v>1</v>
      </c>
      <c r="DH256" s="1979">
        <v>1</v>
      </c>
      <c r="DI256" s="1979">
        <v>1</v>
      </c>
      <c r="DJ256" s="2000">
        <v>1.0016192273508138</v>
      </c>
      <c r="DK256" s="1998">
        <v>1.0020843320261934</v>
      </c>
      <c r="DL256" s="1998">
        <v>1.0016192273508138</v>
      </c>
      <c r="DM256" s="1998">
        <v>1.0020843320261934</v>
      </c>
      <c r="DN256" s="1998">
        <v>1.0016192273508138</v>
      </c>
      <c r="DO256" s="1998">
        <v>1.0020843320261934</v>
      </c>
      <c r="DP256" s="1998">
        <v>1.0016192273508138</v>
      </c>
      <c r="DQ256" s="1998">
        <v>1.0020843320261934</v>
      </c>
      <c r="DR256" s="1998">
        <v>1.0016192273508138</v>
      </c>
      <c r="DS256" s="1998">
        <v>1.0020843320261934</v>
      </c>
    </row>
    <row r="257" spans="1:123">
      <c r="A257" s="1997"/>
      <c r="B257" s="2">
        <v>37</v>
      </c>
      <c r="C257" s="2" t="str">
        <f>AF$16</f>
        <v/>
      </c>
      <c r="D257" s="1979">
        <v>1.0125322659304401</v>
      </c>
      <c r="E257" s="1979">
        <v>1.0066655697798217</v>
      </c>
      <c r="F257" s="1979">
        <v>1.0125322659304401</v>
      </c>
      <c r="G257" s="1979">
        <v>1.0066655697798217</v>
      </c>
      <c r="H257" s="1979">
        <v>1.0125322659304401</v>
      </c>
      <c r="I257" s="1979">
        <v>1.0066655697798217</v>
      </c>
      <c r="J257" s="1979">
        <v>1.0125322659304401</v>
      </c>
      <c r="K257" s="1979">
        <v>1.0066655697798217</v>
      </c>
      <c r="L257" s="1979">
        <v>1.0125322659304401</v>
      </c>
      <c r="M257" s="1979">
        <v>1.0066655697798217</v>
      </c>
      <c r="N257" s="2000">
        <v>1.1483609722803176</v>
      </c>
      <c r="O257" s="1998">
        <v>1.1406648741551781</v>
      </c>
      <c r="P257" s="1998">
        <v>1.1483609722803176</v>
      </c>
      <c r="Q257" s="1998">
        <v>1.1406648741551781</v>
      </c>
      <c r="R257" s="1998">
        <v>1.1483609722803176</v>
      </c>
      <c r="S257" s="1998">
        <v>1.1406648741551781</v>
      </c>
      <c r="T257" s="1998">
        <v>1.1483609722803176</v>
      </c>
      <c r="U257" s="1998">
        <v>1.1406648741551781</v>
      </c>
      <c r="V257" s="1998">
        <v>1.1483609722803176</v>
      </c>
      <c r="W257" s="1998">
        <v>1.1406648741551781</v>
      </c>
      <c r="X257" s="1999">
        <v>1.0353548244891122</v>
      </c>
      <c r="Y257" s="1979">
        <v>1.0286526515427747</v>
      </c>
      <c r="Z257" s="1979">
        <v>1.0353548244891122</v>
      </c>
      <c r="AA257" s="1979">
        <v>1.0286526515427747</v>
      </c>
      <c r="AB257" s="1979">
        <v>1.0353548244891122</v>
      </c>
      <c r="AC257" s="1979">
        <v>1.0286526515427747</v>
      </c>
      <c r="AD257" s="1979">
        <v>1.0353548244891122</v>
      </c>
      <c r="AE257" s="1979">
        <v>1.0286526515427747</v>
      </c>
      <c r="AF257" s="1979">
        <v>1.0353548244891122</v>
      </c>
      <c r="AG257" s="1979">
        <v>1.0286526515427747</v>
      </c>
      <c r="AH257" s="2000">
        <v>1.1018715513044277</v>
      </c>
      <c r="AI257" s="1998">
        <v>1.0993431365158126</v>
      </c>
      <c r="AJ257" s="1998">
        <v>1.1018715513044277</v>
      </c>
      <c r="AK257" s="1998">
        <v>1.0993431365158126</v>
      </c>
      <c r="AL257" s="1998">
        <v>1.1018715513044277</v>
      </c>
      <c r="AM257" s="1998">
        <v>1.0993431365158126</v>
      </c>
      <c r="AN257" s="1998">
        <v>1.1018715513044277</v>
      </c>
      <c r="AO257" s="1998">
        <v>1.0993431365158126</v>
      </c>
      <c r="AP257" s="1998">
        <v>1.1018715513044277</v>
      </c>
      <c r="AQ257" s="1998">
        <v>1.0993431365158126</v>
      </c>
      <c r="AR257" s="1999">
        <v>1.0253109913939817</v>
      </c>
      <c r="AS257" s="1979">
        <v>1.0244961968318298</v>
      </c>
      <c r="AT257" s="1979">
        <v>1.0253109913939817</v>
      </c>
      <c r="AU257" s="1979">
        <v>1.0244961968318298</v>
      </c>
      <c r="AV257" s="1979">
        <v>1.0253109913939817</v>
      </c>
      <c r="AW257" s="1979">
        <v>1.0244961968318298</v>
      </c>
      <c r="AX257" s="1979">
        <v>1.0253109913939817</v>
      </c>
      <c r="AY257" s="1979">
        <v>1.0244961968318298</v>
      </c>
      <c r="AZ257" s="1979">
        <v>1.0253109913939817</v>
      </c>
      <c r="BA257" s="1979">
        <v>1.0244961968318298</v>
      </c>
      <c r="BB257" s="2000">
        <v>1.3180265000109936</v>
      </c>
      <c r="BC257" s="1998">
        <v>1.3308586370188196</v>
      </c>
      <c r="BD257" s="1998">
        <v>1.3180265000109936</v>
      </c>
      <c r="BE257" s="1998">
        <v>1.3308586370188196</v>
      </c>
      <c r="BF257" s="1998">
        <v>1.3180265000109936</v>
      </c>
      <c r="BG257" s="1998">
        <v>1.3308586370188196</v>
      </c>
      <c r="BH257" s="1998">
        <v>1.3180265000109936</v>
      </c>
      <c r="BI257" s="1998">
        <v>1.3308586370188196</v>
      </c>
      <c r="BJ257" s="1998">
        <v>1.3180265000109936</v>
      </c>
      <c r="BK257" s="1998">
        <v>1.3308586370188196</v>
      </c>
      <c r="BL257" s="1999">
        <v>1.057756872867907</v>
      </c>
      <c r="BM257" s="1979">
        <v>1.0538108318470396</v>
      </c>
      <c r="BN257" s="1979">
        <v>1.057756872867907</v>
      </c>
      <c r="BO257" s="1979">
        <v>1.0538108318470396</v>
      </c>
      <c r="BP257" s="1979">
        <v>1.057756872867907</v>
      </c>
      <c r="BQ257" s="1979">
        <v>1.0538108318470396</v>
      </c>
      <c r="BR257" s="1979">
        <v>1.057756872867907</v>
      </c>
      <c r="BS257" s="1979">
        <v>1.0538108318470396</v>
      </c>
      <c r="BT257" s="1979">
        <v>1.057756872867907</v>
      </c>
      <c r="BU257" s="1979">
        <v>1.0538108318470396</v>
      </c>
      <c r="BV257" s="2000">
        <v>1.0849422684587771</v>
      </c>
      <c r="BW257" s="1998">
        <v>1.0843381067725255</v>
      </c>
      <c r="BX257" s="1998">
        <v>1.0849422684587771</v>
      </c>
      <c r="BY257" s="1998">
        <v>1.0843381067725255</v>
      </c>
      <c r="BZ257" s="1998">
        <v>1.0849422684587771</v>
      </c>
      <c r="CA257" s="1998">
        <v>1.0843381067725255</v>
      </c>
      <c r="CB257" s="1998">
        <v>1.0849422684587771</v>
      </c>
      <c r="CC257" s="1998">
        <v>1.0843381067725255</v>
      </c>
      <c r="CD257" s="1998">
        <v>1.0849422684587771</v>
      </c>
      <c r="CE257" s="1998">
        <v>1.0843381067725255</v>
      </c>
      <c r="CF257" s="1999">
        <v>1.0113260707931218</v>
      </c>
      <c r="CG257" s="1979">
        <v>1.011278698370595</v>
      </c>
      <c r="CH257" s="1979">
        <v>1.0113260707931218</v>
      </c>
      <c r="CI257" s="1979">
        <v>1.011278698370595</v>
      </c>
      <c r="CJ257" s="1979">
        <v>1.0113260707931218</v>
      </c>
      <c r="CK257" s="1979">
        <v>1.011278698370595</v>
      </c>
      <c r="CL257" s="1979">
        <v>1.0113260707931218</v>
      </c>
      <c r="CM257" s="1979">
        <v>1.011278698370595</v>
      </c>
      <c r="CN257" s="1979">
        <v>1.0113260707931218</v>
      </c>
      <c r="CO257" s="1979">
        <v>1.011278698370595</v>
      </c>
      <c r="CP257" s="2000">
        <v>1.013584976162677</v>
      </c>
      <c r="CQ257" s="1998">
        <v>1.0134970316711822</v>
      </c>
      <c r="CR257" s="1998">
        <v>1.013584976162677</v>
      </c>
      <c r="CS257" s="1998">
        <v>1.0134970316711822</v>
      </c>
      <c r="CT257" s="1998">
        <v>1.013584976162677</v>
      </c>
      <c r="CU257" s="1998">
        <v>1.0134970316711822</v>
      </c>
      <c r="CV257" s="1998">
        <v>1.013584976162677</v>
      </c>
      <c r="CW257" s="1998">
        <v>1.0134970316711822</v>
      </c>
      <c r="CX257" s="1998">
        <v>1.013584976162677</v>
      </c>
      <c r="CY257" s="1998">
        <v>1.0134970316711822</v>
      </c>
      <c r="CZ257" s="1999">
        <v>1</v>
      </c>
      <c r="DA257" s="1979">
        <v>1</v>
      </c>
      <c r="DB257" s="1979">
        <v>1</v>
      </c>
      <c r="DC257" s="1979">
        <v>1</v>
      </c>
      <c r="DD257" s="1979">
        <v>1</v>
      </c>
      <c r="DE257" s="1979">
        <v>1</v>
      </c>
      <c r="DF257" s="1979">
        <v>1</v>
      </c>
      <c r="DG257" s="1979">
        <v>1</v>
      </c>
      <c r="DH257" s="1979">
        <v>1</v>
      </c>
      <c r="DI257" s="1979">
        <v>1</v>
      </c>
      <c r="DJ257" s="2000">
        <v>1.002902992005624</v>
      </c>
      <c r="DK257" s="1998">
        <v>1.0028167563111434</v>
      </c>
      <c r="DL257" s="1998">
        <v>1.002902992005624</v>
      </c>
      <c r="DM257" s="1998">
        <v>1.0028167563111434</v>
      </c>
      <c r="DN257" s="1998">
        <v>1.002902992005624</v>
      </c>
      <c r="DO257" s="1998">
        <v>1.0028167563111434</v>
      </c>
      <c r="DP257" s="1998">
        <v>1.002902992005624</v>
      </c>
      <c r="DQ257" s="1998">
        <v>1.0028167563111434</v>
      </c>
      <c r="DR257" s="1998">
        <v>1.002902992005624</v>
      </c>
      <c r="DS257" s="1998">
        <v>1.0028167563111434</v>
      </c>
    </row>
    <row r="258" spans="1:123">
      <c r="A258" s="1997"/>
      <c r="B258" s="2">
        <v>38</v>
      </c>
      <c r="C258" s="2" t="str">
        <f>AF$17</f>
        <v/>
      </c>
      <c r="D258" s="1979">
        <v>1.0585003115621834</v>
      </c>
      <c r="E258" s="1979">
        <v>1.0736221665254722</v>
      </c>
      <c r="F258" s="1979">
        <v>1.0585003115621834</v>
      </c>
      <c r="G258" s="1979">
        <v>1.0736221665254722</v>
      </c>
      <c r="H258" s="1979">
        <v>1.0585003115621834</v>
      </c>
      <c r="I258" s="1979">
        <v>1.0736221665254722</v>
      </c>
      <c r="J258" s="1979">
        <v>1.0585003115621834</v>
      </c>
      <c r="K258" s="1979">
        <v>1.0736221665254722</v>
      </c>
      <c r="L258" s="1979">
        <v>1.0585003115621834</v>
      </c>
      <c r="M258" s="1979">
        <v>1.0736221665254722</v>
      </c>
      <c r="N258" s="2000">
        <v>1.3005750155123672</v>
      </c>
      <c r="O258" s="1998">
        <v>1.3620877030057905</v>
      </c>
      <c r="P258" s="1998">
        <v>1.3005750155123672</v>
      </c>
      <c r="Q258" s="1998">
        <v>1.3620877030057905</v>
      </c>
      <c r="R258" s="1998">
        <v>1.3005750155123672</v>
      </c>
      <c r="S258" s="1998">
        <v>1.3620877030057905</v>
      </c>
      <c r="T258" s="1998">
        <v>1.3005750155123672</v>
      </c>
      <c r="U258" s="1998">
        <v>1.3620877030057905</v>
      </c>
      <c r="V258" s="1998">
        <v>1.3005750155123672</v>
      </c>
      <c r="W258" s="1998">
        <v>1.3620877030057905</v>
      </c>
      <c r="X258" s="1999">
        <v>1.0716278462989133</v>
      </c>
      <c r="Y258" s="1979">
        <v>1.0823101507117705</v>
      </c>
      <c r="Z258" s="1979">
        <v>1.0716278462989133</v>
      </c>
      <c r="AA258" s="1979">
        <v>1.0823101507117705</v>
      </c>
      <c r="AB258" s="1979">
        <v>1.0716278462989133</v>
      </c>
      <c r="AC258" s="1979">
        <v>1.0823101507117705</v>
      </c>
      <c r="AD258" s="1979">
        <v>1.0716278462989133</v>
      </c>
      <c r="AE258" s="1979">
        <v>1.0823101507117705</v>
      </c>
      <c r="AF258" s="1979">
        <v>1.0716278462989133</v>
      </c>
      <c r="AG258" s="1979">
        <v>1.0823101507117705</v>
      </c>
      <c r="AH258" s="2000">
        <v>1.206388800524594</v>
      </c>
      <c r="AI258" s="1998">
        <v>1.2557207570577924</v>
      </c>
      <c r="AJ258" s="1998">
        <v>1.206388800524594</v>
      </c>
      <c r="AK258" s="1998">
        <v>1.2557207570577924</v>
      </c>
      <c r="AL258" s="1998">
        <v>1.206388800524594</v>
      </c>
      <c r="AM258" s="1998">
        <v>1.2557207570577924</v>
      </c>
      <c r="AN258" s="1998">
        <v>1.206388800524594</v>
      </c>
      <c r="AO258" s="1998">
        <v>1.2557207570577924</v>
      </c>
      <c r="AP258" s="1998">
        <v>1.206388800524594</v>
      </c>
      <c r="AQ258" s="1998">
        <v>1.2557207570577924</v>
      </c>
      <c r="AR258" s="1999">
        <v>1.0512793325222012</v>
      </c>
      <c r="AS258" s="1979">
        <v>1.0630560521699974</v>
      </c>
      <c r="AT258" s="1979">
        <v>1.0512793325222012</v>
      </c>
      <c r="AU258" s="1979">
        <v>1.0630560521699974</v>
      </c>
      <c r="AV258" s="1979">
        <v>1.0512793325222012</v>
      </c>
      <c r="AW258" s="1979">
        <v>1.0630560521699974</v>
      </c>
      <c r="AX258" s="1979">
        <v>1.0512793325222012</v>
      </c>
      <c r="AY258" s="1979">
        <v>1.0630560521699974</v>
      </c>
      <c r="AZ258" s="1979">
        <v>1.0512793325222012</v>
      </c>
      <c r="BA258" s="1979">
        <v>1.0630560521699974</v>
      </c>
      <c r="BB258" s="2000">
        <v>1.3180265000109936</v>
      </c>
      <c r="BC258" s="1998">
        <v>1.3308586370188196</v>
      </c>
      <c r="BD258" s="1998">
        <v>1.3180265000109936</v>
      </c>
      <c r="BE258" s="1998">
        <v>1.3308586370188196</v>
      </c>
      <c r="BF258" s="1998">
        <v>1.3180265000109936</v>
      </c>
      <c r="BG258" s="1998">
        <v>1.3308586370188196</v>
      </c>
      <c r="BH258" s="1998">
        <v>1.3180265000109936</v>
      </c>
      <c r="BI258" s="1998">
        <v>1.3308586370188196</v>
      </c>
      <c r="BJ258" s="1998">
        <v>1.3180265000109936</v>
      </c>
      <c r="BK258" s="1998">
        <v>1.3308586370188196</v>
      </c>
      <c r="BL258" s="1999">
        <v>1.1170137448642214</v>
      </c>
      <c r="BM258" s="1979">
        <v>1.1385153231561622</v>
      </c>
      <c r="BN258" s="1979">
        <v>1.1170137448642214</v>
      </c>
      <c r="BO258" s="1979">
        <v>1.1385153231561622</v>
      </c>
      <c r="BP258" s="1979">
        <v>1.1170137448642214</v>
      </c>
      <c r="BQ258" s="1979">
        <v>1.1385153231561622</v>
      </c>
      <c r="BR258" s="1979">
        <v>1.1170137448642214</v>
      </c>
      <c r="BS258" s="1979">
        <v>1.1385153231561622</v>
      </c>
      <c r="BT258" s="1979">
        <v>1.1170137448642214</v>
      </c>
      <c r="BU258" s="1979">
        <v>1.1385153231561622</v>
      </c>
      <c r="BV258" s="2000">
        <v>1.1720905657817644</v>
      </c>
      <c r="BW258" s="1998">
        <v>1.2170960699359263</v>
      </c>
      <c r="BX258" s="1998">
        <v>1.1720905657817644</v>
      </c>
      <c r="BY258" s="1998">
        <v>1.2170960699359263</v>
      </c>
      <c r="BZ258" s="1998">
        <v>1.1720905657817644</v>
      </c>
      <c r="CA258" s="1998">
        <v>1.2170960699359263</v>
      </c>
      <c r="CB258" s="1998">
        <v>1.1720905657817644</v>
      </c>
      <c r="CC258" s="1998">
        <v>1.2170960699359263</v>
      </c>
      <c r="CD258" s="1998">
        <v>1.1720905657817644</v>
      </c>
      <c r="CE258" s="1998">
        <v>1.2170960699359263</v>
      </c>
      <c r="CF258" s="1999">
        <v>1.0229462900654527</v>
      </c>
      <c r="CG258" s="1979">
        <v>1.029032677919284</v>
      </c>
      <c r="CH258" s="1979">
        <v>1.0229462900654527</v>
      </c>
      <c r="CI258" s="1979">
        <v>1.029032677919284</v>
      </c>
      <c r="CJ258" s="1979">
        <v>1.0229462900654527</v>
      </c>
      <c r="CK258" s="1979">
        <v>1.029032677919284</v>
      </c>
      <c r="CL258" s="1979">
        <v>1.0229462900654527</v>
      </c>
      <c r="CM258" s="1979">
        <v>1.029032677919284</v>
      </c>
      <c r="CN258" s="1979">
        <v>1.0229462900654527</v>
      </c>
      <c r="CO258" s="1979">
        <v>1.029032677919284</v>
      </c>
      <c r="CP258" s="2000">
        <v>1.0275227666553484</v>
      </c>
      <c r="CQ258" s="1998">
        <v>1.0347429251585825</v>
      </c>
      <c r="CR258" s="1998">
        <v>1.0275227666553484</v>
      </c>
      <c r="CS258" s="1998">
        <v>1.0347429251585825</v>
      </c>
      <c r="CT258" s="1998">
        <v>1.0275227666553484</v>
      </c>
      <c r="CU258" s="1998">
        <v>1.0347429251585825</v>
      </c>
      <c r="CV258" s="1998">
        <v>1.0275227666553484</v>
      </c>
      <c r="CW258" s="1998">
        <v>1.0347429251585825</v>
      </c>
      <c r="CX258" s="1998">
        <v>1.0275227666553484</v>
      </c>
      <c r="CY258" s="1998">
        <v>1.0347429251585825</v>
      </c>
      <c r="CZ258" s="1999">
        <v>1</v>
      </c>
      <c r="DA258" s="1979">
        <v>1</v>
      </c>
      <c r="DB258" s="1979">
        <v>1</v>
      </c>
      <c r="DC258" s="1979">
        <v>1</v>
      </c>
      <c r="DD258" s="1979">
        <v>1</v>
      </c>
      <c r="DE258" s="1979">
        <v>1</v>
      </c>
      <c r="DF258" s="1979">
        <v>1</v>
      </c>
      <c r="DG258" s="1979">
        <v>1</v>
      </c>
      <c r="DH258" s="1979">
        <v>1</v>
      </c>
      <c r="DI258" s="1979">
        <v>1</v>
      </c>
      <c r="DJ258" s="2000">
        <v>1.0056299445065071</v>
      </c>
      <c r="DK258" s="1998">
        <v>1.0069907332011339</v>
      </c>
      <c r="DL258" s="1998">
        <v>1.0056299445065071</v>
      </c>
      <c r="DM258" s="1998">
        <v>1.0069907332011339</v>
      </c>
      <c r="DN258" s="1998">
        <v>1.0056299445065071</v>
      </c>
      <c r="DO258" s="1998">
        <v>1.0069907332011339</v>
      </c>
      <c r="DP258" s="1998">
        <v>1.0056299445065071</v>
      </c>
      <c r="DQ258" s="1998">
        <v>1.0069907332011339</v>
      </c>
      <c r="DR258" s="1998">
        <v>1.0056299445065071</v>
      </c>
      <c r="DS258" s="1998">
        <v>1.0069907332011339</v>
      </c>
    </row>
    <row r="259" spans="1:123">
      <c r="A259" s="1997"/>
      <c r="B259" s="2">
        <v>39</v>
      </c>
      <c r="C259" s="2" t="str">
        <f>AF$18</f>
        <v/>
      </c>
      <c r="D259" s="1979">
        <v>1.0227769495140195</v>
      </c>
      <c r="E259" s="1979">
        <v>1.0059727025741969</v>
      </c>
      <c r="F259" s="1979">
        <v>1.0227769495140195</v>
      </c>
      <c r="G259" s="1979">
        <v>1.0059727025741969</v>
      </c>
      <c r="H259" s="1979">
        <v>1.0227769495140195</v>
      </c>
      <c r="I259" s="1979">
        <v>1.0059727025741969</v>
      </c>
      <c r="J259" s="1979">
        <v>1.0227769495140195</v>
      </c>
      <c r="K259" s="1979">
        <v>1.0059727025741969</v>
      </c>
      <c r="L259" s="1979">
        <v>1.0227769495140195</v>
      </c>
      <c r="M259" s="1979">
        <v>1.0059727025741969</v>
      </c>
      <c r="N259" s="2000">
        <v>1.1822842050055484</v>
      </c>
      <c r="O259" s="1998">
        <v>1.1383735895895952</v>
      </c>
      <c r="P259" s="1998">
        <v>1.1822842050055484</v>
      </c>
      <c r="Q259" s="1998">
        <v>1.1383735895895952</v>
      </c>
      <c r="R259" s="1998">
        <v>1.1822842050055484</v>
      </c>
      <c r="S259" s="1998">
        <v>1.1383735895895952</v>
      </c>
      <c r="T259" s="1998">
        <v>1.1822842050055484</v>
      </c>
      <c r="U259" s="1998">
        <v>1.1383735895895952</v>
      </c>
      <c r="V259" s="1998">
        <v>1.1822842050055484</v>
      </c>
      <c r="W259" s="1998">
        <v>1.1383735895895952</v>
      </c>
      <c r="X259" s="1999">
        <v>1.0434388234052001</v>
      </c>
      <c r="Y259" s="1979">
        <v>1.0280974034669013</v>
      </c>
      <c r="Z259" s="1979">
        <v>1.0434388234052001</v>
      </c>
      <c r="AA259" s="1979">
        <v>1.0280974034669013</v>
      </c>
      <c r="AB259" s="1979">
        <v>1.0434388234052001</v>
      </c>
      <c r="AC259" s="1979">
        <v>1.0280974034669013</v>
      </c>
      <c r="AD259" s="1979">
        <v>1.0434388234052001</v>
      </c>
      <c r="AE259" s="1979">
        <v>1.0280974034669013</v>
      </c>
      <c r="AF259" s="1979">
        <v>1.0434388234052001</v>
      </c>
      <c r="AG259" s="1979">
        <v>1.0280974034669013</v>
      </c>
      <c r="AH259" s="2000">
        <v>1.1251648223706952</v>
      </c>
      <c r="AI259" s="1998">
        <v>1.0977249400985309</v>
      </c>
      <c r="AJ259" s="1998">
        <v>1.1251648223706952</v>
      </c>
      <c r="AK259" s="1998">
        <v>1.0977249400985309</v>
      </c>
      <c r="AL259" s="1998">
        <v>1.1251648223706952</v>
      </c>
      <c r="AM259" s="1998">
        <v>1.0977249400985309</v>
      </c>
      <c r="AN259" s="1998">
        <v>1.1251648223706952</v>
      </c>
      <c r="AO259" s="1998">
        <v>1.0977249400985309</v>
      </c>
      <c r="AP259" s="1998">
        <v>1.1251648223706952</v>
      </c>
      <c r="AQ259" s="1998">
        <v>1.0977249400985309</v>
      </c>
      <c r="AR259" s="1999">
        <v>1.0310984342663703</v>
      </c>
      <c r="AS259" s="1979">
        <v>1.0240971792515468</v>
      </c>
      <c r="AT259" s="1979">
        <v>1.0310984342663703</v>
      </c>
      <c r="AU259" s="1979">
        <v>1.0240971792515468</v>
      </c>
      <c r="AV259" s="1979">
        <v>1.0310984342663703</v>
      </c>
      <c r="AW259" s="1979">
        <v>1.0240971792515468</v>
      </c>
      <c r="AX259" s="1979">
        <v>1.0310984342663703</v>
      </c>
      <c r="AY259" s="1979">
        <v>1.0240971792515468</v>
      </c>
      <c r="AZ259" s="1979">
        <v>1.0310984342663703</v>
      </c>
      <c r="BA259" s="1979">
        <v>1.0240971792515468</v>
      </c>
      <c r="BB259" s="2000">
        <v>1.3180265000109936</v>
      </c>
      <c r="BC259" s="1998">
        <v>1.3308586370188196</v>
      </c>
      <c r="BD259" s="1998">
        <v>1.3180265000109936</v>
      </c>
      <c r="BE259" s="1998">
        <v>1.3308586370188196</v>
      </c>
      <c r="BF259" s="1998">
        <v>1.3180265000109936</v>
      </c>
      <c r="BG259" s="1998">
        <v>1.3308586370188196</v>
      </c>
      <c r="BH259" s="1998">
        <v>1.3180265000109936</v>
      </c>
      <c r="BI259" s="1998">
        <v>1.3308586370188196</v>
      </c>
      <c r="BJ259" s="1998">
        <v>1.3180265000109936</v>
      </c>
      <c r="BK259" s="1998">
        <v>1.3308586370188196</v>
      </c>
      <c r="BL259" s="1999">
        <v>1.0991807094920885</v>
      </c>
      <c r="BM259" s="1979">
        <v>1.0810384024859852</v>
      </c>
      <c r="BN259" s="1979">
        <v>1.0991807094920885</v>
      </c>
      <c r="BO259" s="1979">
        <v>1.0810384024859852</v>
      </c>
      <c r="BP259" s="1979">
        <v>1.0991807094920885</v>
      </c>
      <c r="BQ259" s="1979">
        <v>1.0810384024859852</v>
      </c>
      <c r="BR259" s="1979">
        <v>1.0991807094920885</v>
      </c>
      <c r="BS259" s="1979">
        <v>1.0810384024859852</v>
      </c>
      <c r="BT259" s="1979">
        <v>1.0991807094920885</v>
      </c>
      <c r="BU259" s="1979">
        <v>1.0810384024859852</v>
      </c>
      <c r="BV259" s="2000">
        <v>1.1043646023572886</v>
      </c>
      <c r="BW259" s="1998">
        <v>1.0829643266906182</v>
      </c>
      <c r="BX259" s="1998">
        <v>1.1043646023572886</v>
      </c>
      <c r="BY259" s="1998">
        <v>1.0829643266906182</v>
      </c>
      <c r="BZ259" s="1998">
        <v>1.1043646023572886</v>
      </c>
      <c r="CA259" s="1998">
        <v>1.0829643266906182</v>
      </c>
      <c r="CB259" s="1998">
        <v>1.1043646023572886</v>
      </c>
      <c r="CC259" s="1998">
        <v>1.0829643266906182</v>
      </c>
      <c r="CD259" s="1998">
        <v>1.1043646023572886</v>
      </c>
      <c r="CE259" s="1998">
        <v>1.0829643266906182</v>
      </c>
      <c r="CF259" s="1999">
        <v>1.013915814776813</v>
      </c>
      <c r="CG259" s="1979">
        <v>1.0110949800994089</v>
      </c>
      <c r="CH259" s="1979">
        <v>1.013915814776813</v>
      </c>
      <c r="CI259" s="1979">
        <v>1.0110949800994089</v>
      </c>
      <c r="CJ259" s="1979">
        <v>1.013915814776813</v>
      </c>
      <c r="CK259" s="1979">
        <v>1.0110949800994089</v>
      </c>
      <c r="CL259" s="1979">
        <v>1.013915814776813</v>
      </c>
      <c r="CM259" s="1979">
        <v>1.0110949800994089</v>
      </c>
      <c r="CN259" s="1979">
        <v>1.013915814776813</v>
      </c>
      <c r="CO259" s="1979">
        <v>1.0110949800994089</v>
      </c>
      <c r="CP259" s="2000">
        <v>1.0166912264173766</v>
      </c>
      <c r="CQ259" s="1998">
        <v>1.0132771790566961</v>
      </c>
      <c r="CR259" s="1998">
        <v>1.0166912264173766</v>
      </c>
      <c r="CS259" s="1998">
        <v>1.0132771790566961</v>
      </c>
      <c r="CT259" s="1998">
        <v>1.0166912264173766</v>
      </c>
      <c r="CU259" s="1998">
        <v>1.0132771790566961</v>
      </c>
      <c r="CV259" s="1998">
        <v>1.0166912264173766</v>
      </c>
      <c r="CW259" s="1998">
        <v>1.0132771790566961</v>
      </c>
      <c r="CX259" s="1998">
        <v>1.0166912264173766</v>
      </c>
      <c r="CY259" s="1998">
        <v>1.0132771790566961</v>
      </c>
      <c r="CZ259" s="1999">
        <v>1</v>
      </c>
      <c r="DA259" s="1979">
        <v>1</v>
      </c>
      <c r="DB259" s="1979">
        <v>1</v>
      </c>
      <c r="DC259" s="1979">
        <v>1</v>
      </c>
      <c r="DD259" s="1979">
        <v>1</v>
      </c>
      <c r="DE259" s="1979">
        <v>1</v>
      </c>
      <c r="DF259" s="1979">
        <v>1</v>
      </c>
      <c r="DG259" s="1979">
        <v>1</v>
      </c>
      <c r="DH259" s="1979">
        <v>1</v>
      </c>
      <c r="DI259" s="1979">
        <v>1</v>
      </c>
      <c r="DJ259" s="2000">
        <v>1.0035107351701431</v>
      </c>
      <c r="DK259" s="1998">
        <v>1.0027735639769348</v>
      </c>
      <c r="DL259" s="1998">
        <v>1.0035107351701431</v>
      </c>
      <c r="DM259" s="1998">
        <v>1.0027735639769348</v>
      </c>
      <c r="DN259" s="1998">
        <v>1.0035107351701431</v>
      </c>
      <c r="DO259" s="1998">
        <v>1.0027735639769348</v>
      </c>
      <c r="DP259" s="1998">
        <v>1.0035107351701431</v>
      </c>
      <c r="DQ259" s="1998">
        <v>1.0027735639769348</v>
      </c>
      <c r="DR259" s="1998">
        <v>1.0035107351701431</v>
      </c>
      <c r="DS259" s="1998">
        <v>1.0027735639769348</v>
      </c>
    </row>
    <row r="260" spans="1:123">
      <c r="A260" s="2001" t="str">
        <f>Uebersetzung!$D635</f>
        <v>Construction vitrée</v>
      </c>
      <c r="B260" s="2">
        <v>1</v>
      </c>
      <c r="C260" s="2" t="s">
        <v>4327</v>
      </c>
      <c r="D260" s="2004">
        <v>1.0730485956529021</v>
      </c>
      <c r="E260" s="2004">
        <v>1.0178587678940583</v>
      </c>
      <c r="F260" s="2004">
        <v>1.0848891786706216</v>
      </c>
      <c r="G260" s="2004">
        <v>1.0337649710057963</v>
      </c>
      <c r="H260" s="2004">
        <v>1.1154482896936075</v>
      </c>
      <c r="I260" s="2004">
        <v>1.0715861145421002</v>
      </c>
      <c r="J260" s="2004">
        <v>1.1439318511829248</v>
      </c>
      <c r="K260" s="2004">
        <v>1.1093147530489424</v>
      </c>
      <c r="L260" s="2004">
        <v>1.1750328392862319</v>
      </c>
      <c r="M260" s="2004">
        <v>1.1486799058487671</v>
      </c>
      <c r="N260" s="2005">
        <v>0</v>
      </c>
      <c r="O260" s="2002">
        <v>0</v>
      </c>
      <c r="P260" s="2002">
        <v>0</v>
      </c>
      <c r="Q260" s="2002">
        <v>0</v>
      </c>
      <c r="R260" s="2002">
        <v>0</v>
      </c>
      <c r="S260" s="2002">
        <v>0</v>
      </c>
      <c r="T260" s="2002">
        <v>0</v>
      </c>
      <c r="U260" s="2002">
        <v>0</v>
      </c>
      <c r="V260" s="2002">
        <v>0</v>
      </c>
      <c r="W260" s="2002">
        <v>0</v>
      </c>
      <c r="X260" s="2003">
        <v>1.0496448108594274</v>
      </c>
      <c r="Y260" s="2004">
        <v>0.97691765347072779</v>
      </c>
      <c r="Z260" s="2004">
        <v>1.0799646877240092</v>
      </c>
      <c r="AA260" s="2004">
        <v>1.0151649766415152</v>
      </c>
      <c r="AB260" s="2004">
        <v>1.0813249425444149</v>
      </c>
      <c r="AC260" s="2004">
        <v>1.0168537379090261</v>
      </c>
      <c r="AD260" s="2004">
        <v>1.0826851973648202</v>
      </c>
      <c r="AE260" s="2004">
        <v>1.0185424991765368</v>
      </c>
      <c r="AF260" s="2004">
        <v>1.0840454521852256</v>
      </c>
      <c r="AG260" s="2004">
        <v>1.0202312604440475</v>
      </c>
      <c r="AH260" s="2005">
        <v>0.77318249018493035</v>
      </c>
      <c r="AI260" s="2002">
        <v>0.73147207234242306</v>
      </c>
      <c r="AJ260" s="2002">
        <v>0.79394533699255099</v>
      </c>
      <c r="AK260" s="2002">
        <v>0.75780988935200566</v>
      </c>
      <c r="AL260" s="2002">
        <v>0.79495803958998712</v>
      </c>
      <c r="AM260" s="2002">
        <v>0.75908154595008226</v>
      </c>
      <c r="AN260" s="2002">
        <v>0.79597074218742303</v>
      </c>
      <c r="AO260" s="2002">
        <v>0.76035320254815875</v>
      </c>
      <c r="AP260" s="2002">
        <v>0.79698344478485894</v>
      </c>
      <c r="AQ260" s="2002">
        <v>0.76162485914623546</v>
      </c>
      <c r="AR260" s="2003">
        <v>1.0209780947311471</v>
      </c>
      <c r="AS260" s="2004">
        <v>0.97172716815830529</v>
      </c>
      <c r="AT260" s="2004">
        <v>1.0532198759904792</v>
      </c>
      <c r="AU260" s="2004">
        <v>1.0112733849152784</v>
      </c>
      <c r="AV260" s="2004">
        <v>1.0553494380314885</v>
      </c>
      <c r="AW260" s="2004">
        <v>1.0139272740776695</v>
      </c>
      <c r="AX260" s="2004">
        <v>1.0574790000724978</v>
      </c>
      <c r="AY260" s="2004">
        <v>1.0165811632400605</v>
      </c>
      <c r="AZ260" s="2004">
        <v>1.059608562113507</v>
      </c>
      <c r="BA260" s="2004">
        <v>1.0192350524024516</v>
      </c>
      <c r="BB260" s="2005">
        <v>1.0634380106894343</v>
      </c>
      <c r="BC260" s="2002">
        <v>0.96756356764003582</v>
      </c>
      <c r="BD260" s="2002">
        <v>1.0927278781068448</v>
      </c>
      <c r="BE260" s="2002">
        <v>1.0017857176616645</v>
      </c>
      <c r="BF260" s="2002">
        <v>1.0949214383115968</v>
      </c>
      <c r="BG260" s="2002">
        <v>1.0044253988627057</v>
      </c>
      <c r="BH260" s="2002">
        <v>1.0971149985163489</v>
      </c>
      <c r="BI260" s="2002">
        <v>1.0070650800637468</v>
      </c>
      <c r="BJ260" s="2002">
        <v>1.0993085587211004</v>
      </c>
      <c r="BK260" s="2002">
        <v>1.009704761264788</v>
      </c>
      <c r="BL260" s="2003">
        <v>0.99639272646210408</v>
      </c>
      <c r="BM260" s="2004">
        <v>0.92219902453976099</v>
      </c>
      <c r="BN260" s="2003">
        <v>0.99762268241742003</v>
      </c>
      <c r="BO260" s="2004">
        <v>0.92367459030752408</v>
      </c>
      <c r="BP260" s="2003">
        <v>0.99885263837273597</v>
      </c>
      <c r="BQ260" s="2004">
        <v>0.9251501560752875</v>
      </c>
      <c r="BR260" s="2003">
        <v>1.000082594328052</v>
      </c>
      <c r="BS260" s="2004">
        <v>0.92662572184305081</v>
      </c>
      <c r="BT260" s="2003">
        <v>1.0013125502833682</v>
      </c>
      <c r="BU260" s="2004">
        <v>0.92662572184305081</v>
      </c>
      <c r="BV260" s="2005">
        <v>1.0106985457649713</v>
      </c>
      <c r="BW260" s="2002">
        <v>0.96050326434207556</v>
      </c>
      <c r="BX260" s="2002">
        <v>1.0210560562437618</v>
      </c>
      <c r="BY260" s="2002">
        <v>0.97505494517744062</v>
      </c>
      <c r="BZ260" s="2002">
        <v>1.0471559871540292</v>
      </c>
      <c r="CA260" s="2002">
        <v>1.0088442234752648</v>
      </c>
      <c r="CB260" s="2002">
        <v>1.0713797791645434</v>
      </c>
      <c r="CC260" s="2002">
        <v>1.0424012378391823</v>
      </c>
      <c r="CD260" s="2002">
        <v>1.0985715519838652</v>
      </c>
      <c r="CE260" s="2002">
        <v>1.0778990072302181</v>
      </c>
      <c r="CF260" s="2003">
        <v>0.79805936669466959</v>
      </c>
      <c r="CG260" s="2004">
        <v>0.81297071445225266</v>
      </c>
      <c r="CH260" s="2003">
        <v>0.79884693651012006</v>
      </c>
      <c r="CI260" s="2004">
        <v>0.81398059905449482</v>
      </c>
      <c r="CJ260" s="2003">
        <v>0.79963450632557043</v>
      </c>
      <c r="CK260" s="2004">
        <v>0.81499048365673699</v>
      </c>
      <c r="CL260" s="2003">
        <v>0.80042207614102101</v>
      </c>
      <c r="CM260" s="2004">
        <v>0.81600036825897915</v>
      </c>
      <c r="CN260" s="2003">
        <v>0.80120964595647126</v>
      </c>
      <c r="CO260" s="2004">
        <v>0.81701025286122153</v>
      </c>
      <c r="CP260" s="2005">
        <v>0.73784607865293461</v>
      </c>
      <c r="CQ260" s="2002">
        <v>0.75724874842160217</v>
      </c>
      <c r="CR260" s="2005">
        <v>0.738672643107119</v>
      </c>
      <c r="CS260" s="2002">
        <v>0.75830619658727072</v>
      </c>
      <c r="CT260" s="2005">
        <v>0.73949920756130338</v>
      </c>
      <c r="CU260" s="2002">
        <v>0.75936364475293927</v>
      </c>
      <c r="CV260" s="2005">
        <v>0.74032577201548777</v>
      </c>
      <c r="CW260" s="2002">
        <v>0.76042109291860782</v>
      </c>
      <c r="CX260" s="2005">
        <v>0.74115233646967227</v>
      </c>
      <c r="CY260" s="2002">
        <v>0.76147854108427659</v>
      </c>
      <c r="CZ260" s="2003">
        <v>0.66498950986620575</v>
      </c>
      <c r="DA260" s="2004">
        <v>0.67147671460149938</v>
      </c>
      <c r="DB260" s="2003">
        <v>0.66577839146863071</v>
      </c>
      <c r="DC260" s="2004">
        <v>0.67247655736943357</v>
      </c>
      <c r="DD260" s="2003">
        <v>0.66656727307105557</v>
      </c>
      <c r="DE260" s="2004">
        <v>0.67347640013736754</v>
      </c>
      <c r="DF260" s="2003">
        <v>0.66735615467348042</v>
      </c>
      <c r="DG260" s="2004">
        <v>0.67447624290530184</v>
      </c>
      <c r="DH260" s="2003">
        <v>0.66893391787833012</v>
      </c>
      <c r="DI260" s="2004">
        <v>0.6764759284411701</v>
      </c>
      <c r="DJ260" s="2005">
        <v>0.61143903907653585</v>
      </c>
      <c r="DK260" s="2002">
        <v>0.62711645088440859</v>
      </c>
      <c r="DL260" s="2005">
        <v>0.6124826303616292</v>
      </c>
      <c r="DM260" s="2002">
        <v>0.6284570662912331</v>
      </c>
      <c r="DN260" s="2005">
        <v>0.61352622164672244</v>
      </c>
      <c r="DO260" s="2002">
        <v>0.62979768169805772</v>
      </c>
      <c r="DP260" s="2005">
        <v>0.61456981293181578</v>
      </c>
      <c r="DQ260" s="2002">
        <v>0.63113829710488212</v>
      </c>
      <c r="DR260" s="2005">
        <v>0.61665699550200237</v>
      </c>
      <c r="DS260" s="2002">
        <v>0.63381952791853124</v>
      </c>
    </row>
    <row r="261" spans="1:123">
      <c r="B261" s="2">
        <v>2</v>
      </c>
      <c r="C261" s="2" t="s">
        <v>4328</v>
      </c>
      <c r="D261" s="1998">
        <v>1.107740812947184</v>
      </c>
      <c r="E261" s="1998">
        <v>1.0474691189919649</v>
      </c>
      <c r="F261" s="1998">
        <v>1.1199196983368387</v>
      </c>
      <c r="G261" s="1998">
        <v>1.0638297850497522</v>
      </c>
      <c r="H261" s="1998">
        <v>1.1506093189638178</v>
      </c>
      <c r="I261" s="1998">
        <v>1.101819561270025</v>
      </c>
      <c r="J261" s="1998">
        <v>1.1790928804531347</v>
      </c>
      <c r="K261" s="1998">
        <v>1.1395481997768679</v>
      </c>
      <c r="L261" s="1998">
        <v>1.2110663440944389</v>
      </c>
      <c r="M261" s="1998">
        <v>1.1794588573410199</v>
      </c>
      <c r="N261" s="1999">
        <v>0</v>
      </c>
      <c r="O261" s="1979">
        <v>0</v>
      </c>
      <c r="P261" s="1979">
        <v>0</v>
      </c>
      <c r="Q261" s="1979">
        <v>0</v>
      </c>
      <c r="R261" s="1979">
        <v>0</v>
      </c>
      <c r="S261" s="1979">
        <v>0</v>
      </c>
      <c r="T261" s="1979">
        <v>0</v>
      </c>
      <c r="U261" s="1979">
        <v>0</v>
      </c>
      <c r="V261" s="1979">
        <v>0</v>
      </c>
      <c r="W261" s="1979">
        <v>0</v>
      </c>
      <c r="X261" s="2000">
        <v>1.0943844941743814</v>
      </c>
      <c r="Y261" s="1998">
        <v>1.0111188088777792</v>
      </c>
      <c r="Z261" s="1998">
        <v>1.1247043710389635</v>
      </c>
      <c r="AA261" s="1998">
        <v>1.0493661320485665</v>
      </c>
      <c r="AB261" s="1998">
        <v>1.126064625859369</v>
      </c>
      <c r="AC261" s="1998">
        <v>1.0510548933160775</v>
      </c>
      <c r="AD261" s="1998">
        <v>1.1274248806797744</v>
      </c>
      <c r="AE261" s="1998">
        <v>1.052743654583588</v>
      </c>
      <c r="AF261" s="1998">
        <v>1.1287851355001799</v>
      </c>
      <c r="AG261" s="1998">
        <v>1.0544324158510989</v>
      </c>
      <c r="AH261" s="1999">
        <v>0.77648093678765462</v>
      </c>
      <c r="AI261" s="1979">
        <v>0.73541878431570495</v>
      </c>
      <c r="AJ261" s="1979">
        <v>0.79753949668995316</v>
      </c>
      <c r="AK261" s="1979">
        <v>0.76194651889444354</v>
      </c>
      <c r="AL261" s="1979">
        <v>0.79866472179821557</v>
      </c>
      <c r="AM261" s="1979">
        <v>0.76335947067008425</v>
      </c>
      <c r="AN261" s="1979">
        <v>0.79978994690647776</v>
      </c>
      <c r="AO261" s="1979">
        <v>0.76477242244572485</v>
      </c>
      <c r="AP261" s="1979">
        <v>0.80091517201473994</v>
      </c>
      <c r="AQ261" s="1979">
        <v>0.76618537422136557</v>
      </c>
      <c r="AR261" s="2000">
        <v>1.107686990374839</v>
      </c>
      <c r="AS261" s="1998">
        <v>1.0380264194164546</v>
      </c>
      <c r="AT261" s="1998">
        <v>1.1399287716341715</v>
      </c>
      <c r="AU261" s="1998">
        <v>1.0775726361734279</v>
      </c>
      <c r="AV261" s="1998">
        <v>1.1420583336751806</v>
      </c>
      <c r="AW261" s="1998">
        <v>1.080226525335819</v>
      </c>
      <c r="AX261" s="1998">
        <v>1.1441878957161897</v>
      </c>
      <c r="AY261" s="1998">
        <v>1.0828804144982098</v>
      </c>
      <c r="AZ261" s="1998">
        <v>1.1463174577571991</v>
      </c>
      <c r="BA261" s="1998">
        <v>1.0855343036606007</v>
      </c>
      <c r="BB261" s="1999">
        <v>1.1681476736312388</v>
      </c>
      <c r="BC261" s="1979">
        <v>1.0432376364797711</v>
      </c>
      <c r="BD261" s="1979">
        <v>1.1974375410486497</v>
      </c>
      <c r="BE261" s="1979">
        <v>1.0774597865013997</v>
      </c>
      <c r="BF261" s="1979">
        <v>1.1996311012534018</v>
      </c>
      <c r="BG261" s="1979">
        <v>1.0800994677024407</v>
      </c>
      <c r="BH261" s="1979">
        <v>1.2018246614581536</v>
      </c>
      <c r="BI261" s="1979">
        <v>1.0827391489034819</v>
      </c>
      <c r="BJ261" s="1979">
        <v>1.2040182216629052</v>
      </c>
      <c r="BK261" s="1979">
        <v>1.0853788301045231</v>
      </c>
      <c r="BL261" s="2000">
        <v>1.048217548260939</v>
      </c>
      <c r="BM261" s="1998">
        <v>0.9601230354007857</v>
      </c>
      <c r="BN261" s="2000">
        <v>1.0494475042162554</v>
      </c>
      <c r="BO261" s="1998">
        <v>0.96159860116854889</v>
      </c>
      <c r="BP261" s="2000">
        <v>1.0506774601715714</v>
      </c>
      <c r="BQ261" s="1998">
        <v>0.9630741669363122</v>
      </c>
      <c r="BR261" s="2000">
        <v>1.0519074161268873</v>
      </c>
      <c r="BS261" s="1998">
        <v>0.96454973270407562</v>
      </c>
      <c r="BT261" s="2000">
        <v>1.0531373720822037</v>
      </c>
      <c r="BU261" s="1998">
        <v>0.96454973270407562</v>
      </c>
      <c r="BV261" s="1999">
        <v>1.02926385654454</v>
      </c>
      <c r="BW261" s="1979">
        <v>0.97855607994850657</v>
      </c>
      <c r="BX261" s="1979">
        <v>1.0398515339228593</v>
      </c>
      <c r="BY261" s="1979">
        <v>0.99343113146910211</v>
      </c>
      <c r="BZ261" s="1979">
        <v>1.0660402581535462</v>
      </c>
      <c r="CA261" s="1979">
        <v>1.0273403994537453</v>
      </c>
      <c r="CB261" s="1979">
        <v>1.0902640501640604</v>
      </c>
      <c r="CC261" s="1979">
        <v>1.0608974138176628</v>
      </c>
      <c r="CD261" s="1979">
        <v>1.1180494191451436</v>
      </c>
      <c r="CE261" s="1979">
        <v>1.0967833342141222</v>
      </c>
      <c r="CF261" s="2000">
        <v>0.80779278640400587</v>
      </c>
      <c r="CG261" s="1998">
        <v>0.82393360722824205</v>
      </c>
      <c r="CH261" s="2000">
        <v>0.8087116178553645</v>
      </c>
      <c r="CI261" s="1998">
        <v>0.82511180593085798</v>
      </c>
      <c r="CJ261" s="2000">
        <v>0.80963044930672334</v>
      </c>
      <c r="CK261" s="1998">
        <v>0.82629000463347391</v>
      </c>
      <c r="CL261" s="2000">
        <v>0.8105492807580823</v>
      </c>
      <c r="CM261" s="1998">
        <v>0.82746820333608995</v>
      </c>
      <c r="CN261" s="2000">
        <v>0.81146811220944115</v>
      </c>
      <c r="CO261" s="1998">
        <v>0.82864640203870576</v>
      </c>
      <c r="CP261" s="1999">
        <v>0.76327652448185779</v>
      </c>
      <c r="CQ261" s="1979">
        <v>0.7853330306675973</v>
      </c>
      <c r="CR261" s="1999">
        <v>0.76443371471771593</v>
      </c>
      <c r="CS261" s="1979">
        <v>0.78681345809953329</v>
      </c>
      <c r="CT261" s="1999">
        <v>0.76559090495357407</v>
      </c>
      <c r="CU261" s="1979">
        <v>0.7882938855314694</v>
      </c>
      <c r="CV261" s="1999">
        <v>0.76674809518943221</v>
      </c>
      <c r="CW261" s="1979">
        <v>0.78977431296340539</v>
      </c>
      <c r="CX261" s="1999">
        <v>0.76790528542529057</v>
      </c>
      <c r="CY261" s="1979">
        <v>0.79125474039534127</v>
      </c>
      <c r="CZ261" s="2000">
        <v>0.67846797912930146</v>
      </c>
      <c r="DA261" s="1998">
        <v>0.68698360685048632</v>
      </c>
      <c r="DB261" s="2000">
        <v>0.67941463705221139</v>
      </c>
      <c r="DC261" s="1998">
        <v>0.68818341817200723</v>
      </c>
      <c r="DD261" s="2000">
        <v>0.68036129497512121</v>
      </c>
      <c r="DE261" s="1998">
        <v>0.68938322949352815</v>
      </c>
      <c r="DF261" s="2000">
        <v>0.68130795289803114</v>
      </c>
      <c r="DG261" s="1998">
        <v>0.69058304081504918</v>
      </c>
      <c r="DH261" s="2000">
        <v>0.68320126874385079</v>
      </c>
      <c r="DI261" s="1998">
        <v>0.69298266345809112</v>
      </c>
      <c r="DJ261" s="1999">
        <v>0.62093313549908946</v>
      </c>
      <c r="DK261" s="1979">
        <v>0.63444055899274943</v>
      </c>
      <c r="DL261" s="1999">
        <v>0.62197672678418281</v>
      </c>
      <c r="DM261" s="1979">
        <v>0.63578117439957404</v>
      </c>
      <c r="DN261" s="1999">
        <v>0.62302031806927605</v>
      </c>
      <c r="DO261" s="1979">
        <v>0.63712178980639844</v>
      </c>
      <c r="DP261" s="1999">
        <v>0.62406390935436928</v>
      </c>
      <c r="DQ261" s="1979">
        <v>0.63846240521322306</v>
      </c>
      <c r="DR261" s="1999">
        <v>0.62615109192455598</v>
      </c>
      <c r="DS261" s="1979">
        <v>0.64114363602687197</v>
      </c>
    </row>
    <row r="262" spans="1:123">
      <c r="B262" s="2">
        <v>3</v>
      </c>
      <c r="C262" s="2" t="s">
        <v>4329</v>
      </c>
      <c r="D262" s="1998">
        <v>1.1533929200112634</v>
      </c>
      <c r="E262" s="1998">
        <v>1.0829571366454662</v>
      </c>
      <c r="F262" s="1998">
        <v>1.1656948244452576</v>
      </c>
      <c r="G262" s="1998">
        <v>1.0994830619563627</v>
      </c>
      <c r="H262" s="1998">
        <v>1.1964319031100523</v>
      </c>
      <c r="I262" s="1998">
        <v>1.1375341591526245</v>
      </c>
      <c r="J262" s="1998">
        <v>1.2249154645993694</v>
      </c>
      <c r="K262" s="1998">
        <v>1.175262797659467</v>
      </c>
      <c r="L262" s="1998">
        <v>1.2572061920726725</v>
      </c>
      <c r="M262" s="1998">
        <v>1.2153718205924657</v>
      </c>
      <c r="N262" s="1999">
        <v>0</v>
      </c>
      <c r="O262" s="1979">
        <v>0</v>
      </c>
      <c r="P262" s="1979">
        <v>0</v>
      </c>
      <c r="Q262" s="1979">
        <v>0</v>
      </c>
      <c r="R262" s="1979">
        <v>0</v>
      </c>
      <c r="S262" s="1979">
        <v>0</v>
      </c>
      <c r="T262" s="1979">
        <v>0</v>
      </c>
      <c r="U262" s="1979">
        <v>0</v>
      </c>
      <c r="V262" s="1979">
        <v>0</v>
      </c>
      <c r="W262" s="1979">
        <v>0</v>
      </c>
      <c r="X262" s="2000">
        <v>1.1373704913491647</v>
      </c>
      <c r="Y262" s="1998">
        <v>1.0459927863155225</v>
      </c>
      <c r="Z262" s="1998">
        <v>1.1680478479389493</v>
      </c>
      <c r="AA262" s="1998">
        <v>1.0844670991404086</v>
      </c>
      <c r="AB262" s="1998">
        <v>1.1695441282413952</v>
      </c>
      <c r="AC262" s="1998">
        <v>1.0863247365346704</v>
      </c>
      <c r="AD262" s="1998">
        <v>1.1710404085438411</v>
      </c>
      <c r="AE262" s="1998">
        <v>1.0881823739289322</v>
      </c>
      <c r="AF262" s="1998">
        <v>1.1725366888462869</v>
      </c>
      <c r="AG262" s="1998">
        <v>1.0900400113231941</v>
      </c>
      <c r="AH262" s="1999">
        <v>0.90032227880491456</v>
      </c>
      <c r="AI262" s="1979">
        <v>0.83372775327637827</v>
      </c>
      <c r="AJ262" s="1979">
        <v>0.92175048007556071</v>
      </c>
      <c r="AK262" s="1979">
        <v>0.86049288481656216</v>
      </c>
      <c r="AL262" s="1979">
        <v>0.92301635832235562</v>
      </c>
      <c r="AM262" s="1979">
        <v>0.86208245556415786</v>
      </c>
      <c r="AN262" s="1979">
        <v>0.92428223656915065</v>
      </c>
      <c r="AO262" s="1979">
        <v>0.86367202631175355</v>
      </c>
      <c r="AP262" s="1979">
        <v>0.92554811481594568</v>
      </c>
      <c r="AQ262" s="1979">
        <v>0.86526159705934913</v>
      </c>
      <c r="AR262" s="2000">
        <v>1.11663313834097</v>
      </c>
      <c r="AS262" s="1998">
        <v>1.0489976247868382</v>
      </c>
      <c r="AT262" s="1998">
        <v>1.1498076801902075</v>
      </c>
      <c r="AU262" s="1998">
        <v>1.0891383654655524</v>
      </c>
      <c r="AV262" s="1998">
        <v>1.1522921692380517</v>
      </c>
      <c r="AW262" s="1998">
        <v>1.092234569488342</v>
      </c>
      <c r="AX262" s="1998">
        <v>1.1547766582858958</v>
      </c>
      <c r="AY262" s="1998">
        <v>1.0953307735111317</v>
      </c>
      <c r="AZ262" s="1998">
        <v>1.15726114733374</v>
      </c>
      <c r="BA262" s="1998">
        <v>1.0984269775339208</v>
      </c>
      <c r="BB262" s="1999">
        <v>1.2574649584469682</v>
      </c>
      <c r="BC262" s="1979">
        <v>1.1091954522381779</v>
      </c>
      <c r="BD262" s="1979">
        <v>1.2867548258643788</v>
      </c>
      <c r="BE262" s="1979">
        <v>1.1434176022598066</v>
      </c>
      <c r="BF262" s="1979">
        <v>1.2889483860691309</v>
      </c>
      <c r="BG262" s="1979">
        <v>1.1460572834608476</v>
      </c>
      <c r="BH262" s="1979">
        <v>1.2911419462738827</v>
      </c>
      <c r="BI262" s="1979">
        <v>1.1486969646618888</v>
      </c>
      <c r="BJ262" s="1979">
        <v>1.2933355064786347</v>
      </c>
      <c r="BK262" s="1979">
        <v>1.1513366458629299</v>
      </c>
      <c r="BL262" s="2000">
        <v>1.106634163234004</v>
      </c>
      <c r="BM262" s="1998">
        <v>1.0031862224938253</v>
      </c>
      <c r="BN262" s="2000">
        <v>1.1078641191893202</v>
      </c>
      <c r="BO262" s="1998">
        <v>1.0046617882615887</v>
      </c>
      <c r="BP262" s="2000">
        <v>1.1090940751446361</v>
      </c>
      <c r="BQ262" s="1998">
        <v>1.0061373540293519</v>
      </c>
      <c r="BR262" s="2000">
        <v>1.1103240310999523</v>
      </c>
      <c r="BS262" s="1998">
        <v>1.0076129197971151</v>
      </c>
      <c r="BT262" s="2000">
        <v>1.1115539870552682</v>
      </c>
      <c r="BU262" s="1998">
        <v>1.0076129197971151</v>
      </c>
      <c r="BV262" s="1999">
        <v>1.0438063146341108</v>
      </c>
      <c r="BW262" s="1979">
        <v>0.99851016235828893</v>
      </c>
      <c r="BX262" s="1979">
        <v>1.0549858497540754</v>
      </c>
      <c r="BY262" s="1979">
        <v>1.0142167384980483</v>
      </c>
      <c r="BZ262" s="1979">
        <v>1.0814028996658407</v>
      </c>
      <c r="CA262" s="1979">
        <v>1.0484345513916544</v>
      </c>
      <c r="CB262" s="1979">
        <v>1.1056266916763546</v>
      </c>
      <c r="CC262" s="1979">
        <v>1.0819915657555716</v>
      </c>
      <c r="CD262" s="1979">
        <v>1.1349384507876819</v>
      </c>
      <c r="CE262" s="1979">
        <v>1.118875588737406</v>
      </c>
      <c r="CF262" s="2000">
        <v>0.85289195821921138</v>
      </c>
      <c r="CG262" s="1998">
        <v>0.86445300431857275</v>
      </c>
      <c r="CH262" s="2000">
        <v>0.85399455596084217</v>
      </c>
      <c r="CI262" s="1998">
        <v>0.865866842761712</v>
      </c>
      <c r="CJ262" s="2000">
        <v>0.85509715370247286</v>
      </c>
      <c r="CK262" s="1998">
        <v>0.86728068120485124</v>
      </c>
      <c r="CL262" s="2000">
        <v>0.85619975144410343</v>
      </c>
      <c r="CM262" s="1998">
        <v>0.86869451964799027</v>
      </c>
      <c r="CN262" s="2000">
        <v>0.857302349185734</v>
      </c>
      <c r="CO262" s="1998">
        <v>0.87010835809112941</v>
      </c>
      <c r="CP262" s="1999">
        <v>0.82269276939233316</v>
      </c>
      <c r="CQ262" s="1979">
        <v>0.83883846848202859</v>
      </c>
      <c r="CR262" s="1999">
        <v>0.82384995962819152</v>
      </c>
      <c r="CS262" s="1979">
        <v>0.84031889591396469</v>
      </c>
      <c r="CT262" s="1999">
        <v>0.82500714986404966</v>
      </c>
      <c r="CU262" s="1979">
        <v>0.84179932334590069</v>
      </c>
      <c r="CV262" s="1999">
        <v>0.8261643400999078</v>
      </c>
      <c r="CW262" s="1979">
        <v>0.84327975077783679</v>
      </c>
      <c r="CX262" s="1999">
        <v>0.82732153033576594</v>
      </c>
      <c r="CY262" s="1979">
        <v>0.84476017820977256</v>
      </c>
      <c r="CZ262" s="2000">
        <v>0.69868568302394485</v>
      </c>
      <c r="DA262" s="1998">
        <v>0.71024394522396661</v>
      </c>
      <c r="DB262" s="2000">
        <v>0.69986900542758224</v>
      </c>
      <c r="DC262" s="1998">
        <v>0.71174370937586773</v>
      </c>
      <c r="DD262" s="2000">
        <v>0.70105232783121951</v>
      </c>
      <c r="DE262" s="1998">
        <v>0.71324347352776896</v>
      </c>
      <c r="DF262" s="2000">
        <v>0.7022356502348569</v>
      </c>
      <c r="DG262" s="1998">
        <v>0.7147432376796703</v>
      </c>
      <c r="DH262" s="2000">
        <v>0.70460229504213145</v>
      </c>
      <c r="DI262" s="1998">
        <v>0.71774276598347264</v>
      </c>
      <c r="DJ262" s="1999">
        <v>0.65065927375586274</v>
      </c>
      <c r="DK262" s="1979">
        <v>0.66909999220016192</v>
      </c>
      <c r="DL262" s="1999">
        <v>0.65205072880265391</v>
      </c>
      <c r="DM262" s="1979">
        <v>0.6708874794092613</v>
      </c>
      <c r="DN262" s="1999">
        <v>0.65344218384944486</v>
      </c>
      <c r="DO262" s="1979">
        <v>0.67267496661836057</v>
      </c>
      <c r="DP262" s="1999">
        <v>0.65483363889623591</v>
      </c>
      <c r="DQ262" s="1979">
        <v>0.67446245382745995</v>
      </c>
      <c r="DR262" s="1999">
        <v>0.65761654898981803</v>
      </c>
      <c r="DS262" s="1979">
        <v>0.6780374282456586</v>
      </c>
    </row>
    <row r="263" spans="1:123">
      <c r="B263" s="2">
        <v>4</v>
      </c>
      <c r="C263" s="2" t="s">
        <v>4330</v>
      </c>
      <c r="D263" s="1998">
        <v>1.2417929055726624</v>
      </c>
      <c r="E263" s="1998">
        <v>1.146082552899615</v>
      </c>
      <c r="F263" s="1998">
        <v>1.2540948100066569</v>
      </c>
      <c r="G263" s="1998">
        <v>1.1626084782105117</v>
      </c>
      <c r="H263" s="1998">
        <v>1.2848318886714516</v>
      </c>
      <c r="I263" s="1998">
        <v>1.2006595754067735</v>
      </c>
      <c r="J263" s="1998">
        <v>1.3133154501607689</v>
      </c>
      <c r="K263" s="1998">
        <v>1.2383882139136158</v>
      </c>
      <c r="L263" s="1998">
        <v>1.3456061776340718</v>
      </c>
      <c r="M263" s="1998">
        <v>1.2784972368466143</v>
      </c>
      <c r="N263" s="1999">
        <v>0</v>
      </c>
      <c r="O263" s="1979">
        <v>0</v>
      </c>
      <c r="P263" s="1979">
        <v>0</v>
      </c>
      <c r="Q263" s="1979">
        <v>0</v>
      </c>
      <c r="R263" s="1979">
        <v>0</v>
      </c>
      <c r="S263" s="1979">
        <v>0</v>
      </c>
      <c r="T263" s="1979">
        <v>0</v>
      </c>
      <c r="U263" s="1979">
        <v>0</v>
      </c>
      <c r="V263" s="1979">
        <v>0</v>
      </c>
      <c r="W263" s="1979">
        <v>0</v>
      </c>
      <c r="X263" s="2000">
        <v>1.2128720675988174</v>
      </c>
      <c r="Y263" s="1998">
        <v>1.1064868474058807</v>
      </c>
      <c r="Z263" s="1998">
        <v>1.243986343852739</v>
      </c>
      <c r="AA263" s="1998">
        <v>1.1452385920302206</v>
      </c>
      <c r="AB263" s="1998">
        <v>1.2456488775221235</v>
      </c>
      <c r="AC263" s="1998">
        <v>1.1473026335794005</v>
      </c>
      <c r="AD263" s="1998">
        <v>1.2473114111915078</v>
      </c>
      <c r="AE263" s="1998">
        <v>1.1493666751285805</v>
      </c>
      <c r="AF263" s="1998">
        <v>1.2489739448608921</v>
      </c>
      <c r="AG263" s="1998">
        <v>1.1514307166777602</v>
      </c>
      <c r="AH263" s="1999">
        <v>0.90923849719219541</v>
      </c>
      <c r="AI263" s="1979">
        <v>0.8459239445240504</v>
      </c>
      <c r="AJ263" s="1979">
        <v>0.93177562256788349</v>
      </c>
      <c r="AK263" s="1979">
        <v>0.87340126694856945</v>
      </c>
      <c r="AL263" s="1979">
        <v>0.93346346023027693</v>
      </c>
      <c r="AM263" s="1979">
        <v>0.8755206946120303</v>
      </c>
      <c r="AN263" s="1979">
        <v>0.93515129789267037</v>
      </c>
      <c r="AO263" s="1979">
        <v>0.87764012227549126</v>
      </c>
      <c r="AP263" s="1979">
        <v>0.9368391355550636</v>
      </c>
      <c r="AQ263" s="1979">
        <v>0.87975954993895211</v>
      </c>
      <c r="AR263" s="2000">
        <v>1.2016295883421602</v>
      </c>
      <c r="AS263" s="1998">
        <v>1.1142467713870059</v>
      </c>
      <c r="AT263" s="1998">
        <v>1.2348041301913979</v>
      </c>
      <c r="AU263" s="1998">
        <v>1.1543875120657201</v>
      </c>
      <c r="AV263" s="1998">
        <v>1.2372886192392418</v>
      </c>
      <c r="AW263" s="1998">
        <v>1.1574837160885096</v>
      </c>
      <c r="AX263" s="1998">
        <v>1.239773108287086</v>
      </c>
      <c r="AY263" s="1998">
        <v>1.1605799201112992</v>
      </c>
      <c r="AZ263" s="1998">
        <v>1.2422575973349301</v>
      </c>
      <c r="BA263" s="1998">
        <v>1.1636761241340885</v>
      </c>
      <c r="BB263" s="1999">
        <v>1.3110041924304419</v>
      </c>
      <c r="BC263" s="1979">
        <v>1.154694120695027</v>
      </c>
      <c r="BD263" s="1979">
        <v>1.3414470104383549</v>
      </c>
      <c r="BE263" s="1979">
        <v>1.1896258799838528</v>
      </c>
      <c r="BF263" s="1979">
        <v>1.3440792826840571</v>
      </c>
      <c r="BG263" s="1979">
        <v>1.192793497425102</v>
      </c>
      <c r="BH263" s="1979">
        <v>1.3467115549297595</v>
      </c>
      <c r="BI263" s="1979">
        <v>1.1959611148663516</v>
      </c>
      <c r="BJ263" s="1979">
        <v>1.3493438271754616</v>
      </c>
      <c r="BK263" s="1979">
        <v>1.199128732307601</v>
      </c>
      <c r="BL263" s="2000">
        <v>1.1105250948866734</v>
      </c>
      <c r="BM263" s="1998">
        <v>1.0168364259700422</v>
      </c>
      <c r="BN263" s="2000">
        <v>1.1121650361604281</v>
      </c>
      <c r="BO263" s="1998">
        <v>1.0188038469937268</v>
      </c>
      <c r="BP263" s="2000">
        <v>1.1138049774341829</v>
      </c>
      <c r="BQ263" s="1998">
        <v>1.0207712680174112</v>
      </c>
      <c r="BR263" s="2000">
        <v>1.1154449187079374</v>
      </c>
      <c r="BS263" s="1998">
        <v>1.0227386890410954</v>
      </c>
      <c r="BT263" s="2000">
        <v>1.1170848599816925</v>
      </c>
      <c r="BU263" s="1998">
        <v>1.0227386890410954</v>
      </c>
      <c r="BV263" s="1999">
        <v>1.0912573352692343</v>
      </c>
      <c r="BW263" s="1979">
        <v>1.0375523701317959</v>
      </c>
      <c r="BX263" s="1979">
        <v>1.1024368703891987</v>
      </c>
      <c r="BY263" s="1979">
        <v>1.0532589462715551</v>
      </c>
      <c r="BZ263" s="1979">
        <v>1.1288539203009638</v>
      </c>
      <c r="CA263" s="1979">
        <v>1.0874767591651615</v>
      </c>
      <c r="CB263" s="1979">
        <v>1.1530777123114779</v>
      </c>
      <c r="CC263" s="1979">
        <v>1.121033773529079</v>
      </c>
      <c r="CD263" s="1979">
        <v>1.1823894714228049</v>
      </c>
      <c r="CE263" s="1979">
        <v>1.1579177965109133</v>
      </c>
      <c r="CF263" s="2000">
        <v>0.87206264249468579</v>
      </c>
      <c r="CG263" s="1998">
        <v>0.8867311531942984</v>
      </c>
      <c r="CH263" s="2000">
        <v>0.87344088967172406</v>
      </c>
      <c r="CI263" s="1998">
        <v>0.88849845124822224</v>
      </c>
      <c r="CJ263" s="2000">
        <v>0.87481913684876222</v>
      </c>
      <c r="CK263" s="1998">
        <v>0.89026574930214619</v>
      </c>
      <c r="CL263" s="2000">
        <v>0.87619738402580072</v>
      </c>
      <c r="CM263" s="1998">
        <v>0.89203304735607014</v>
      </c>
      <c r="CN263" s="2000">
        <v>0.8775756312028391</v>
      </c>
      <c r="CO263" s="1998">
        <v>0.89380034540999398</v>
      </c>
      <c r="CP263" s="1999">
        <v>0.86350740009930937</v>
      </c>
      <c r="CQ263" s="1979">
        <v>0.87830311420911644</v>
      </c>
      <c r="CR263" s="1999">
        <v>0.86495388789413197</v>
      </c>
      <c r="CS263" s="1979">
        <v>0.88015364849903632</v>
      </c>
      <c r="CT263" s="1999">
        <v>0.86640037568895478</v>
      </c>
      <c r="CU263" s="1979">
        <v>0.88200418278895643</v>
      </c>
      <c r="CV263" s="1999">
        <v>0.86784686348377749</v>
      </c>
      <c r="CW263" s="1979">
        <v>0.88385471707887653</v>
      </c>
      <c r="CX263" s="1999">
        <v>0.86929335127860019</v>
      </c>
      <c r="CY263" s="1979">
        <v>0.8857052513687963</v>
      </c>
      <c r="CZ263" s="2000">
        <v>0.723790541178573</v>
      </c>
      <c r="DA263" s="1998">
        <v>0.72935286146221434</v>
      </c>
      <c r="DB263" s="2000">
        <v>0.72497386358221017</v>
      </c>
      <c r="DC263" s="1998">
        <v>0.73085262561411568</v>
      </c>
      <c r="DD263" s="2000">
        <v>0.72615718598584766</v>
      </c>
      <c r="DE263" s="1998">
        <v>0.73235238976601691</v>
      </c>
      <c r="DF263" s="2000">
        <v>0.72734050838948483</v>
      </c>
      <c r="DG263" s="1998">
        <v>0.73385215391791803</v>
      </c>
      <c r="DH263" s="2000">
        <v>0.72970715319675949</v>
      </c>
      <c r="DI263" s="1998">
        <v>0.73685168222172037</v>
      </c>
      <c r="DJ263" s="1999">
        <v>0.77630284321491771</v>
      </c>
      <c r="DK263" s="1979">
        <v>0.76507737167330536</v>
      </c>
      <c r="DL263" s="1999">
        <v>0.77734643450001106</v>
      </c>
      <c r="DM263" s="1979">
        <v>0.76641798708012987</v>
      </c>
      <c r="DN263" s="1999">
        <v>0.77839002578510441</v>
      </c>
      <c r="DO263" s="1979">
        <v>0.76775860248695438</v>
      </c>
      <c r="DP263" s="1999">
        <v>0.77943361707019754</v>
      </c>
      <c r="DQ263" s="1979">
        <v>0.769099217893779</v>
      </c>
      <c r="DR263" s="1999">
        <v>0.78152079964038423</v>
      </c>
      <c r="DS263" s="1979">
        <v>0.7717804487074279</v>
      </c>
    </row>
    <row r="264" spans="1:123">
      <c r="B264" s="2">
        <v>5</v>
      </c>
      <c r="C264" s="2" t="s">
        <v>4331</v>
      </c>
      <c r="D264" s="1998">
        <v>1.3041253996022553</v>
      </c>
      <c r="E264" s="1998">
        <v>1.1839214292385318</v>
      </c>
      <c r="F264" s="1998">
        <v>1.3164273040362495</v>
      </c>
      <c r="G264" s="1998">
        <v>1.2004473545494287</v>
      </c>
      <c r="H264" s="1998">
        <v>1.3471643827010447</v>
      </c>
      <c r="I264" s="1998">
        <v>1.2384984517456901</v>
      </c>
      <c r="J264" s="1998">
        <v>1.3756479441903615</v>
      </c>
      <c r="K264" s="1998">
        <v>1.2762270902525326</v>
      </c>
      <c r="L264" s="1998">
        <v>1.4079386716636646</v>
      </c>
      <c r="M264" s="1998">
        <v>1.3163361131855313</v>
      </c>
      <c r="N264" s="1999">
        <v>0</v>
      </c>
      <c r="O264" s="1979">
        <v>0</v>
      </c>
      <c r="P264" s="1979">
        <v>0</v>
      </c>
      <c r="Q264" s="1979">
        <v>0</v>
      </c>
      <c r="R264" s="1979">
        <v>0</v>
      </c>
      <c r="S264" s="1979">
        <v>0</v>
      </c>
      <c r="T264" s="1979">
        <v>0</v>
      </c>
      <c r="U264" s="1979">
        <v>0</v>
      </c>
      <c r="V264" s="1979">
        <v>0</v>
      </c>
      <c r="W264" s="1979">
        <v>0</v>
      </c>
      <c r="X264" s="2000">
        <v>1.31059507941206</v>
      </c>
      <c r="Y264" s="1998">
        <v>1.1820276423131457</v>
      </c>
      <c r="Z264" s="1998">
        <v>1.3417093556659814</v>
      </c>
      <c r="AA264" s="1998">
        <v>1.2207793869374854</v>
      </c>
      <c r="AB264" s="1998">
        <v>1.3433718893353659</v>
      </c>
      <c r="AC264" s="1998">
        <v>1.2228434284866654</v>
      </c>
      <c r="AD264" s="1998">
        <v>1.3450344230047502</v>
      </c>
      <c r="AE264" s="1998">
        <v>1.2249074700358453</v>
      </c>
      <c r="AF264" s="1998">
        <v>1.3466969566741345</v>
      </c>
      <c r="AG264" s="1998">
        <v>1.2269715115850253</v>
      </c>
      <c r="AH264" s="1999">
        <v>0.94968946380007679</v>
      </c>
      <c r="AI264" s="1979">
        <v>0.87726672051768462</v>
      </c>
      <c r="AJ264" s="1979">
        <v>0.97222658917576488</v>
      </c>
      <c r="AK264" s="1979">
        <v>0.90474404294220379</v>
      </c>
      <c r="AL264" s="1979">
        <v>0.97391442683815832</v>
      </c>
      <c r="AM264" s="1979">
        <v>0.90686347060566452</v>
      </c>
      <c r="AN264" s="1979">
        <v>0.97560226450055143</v>
      </c>
      <c r="AO264" s="1979">
        <v>0.90898289826912548</v>
      </c>
      <c r="AP264" s="1979">
        <v>0.97729010216294487</v>
      </c>
      <c r="AQ264" s="1979">
        <v>0.91110232593258644</v>
      </c>
      <c r="AR264" s="2000">
        <v>1.2775420663348047</v>
      </c>
      <c r="AS264" s="1998">
        <v>1.1725198348812413</v>
      </c>
      <c r="AT264" s="1998">
        <v>1.3107166081840425</v>
      </c>
      <c r="AU264" s="1998">
        <v>1.2126605755599555</v>
      </c>
      <c r="AV264" s="1998">
        <v>1.3132010972318864</v>
      </c>
      <c r="AW264" s="1998">
        <v>1.2157567795827451</v>
      </c>
      <c r="AX264" s="1998">
        <v>1.3156855862797305</v>
      </c>
      <c r="AY264" s="1998">
        <v>1.2188529836055346</v>
      </c>
      <c r="AZ264" s="1998">
        <v>1.3181700753275747</v>
      </c>
      <c r="BA264" s="1998">
        <v>1.2219491876283242</v>
      </c>
      <c r="BB264" s="1999">
        <v>1.3526324591698926</v>
      </c>
      <c r="BC264" s="1979">
        <v>1.1939316115382004</v>
      </c>
      <c r="BD264" s="1979">
        <v>1.3848047030635593</v>
      </c>
      <c r="BE264" s="1979">
        <v>1.2299277847278216</v>
      </c>
      <c r="BF264" s="1979">
        <v>1.3880950433706871</v>
      </c>
      <c r="BG264" s="1979">
        <v>1.2338873065293834</v>
      </c>
      <c r="BH264" s="1979">
        <v>1.3913853836778152</v>
      </c>
      <c r="BI264" s="1979">
        <v>1.2378468283309449</v>
      </c>
      <c r="BJ264" s="1979">
        <v>1.3946757239849428</v>
      </c>
      <c r="BK264" s="1979">
        <v>1.241806350132507</v>
      </c>
      <c r="BL264" s="2000">
        <v>1.1423586389619871</v>
      </c>
      <c r="BM264" s="1998">
        <v>1.0405508447782166</v>
      </c>
      <c r="BN264" s="2000">
        <v>1.143998580235742</v>
      </c>
      <c r="BO264" s="1998">
        <v>1.042518265801901</v>
      </c>
      <c r="BP264" s="2000">
        <v>1.1456385215094964</v>
      </c>
      <c r="BQ264" s="1998">
        <v>1.0444856868255852</v>
      </c>
      <c r="BR264" s="2000">
        <v>1.1472784627832513</v>
      </c>
      <c r="BS264" s="1998">
        <v>1.0464531078492696</v>
      </c>
      <c r="BT264" s="2000">
        <v>1.1489184040570062</v>
      </c>
      <c r="BU264" s="1998">
        <v>1.0464531078492696</v>
      </c>
      <c r="BV264" s="1999">
        <v>1.1066262032185958</v>
      </c>
      <c r="BW264" s="1979">
        <v>1.0621136172773187</v>
      </c>
      <c r="BX264" s="1979">
        <v>1.1185948819940874</v>
      </c>
      <c r="BY264" s="1979">
        <v>1.0789288929092962</v>
      </c>
      <c r="BZ264" s="1979">
        <v>1.1453163661472903</v>
      </c>
      <c r="CA264" s="1979">
        <v>1.1135580990148528</v>
      </c>
      <c r="CB264" s="1979">
        <v>1.1695401581578044</v>
      </c>
      <c r="CC264" s="1979">
        <v>1.1471151133787703</v>
      </c>
      <c r="CD264" s="1979">
        <v>1.2008871041094566</v>
      </c>
      <c r="CE264" s="1979">
        <v>1.1853299398077717</v>
      </c>
      <c r="CF264" s="2000">
        <v>0.90833914690919726</v>
      </c>
      <c r="CG264" s="1998">
        <v>0.9160662800504783</v>
      </c>
      <c r="CH264" s="2000">
        <v>0.90971739408623542</v>
      </c>
      <c r="CI264" s="1998">
        <v>0.91783357810440203</v>
      </c>
      <c r="CJ264" s="2000">
        <v>0.91109564126327391</v>
      </c>
      <c r="CK264" s="1998">
        <v>0.91960087615832609</v>
      </c>
      <c r="CL264" s="2000">
        <v>0.91247388844031208</v>
      </c>
      <c r="CM264" s="1998">
        <v>0.92136817421225004</v>
      </c>
      <c r="CN264" s="2000">
        <v>0.91385213561735035</v>
      </c>
      <c r="CO264" s="1998">
        <v>0.92313547226617376</v>
      </c>
      <c r="CP264" s="1999">
        <v>0.89569585104513749</v>
      </c>
      <c r="CQ264" s="1979">
        <v>0.9157059770880962</v>
      </c>
      <c r="CR264" s="1999">
        <v>0.89762450143823447</v>
      </c>
      <c r="CS264" s="1979">
        <v>0.91817335614132278</v>
      </c>
      <c r="CT264" s="1999">
        <v>0.89955315183133144</v>
      </c>
      <c r="CU264" s="1979">
        <v>0.92064073519454959</v>
      </c>
      <c r="CV264" s="1999">
        <v>0.90148180222442842</v>
      </c>
      <c r="CW264" s="1979">
        <v>0.92310811424777617</v>
      </c>
      <c r="CX264" s="1999">
        <v>0.90341045261752551</v>
      </c>
      <c r="CY264" s="1979">
        <v>0.92557549330100275</v>
      </c>
      <c r="CZ264" s="2000">
        <v>0.75748671433631209</v>
      </c>
      <c r="DA264" s="1998">
        <v>0.76812009208468157</v>
      </c>
      <c r="DB264" s="2000">
        <v>0.7590644775411618</v>
      </c>
      <c r="DC264" s="1998">
        <v>0.77011977762054984</v>
      </c>
      <c r="DD264" s="2000">
        <v>0.7606422407460115</v>
      </c>
      <c r="DE264" s="1998">
        <v>0.77211946315641811</v>
      </c>
      <c r="DF264" s="2000">
        <v>0.76222000395086131</v>
      </c>
      <c r="DG264" s="1998">
        <v>0.77411914869228626</v>
      </c>
      <c r="DH264" s="2000">
        <v>0.76537553036056072</v>
      </c>
      <c r="DI264" s="1998">
        <v>0.77811851976402291</v>
      </c>
      <c r="DJ264" s="1999">
        <v>0.96804325822579995</v>
      </c>
      <c r="DK264" s="1979">
        <v>0.92736398254579522</v>
      </c>
      <c r="DL264" s="1999">
        <v>0.96908684951089319</v>
      </c>
      <c r="DM264" s="1979">
        <v>0.92870459795261973</v>
      </c>
      <c r="DN264" s="1999">
        <v>0.97013044079598654</v>
      </c>
      <c r="DO264" s="1979">
        <v>0.93004521335944412</v>
      </c>
      <c r="DP264" s="1999">
        <v>0.97117403208107977</v>
      </c>
      <c r="DQ264" s="1979">
        <v>0.93138582876626863</v>
      </c>
      <c r="DR264" s="1999">
        <v>0.97326121465126636</v>
      </c>
      <c r="DS264" s="1979">
        <v>0.93406705957991776</v>
      </c>
    </row>
    <row r="265" spans="1:123">
      <c r="B265" s="2">
        <v>6</v>
      </c>
      <c r="C265" s="2" t="s">
        <v>4332</v>
      </c>
      <c r="D265" s="1998">
        <v>1.3599101600968171</v>
      </c>
      <c r="E265" s="1998">
        <v>1.2425696397400541</v>
      </c>
      <c r="F265" s="1998">
        <v>1.3730556236919997</v>
      </c>
      <c r="G265" s="1998">
        <v>1.2602287713579838</v>
      </c>
      <c r="H265" s="1998">
        <v>1.4041181289018165</v>
      </c>
      <c r="I265" s="1998">
        <v>1.2987003552467398</v>
      </c>
      <c r="J265" s="1998">
        <v>1.4326016903911338</v>
      </c>
      <c r="K265" s="1998">
        <v>1.3364289937535823</v>
      </c>
      <c r="L265" s="1998">
        <v>1.467067941283857</v>
      </c>
      <c r="M265" s="1998">
        <v>1.3778982363586698</v>
      </c>
      <c r="N265" s="1999">
        <v>0</v>
      </c>
      <c r="O265" s="1979">
        <v>0</v>
      </c>
      <c r="P265" s="1979">
        <v>0</v>
      </c>
      <c r="Q265" s="1979">
        <v>0</v>
      </c>
      <c r="R265" s="1979">
        <v>0</v>
      </c>
      <c r="S265" s="1979">
        <v>0</v>
      </c>
      <c r="T265" s="1979">
        <v>0</v>
      </c>
      <c r="U265" s="1979">
        <v>0</v>
      </c>
      <c r="V265" s="1979">
        <v>0</v>
      </c>
      <c r="W265" s="1979">
        <v>0</v>
      </c>
      <c r="X265" s="2000">
        <v>1.3382082285027184</v>
      </c>
      <c r="Y265" s="1998">
        <v>1.2068324598416236</v>
      </c>
      <c r="Z265" s="1998">
        <v>1.3698686543368106</v>
      </c>
      <c r="AA265" s="1998">
        <v>1.2459309942152803</v>
      </c>
      <c r="AB265" s="1998">
        <v>1.3717390047148679</v>
      </c>
      <c r="AC265" s="1998">
        <v>1.2482530409581076</v>
      </c>
      <c r="AD265" s="1998">
        <v>1.3736093550929251</v>
      </c>
      <c r="AE265" s="1998">
        <v>1.250575087700935</v>
      </c>
      <c r="AF265" s="1998">
        <v>1.3754797054709829</v>
      </c>
      <c r="AG265" s="1998">
        <v>1.2528971344437625</v>
      </c>
      <c r="AH265" s="1999">
        <v>0.99720875591418889</v>
      </c>
      <c r="AI265" s="1979">
        <v>0.91870990008080078</v>
      </c>
      <c r="AJ265" s="1979">
        <v>1.0206330205739107</v>
      </c>
      <c r="AK265" s="1979">
        <v>0.9467569752127879</v>
      </c>
      <c r="AL265" s="1979">
        <v>1.0226584257687827</v>
      </c>
      <c r="AM265" s="1979">
        <v>0.9493002884089411</v>
      </c>
      <c r="AN265" s="1979">
        <v>1.0246838309636548</v>
      </c>
      <c r="AO265" s="1979">
        <v>0.95184360160509407</v>
      </c>
      <c r="AP265" s="1979">
        <v>1.0267092361585268</v>
      </c>
      <c r="AQ265" s="1979">
        <v>0.95438691480124704</v>
      </c>
      <c r="AR265" s="2000">
        <v>1.2854752716224891</v>
      </c>
      <c r="AS265" s="1998">
        <v>1.1850618267531312</v>
      </c>
      <c r="AT265" s="1998">
        <v>1.3199556782975943</v>
      </c>
      <c r="AU265" s="1998">
        <v>1.2260349009222826</v>
      </c>
      <c r="AV265" s="1998">
        <v>1.3229370651550076</v>
      </c>
      <c r="AW265" s="1998">
        <v>1.2297503457496304</v>
      </c>
      <c r="AX265" s="1998">
        <v>1.3259184520124203</v>
      </c>
      <c r="AY265" s="1998">
        <v>1.2334657905769777</v>
      </c>
      <c r="AZ265" s="1998">
        <v>1.3288998388698334</v>
      </c>
      <c r="BA265" s="1998">
        <v>1.237181235404325</v>
      </c>
      <c r="BB265" s="1999">
        <v>1.4720021716362504</v>
      </c>
      <c r="BC265" s="1979">
        <v>1.2954548623043172</v>
      </c>
      <c r="BD265" s="1979">
        <v>1.5070567920061733</v>
      </c>
      <c r="BE265" s="1979">
        <v>1.3332250586619319</v>
      </c>
      <c r="BF265" s="1979">
        <v>1.5114439124156767</v>
      </c>
      <c r="BG265" s="1979">
        <v>1.338504421064014</v>
      </c>
      <c r="BH265" s="1979">
        <v>1.5158310328251805</v>
      </c>
      <c r="BI265" s="1979">
        <v>1.3437837834660964</v>
      </c>
      <c r="BJ265" s="1979">
        <v>1.5202181532346843</v>
      </c>
      <c r="BK265" s="1979">
        <v>1.349063145868179</v>
      </c>
      <c r="BL265" s="2000">
        <v>1.1847940040816902</v>
      </c>
      <c r="BM265" s="1998">
        <v>1.0721641799441808</v>
      </c>
      <c r="BN265" s="2000">
        <v>1.1864339453554451</v>
      </c>
      <c r="BO265" s="1998">
        <v>1.0741316009678652</v>
      </c>
      <c r="BP265" s="2000">
        <v>1.1880738866291998</v>
      </c>
      <c r="BQ265" s="1998">
        <v>1.0760990219915496</v>
      </c>
      <c r="BR265" s="2000">
        <v>1.1897138279029544</v>
      </c>
      <c r="BS265" s="1998">
        <v>1.0780664430152338</v>
      </c>
      <c r="BT265" s="2000">
        <v>1.1913537691767093</v>
      </c>
      <c r="BU265" s="1998">
        <v>1.0780664430152338</v>
      </c>
      <c r="BV265" s="1999">
        <v>1.1200739626742875</v>
      </c>
      <c r="BW265" s="1979">
        <v>1.0836047085296512</v>
      </c>
      <c r="BX265" s="1979">
        <v>1.1327331421483651</v>
      </c>
      <c r="BY265" s="1979">
        <v>1.1013900962173195</v>
      </c>
      <c r="BZ265" s="1979">
        <v>1.159721006262826</v>
      </c>
      <c r="CA265" s="1979">
        <v>1.1363792713833334</v>
      </c>
      <c r="CB265" s="1979">
        <v>1.1839447982733398</v>
      </c>
      <c r="CC265" s="1979">
        <v>1.1699362857472508</v>
      </c>
      <c r="CD265" s="1979">
        <v>1.2170725327102769</v>
      </c>
      <c r="CE265" s="1979">
        <v>1.2093155651925231</v>
      </c>
      <c r="CF265" s="2000">
        <v>0.93776230643502712</v>
      </c>
      <c r="CG265" s="1998">
        <v>0.95171608338767177</v>
      </c>
      <c r="CH265" s="2000">
        <v>0.93959996933774481</v>
      </c>
      <c r="CI265" s="1998">
        <v>0.95407248079290363</v>
      </c>
      <c r="CJ265" s="2000">
        <v>0.94143763224046262</v>
      </c>
      <c r="CK265" s="1998">
        <v>0.95642887819813571</v>
      </c>
      <c r="CL265" s="2000">
        <v>0.9432752951431802</v>
      </c>
      <c r="CM265" s="1998">
        <v>0.95878527560336768</v>
      </c>
      <c r="CN265" s="2000">
        <v>0.94511295804589801</v>
      </c>
      <c r="CO265" s="1998">
        <v>0.96114167300859932</v>
      </c>
      <c r="CP265" s="1999">
        <v>0.95360900722021302</v>
      </c>
      <c r="CQ265" s="1979">
        <v>0.96805656541321083</v>
      </c>
      <c r="CR265" s="1999">
        <v>0.95553765761331011</v>
      </c>
      <c r="CS265" s="1979">
        <v>0.97052394446643753</v>
      </c>
      <c r="CT265" s="1999">
        <v>0.95746630800640709</v>
      </c>
      <c r="CU265" s="1979">
        <v>0.97299132351966411</v>
      </c>
      <c r="CV265" s="1999">
        <v>0.95939495839950406</v>
      </c>
      <c r="CW265" s="1979">
        <v>0.9754587025728908</v>
      </c>
      <c r="CX265" s="1999">
        <v>0.96132360879260104</v>
      </c>
      <c r="CY265" s="1979">
        <v>0.9779260816261176</v>
      </c>
      <c r="CZ265" s="2000">
        <v>0.82069400966955108</v>
      </c>
      <c r="DA265" s="1998">
        <v>0.82024744081165468</v>
      </c>
      <c r="DB265" s="2000">
        <v>0.82227177287440056</v>
      </c>
      <c r="DC265" s="1998">
        <v>0.82224712634752295</v>
      </c>
      <c r="DD265" s="2000">
        <v>0.82384953607925038</v>
      </c>
      <c r="DE265" s="1998">
        <v>0.82424681188339122</v>
      </c>
      <c r="DF265" s="2000">
        <v>0.82542729928410041</v>
      </c>
      <c r="DG265" s="1998">
        <v>0.82624649741925948</v>
      </c>
      <c r="DH265" s="2000">
        <v>0.82858282569379971</v>
      </c>
      <c r="DI265" s="1998">
        <v>0.83024586849099591</v>
      </c>
      <c r="DJ265" s="1999">
        <v>1.05939020750124</v>
      </c>
      <c r="DK265" s="1979">
        <v>0.99783579704212721</v>
      </c>
      <c r="DL265" s="1999">
        <v>1.0604337987863335</v>
      </c>
      <c r="DM265" s="1979">
        <v>0.99917641244895172</v>
      </c>
      <c r="DN265" s="1999">
        <v>1.0614773900714265</v>
      </c>
      <c r="DO265" s="1979">
        <v>1.0005170278557762</v>
      </c>
      <c r="DP265" s="1999">
        <v>1.0625209813565197</v>
      </c>
      <c r="DQ265" s="1979">
        <v>1.0018576432626007</v>
      </c>
      <c r="DR265" s="1999">
        <v>1.0646081639267064</v>
      </c>
      <c r="DS265" s="1979">
        <v>1.0045388740762498</v>
      </c>
    </row>
    <row r="266" spans="1:123">
      <c r="B266" s="2">
        <v>7</v>
      </c>
      <c r="C266" s="2" t="s">
        <v>4333</v>
      </c>
      <c r="D266" s="1998">
        <v>1.3683192520105358</v>
      </c>
      <c r="E266" s="1998">
        <v>1.245212141993763</v>
      </c>
      <c r="F266" s="1998">
        <v>1.3814647156057183</v>
      </c>
      <c r="G266" s="1998">
        <v>1.2628712736116927</v>
      </c>
      <c r="H266" s="1998">
        <v>1.4125272208155353</v>
      </c>
      <c r="I266" s="1998">
        <v>1.3013428575004489</v>
      </c>
      <c r="J266" s="1998">
        <v>1.4410107823048524</v>
      </c>
      <c r="K266" s="1998">
        <v>1.3390714960072911</v>
      </c>
      <c r="L266" s="1998">
        <v>1.4754770331975759</v>
      </c>
      <c r="M266" s="1998">
        <v>1.3805407386123789</v>
      </c>
      <c r="N266" s="1999">
        <v>0</v>
      </c>
      <c r="O266" s="1979">
        <v>0</v>
      </c>
      <c r="P266" s="1979">
        <v>0</v>
      </c>
      <c r="Q266" s="1979">
        <v>0</v>
      </c>
      <c r="R266" s="1979">
        <v>0</v>
      </c>
      <c r="S266" s="1979">
        <v>0</v>
      </c>
      <c r="T266" s="1979">
        <v>0</v>
      </c>
      <c r="U266" s="1979">
        <v>0</v>
      </c>
      <c r="V266" s="1979">
        <v>0</v>
      </c>
      <c r="W266" s="1979">
        <v>0</v>
      </c>
      <c r="X266" s="2000">
        <v>1.4334606058864563</v>
      </c>
      <c r="Y266" s="1998">
        <v>1.2922123569226538</v>
      </c>
      <c r="Z266" s="1998">
        <v>1.4667594804610602</v>
      </c>
      <c r="AA266" s="1998">
        <v>1.332351260544262</v>
      </c>
      <c r="AB266" s="1998">
        <v>1.4692532809651369</v>
      </c>
      <c r="AC266" s="1998">
        <v>1.3354473228680319</v>
      </c>
      <c r="AD266" s="1998">
        <v>1.4717470814692135</v>
      </c>
      <c r="AE266" s="1998">
        <v>1.3385433851918016</v>
      </c>
      <c r="AF266" s="1998">
        <v>1.4742408819732902</v>
      </c>
      <c r="AG266" s="1998">
        <v>1.3416394475155715</v>
      </c>
      <c r="AH266" s="1999">
        <v>1.030586328911921</v>
      </c>
      <c r="AI266" s="1979">
        <v>0.95183890149800232</v>
      </c>
      <c r="AJ266" s="1979">
        <v>1.0553413024976934</v>
      </c>
      <c r="AK266" s="1979">
        <v>0.98074060569119137</v>
      </c>
      <c r="AL266" s="1979">
        <v>1.0578730589912835</v>
      </c>
      <c r="AM266" s="1979">
        <v>0.98391974718638275</v>
      </c>
      <c r="AN266" s="1979">
        <v>1.0604048154848735</v>
      </c>
      <c r="AO266" s="1979">
        <v>0.98709888868157436</v>
      </c>
      <c r="AP266" s="1979">
        <v>1.0629365719784634</v>
      </c>
      <c r="AQ266" s="1979">
        <v>0.99027803017676563</v>
      </c>
      <c r="AR266" s="2000">
        <v>1.3847874122010093</v>
      </c>
      <c r="AS266" s="1998">
        <v>1.2720097351379249</v>
      </c>
      <c r="AT266" s="1998">
        <v>1.4212266161149163</v>
      </c>
      <c r="AU266" s="1998">
        <v>1.3142313095427332</v>
      </c>
      <c r="AV266" s="1998">
        <v>1.4249533496866824</v>
      </c>
      <c r="AW266" s="1998">
        <v>1.318875615576917</v>
      </c>
      <c r="AX266" s="1998">
        <v>1.4286800832584485</v>
      </c>
      <c r="AY266" s="1998">
        <v>1.3235199216111013</v>
      </c>
      <c r="AZ266" s="1998">
        <v>1.4324068168302149</v>
      </c>
      <c r="BA266" s="1998">
        <v>1.3281642276452854</v>
      </c>
      <c r="BB266" s="1999">
        <v>1.6003228370061089</v>
      </c>
      <c r="BC266" s="1979">
        <v>1.3881926917647769</v>
      </c>
      <c r="BD266" s="1979">
        <v>1.635377457376032</v>
      </c>
      <c r="BE266" s="1979">
        <v>1.4259628881223916</v>
      </c>
      <c r="BF266" s="1979">
        <v>1.6397645777855356</v>
      </c>
      <c r="BG266" s="1979">
        <v>1.4312422505244737</v>
      </c>
      <c r="BH266" s="1979">
        <v>1.6441516981950393</v>
      </c>
      <c r="BI266" s="1979">
        <v>1.4365216129265559</v>
      </c>
      <c r="BJ266" s="1979">
        <v>1.6485388186045429</v>
      </c>
      <c r="BK266" s="1979">
        <v>1.4418009753286385</v>
      </c>
      <c r="BL266" s="2000">
        <v>1.2296785448996486</v>
      </c>
      <c r="BM266" s="1998">
        <v>1.105600805767778</v>
      </c>
      <c r="BN266" s="2000">
        <v>1.2313184861734032</v>
      </c>
      <c r="BO266" s="1998">
        <v>1.1075682267914624</v>
      </c>
      <c r="BP266" s="2000">
        <v>1.2329584274471581</v>
      </c>
      <c r="BQ266" s="1998">
        <v>1.1095356478151468</v>
      </c>
      <c r="BR266" s="2000">
        <v>1.2345983687209128</v>
      </c>
      <c r="BS266" s="1998">
        <v>1.1115030688388312</v>
      </c>
      <c r="BT266" s="2000">
        <v>1.2362383099946674</v>
      </c>
      <c r="BU266" s="1998">
        <v>1.1115030688388312</v>
      </c>
      <c r="BV266" s="1999">
        <v>1.2073803750848329</v>
      </c>
      <c r="BW266" s="1979">
        <v>1.1606251401010079</v>
      </c>
      <c r="BX266" s="1979">
        <v>1.2200395545589104</v>
      </c>
      <c r="BY266" s="1979">
        <v>1.1784105277886765</v>
      </c>
      <c r="BZ266" s="1979">
        <v>1.2470274186733714</v>
      </c>
      <c r="CA266" s="1979">
        <v>1.2133997029546901</v>
      </c>
      <c r="CB266" s="1979">
        <v>1.2712512106838854</v>
      </c>
      <c r="CC266" s="1979">
        <v>1.2469567173186076</v>
      </c>
      <c r="CD266" s="1979">
        <v>1.3043789451208223</v>
      </c>
      <c r="CE266" s="1979">
        <v>1.2863359967638803</v>
      </c>
      <c r="CF266" s="2000">
        <v>1.0390078768786792</v>
      </c>
      <c r="CG266" s="1998">
        <v>1.0352801295891638</v>
      </c>
      <c r="CH266" s="2000">
        <v>1.0408455397813969</v>
      </c>
      <c r="CI266" s="1998">
        <v>1.0376365269943959</v>
      </c>
      <c r="CJ266" s="2000">
        <v>1.0426832026841146</v>
      </c>
      <c r="CK266" s="1998">
        <v>1.0399929243996278</v>
      </c>
      <c r="CL266" s="2000">
        <v>1.0445208655868321</v>
      </c>
      <c r="CM266" s="1998">
        <v>1.0423493218048596</v>
      </c>
      <c r="CN266" s="2000">
        <v>1.04635852848955</v>
      </c>
      <c r="CO266" s="1998">
        <v>1.0447057192100915</v>
      </c>
      <c r="CP266" s="1999">
        <v>0.90967504043871794</v>
      </c>
      <c r="CQ266" s="1979">
        <v>0.94393536196752448</v>
      </c>
      <c r="CR266" s="1999">
        <v>0.91256801602836335</v>
      </c>
      <c r="CS266" s="1979">
        <v>0.94763643054736435</v>
      </c>
      <c r="CT266" s="1999">
        <v>0.91546099161800887</v>
      </c>
      <c r="CU266" s="1979">
        <v>0.95133749912720444</v>
      </c>
      <c r="CV266" s="1999">
        <v>0.91835396720765428</v>
      </c>
      <c r="CW266" s="1979">
        <v>0.95503856770704454</v>
      </c>
      <c r="CX266" s="1999">
        <v>0.92124694279730002</v>
      </c>
      <c r="CY266" s="1979">
        <v>0.95873963628688452</v>
      </c>
      <c r="CZ266" s="2000">
        <v>1.0103158956692675</v>
      </c>
      <c r="DA266" s="1998">
        <v>0.97662948699257368</v>
      </c>
      <c r="DB266" s="2000">
        <v>1.0118936588741172</v>
      </c>
      <c r="DC266" s="1998">
        <v>0.97862917252844195</v>
      </c>
      <c r="DD266" s="2000">
        <v>1.0134714220789671</v>
      </c>
      <c r="DE266" s="1998">
        <v>0.98062885806431022</v>
      </c>
      <c r="DF266" s="2000">
        <v>1.0150491852838168</v>
      </c>
      <c r="DG266" s="1998">
        <v>0.98262854360017837</v>
      </c>
      <c r="DH266" s="2000">
        <v>1.0182047116935165</v>
      </c>
      <c r="DI266" s="1998">
        <v>0.98662791467191513</v>
      </c>
      <c r="DJ266" s="1999">
        <v>1.1223447897590266</v>
      </c>
      <c r="DK266" s="1979">
        <v>1.0581290066142568</v>
      </c>
      <c r="DL266" s="1999">
        <v>1.1237362448058179</v>
      </c>
      <c r="DM266" s="1979">
        <v>1.0599164938233565</v>
      </c>
      <c r="DN266" s="1999">
        <v>1.125127699852609</v>
      </c>
      <c r="DO266" s="1979">
        <v>1.0617039810324558</v>
      </c>
      <c r="DP266" s="1999">
        <v>1.1265191548994</v>
      </c>
      <c r="DQ266" s="1979">
        <v>1.0634914682415553</v>
      </c>
      <c r="DR266" s="1999">
        <v>1.1293020649929819</v>
      </c>
      <c r="DS266" s="1979">
        <v>1.067066442659754</v>
      </c>
    </row>
    <row r="267" spans="1:123">
      <c r="B267" s="2">
        <v>8</v>
      </c>
      <c r="C267" s="2" t="s">
        <v>4334</v>
      </c>
      <c r="D267" s="1998">
        <v>1.503182540621403</v>
      </c>
      <c r="E267" s="1998">
        <v>1.352420736337544</v>
      </c>
      <c r="F267" s="1998">
        <v>1.5163280042165856</v>
      </c>
      <c r="G267" s="1998">
        <v>1.3700798679554738</v>
      </c>
      <c r="H267" s="1998">
        <v>1.5473905094264027</v>
      </c>
      <c r="I267" s="1998">
        <v>1.4085514518442299</v>
      </c>
      <c r="J267" s="1998">
        <v>1.5758740709157195</v>
      </c>
      <c r="K267" s="1998">
        <v>1.4462800903510724</v>
      </c>
      <c r="L267" s="1998">
        <v>1.6103403218084433</v>
      </c>
      <c r="M267" s="1998">
        <v>1.4877493329561602</v>
      </c>
      <c r="N267" s="1999">
        <v>0</v>
      </c>
      <c r="O267" s="1979">
        <v>0</v>
      </c>
      <c r="P267" s="1979">
        <v>0</v>
      </c>
      <c r="Q267" s="1979">
        <v>0</v>
      </c>
      <c r="R267" s="1979">
        <v>0</v>
      </c>
      <c r="S267" s="1979">
        <v>0</v>
      </c>
      <c r="T267" s="1979">
        <v>0</v>
      </c>
      <c r="U267" s="1979">
        <v>0</v>
      </c>
      <c r="V267" s="1979">
        <v>0</v>
      </c>
      <c r="W267" s="1979">
        <v>0</v>
      </c>
      <c r="X267" s="2000">
        <v>1.5022815541835675</v>
      </c>
      <c r="Y267" s="1998">
        <v>1.3558173264179081</v>
      </c>
      <c r="Z267" s="1998">
        <v>1.5368911877505809</v>
      </c>
      <c r="AA267" s="1998">
        <v>1.3967885254378776</v>
      </c>
      <c r="AB267" s="1998">
        <v>1.5398837483554726</v>
      </c>
      <c r="AC267" s="1998">
        <v>1.4005038002264012</v>
      </c>
      <c r="AD267" s="1998">
        <v>1.5428763089603645</v>
      </c>
      <c r="AE267" s="1998">
        <v>1.4042190750149253</v>
      </c>
      <c r="AF267" s="1998">
        <v>1.5458688695652565</v>
      </c>
      <c r="AG267" s="1998">
        <v>1.4079343498034491</v>
      </c>
      <c r="AH267" s="1999">
        <v>1.1655202738219257</v>
      </c>
      <c r="AI267" s="1979">
        <v>1.058098381249049</v>
      </c>
      <c r="AJ267" s="1979">
        <v>1.1902752474076983</v>
      </c>
      <c r="AK267" s="1979">
        <v>1.0870000854422384</v>
      </c>
      <c r="AL267" s="1979">
        <v>1.1928070039012886</v>
      </c>
      <c r="AM267" s="1979">
        <v>1.0901792269374297</v>
      </c>
      <c r="AN267" s="1979">
        <v>1.1953387603948782</v>
      </c>
      <c r="AO267" s="1979">
        <v>1.0933583684326211</v>
      </c>
      <c r="AP267" s="1979">
        <v>1.1978705168884682</v>
      </c>
      <c r="AQ267" s="1979">
        <v>1.0965375099278125</v>
      </c>
      <c r="AR267" s="2000">
        <v>1.5821563755164942</v>
      </c>
      <c r="AS267" s="1998">
        <v>1.4258538114335451</v>
      </c>
      <c r="AT267" s="1998">
        <v>1.6185955794304008</v>
      </c>
      <c r="AU267" s="1998">
        <v>1.4680753858383531</v>
      </c>
      <c r="AV267" s="1998">
        <v>1.6223223130021671</v>
      </c>
      <c r="AW267" s="1998">
        <v>1.4727196918725372</v>
      </c>
      <c r="AX267" s="1998">
        <v>1.6260490465739335</v>
      </c>
      <c r="AY267" s="1998">
        <v>1.4773639979067212</v>
      </c>
      <c r="AZ267" s="1998">
        <v>1.6297757801456996</v>
      </c>
      <c r="BA267" s="1998">
        <v>1.4820083039409053</v>
      </c>
      <c r="BB267" s="1999">
        <v>1.7748389419091166</v>
      </c>
      <c r="BC267" s="1979">
        <v>1.5143161398310017</v>
      </c>
      <c r="BD267" s="1979">
        <v>1.8098935622790397</v>
      </c>
      <c r="BE267" s="1979">
        <v>1.5520863361886164</v>
      </c>
      <c r="BF267" s="1979">
        <v>1.8142806826885429</v>
      </c>
      <c r="BG267" s="1979">
        <v>1.5573656985906985</v>
      </c>
      <c r="BH267" s="1979">
        <v>1.818667803098047</v>
      </c>
      <c r="BI267" s="1979">
        <v>1.5626450609927809</v>
      </c>
      <c r="BJ267" s="1979">
        <v>1.8230549235075506</v>
      </c>
      <c r="BK267" s="1979">
        <v>1.5679244233948633</v>
      </c>
      <c r="BL267" s="2000">
        <v>1.2711953264372355</v>
      </c>
      <c r="BM267" s="1998">
        <v>1.1365293638899676</v>
      </c>
      <c r="BN267" s="2000">
        <v>1.2728352677109902</v>
      </c>
      <c r="BO267" s="1998">
        <v>1.1384967849136518</v>
      </c>
      <c r="BP267" s="2000">
        <v>1.2744752089847449</v>
      </c>
      <c r="BQ267" s="1998">
        <v>1.1404642059373362</v>
      </c>
      <c r="BR267" s="2000">
        <v>1.2761151502584995</v>
      </c>
      <c r="BS267" s="1998">
        <v>1.1424316269610206</v>
      </c>
      <c r="BT267" s="2000">
        <v>1.2777550915322542</v>
      </c>
      <c r="BU267" s="1998">
        <v>1.1424316269610206</v>
      </c>
      <c r="BV267" s="1999">
        <v>1.3196314767555342</v>
      </c>
      <c r="BW267" s="1979">
        <v>1.2596514092641815</v>
      </c>
      <c r="BX267" s="1979">
        <v>1.3322906562296117</v>
      </c>
      <c r="BY267" s="1979">
        <v>1.2774367969518501</v>
      </c>
      <c r="BZ267" s="1979">
        <v>1.3592785203440727</v>
      </c>
      <c r="CA267" s="1979">
        <v>1.3124259721178637</v>
      </c>
      <c r="CB267" s="1979">
        <v>1.3835023123545866</v>
      </c>
      <c r="CC267" s="1979">
        <v>1.3459829864817807</v>
      </c>
      <c r="CD267" s="1979">
        <v>1.4166300467915234</v>
      </c>
      <c r="CE267" s="1979">
        <v>1.3853622659270535</v>
      </c>
      <c r="CF267" s="2000">
        <v>1.1488964418897838</v>
      </c>
      <c r="CG267" s="1998">
        <v>1.1651622809067099</v>
      </c>
      <c r="CH267" s="2000">
        <v>1.1516529362438603</v>
      </c>
      <c r="CI267" s="1998">
        <v>1.1686968770145576</v>
      </c>
      <c r="CJ267" s="2000">
        <v>1.1544094305979369</v>
      </c>
      <c r="CK267" s="1998">
        <v>1.1722314731224053</v>
      </c>
      <c r="CL267" s="2000">
        <v>1.1571659249520134</v>
      </c>
      <c r="CM267" s="1998">
        <v>1.1757660692302532</v>
      </c>
      <c r="CN267" s="2000">
        <v>1.15992241930609</v>
      </c>
      <c r="CO267" s="1998">
        <v>1.1793006653381011</v>
      </c>
      <c r="CP267" s="1999">
        <v>1.1616636029290994</v>
      </c>
      <c r="CQ267" s="1979">
        <v>1.1768170663601809</v>
      </c>
      <c r="CR267" s="1999">
        <v>1.1645565785187448</v>
      </c>
      <c r="CS267" s="1979">
        <v>1.1805181349400209</v>
      </c>
      <c r="CT267" s="1999">
        <v>1.1674495541083902</v>
      </c>
      <c r="CU267" s="1979">
        <v>1.1842192035198609</v>
      </c>
      <c r="CV267" s="1999">
        <v>1.1703425296980356</v>
      </c>
      <c r="CW267" s="1979">
        <v>1.1879202720997011</v>
      </c>
      <c r="CX267" s="1999">
        <v>1.1732355052876813</v>
      </c>
      <c r="CY267" s="1979">
        <v>1.1916213406795411</v>
      </c>
      <c r="CZ267" s="2000">
        <v>1.1179081449033876</v>
      </c>
      <c r="DA267" s="1998">
        <v>1.0585248422993498</v>
      </c>
      <c r="DB267" s="2000">
        <v>1.1194859081082373</v>
      </c>
      <c r="DC267" s="1998">
        <v>1.0605245278352182</v>
      </c>
      <c r="DD267" s="2000">
        <v>1.1210636713130873</v>
      </c>
      <c r="DE267" s="1998">
        <v>1.0625242133710864</v>
      </c>
      <c r="DF267" s="2000">
        <v>1.122641434517937</v>
      </c>
      <c r="DG267" s="1998">
        <v>1.0645238989069548</v>
      </c>
      <c r="DH267" s="2000">
        <v>1.1257969609276364</v>
      </c>
      <c r="DI267" s="1998">
        <v>1.0685232699786911</v>
      </c>
      <c r="DJ267" s="1999">
        <v>1.2053950519433294</v>
      </c>
      <c r="DK267" s="1979">
        <v>1.1221994005216234</v>
      </c>
      <c r="DL267" s="1999">
        <v>1.2067865069901205</v>
      </c>
      <c r="DM267" s="1979">
        <v>1.1239868877307229</v>
      </c>
      <c r="DN267" s="1999">
        <v>1.2081779620369115</v>
      </c>
      <c r="DO267" s="1979">
        <v>1.1257743749398221</v>
      </c>
      <c r="DP267" s="1999">
        <v>1.2095694170837028</v>
      </c>
      <c r="DQ267" s="1979">
        <v>1.1275618621489216</v>
      </c>
      <c r="DR267" s="1999">
        <v>1.2123523271772847</v>
      </c>
      <c r="DS267" s="1979">
        <v>1.1311368365671202</v>
      </c>
    </row>
    <row r="268" spans="1:123">
      <c r="B268" s="2">
        <v>9</v>
      </c>
      <c r="C268" s="2" t="s">
        <v>4335</v>
      </c>
      <c r="D268" s="1998">
        <v>1.5850969859419828</v>
      </c>
      <c r="E268" s="1998">
        <v>1.4185086120922004</v>
      </c>
      <c r="F268" s="1998">
        <v>1.5982424495371652</v>
      </c>
      <c r="G268" s="1998">
        <v>1.4361677437101297</v>
      </c>
      <c r="H268" s="1998">
        <v>1.6293049547469822</v>
      </c>
      <c r="I268" s="1998">
        <v>1.4746393275988856</v>
      </c>
      <c r="J268" s="1998">
        <v>1.6577885162362993</v>
      </c>
      <c r="K268" s="1998">
        <v>1.5123679661057281</v>
      </c>
      <c r="L268" s="1998">
        <v>1.6922547671290227</v>
      </c>
      <c r="M268" s="1998">
        <v>1.5538372087108161</v>
      </c>
      <c r="N268" s="1999">
        <v>0</v>
      </c>
      <c r="O268" s="1979">
        <v>0</v>
      </c>
      <c r="P268" s="1979">
        <v>0</v>
      </c>
      <c r="Q268" s="1979">
        <v>0</v>
      </c>
      <c r="R268" s="1979">
        <v>0</v>
      </c>
      <c r="S268" s="1979">
        <v>0</v>
      </c>
      <c r="T268" s="1979">
        <v>0</v>
      </c>
      <c r="U268" s="1979">
        <v>0</v>
      </c>
      <c r="V268" s="1979">
        <v>0</v>
      </c>
      <c r="W268" s="1979">
        <v>0</v>
      </c>
      <c r="X268" s="2000">
        <v>1.6020674132527593</v>
      </c>
      <c r="Y268" s="1998">
        <v>1.4505741643559447</v>
      </c>
      <c r="Z268" s="1998">
        <v>1.6386431853083872</v>
      </c>
      <c r="AA268" s="1998">
        <v>1.4927938064734561</v>
      </c>
      <c r="AB268" s="1998">
        <v>1.6423838860645017</v>
      </c>
      <c r="AC268" s="1998">
        <v>1.4974378999591109</v>
      </c>
      <c r="AD268" s="1998">
        <v>1.6461245868206167</v>
      </c>
      <c r="AE268" s="1998">
        <v>1.5020819934447653</v>
      </c>
      <c r="AF268" s="1998">
        <v>1.6498652875767317</v>
      </c>
      <c r="AG268" s="1998">
        <v>1.50672608693042</v>
      </c>
      <c r="AH268" s="1999">
        <v>1.2660538534936863</v>
      </c>
      <c r="AI268" s="1979">
        <v>1.1372526711345223</v>
      </c>
      <c r="AJ268" s="1979">
        <v>1.2908088270794591</v>
      </c>
      <c r="AK268" s="1979">
        <v>1.1661543753277117</v>
      </c>
      <c r="AL268" s="1979">
        <v>1.2933405835730487</v>
      </c>
      <c r="AM268" s="1979">
        <v>1.1693335168229031</v>
      </c>
      <c r="AN268" s="1979">
        <v>1.2958723400666388</v>
      </c>
      <c r="AO268" s="1979">
        <v>1.1725126583180943</v>
      </c>
      <c r="AP268" s="1979">
        <v>1.298404096560229</v>
      </c>
      <c r="AQ268" s="1979">
        <v>1.1756917998132856</v>
      </c>
      <c r="AR268" s="2000">
        <v>1.6810003906153117</v>
      </c>
      <c r="AS268" s="1998">
        <v>1.5028801277899586</v>
      </c>
      <c r="AT268" s="1998">
        <v>1.7174395945292187</v>
      </c>
      <c r="AU268" s="1998">
        <v>1.5451017021947666</v>
      </c>
      <c r="AV268" s="1998">
        <v>1.7211663281009848</v>
      </c>
      <c r="AW268" s="1998">
        <v>1.5497460082289507</v>
      </c>
      <c r="AX268" s="1998">
        <v>1.7248930616727514</v>
      </c>
      <c r="AY268" s="1998">
        <v>1.554390314263135</v>
      </c>
      <c r="AZ268" s="1998">
        <v>1.7286197952445175</v>
      </c>
      <c r="BA268" s="1998">
        <v>1.5590346202973187</v>
      </c>
      <c r="BB268" s="1999">
        <v>1.8620969943606209</v>
      </c>
      <c r="BC268" s="1979">
        <v>1.5773778638641145</v>
      </c>
      <c r="BD268" s="1979">
        <v>1.8971516147305438</v>
      </c>
      <c r="BE268" s="1979">
        <v>1.6151480602217287</v>
      </c>
      <c r="BF268" s="1979">
        <v>1.9015387351400475</v>
      </c>
      <c r="BG268" s="1979">
        <v>1.6204274226238111</v>
      </c>
      <c r="BH268" s="1979">
        <v>1.9059258555495511</v>
      </c>
      <c r="BI268" s="1979">
        <v>1.6257067850258935</v>
      </c>
      <c r="BJ268" s="1979">
        <v>1.9103129759590547</v>
      </c>
      <c r="BK268" s="1979">
        <v>1.6309861474279759</v>
      </c>
      <c r="BL268" s="2000">
        <v>1.3439898054004065</v>
      </c>
      <c r="BM268" s="1998">
        <v>1.1907539437198542</v>
      </c>
      <c r="BN268" s="2000">
        <v>1.3456297466741611</v>
      </c>
      <c r="BO268" s="1998">
        <v>1.1927213647435386</v>
      </c>
      <c r="BP268" s="2000">
        <v>1.3472696879479158</v>
      </c>
      <c r="BQ268" s="1998">
        <v>1.194688785767223</v>
      </c>
      <c r="BR268" s="2000">
        <v>1.3489096292216707</v>
      </c>
      <c r="BS268" s="1998">
        <v>1.1966562067909075</v>
      </c>
      <c r="BT268" s="2000">
        <v>1.3505495704954256</v>
      </c>
      <c r="BU268" s="1998">
        <v>1.1966562067909075</v>
      </c>
      <c r="BV268" s="1999">
        <v>1.419990376159558</v>
      </c>
      <c r="BW268" s="1979">
        <v>1.3480637930367181</v>
      </c>
      <c r="BX268" s="1979">
        <v>1.4326495556336356</v>
      </c>
      <c r="BY268" s="1979">
        <v>1.3658491807243867</v>
      </c>
      <c r="BZ268" s="1979">
        <v>1.4596374197480964</v>
      </c>
      <c r="CA268" s="1979">
        <v>1.4008383558904007</v>
      </c>
      <c r="CB268" s="1979">
        <v>1.4838612117586105</v>
      </c>
      <c r="CC268" s="1979">
        <v>1.434395370254318</v>
      </c>
      <c r="CD268" s="1979">
        <v>1.5169889461955475</v>
      </c>
      <c r="CE268" s="1979">
        <v>1.47377464969959</v>
      </c>
      <c r="CF268" s="2000">
        <v>1.2341742205079047</v>
      </c>
      <c r="CG268" s="1998">
        <v>1.2350360930836453</v>
      </c>
      <c r="CH268" s="2000">
        <v>1.2369307148619813</v>
      </c>
      <c r="CI268" s="1998">
        <v>1.2385706891914932</v>
      </c>
      <c r="CJ268" s="2000">
        <v>1.2396872092160576</v>
      </c>
      <c r="CK268" s="1998">
        <v>1.2421052852993408</v>
      </c>
      <c r="CL268" s="2000">
        <v>1.2424437035701341</v>
      </c>
      <c r="CM268" s="1998">
        <v>1.245639881407189</v>
      </c>
      <c r="CN268" s="2000">
        <v>1.2452001979242109</v>
      </c>
      <c r="CO268" s="1998">
        <v>1.2491744775150366</v>
      </c>
      <c r="CP268" s="1999">
        <v>1.2815753018152667</v>
      </c>
      <c r="CQ268" s="1979">
        <v>1.2745351262303874</v>
      </c>
      <c r="CR268" s="1999">
        <v>1.2844682774049119</v>
      </c>
      <c r="CS268" s="1979">
        <v>1.2782361948102272</v>
      </c>
      <c r="CT268" s="1999">
        <v>1.2873612529945577</v>
      </c>
      <c r="CU268" s="1979">
        <v>1.2819372633900674</v>
      </c>
      <c r="CV268" s="1999">
        <v>1.2902542285842029</v>
      </c>
      <c r="CW268" s="1979">
        <v>1.2856383319699076</v>
      </c>
      <c r="CX268" s="1999">
        <v>1.2931472041738485</v>
      </c>
      <c r="CY268" s="1979">
        <v>1.2893394005497474</v>
      </c>
      <c r="CZ268" s="2000">
        <v>1.0777082419847457</v>
      </c>
      <c r="DA268" s="1998">
        <v>1.0541639482375083</v>
      </c>
      <c r="DB268" s="2000">
        <v>1.0800748867920205</v>
      </c>
      <c r="DC268" s="1998">
        <v>1.0571634765413107</v>
      </c>
      <c r="DD268" s="2000">
        <v>1.082441531599295</v>
      </c>
      <c r="DE268" s="1998">
        <v>1.0601630048451129</v>
      </c>
      <c r="DF268" s="2000">
        <v>1.0848081764065696</v>
      </c>
      <c r="DG268" s="1998">
        <v>1.0631625331489152</v>
      </c>
      <c r="DH268" s="2000">
        <v>1.0895414660211189</v>
      </c>
      <c r="DI268" s="1998">
        <v>1.0691615897565203</v>
      </c>
      <c r="DJ268" s="1999">
        <v>1.2174130109267536</v>
      </c>
      <c r="DK268" s="1979">
        <v>1.1549220936473217</v>
      </c>
      <c r="DL268" s="1999">
        <v>1.2195001934969405</v>
      </c>
      <c r="DM268" s="1979">
        <v>1.1576033244609707</v>
      </c>
      <c r="DN268" s="1999">
        <v>1.2215873760671272</v>
      </c>
      <c r="DO268" s="1979">
        <v>1.1602845552746197</v>
      </c>
      <c r="DP268" s="1999">
        <v>1.2236745586373137</v>
      </c>
      <c r="DQ268" s="1979">
        <v>1.1629657860882687</v>
      </c>
      <c r="DR268" s="1999">
        <v>1.2278489237776866</v>
      </c>
      <c r="DS268" s="1979">
        <v>1.1683282477155668</v>
      </c>
    </row>
    <row r="269" spans="1:123">
      <c r="B269" s="2">
        <v>10</v>
      </c>
      <c r="C269" s="2" t="s">
        <v>4336</v>
      </c>
      <c r="D269" s="1998">
        <v>1.7110253790382404</v>
      </c>
      <c r="E269" s="1998">
        <v>1.5171721417600279</v>
      </c>
      <c r="F269" s="1998">
        <v>1.724170842633423</v>
      </c>
      <c r="G269" s="1998">
        <v>1.5348312733779574</v>
      </c>
      <c r="H269" s="1998">
        <v>1.75523334784324</v>
      </c>
      <c r="I269" s="1998">
        <v>1.5733028572667132</v>
      </c>
      <c r="J269" s="1998">
        <v>1.7837169093325567</v>
      </c>
      <c r="K269" s="1998">
        <v>1.6110314957735559</v>
      </c>
      <c r="L269" s="1998">
        <v>1.8181831602252809</v>
      </c>
      <c r="M269" s="1998">
        <v>1.6525007383786436</v>
      </c>
      <c r="N269" s="1999">
        <v>0</v>
      </c>
      <c r="O269" s="1979">
        <v>0</v>
      </c>
      <c r="P269" s="1979">
        <v>0</v>
      </c>
      <c r="Q269" s="1979">
        <v>0</v>
      </c>
      <c r="R269" s="1979">
        <v>0</v>
      </c>
      <c r="S269" s="1979">
        <v>0</v>
      </c>
      <c r="T269" s="1979">
        <v>0</v>
      </c>
      <c r="U269" s="1979">
        <v>0</v>
      </c>
      <c r="V269" s="1979">
        <v>0</v>
      </c>
      <c r="W269" s="1979">
        <v>0</v>
      </c>
      <c r="X269" s="2000">
        <v>1.6346589374961231</v>
      </c>
      <c r="Y269" s="1998">
        <v>1.5014673976823412</v>
      </c>
      <c r="Z269" s="1998">
        <v>1.6745116070327744</v>
      </c>
      <c r="AA269" s="1998">
        <v>1.5457677782957557</v>
      </c>
      <c r="AB269" s="1998">
        <v>1.6794992080409277</v>
      </c>
      <c r="AC269" s="1998">
        <v>1.5519599029432953</v>
      </c>
      <c r="AD269" s="1998">
        <v>1.6844868090490808</v>
      </c>
      <c r="AE269" s="1998">
        <v>1.5581520275908349</v>
      </c>
      <c r="AF269" s="1998">
        <v>1.6894744100572341</v>
      </c>
      <c r="AG269" s="1998">
        <v>1.5643441522383743</v>
      </c>
      <c r="AH269" s="1999">
        <v>1.3288873407885369</v>
      </c>
      <c r="AI269" s="1979">
        <v>1.1867241023129431</v>
      </c>
      <c r="AJ269" s="1979">
        <v>1.3536423143743095</v>
      </c>
      <c r="AK269" s="1979">
        <v>1.2156258065061325</v>
      </c>
      <c r="AL269" s="1979">
        <v>1.3561740708678995</v>
      </c>
      <c r="AM269" s="1979">
        <v>1.2188049480013237</v>
      </c>
      <c r="AN269" s="1979">
        <v>1.3587058273614891</v>
      </c>
      <c r="AO269" s="1979">
        <v>1.221984089496515</v>
      </c>
      <c r="AP269" s="1979">
        <v>1.3612375838550792</v>
      </c>
      <c r="AQ269" s="1979">
        <v>1.2251632309917067</v>
      </c>
      <c r="AR269" s="2000">
        <v>1.7399283192877422</v>
      </c>
      <c r="AS269" s="1998">
        <v>1.5705063761529963</v>
      </c>
      <c r="AT269" s="1998">
        <v>1.7796321852663182</v>
      </c>
      <c r="AU269" s="1998">
        <v>1.6148087842838976</v>
      </c>
      <c r="AV269" s="1998">
        <v>1.7846011633620065</v>
      </c>
      <c r="AW269" s="1998">
        <v>1.6210011923294767</v>
      </c>
      <c r="AX269" s="1998">
        <v>1.7895701414576948</v>
      </c>
      <c r="AY269" s="1998">
        <v>1.6271936003750556</v>
      </c>
      <c r="AZ269" s="1998">
        <v>1.7945391195533829</v>
      </c>
      <c r="BA269" s="1998">
        <v>1.6333860084206342</v>
      </c>
      <c r="BB269" s="1999">
        <v>2.0802421254893808</v>
      </c>
      <c r="BC269" s="1979">
        <v>1.7350321739468964</v>
      </c>
      <c r="BD269" s="1979">
        <v>2.1152967458593035</v>
      </c>
      <c r="BE269" s="1979">
        <v>1.7728023703045106</v>
      </c>
      <c r="BF269" s="1979">
        <v>2.1196838662688071</v>
      </c>
      <c r="BG269" s="1979">
        <v>1.7780817327065928</v>
      </c>
      <c r="BH269" s="1979">
        <v>2.1240709866783107</v>
      </c>
      <c r="BI269" s="1979">
        <v>1.7833610951086754</v>
      </c>
      <c r="BJ269" s="1979">
        <v>2.1284581070878148</v>
      </c>
      <c r="BK269" s="1979">
        <v>1.7886404575107577</v>
      </c>
      <c r="BL269" s="2000">
        <v>1.2464148833978794</v>
      </c>
      <c r="BM269" s="1998">
        <v>1.1423348777610107</v>
      </c>
      <c r="BN269" s="2000">
        <v>1.248874795308512</v>
      </c>
      <c r="BO269" s="1998">
        <v>1.1452860092965376</v>
      </c>
      <c r="BP269" s="2000">
        <v>1.2513347072191441</v>
      </c>
      <c r="BQ269" s="1998">
        <v>1.148237140832064</v>
      </c>
      <c r="BR269" s="2000">
        <v>1.2537946191297764</v>
      </c>
      <c r="BS269" s="1998">
        <v>1.1511882723675906</v>
      </c>
      <c r="BT269" s="2000">
        <v>1.2562545310404083</v>
      </c>
      <c r="BU269" s="1998">
        <v>1.1511882723675906</v>
      </c>
      <c r="BV269" s="1999">
        <v>1.4415622220909747</v>
      </c>
      <c r="BW269" s="1979">
        <v>1.4021981934762533</v>
      </c>
      <c r="BX269" s="1979">
        <v>1.4553722360626953</v>
      </c>
      <c r="BY269" s="1979">
        <v>1.421600434590073</v>
      </c>
      <c r="BZ269" s="1979">
        <v>1.4828040667792532</v>
      </c>
      <c r="CA269" s="1979">
        <v>1.4571895581901817</v>
      </c>
      <c r="CB269" s="1979">
        <v>1.5070278587897674</v>
      </c>
      <c r="CC269" s="1979">
        <v>1.4907465725540991</v>
      </c>
      <c r="CD269" s="1979">
        <v>1.543123574035512</v>
      </c>
      <c r="CE269" s="1979">
        <v>1.5320666070264901</v>
      </c>
      <c r="CF269" s="2000">
        <v>1.3669142017636302</v>
      </c>
      <c r="CG269" s="1998">
        <v>1.3437863007264614</v>
      </c>
      <c r="CH269" s="2000">
        <v>1.3696706961177068</v>
      </c>
      <c r="CI269" s="1998">
        <v>1.3473208968343093</v>
      </c>
      <c r="CJ269" s="2000">
        <v>1.3724271904717831</v>
      </c>
      <c r="CK269" s="1998">
        <v>1.350855492942157</v>
      </c>
      <c r="CL269" s="2000">
        <v>1.3751836848258596</v>
      </c>
      <c r="CM269" s="1998">
        <v>1.3543900890500049</v>
      </c>
      <c r="CN269" s="2000">
        <v>1.3779401791799364</v>
      </c>
      <c r="CO269" s="1998">
        <v>1.3579246851578526</v>
      </c>
      <c r="CP269" s="1999">
        <v>1.3864980383406631</v>
      </c>
      <c r="CQ269" s="1979">
        <v>1.3600384286168172</v>
      </c>
      <c r="CR269" s="1999">
        <v>1.3893910139303085</v>
      </c>
      <c r="CS269" s="1979">
        <v>1.3637394971966574</v>
      </c>
      <c r="CT269" s="1999">
        <v>1.3922839895199541</v>
      </c>
      <c r="CU269" s="1979">
        <v>1.3674405657764976</v>
      </c>
      <c r="CV269" s="1999">
        <v>1.3951769651095995</v>
      </c>
      <c r="CW269" s="1979">
        <v>1.3711416343563376</v>
      </c>
      <c r="CX269" s="1999">
        <v>1.3980699406992452</v>
      </c>
      <c r="CY269" s="1979">
        <v>1.3748427029361776</v>
      </c>
      <c r="CZ269" s="2000">
        <v>1.1853004912188656</v>
      </c>
      <c r="DA269" s="1998">
        <v>1.1360593035442843</v>
      </c>
      <c r="DB269" s="2000">
        <v>1.1876671360261404</v>
      </c>
      <c r="DC269" s="1998">
        <v>1.1390588318480865</v>
      </c>
      <c r="DD269" s="2000">
        <v>1.1900337808334147</v>
      </c>
      <c r="DE269" s="1998">
        <v>1.142058360151889</v>
      </c>
      <c r="DF269" s="2000">
        <v>1.1924004256406895</v>
      </c>
      <c r="DG269" s="1998">
        <v>1.1450578884556912</v>
      </c>
      <c r="DH269" s="2000">
        <v>1.1971337152552388</v>
      </c>
      <c r="DI269" s="1998">
        <v>1.1510569450632961</v>
      </c>
      <c r="DJ269" s="1999">
        <v>1.3028641455426808</v>
      </c>
      <c r="DK269" s="1979">
        <v>1.22084194154866</v>
      </c>
      <c r="DL269" s="1999">
        <v>1.3049513281128673</v>
      </c>
      <c r="DM269" s="1979">
        <v>1.223523172362309</v>
      </c>
      <c r="DN269" s="1999">
        <v>1.307038510683054</v>
      </c>
      <c r="DO269" s="1979">
        <v>1.2262044031759578</v>
      </c>
      <c r="DP269" s="1999">
        <v>1.3091256932532405</v>
      </c>
      <c r="DQ269" s="1979">
        <v>1.228885633989607</v>
      </c>
      <c r="DR269" s="1999">
        <v>1.3133000583936134</v>
      </c>
      <c r="DS269" s="1979">
        <v>1.2342480956169051</v>
      </c>
    </row>
    <row r="270" spans="1:123">
      <c r="B270" s="2">
        <v>11</v>
      </c>
      <c r="C270" s="2" t="s">
        <v>4337</v>
      </c>
      <c r="D270" s="1998">
        <v>1.738094883562777</v>
      </c>
      <c r="E270" s="1998">
        <v>1.5456959729939597</v>
      </c>
      <c r="F270" s="1998">
        <v>1.751626978440171</v>
      </c>
      <c r="G270" s="1998">
        <v>1.5638744908359459</v>
      </c>
      <c r="H270" s="1998">
        <v>1.7828386374831231</v>
      </c>
      <c r="I270" s="1998">
        <v>1.6025387977920953</v>
      </c>
      <c r="J270" s="1998">
        <v>1.8113221989724395</v>
      </c>
      <c r="K270" s="1998">
        <v>1.6402674362989385</v>
      </c>
      <c r="L270" s="1998">
        <v>1.8467855647657314</v>
      </c>
      <c r="M270" s="1998">
        <v>1.6823601129204</v>
      </c>
      <c r="N270" s="1999">
        <v>0</v>
      </c>
      <c r="O270" s="1979">
        <v>0</v>
      </c>
      <c r="P270" s="1979">
        <v>0</v>
      </c>
      <c r="Q270" s="1979">
        <v>0</v>
      </c>
      <c r="R270" s="1979">
        <v>0</v>
      </c>
      <c r="S270" s="1979">
        <v>0</v>
      </c>
      <c r="T270" s="1979">
        <v>0</v>
      </c>
      <c r="U270" s="1979">
        <v>0</v>
      </c>
      <c r="V270" s="1979">
        <v>0</v>
      </c>
      <c r="W270" s="1979">
        <v>0</v>
      </c>
      <c r="X270" s="2000">
        <v>1.7154697815940962</v>
      </c>
      <c r="Y270" s="1998">
        <v>1.5690544280514502</v>
      </c>
      <c r="Z270" s="1998">
        <v>1.7553224511307477</v>
      </c>
      <c r="AA270" s="1998">
        <v>1.6133548086648648</v>
      </c>
      <c r="AB270" s="1998">
        <v>1.7603100521389006</v>
      </c>
      <c r="AC270" s="1998">
        <v>1.6195469333124042</v>
      </c>
      <c r="AD270" s="1998">
        <v>1.7652976531470537</v>
      </c>
      <c r="AE270" s="1998">
        <v>1.6257390579599438</v>
      </c>
      <c r="AF270" s="1998">
        <v>1.770285254155207</v>
      </c>
      <c r="AG270" s="1998">
        <v>1.6319311826074832</v>
      </c>
      <c r="AH270" s="1999">
        <v>1.3751633987507417</v>
      </c>
      <c r="AI270" s="1979">
        <v>1.2398110438788497</v>
      </c>
      <c r="AJ270" s="1979">
        <v>1.4021362205465988</v>
      </c>
      <c r="AK270" s="1979">
        <v>1.2701371298407091</v>
      </c>
      <c r="AL270" s="1979">
        <v>1.4055118958713853</v>
      </c>
      <c r="AM270" s="1979">
        <v>1.2743759851676311</v>
      </c>
      <c r="AN270" s="1979">
        <v>1.4088875711961719</v>
      </c>
      <c r="AO270" s="1979">
        <v>1.2786148404945525</v>
      </c>
      <c r="AP270" s="1979">
        <v>1.4122632465209588</v>
      </c>
      <c r="AQ270" s="1979">
        <v>1.2828536958214747</v>
      </c>
      <c r="AR270" s="2000">
        <v>1.854076301951326</v>
      </c>
      <c r="AS270" s="1998">
        <v>1.6610189938895707</v>
      </c>
      <c r="AT270" s="1998">
        <v>1.893780167929902</v>
      </c>
      <c r="AU270" s="1998">
        <v>1.7053214020204723</v>
      </c>
      <c r="AV270" s="1998">
        <v>1.8987491460255901</v>
      </c>
      <c r="AW270" s="1998">
        <v>1.7115138100660512</v>
      </c>
      <c r="AX270" s="1998">
        <v>1.9037181241212786</v>
      </c>
      <c r="AY270" s="1998">
        <v>1.7177062181116298</v>
      </c>
      <c r="AZ270" s="1998">
        <v>1.9086871022169667</v>
      </c>
      <c r="BA270" s="1998">
        <v>1.7238986261572091</v>
      </c>
      <c r="BB270" s="1999">
        <v>2.0274146820643217</v>
      </c>
      <c r="BC270" s="1979">
        <v>1.7273621986267986</v>
      </c>
      <c r="BD270" s="1979">
        <v>2.0682340553867555</v>
      </c>
      <c r="BE270" s="1979">
        <v>1.7686804413203989</v>
      </c>
      <c r="BF270" s="1979">
        <v>2.0748147360010112</v>
      </c>
      <c r="BG270" s="1979">
        <v>1.7765994849235223</v>
      </c>
      <c r="BH270" s="1979">
        <v>2.0813954166152668</v>
      </c>
      <c r="BI270" s="1979">
        <v>1.7845185285266458</v>
      </c>
      <c r="BJ270" s="1979">
        <v>2.0879760972295225</v>
      </c>
      <c r="BK270" s="1979">
        <v>1.792437572129769</v>
      </c>
      <c r="BL270" s="2000">
        <v>1.3044832408826474</v>
      </c>
      <c r="BM270" s="1998">
        <v>1.1868379231852288</v>
      </c>
      <c r="BN270" s="2000">
        <v>1.3069431527932796</v>
      </c>
      <c r="BO270" s="1998">
        <v>1.1897890547207552</v>
      </c>
      <c r="BP270" s="2000">
        <v>1.3094030647039119</v>
      </c>
      <c r="BQ270" s="1998">
        <v>1.1927401862562821</v>
      </c>
      <c r="BR270" s="2000">
        <v>1.3118629766145438</v>
      </c>
      <c r="BS270" s="1998">
        <v>1.1956913177918083</v>
      </c>
      <c r="BT270" s="2000">
        <v>1.3143228885251759</v>
      </c>
      <c r="BU270" s="1998">
        <v>1.1956913177918083</v>
      </c>
      <c r="BV270" s="1999">
        <v>1.5698579221800675</v>
      </c>
      <c r="BW270" s="1979">
        <v>1.5108493479228675</v>
      </c>
      <c r="BX270" s="1979">
        <v>1.5836679361517885</v>
      </c>
      <c r="BY270" s="1979">
        <v>1.5302515890366879</v>
      </c>
      <c r="BZ270" s="1979">
        <v>1.6110997668683462</v>
      </c>
      <c r="CA270" s="1979">
        <v>1.5658407126367961</v>
      </c>
      <c r="CB270" s="1979">
        <v>1.6353235588788602</v>
      </c>
      <c r="CC270" s="1979">
        <v>1.5993977270007136</v>
      </c>
      <c r="CD270" s="1979">
        <v>1.6714192741246046</v>
      </c>
      <c r="CE270" s="1979">
        <v>1.6407177614731046</v>
      </c>
      <c r="CF270" s="2000">
        <v>1.4617599406462027</v>
      </c>
      <c r="CG270" s="1998">
        <v>1.4214861836675856</v>
      </c>
      <c r="CH270" s="2000">
        <v>1.4645164350002793</v>
      </c>
      <c r="CI270" s="1998">
        <v>1.4250207797754335</v>
      </c>
      <c r="CJ270" s="2000">
        <v>1.467272929354356</v>
      </c>
      <c r="CK270" s="1998">
        <v>1.4285553758832814</v>
      </c>
      <c r="CL270" s="2000">
        <v>1.4700294237084324</v>
      </c>
      <c r="CM270" s="1998">
        <v>1.4320899719911289</v>
      </c>
      <c r="CN270" s="2000">
        <v>1.4727859180625089</v>
      </c>
      <c r="CO270" s="1998">
        <v>1.435624568098977</v>
      </c>
      <c r="CP270" s="1999">
        <v>1.4705551159355312</v>
      </c>
      <c r="CQ270" s="1979">
        <v>1.4285208463130525</v>
      </c>
      <c r="CR270" s="1999">
        <v>1.4734480915251766</v>
      </c>
      <c r="CS270" s="1979">
        <v>1.4322219148928927</v>
      </c>
      <c r="CT270" s="1999">
        <v>1.476341067114822</v>
      </c>
      <c r="CU270" s="1979">
        <v>1.4359229834727327</v>
      </c>
      <c r="CV270" s="1999">
        <v>1.4792340427044677</v>
      </c>
      <c r="CW270" s="1979">
        <v>1.4396240520525727</v>
      </c>
      <c r="CX270" s="1999">
        <v>1.4821270182941133</v>
      </c>
      <c r="CY270" s="1979">
        <v>1.4433251206324129</v>
      </c>
      <c r="CZ270" s="2000">
        <v>1.3197908027615159</v>
      </c>
      <c r="DA270" s="1998">
        <v>1.2384284976777544</v>
      </c>
      <c r="DB270" s="2000">
        <v>1.3221574475687907</v>
      </c>
      <c r="DC270" s="1998">
        <v>1.2414280259815564</v>
      </c>
      <c r="DD270" s="2000">
        <v>1.3245240923760653</v>
      </c>
      <c r="DE270" s="1998">
        <v>1.2444275542853591</v>
      </c>
      <c r="DF270" s="2000">
        <v>1.3268907371833394</v>
      </c>
      <c r="DG270" s="1998">
        <v>1.2474270825891614</v>
      </c>
      <c r="DH270" s="2000">
        <v>1.3316240267978887</v>
      </c>
      <c r="DI270" s="1998">
        <v>1.2534261391967663</v>
      </c>
      <c r="DJ270" s="1999">
        <v>1.3811855998371385</v>
      </c>
      <c r="DK270" s="1979">
        <v>1.2812625715068957</v>
      </c>
      <c r="DL270" s="1999">
        <v>1.383272782407325</v>
      </c>
      <c r="DM270" s="1979">
        <v>1.2839438023205443</v>
      </c>
      <c r="DN270" s="1999">
        <v>1.3853599649775117</v>
      </c>
      <c r="DO270" s="1979">
        <v>1.2866250331341935</v>
      </c>
      <c r="DP270" s="1999">
        <v>1.3874471475476982</v>
      </c>
      <c r="DQ270" s="1979">
        <v>1.2893062639478428</v>
      </c>
      <c r="DR270" s="1999">
        <v>1.3916215126880715</v>
      </c>
      <c r="DS270" s="1979">
        <v>1.2946687255751408</v>
      </c>
    </row>
    <row r="271" spans="1:123">
      <c r="B271" s="2">
        <v>12</v>
      </c>
      <c r="C271" s="2" t="s">
        <v>4338</v>
      </c>
      <c r="D271" s="1998">
        <v>1.997599960124123</v>
      </c>
      <c r="E271" s="1998">
        <v>1.7729275253351018</v>
      </c>
      <c r="F271" s="1998">
        <v>2.0116733387966121</v>
      </c>
      <c r="G271" s="1998">
        <v>1.7918331838907677</v>
      </c>
      <c r="H271" s="1998">
        <v>2.0430938132059535</v>
      </c>
      <c r="I271" s="1998">
        <v>1.8307673031412672</v>
      </c>
      <c r="J271" s="1998">
        <v>2.0715773746952704</v>
      </c>
      <c r="K271" s="1998">
        <v>1.8684959416481097</v>
      </c>
      <c r="L271" s="1998">
        <v>2.1084367013493566</v>
      </c>
      <c r="M271" s="1998">
        <v>1.9114614258924956</v>
      </c>
      <c r="N271" s="1999">
        <v>0</v>
      </c>
      <c r="O271" s="1979">
        <v>0</v>
      </c>
      <c r="P271" s="1979">
        <v>0</v>
      </c>
      <c r="Q271" s="1979">
        <v>0</v>
      </c>
      <c r="R271" s="1979">
        <v>0</v>
      </c>
      <c r="S271" s="1979">
        <v>0</v>
      </c>
      <c r="T271" s="1979">
        <v>0</v>
      </c>
      <c r="U271" s="1979">
        <v>0</v>
      </c>
      <c r="V271" s="1979">
        <v>0</v>
      </c>
      <c r="W271" s="1979">
        <v>0</v>
      </c>
      <c r="X271" s="2000">
        <v>1.7813777045493222</v>
      </c>
      <c r="Y271" s="1998">
        <v>1.6750485602378804</v>
      </c>
      <c r="Z271" s="1998">
        <v>1.8277841690480217</v>
      </c>
      <c r="AA271" s="1998">
        <v>1.7235104178431011</v>
      </c>
      <c r="AB271" s="1998">
        <v>1.8352655705602512</v>
      </c>
      <c r="AC271" s="1998">
        <v>1.7327986048144106</v>
      </c>
      <c r="AD271" s="1998">
        <v>1.8427469720724807</v>
      </c>
      <c r="AE271" s="1998">
        <v>1.7420867917857197</v>
      </c>
      <c r="AF271" s="1998">
        <v>1.8502283735847107</v>
      </c>
      <c r="AG271" s="1998">
        <v>1.7513749787570292</v>
      </c>
      <c r="AH271" s="1999">
        <v>1.4700620400166018</v>
      </c>
      <c r="AI271" s="1979">
        <v>1.3491532514084303</v>
      </c>
      <c r="AJ271" s="1979">
        <v>1.5014705582326275</v>
      </c>
      <c r="AK271" s="1979">
        <v>1.3823281009076305</v>
      </c>
      <c r="AL271" s="1979">
        <v>1.5065340712198074</v>
      </c>
      <c r="AM271" s="1979">
        <v>1.388686383898013</v>
      </c>
      <c r="AN271" s="1979">
        <v>1.5115975842069875</v>
      </c>
      <c r="AO271" s="1979">
        <v>1.395044666888396</v>
      </c>
      <c r="AP271" s="1979">
        <v>1.5166610971941674</v>
      </c>
      <c r="AQ271" s="1979">
        <v>1.4014029498787786</v>
      </c>
      <c r="AR271" s="2000">
        <v>1.9574926762453986</v>
      </c>
      <c r="AS271" s="1998">
        <v>1.7956162791787804</v>
      </c>
      <c r="AT271" s="1998">
        <v>2.0037258663533128</v>
      </c>
      <c r="AU271" s="1998">
        <v>1.8440803547618687</v>
      </c>
      <c r="AV271" s="1998">
        <v>2.0111793334968451</v>
      </c>
      <c r="AW271" s="1998">
        <v>1.8533689668302369</v>
      </c>
      <c r="AX271" s="1998">
        <v>2.0186328006403778</v>
      </c>
      <c r="AY271" s="1998">
        <v>1.8626575788986053</v>
      </c>
      <c r="AZ271" s="1998">
        <v>2.02608626778391</v>
      </c>
      <c r="BA271" s="1998">
        <v>1.8719461909669737</v>
      </c>
      <c r="BB271" s="1999">
        <v>2.7375466011927498</v>
      </c>
      <c r="BC271" s="1979">
        <v>2.3321030709961268</v>
      </c>
      <c r="BD271" s="1979">
        <v>2.7956602333727201</v>
      </c>
      <c r="BE271" s="1979">
        <v>2.3840654526976852</v>
      </c>
      <c r="BF271" s="1979">
        <v>2.8088215946012309</v>
      </c>
      <c r="BG271" s="1979">
        <v>2.3999035399039319</v>
      </c>
      <c r="BH271" s="1979">
        <v>2.8219829558297422</v>
      </c>
      <c r="BI271" s="1979">
        <v>2.4157416271101786</v>
      </c>
      <c r="BJ271" s="1979">
        <v>2.8351443170582535</v>
      </c>
      <c r="BK271" s="1979">
        <v>2.4315797143164257</v>
      </c>
      <c r="BL271" s="2000">
        <v>1.5584059406388453</v>
      </c>
      <c r="BM271" s="1998">
        <v>1.3814592331095694</v>
      </c>
      <c r="BN271" s="2000">
        <v>1.5608658525494776</v>
      </c>
      <c r="BO271" s="1998">
        <v>1.384410364645096</v>
      </c>
      <c r="BP271" s="2000">
        <v>1.5633257644601097</v>
      </c>
      <c r="BQ271" s="1998">
        <v>1.3873614961806224</v>
      </c>
      <c r="BR271" s="2000">
        <v>1.5657856763707416</v>
      </c>
      <c r="BS271" s="1998">
        <v>1.3903126277161491</v>
      </c>
      <c r="BT271" s="2000">
        <v>1.5682455882813739</v>
      </c>
      <c r="BU271" s="1998">
        <v>1.3903126277161491</v>
      </c>
      <c r="BV271" s="1999">
        <v>1.8084422833029457</v>
      </c>
      <c r="BW271" s="1979">
        <v>1.725474401070944</v>
      </c>
      <c r="BX271" s="1979">
        <v>1.8222522972746664</v>
      </c>
      <c r="BY271" s="1979">
        <v>1.7448766421847643</v>
      </c>
      <c r="BZ271" s="1979">
        <v>1.8496841279912244</v>
      </c>
      <c r="CA271" s="1979">
        <v>1.7804657657848726</v>
      </c>
      <c r="CB271" s="1979">
        <v>1.8739079200017388</v>
      </c>
      <c r="CC271" s="1979">
        <v>1.81402278014879</v>
      </c>
      <c r="CD271" s="1979">
        <v>1.910003635247483</v>
      </c>
      <c r="CE271" s="1979">
        <v>1.855342814621181</v>
      </c>
      <c r="CF271" s="2000">
        <v>1.7084815813134044</v>
      </c>
      <c r="CG271" s="1998">
        <v>1.6235884157799032</v>
      </c>
      <c r="CH271" s="2000">
        <v>1.711238075667481</v>
      </c>
      <c r="CI271" s="1998">
        <v>1.6271230118877511</v>
      </c>
      <c r="CJ271" s="2000">
        <v>1.7139945700215578</v>
      </c>
      <c r="CK271" s="1998">
        <v>1.630657607995599</v>
      </c>
      <c r="CL271" s="2000">
        <v>1.7167510643756341</v>
      </c>
      <c r="CM271" s="1998">
        <v>1.6341922041034465</v>
      </c>
      <c r="CN271" s="2000">
        <v>1.7195075587297106</v>
      </c>
      <c r="CO271" s="1998">
        <v>1.6377268002112946</v>
      </c>
      <c r="CP271" s="1999">
        <v>1.7857691569162881</v>
      </c>
      <c r="CQ271" s="1979">
        <v>1.6853299126739345</v>
      </c>
      <c r="CR271" s="1999">
        <v>1.788662132505934</v>
      </c>
      <c r="CS271" s="1979">
        <v>1.6890309812537747</v>
      </c>
      <c r="CT271" s="1999">
        <v>1.7915551080955794</v>
      </c>
      <c r="CU271" s="1979">
        <v>1.6927320498336147</v>
      </c>
      <c r="CV271" s="1999">
        <v>1.794448083685225</v>
      </c>
      <c r="CW271" s="1979">
        <v>1.6964331184134549</v>
      </c>
      <c r="CX271" s="1999">
        <v>1.7973410592748704</v>
      </c>
      <c r="CY271" s="1979">
        <v>1.7001341869932947</v>
      </c>
      <c r="CZ271" s="2000">
        <v>1.1400279612940512</v>
      </c>
      <c r="DA271" s="1998">
        <v>1.1642480601365344</v>
      </c>
      <c r="DB271" s="2000">
        <v>1.1447612509086003</v>
      </c>
      <c r="DC271" s="1998">
        <v>1.1702471167441391</v>
      </c>
      <c r="DD271" s="2000">
        <v>1.1494945405231496</v>
      </c>
      <c r="DE271" s="1998">
        <v>1.1762461733517438</v>
      </c>
      <c r="DF271" s="2000">
        <v>1.1542278301376987</v>
      </c>
      <c r="DG271" s="1998">
        <v>1.1822452299593484</v>
      </c>
      <c r="DH271" s="2000">
        <v>1.1636944093667971</v>
      </c>
      <c r="DI271" s="1998">
        <v>1.194243343174558</v>
      </c>
      <c r="DJ271" s="1999">
        <v>1.39583876590726</v>
      </c>
      <c r="DK271" s="1979">
        <v>1.3629251340084729</v>
      </c>
      <c r="DL271" s="1999">
        <v>1.4000131310476336</v>
      </c>
      <c r="DM271" s="1979">
        <v>1.3682875956357714</v>
      </c>
      <c r="DN271" s="1999">
        <v>1.4041874961880065</v>
      </c>
      <c r="DO271" s="1979">
        <v>1.3736500572630692</v>
      </c>
      <c r="DP271" s="1999">
        <v>1.4083618613283797</v>
      </c>
      <c r="DQ271" s="1979">
        <v>1.3790125188903675</v>
      </c>
      <c r="DR271" s="1999">
        <v>1.4167105916091263</v>
      </c>
      <c r="DS271" s="1979">
        <v>1.3897374421449638</v>
      </c>
    </row>
    <row r="272" spans="1:123">
      <c r="B272" s="2">
        <v>13</v>
      </c>
      <c r="C272" s="2" t="str">
        <f>CONCATENATE($U$8," ",V$10)</f>
        <v>Proportion de fenêtres 0</v>
      </c>
      <c r="D272" s="1998">
        <v>0</v>
      </c>
      <c r="E272" s="1998">
        <v>0</v>
      </c>
      <c r="F272" s="1998">
        <v>0</v>
      </c>
      <c r="G272" s="1998">
        <v>0</v>
      </c>
      <c r="H272" s="1998">
        <v>0</v>
      </c>
      <c r="I272" s="1998">
        <v>0</v>
      </c>
      <c r="J272" s="1998">
        <v>0</v>
      </c>
      <c r="K272" s="1998">
        <v>0</v>
      </c>
      <c r="L272" s="1998">
        <v>0</v>
      </c>
      <c r="M272" s="1998">
        <v>0</v>
      </c>
      <c r="N272" s="1999">
        <v>0</v>
      </c>
      <c r="O272" s="1979">
        <v>0</v>
      </c>
      <c r="P272" s="1979">
        <v>0</v>
      </c>
      <c r="Q272" s="1979">
        <v>0</v>
      </c>
      <c r="R272" s="1979">
        <v>0</v>
      </c>
      <c r="S272" s="1979">
        <v>0</v>
      </c>
      <c r="T272" s="1979">
        <v>0</v>
      </c>
      <c r="U272" s="1979">
        <v>0</v>
      </c>
      <c r="V272" s="1979">
        <v>0</v>
      </c>
      <c r="W272" s="1979">
        <v>0</v>
      </c>
      <c r="X272" s="2000">
        <v>0</v>
      </c>
      <c r="Y272" s="1998">
        <v>0</v>
      </c>
      <c r="Z272" s="1998">
        <v>0</v>
      </c>
      <c r="AA272" s="1998">
        <v>0</v>
      </c>
      <c r="AB272" s="1998">
        <v>0</v>
      </c>
      <c r="AC272" s="1998">
        <v>0</v>
      </c>
      <c r="AD272" s="1998">
        <v>0</v>
      </c>
      <c r="AE272" s="1998">
        <v>0</v>
      </c>
      <c r="AF272" s="1998">
        <v>0</v>
      </c>
      <c r="AG272" s="1998">
        <v>0</v>
      </c>
      <c r="AH272" s="1999">
        <v>0</v>
      </c>
      <c r="AI272" s="1979">
        <v>0</v>
      </c>
      <c r="AJ272" s="1979">
        <v>0</v>
      </c>
      <c r="AK272" s="1979">
        <v>0</v>
      </c>
      <c r="AL272" s="1979">
        <v>0</v>
      </c>
      <c r="AM272" s="1979">
        <v>0</v>
      </c>
      <c r="AN272" s="1979">
        <v>0</v>
      </c>
      <c r="AO272" s="1979">
        <v>0</v>
      </c>
      <c r="AP272" s="1979">
        <v>0</v>
      </c>
      <c r="AQ272" s="1979">
        <v>0</v>
      </c>
      <c r="AR272" s="2000">
        <v>0</v>
      </c>
      <c r="AS272" s="1998">
        <v>0</v>
      </c>
      <c r="AT272" s="1998">
        <v>0</v>
      </c>
      <c r="AU272" s="1998">
        <v>0</v>
      </c>
      <c r="AV272" s="1998">
        <v>0</v>
      </c>
      <c r="AW272" s="1998">
        <v>0</v>
      </c>
      <c r="AX272" s="1998">
        <v>0</v>
      </c>
      <c r="AY272" s="1998">
        <v>0</v>
      </c>
      <c r="AZ272" s="1998">
        <v>0</v>
      </c>
      <c r="BA272" s="1998">
        <v>0</v>
      </c>
      <c r="BB272" s="1999">
        <v>0</v>
      </c>
      <c r="BC272" s="1979">
        <v>0</v>
      </c>
      <c r="BD272" s="1979">
        <v>0</v>
      </c>
      <c r="BE272" s="1979">
        <v>0</v>
      </c>
      <c r="BF272" s="1979">
        <v>0</v>
      </c>
      <c r="BG272" s="1979">
        <v>0</v>
      </c>
      <c r="BH272" s="1979">
        <v>0</v>
      </c>
      <c r="BI272" s="1979">
        <v>0</v>
      </c>
      <c r="BJ272" s="1979">
        <v>0</v>
      </c>
      <c r="BK272" s="1979">
        <v>0</v>
      </c>
      <c r="BL272" s="2000">
        <v>0</v>
      </c>
      <c r="BM272" s="1998">
        <v>0</v>
      </c>
      <c r="BN272" s="1998">
        <v>0</v>
      </c>
      <c r="BO272" s="1998">
        <v>0</v>
      </c>
      <c r="BP272" s="1998">
        <v>0</v>
      </c>
      <c r="BQ272" s="1998">
        <v>0</v>
      </c>
      <c r="BR272" s="1998">
        <v>0</v>
      </c>
      <c r="BS272" s="1998">
        <v>0</v>
      </c>
      <c r="BT272" s="1998">
        <v>0</v>
      </c>
      <c r="BU272" s="1998">
        <v>0</v>
      </c>
      <c r="BV272" s="1999">
        <v>0</v>
      </c>
      <c r="BW272" s="1979">
        <v>0</v>
      </c>
      <c r="BX272" s="1979">
        <v>0</v>
      </c>
      <c r="BY272" s="1979">
        <v>0</v>
      </c>
      <c r="BZ272" s="1979">
        <v>0</v>
      </c>
      <c r="CA272" s="1979">
        <v>0</v>
      </c>
      <c r="CB272" s="1979">
        <v>0</v>
      </c>
      <c r="CC272" s="1979">
        <v>0</v>
      </c>
      <c r="CD272" s="1979">
        <v>0</v>
      </c>
      <c r="CE272" s="1979">
        <v>0</v>
      </c>
      <c r="CF272" s="2000">
        <v>0</v>
      </c>
      <c r="CG272" s="1998">
        <v>0</v>
      </c>
      <c r="CH272" s="2000">
        <v>0</v>
      </c>
      <c r="CI272" s="1998">
        <v>0</v>
      </c>
      <c r="CJ272" s="2000">
        <v>0</v>
      </c>
      <c r="CK272" s="1998">
        <v>0</v>
      </c>
      <c r="CL272" s="2000">
        <v>0</v>
      </c>
      <c r="CM272" s="1998">
        <v>0</v>
      </c>
      <c r="CN272" s="2000">
        <v>0</v>
      </c>
      <c r="CO272" s="1998">
        <v>0</v>
      </c>
      <c r="CP272" s="1999">
        <v>0</v>
      </c>
      <c r="CQ272" s="1979">
        <v>0</v>
      </c>
      <c r="CR272" s="1999">
        <v>0</v>
      </c>
      <c r="CS272" s="1979">
        <v>0</v>
      </c>
      <c r="CT272" s="1999">
        <v>0</v>
      </c>
      <c r="CU272" s="1979">
        <v>0</v>
      </c>
      <c r="CV272" s="1999">
        <v>0</v>
      </c>
      <c r="CW272" s="1979">
        <v>0</v>
      </c>
      <c r="CX272" s="1999">
        <v>0</v>
      </c>
      <c r="CY272" s="1979">
        <v>0</v>
      </c>
      <c r="CZ272" s="2000">
        <v>0</v>
      </c>
      <c r="DA272" s="1998">
        <v>0</v>
      </c>
      <c r="DB272" s="1998">
        <v>0</v>
      </c>
      <c r="DC272" s="1998">
        <v>0</v>
      </c>
      <c r="DD272" s="1998">
        <v>0</v>
      </c>
      <c r="DE272" s="1998">
        <v>0</v>
      </c>
      <c r="DF272" s="1998">
        <v>0</v>
      </c>
      <c r="DG272" s="1998">
        <v>0</v>
      </c>
      <c r="DH272" s="1998">
        <v>0</v>
      </c>
      <c r="DI272" s="1998">
        <v>0</v>
      </c>
      <c r="DJ272" s="1999">
        <v>0</v>
      </c>
      <c r="DK272" s="1979">
        <v>0</v>
      </c>
      <c r="DL272" s="1979">
        <v>0</v>
      </c>
      <c r="DM272" s="1979">
        <v>0</v>
      </c>
      <c r="DN272" s="1979">
        <v>0</v>
      </c>
      <c r="DO272" s="1979">
        <v>0</v>
      </c>
      <c r="DP272" s="1979">
        <v>0</v>
      </c>
      <c r="DQ272" s="1979">
        <v>0</v>
      </c>
      <c r="DR272" s="1979">
        <v>0</v>
      </c>
      <c r="DS272" s="1979">
        <v>0</v>
      </c>
    </row>
    <row r="273" spans="2:123">
      <c r="B273" s="2">
        <v>14</v>
      </c>
      <c r="C273" s="2" t="str">
        <f>CONCATENATE($U$8," ",V$11)</f>
        <v>Proportion de fenêtres 10</v>
      </c>
      <c r="D273" s="1998">
        <v>0</v>
      </c>
      <c r="E273" s="1998">
        <v>0</v>
      </c>
      <c r="F273" s="1998">
        <v>0</v>
      </c>
      <c r="G273" s="1998">
        <v>0</v>
      </c>
      <c r="H273" s="1998">
        <v>0</v>
      </c>
      <c r="I273" s="1998">
        <v>0</v>
      </c>
      <c r="J273" s="1998">
        <v>0</v>
      </c>
      <c r="K273" s="1998">
        <v>0</v>
      </c>
      <c r="L273" s="1998">
        <v>0</v>
      </c>
      <c r="M273" s="1998">
        <v>0</v>
      </c>
      <c r="N273" s="1999">
        <v>0</v>
      </c>
      <c r="O273" s="1979">
        <v>0</v>
      </c>
      <c r="P273" s="1979">
        <v>0</v>
      </c>
      <c r="Q273" s="1979">
        <v>0</v>
      </c>
      <c r="R273" s="1979">
        <v>0</v>
      </c>
      <c r="S273" s="1979">
        <v>0</v>
      </c>
      <c r="T273" s="1979">
        <v>0</v>
      </c>
      <c r="U273" s="1979">
        <v>0</v>
      </c>
      <c r="V273" s="1979">
        <v>0</v>
      </c>
      <c r="W273" s="1979">
        <v>0</v>
      </c>
      <c r="X273" s="2000">
        <v>0</v>
      </c>
      <c r="Y273" s="1998">
        <v>0</v>
      </c>
      <c r="Z273" s="1998">
        <v>0</v>
      </c>
      <c r="AA273" s="1998">
        <v>0</v>
      </c>
      <c r="AB273" s="1998">
        <v>0</v>
      </c>
      <c r="AC273" s="1998">
        <v>0</v>
      </c>
      <c r="AD273" s="1998">
        <v>0</v>
      </c>
      <c r="AE273" s="1998">
        <v>0</v>
      </c>
      <c r="AF273" s="1998">
        <v>0</v>
      </c>
      <c r="AG273" s="1998">
        <v>0</v>
      </c>
      <c r="AH273" s="1999">
        <v>0</v>
      </c>
      <c r="AI273" s="1979">
        <v>0</v>
      </c>
      <c r="AJ273" s="1979">
        <v>0</v>
      </c>
      <c r="AK273" s="1979">
        <v>0</v>
      </c>
      <c r="AL273" s="1979">
        <v>0</v>
      </c>
      <c r="AM273" s="1979">
        <v>0</v>
      </c>
      <c r="AN273" s="1979">
        <v>0</v>
      </c>
      <c r="AO273" s="1979">
        <v>0</v>
      </c>
      <c r="AP273" s="1979">
        <v>0</v>
      </c>
      <c r="AQ273" s="1979">
        <v>0</v>
      </c>
      <c r="AR273" s="2000">
        <v>0</v>
      </c>
      <c r="AS273" s="1998">
        <v>0</v>
      </c>
      <c r="AT273" s="1998">
        <v>0</v>
      </c>
      <c r="AU273" s="1998">
        <v>0</v>
      </c>
      <c r="AV273" s="1998">
        <v>0</v>
      </c>
      <c r="AW273" s="1998">
        <v>0</v>
      </c>
      <c r="AX273" s="1998">
        <v>0</v>
      </c>
      <c r="AY273" s="1998">
        <v>0</v>
      </c>
      <c r="AZ273" s="1998">
        <v>0</v>
      </c>
      <c r="BA273" s="1998">
        <v>0</v>
      </c>
      <c r="BB273" s="1999">
        <v>0</v>
      </c>
      <c r="BC273" s="1979">
        <v>0</v>
      </c>
      <c r="BD273" s="1979">
        <v>0</v>
      </c>
      <c r="BE273" s="1979">
        <v>0</v>
      </c>
      <c r="BF273" s="1979">
        <v>0</v>
      </c>
      <c r="BG273" s="1979">
        <v>0</v>
      </c>
      <c r="BH273" s="1979">
        <v>0</v>
      </c>
      <c r="BI273" s="1979">
        <v>0</v>
      </c>
      <c r="BJ273" s="1979">
        <v>0</v>
      </c>
      <c r="BK273" s="1979">
        <v>0</v>
      </c>
      <c r="BL273" s="2000">
        <v>0</v>
      </c>
      <c r="BM273" s="1998">
        <v>0</v>
      </c>
      <c r="BN273" s="1998">
        <v>0</v>
      </c>
      <c r="BO273" s="1998">
        <v>0</v>
      </c>
      <c r="BP273" s="1998">
        <v>0</v>
      </c>
      <c r="BQ273" s="1998">
        <v>0</v>
      </c>
      <c r="BR273" s="1998">
        <v>0</v>
      </c>
      <c r="BS273" s="1998">
        <v>0</v>
      </c>
      <c r="BT273" s="1998">
        <v>0</v>
      </c>
      <c r="BU273" s="1998">
        <v>0</v>
      </c>
      <c r="BV273" s="1999">
        <v>0</v>
      </c>
      <c r="BW273" s="1979">
        <v>0</v>
      </c>
      <c r="BX273" s="1979">
        <v>0</v>
      </c>
      <c r="BY273" s="1979">
        <v>0</v>
      </c>
      <c r="BZ273" s="1979">
        <v>0</v>
      </c>
      <c r="CA273" s="1979">
        <v>0</v>
      </c>
      <c r="CB273" s="1979">
        <v>0</v>
      </c>
      <c r="CC273" s="1979">
        <v>0</v>
      </c>
      <c r="CD273" s="1979">
        <v>0</v>
      </c>
      <c r="CE273" s="1979">
        <v>0</v>
      </c>
      <c r="CF273" s="2000">
        <v>0</v>
      </c>
      <c r="CG273" s="1998">
        <v>0</v>
      </c>
      <c r="CH273" s="2000">
        <v>0</v>
      </c>
      <c r="CI273" s="1998">
        <v>0</v>
      </c>
      <c r="CJ273" s="2000">
        <v>0</v>
      </c>
      <c r="CK273" s="1998">
        <v>0</v>
      </c>
      <c r="CL273" s="2000">
        <v>0</v>
      </c>
      <c r="CM273" s="1998">
        <v>0</v>
      </c>
      <c r="CN273" s="2000">
        <v>0</v>
      </c>
      <c r="CO273" s="1998">
        <v>0</v>
      </c>
      <c r="CP273" s="1999">
        <v>0</v>
      </c>
      <c r="CQ273" s="1979">
        <v>0</v>
      </c>
      <c r="CR273" s="1999">
        <v>0</v>
      </c>
      <c r="CS273" s="1979">
        <v>0</v>
      </c>
      <c r="CT273" s="1999">
        <v>0</v>
      </c>
      <c r="CU273" s="1979">
        <v>0</v>
      </c>
      <c r="CV273" s="1999">
        <v>0</v>
      </c>
      <c r="CW273" s="1979">
        <v>0</v>
      </c>
      <c r="CX273" s="1999">
        <v>0</v>
      </c>
      <c r="CY273" s="1979">
        <v>0</v>
      </c>
      <c r="CZ273" s="2000">
        <v>0</v>
      </c>
      <c r="DA273" s="1998">
        <v>0</v>
      </c>
      <c r="DB273" s="1998">
        <v>0</v>
      </c>
      <c r="DC273" s="1998">
        <v>0</v>
      </c>
      <c r="DD273" s="1998">
        <v>0</v>
      </c>
      <c r="DE273" s="1998">
        <v>0</v>
      </c>
      <c r="DF273" s="1998">
        <v>0</v>
      </c>
      <c r="DG273" s="1998">
        <v>0</v>
      </c>
      <c r="DH273" s="1998">
        <v>0</v>
      </c>
      <c r="DI273" s="1998">
        <v>0</v>
      </c>
      <c r="DJ273" s="1999">
        <v>0</v>
      </c>
      <c r="DK273" s="1979">
        <v>0</v>
      </c>
      <c r="DL273" s="1979">
        <v>0</v>
      </c>
      <c r="DM273" s="1979">
        <v>0</v>
      </c>
      <c r="DN273" s="1979">
        <v>0</v>
      </c>
      <c r="DO273" s="1979">
        <v>0</v>
      </c>
      <c r="DP273" s="1979">
        <v>0</v>
      </c>
      <c r="DQ273" s="1979">
        <v>0</v>
      </c>
      <c r="DR273" s="1979">
        <v>0</v>
      </c>
      <c r="DS273" s="1979">
        <v>0</v>
      </c>
    </row>
    <row r="274" spans="2:123">
      <c r="B274" s="2">
        <v>15</v>
      </c>
      <c r="C274" s="2" t="str">
        <f>CONCATENATE($U$8," ",V$12)</f>
        <v>Proportion de fenêtres 20</v>
      </c>
      <c r="D274" s="1998">
        <v>0</v>
      </c>
      <c r="E274" s="1998">
        <v>0</v>
      </c>
      <c r="F274" s="1998">
        <v>0</v>
      </c>
      <c r="G274" s="1998">
        <v>0</v>
      </c>
      <c r="H274" s="1998">
        <v>0</v>
      </c>
      <c r="I274" s="1998">
        <v>0</v>
      </c>
      <c r="J274" s="1998">
        <v>0</v>
      </c>
      <c r="K274" s="1998">
        <v>0</v>
      </c>
      <c r="L274" s="1998">
        <v>0</v>
      </c>
      <c r="M274" s="1998">
        <v>0</v>
      </c>
      <c r="N274" s="1999">
        <v>0</v>
      </c>
      <c r="O274" s="1979">
        <v>0</v>
      </c>
      <c r="P274" s="1979">
        <v>0</v>
      </c>
      <c r="Q274" s="1979">
        <v>0</v>
      </c>
      <c r="R274" s="1979">
        <v>0</v>
      </c>
      <c r="S274" s="1979">
        <v>0</v>
      </c>
      <c r="T274" s="1979">
        <v>0</v>
      </c>
      <c r="U274" s="1979">
        <v>0</v>
      </c>
      <c r="V274" s="1979">
        <v>0</v>
      </c>
      <c r="W274" s="1979">
        <v>0</v>
      </c>
      <c r="X274" s="2000">
        <v>0</v>
      </c>
      <c r="Y274" s="1998">
        <v>0</v>
      </c>
      <c r="Z274" s="1998">
        <v>0</v>
      </c>
      <c r="AA274" s="1998">
        <v>0</v>
      </c>
      <c r="AB274" s="1998">
        <v>0</v>
      </c>
      <c r="AC274" s="1998">
        <v>0</v>
      </c>
      <c r="AD274" s="1998">
        <v>0</v>
      </c>
      <c r="AE274" s="1998">
        <v>0</v>
      </c>
      <c r="AF274" s="1998">
        <v>0</v>
      </c>
      <c r="AG274" s="1998">
        <v>0</v>
      </c>
      <c r="AH274" s="1999">
        <v>0</v>
      </c>
      <c r="AI274" s="1979">
        <v>0</v>
      </c>
      <c r="AJ274" s="1979">
        <v>0</v>
      </c>
      <c r="AK274" s="1979">
        <v>0</v>
      </c>
      <c r="AL274" s="1979">
        <v>0</v>
      </c>
      <c r="AM274" s="1979">
        <v>0</v>
      </c>
      <c r="AN274" s="1979">
        <v>0</v>
      </c>
      <c r="AO274" s="1979">
        <v>0</v>
      </c>
      <c r="AP274" s="1979">
        <v>0</v>
      </c>
      <c r="AQ274" s="1979">
        <v>0</v>
      </c>
      <c r="AR274" s="2000">
        <v>0</v>
      </c>
      <c r="AS274" s="1998">
        <v>0</v>
      </c>
      <c r="AT274" s="1998">
        <v>0</v>
      </c>
      <c r="AU274" s="1998">
        <v>0</v>
      </c>
      <c r="AV274" s="1998">
        <v>0</v>
      </c>
      <c r="AW274" s="1998">
        <v>0</v>
      </c>
      <c r="AX274" s="1998">
        <v>0</v>
      </c>
      <c r="AY274" s="1998">
        <v>0</v>
      </c>
      <c r="AZ274" s="1998">
        <v>0</v>
      </c>
      <c r="BA274" s="1998">
        <v>0</v>
      </c>
      <c r="BB274" s="1999">
        <v>0</v>
      </c>
      <c r="BC274" s="1979">
        <v>0</v>
      </c>
      <c r="BD274" s="1979">
        <v>0</v>
      </c>
      <c r="BE274" s="1979">
        <v>0</v>
      </c>
      <c r="BF274" s="1979">
        <v>0</v>
      </c>
      <c r="BG274" s="1979">
        <v>0</v>
      </c>
      <c r="BH274" s="1979">
        <v>0</v>
      </c>
      <c r="BI274" s="1979">
        <v>0</v>
      </c>
      <c r="BJ274" s="1979">
        <v>0</v>
      </c>
      <c r="BK274" s="1979">
        <v>0</v>
      </c>
      <c r="BL274" s="2000">
        <v>0</v>
      </c>
      <c r="BM274" s="1998">
        <v>0</v>
      </c>
      <c r="BN274" s="1998">
        <v>0</v>
      </c>
      <c r="BO274" s="1998">
        <v>0</v>
      </c>
      <c r="BP274" s="1998">
        <v>0</v>
      </c>
      <c r="BQ274" s="1998">
        <v>0</v>
      </c>
      <c r="BR274" s="1998">
        <v>0</v>
      </c>
      <c r="BS274" s="1998">
        <v>0</v>
      </c>
      <c r="BT274" s="1998">
        <v>0</v>
      </c>
      <c r="BU274" s="1998">
        <v>0</v>
      </c>
      <c r="BV274" s="1999">
        <v>0</v>
      </c>
      <c r="BW274" s="1979">
        <v>0</v>
      </c>
      <c r="BX274" s="1979">
        <v>0</v>
      </c>
      <c r="BY274" s="1979">
        <v>0</v>
      </c>
      <c r="BZ274" s="1979">
        <v>0</v>
      </c>
      <c r="CA274" s="1979">
        <v>0</v>
      </c>
      <c r="CB274" s="1979">
        <v>0</v>
      </c>
      <c r="CC274" s="1979">
        <v>0</v>
      </c>
      <c r="CD274" s="1979">
        <v>0</v>
      </c>
      <c r="CE274" s="1979">
        <v>0</v>
      </c>
      <c r="CF274" s="2000">
        <v>0</v>
      </c>
      <c r="CG274" s="1998">
        <v>0</v>
      </c>
      <c r="CH274" s="2000">
        <v>0</v>
      </c>
      <c r="CI274" s="1998">
        <v>0</v>
      </c>
      <c r="CJ274" s="2000">
        <v>0</v>
      </c>
      <c r="CK274" s="1998">
        <v>0</v>
      </c>
      <c r="CL274" s="2000">
        <v>0</v>
      </c>
      <c r="CM274" s="1998">
        <v>0</v>
      </c>
      <c r="CN274" s="2000">
        <v>0</v>
      </c>
      <c r="CO274" s="1998">
        <v>0</v>
      </c>
      <c r="CP274" s="1999">
        <v>0</v>
      </c>
      <c r="CQ274" s="1979">
        <v>0</v>
      </c>
      <c r="CR274" s="1999">
        <v>0</v>
      </c>
      <c r="CS274" s="1979">
        <v>0</v>
      </c>
      <c r="CT274" s="1999">
        <v>0</v>
      </c>
      <c r="CU274" s="1979">
        <v>0</v>
      </c>
      <c r="CV274" s="1999">
        <v>0</v>
      </c>
      <c r="CW274" s="1979">
        <v>0</v>
      </c>
      <c r="CX274" s="1999">
        <v>0</v>
      </c>
      <c r="CY274" s="1979">
        <v>0</v>
      </c>
      <c r="CZ274" s="2000">
        <v>0</v>
      </c>
      <c r="DA274" s="1998">
        <v>0</v>
      </c>
      <c r="DB274" s="1998">
        <v>0</v>
      </c>
      <c r="DC274" s="1998">
        <v>0</v>
      </c>
      <c r="DD274" s="1998">
        <v>0</v>
      </c>
      <c r="DE274" s="1998">
        <v>0</v>
      </c>
      <c r="DF274" s="1998">
        <v>0</v>
      </c>
      <c r="DG274" s="1998">
        <v>0</v>
      </c>
      <c r="DH274" s="1998">
        <v>0</v>
      </c>
      <c r="DI274" s="1998">
        <v>0</v>
      </c>
      <c r="DJ274" s="1999">
        <v>0</v>
      </c>
      <c r="DK274" s="1979">
        <v>0</v>
      </c>
      <c r="DL274" s="1979">
        <v>0</v>
      </c>
      <c r="DM274" s="1979">
        <v>0</v>
      </c>
      <c r="DN274" s="1979">
        <v>0</v>
      </c>
      <c r="DO274" s="1979">
        <v>0</v>
      </c>
      <c r="DP274" s="1979">
        <v>0</v>
      </c>
      <c r="DQ274" s="1979">
        <v>0</v>
      </c>
      <c r="DR274" s="1979">
        <v>0</v>
      </c>
      <c r="DS274" s="1979">
        <v>0</v>
      </c>
    </row>
    <row r="275" spans="2:123">
      <c r="B275" s="2">
        <v>16</v>
      </c>
      <c r="C275" s="2" t="str">
        <f>CONCATENATE($U$8," ",V$13)</f>
        <v>Proportion de fenêtres 30</v>
      </c>
      <c r="D275" s="1998">
        <v>0</v>
      </c>
      <c r="E275" s="1998">
        <v>0</v>
      </c>
      <c r="F275" s="1998">
        <v>0</v>
      </c>
      <c r="G275" s="1998">
        <v>0</v>
      </c>
      <c r="H275" s="1998">
        <v>0</v>
      </c>
      <c r="I275" s="1998">
        <v>0</v>
      </c>
      <c r="J275" s="1998">
        <v>0</v>
      </c>
      <c r="K275" s="1998">
        <v>0</v>
      </c>
      <c r="L275" s="1998">
        <v>0</v>
      </c>
      <c r="M275" s="1998">
        <v>0</v>
      </c>
      <c r="N275" s="1999">
        <v>0</v>
      </c>
      <c r="O275" s="1979">
        <v>0</v>
      </c>
      <c r="P275" s="1979">
        <v>0</v>
      </c>
      <c r="Q275" s="1979">
        <v>0</v>
      </c>
      <c r="R275" s="1979">
        <v>0</v>
      </c>
      <c r="S275" s="1979">
        <v>0</v>
      </c>
      <c r="T275" s="1979">
        <v>0</v>
      </c>
      <c r="U275" s="1979">
        <v>0</v>
      </c>
      <c r="V275" s="1979">
        <v>0</v>
      </c>
      <c r="W275" s="1979">
        <v>0</v>
      </c>
      <c r="X275" s="2000">
        <v>0</v>
      </c>
      <c r="Y275" s="1998">
        <v>0</v>
      </c>
      <c r="Z275" s="1998">
        <v>0</v>
      </c>
      <c r="AA275" s="1998">
        <v>0</v>
      </c>
      <c r="AB275" s="1998">
        <v>0</v>
      </c>
      <c r="AC275" s="1998">
        <v>0</v>
      </c>
      <c r="AD275" s="1998">
        <v>0</v>
      </c>
      <c r="AE275" s="1998">
        <v>0</v>
      </c>
      <c r="AF275" s="1998">
        <v>0</v>
      </c>
      <c r="AG275" s="1998">
        <v>0</v>
      </c>
      <c r="AH275" s="1999">
        <v>1.3751633987507417</v>
      </c>
      <c r="AI275" s="1979">
        <v>1.2398110438788497</v>
      </c>
      <c r="AJ275" s="1979">
        <v>1.4021362205465988</v>
      </c>
      <c r="AK275" s="1979">
        <v>1.2701371298407091</v>
      </c>
      <c r="AL275" s="1979">
        <v>1.4055118958713853</v>
      </c>
      <c r="AM275" s="1979">
        <v>1.2743759851676311</v>
      </c>
      <c r="AN275" s="1979">
        <v>1.4088875711961719</v>
      </c>
      <c r="AO275" s="1979">
        <v>1.2786148404945525</v>
      </c>
      <c r="AP275" s="1979">
        <v>1.4122632465209588</v>
      </c>
      <c r="AQ275" s="1979">
        <v>1.2828536958214747</v>
      </c>
      <c r="AR275" s="2000">
        <v>0</v>
      </c>
      <c r="AS275" s="1998">
        <v>0</v>
      </c>
      <c r="AT275" s="1998">
        <v>0</v>
      </c>
      <c r="AU275" s="1998">
        <v>0</v>
      </c>
      <c r="AV275" s="1998">
        <v>0</v>
      </c>
      <c r="AW275" s="1998">
        <v>0</v>
      </c>
      <c r="AX275" s="1998">
        <v>0</v>
      </c>
      <c r="AY275" s="1998">
        <v>0</v>
      </c>
      <c r="AZ275" s="1998">
        <v>0</v>
      </c>
      <c r="BA275" s="1998">
        <v>0</v>
      </c>
      <c r="BB275" s="1999">
        <v>0</v>
      </c>
      <c r="BC275" s="1979">
        <v>0</v>
      </c>
      <c r="BD275" s="1979">
        <v>0</v>
      </c>
      <c r="BE275" s="1979">
        <v>0</v>
      </c>
      <c r="BF275" s="1979">
        <v>0</v>
      </c>
      <c r="BG275" s="1979">
        <v>0</v>
      </c>
      <c r="BH275" s="1979">
        <v>0</v>
      </c>
      <c r="BI275" s="1979">
        <v>0</v>
      </c>
      <c r="BJ275" s="1979">
        <v>0</v>
      </c>
      <c r="BK275" s="1979">
        <v>0</v>
      </c>
      <c r="BL275" s="2000">
        <v>0</v>
      </c>
      <c r="BM275" s="1998">
        <v>0</v>
      </c>
      <c r="BN275" s="1998">
        <v>0</v>
      </c>
      <c r="BO275" s="1998">
        <v>0</v>
      </c>
      <c r="BP275" s="1998">
        <v>0</v>
      </c>
      <c r="BQ275" s="1998">
        <v>0</v>
      </c>
      <c r="BR275" s="1998">
        <v>0</v>
      </c>
      <c r="BS275" s="1998">
        <v>0</v>
      </c>
      <c r="BT275" s="1998">
        <v>0</v>
      </c>
      <c r="BU275" s="1998">
        <v>0</v>
      </c>
      <c r="BV275" s="1999">
        <v>0</v>
      </c>
      <c r="BW275" s="1979">
        <v>0</v>
      </c>
      <c r="BX275" s="1979">
        <v>0</v>
      </c>
      <c r="BY275" s="1979">
        <v>0</v>
      </c>
      <c r="BZ275" s="1979">
        <v>0</v>
      </c>
      <c r="CA275" s="1979">
        <v>0</v>
      </c>
      <c r="CB275" s="1979">
        <v>0</v>
      </c>
      <c r="CC275" s="1979">
        <v>0</v>
      </c>
      <c r="CD275" s="1979">
        <v>0</v>
      </c>
      <c r="CE275" s="1979">
        <v>0</v>
      </c>
      <c r="CF275" s="2000">
        <v>0</v>
      </c>
      <c r="CG275" s="1998">
        <v>0</v>
      </c>
      <c r="CH275" s="2000">
        <v>0</v>
      </c>
      <c r="CI275" s="1998">
        <v>0</v>
      </c>
      <c r="CJ275" s="2000">
        <v>0</v>
      </c>
      <c r="CK275" s="1998">
        <v>0</v>
      </c>
      <c r="CL275" s="2000">
        <v>0</v>
      </c>
      <c r="CM275" s="1998">
        <v>0</v>
      </c>
      <c r="CN275" s="2000">
        <v>0</v>
      </c>
      <c r="CO275" s="1998">
        <v>0</v>
      </c>
      <c r="CP275" s="1999">
        <v>0</v>
      </c>
      <c r="CQ275" s="1979">
        <v>0</v>
      </c>
      <c r="CR275" s="1999">
        <v>0</v>
      </c>
      <c r="CS275" s="1979">
        <v>0</v>
      </c>
      <c r="CT275" s="1999">
        <v>0</v>
      </c>
      <c r="CU275" s="1979">
        <v>0</v>
      </c>
      <c r="CV275" s="1999">
        <v>0</v>
      </c>
      <c r="CW275" s="1979">
        <v>0</v>
      </c>
      <c r="CX275" s="1999">
        <v>0</v>
      </c>
      <c r="CY275" s="1979">
        <v>0</v>
      </c>
      <c r="CZ275" s="2000">
        <v>0</v>
      </c>
      <c r="DA275" s="1998">
        <v>0</v>
      </c>
      <c r="DB275" s="1998">
        <v>0</v>
      </c>
      <c r="DC275" s="1998">
        <v>0</v>
      </c>
      <c r="DD275" s="1998">
        <v>0</v>
      </c>
      <c r="DE275" s="1998">
        <v>0</v>
      </c>
      <c r="DF275" s="1998">
        <v>0</v>
      </c>
      <c r="DG275" s="1998">
        <v>0</v>
      </c>
      <c r="DH275" s="1998">
        <v>0</v>
      </c>
      <c r="DI275" s="1998">
        <v>0</v>
      </c>
      <c r="DJ275" s="1999">
        <v>0</v>
      </c>
      <c r="DK275" s="1979">
        <v>0</v>
      </c>
      <c r="DL275" s="1979">
        <v>0</v>
      </c>
      <c r="DM275" s="1979">
        <v>0</v>
      </c>
      <c r="DN275" s="1979">
        <v>0</v>
      </c>
      <c r="DO275" s="1979">
        <v>0</v>
      </c>
      <c r="DP275" s="1979">
        <v>0</v>
      </c>
      <c r="DQ275" s="1979">
        <v>0</v>
      </c>
      <c r="DR275" s="1979">
        <v>0</v>
      </c>
      <c r="DS275" s="1979">
        <v>0</v>
      </c>
    </row>
    <row r="276" spans="2:123">
      <c r="B276" s="2">
        <v>17</v>
      </c>
      <c r="C276" s="2" t="str">
        <f>CONCATENATE($U$8," ",V$14)</f>
        <v>Proportion de fenêtres 40</v>
      </c>
      <c r="D276" s="1998">
        <v>0</v>
      </c>
      <c r="E276" s="1998">
        <v>0</v>
      </c>
      <c r="F276" s="1998">
        <v>0</v>
      </c>
      <c r="G276" s="1998">
        <v>0</v>
      </c>
      <c r="H276" s="1998">
        <v>0</v>
      </c>
      <c r="I276" s="1998">
        <v>0</v>
      </c>
      <c r="J276" s="1998">
        <v>0</v>
      </c>
      <c r="K276" s="1998">
        <v>0</v>
      </c>
      <c r="L276" s="1998">
        <v>0</v>
      </c>
      <c r="M276" s="1998">
        <v>0</v>
      </c>
      <c r="N276" s="1999">
        <v>0</v>
      </c>
      <c r="O276" s="1979">
        <v>0</v>
      </c>
      <c r="P276" s="1979">
        <v>0</v>
      </c>
      <c r="Q276" s="1979">
        <v>0</v>
      </c>
      <c r="R276" s="1979">
        <v>0</v>
      </c>
      <c r="S276" s="1979">
        <v>0</v>
      </c>
      <c r="T276" s="1979">
        <v>0</v>
      </c>
      <c r="U276" s="1979">
        <v>0</v>
      </c>
      <c r="V276" s="1979">
        <v>0</v>
      </c>
      <c r="W276" s="1979">
        <v>0</v>
      </c>
      <c r="X276" s="2000">
        <v>0</v>
      </c>
      <c r="Y276" s="1998">
        <v>0</v>
      </c>
      <c r="Z276" s="1998">
        <v>0</v>
      </c>
      <c r="AA276" s="1998">
        <v>0</v>
      </c>
      <c r="AB276" s="1998">
        <v>0</v>
      </c>
      <c r="AC276" s="1998">
        <v>0</v>
      </c>
      <c r="AD276" s="1998">
        <v>0</v>
      </c>
      <c r="AE276" s="1998">
        <v>0</v>
      </c>
      <c r="AF276" s="1998">
        <v>0</v>
      </c>
      <c r="AG276" s="1998">
        <v>0</v>
      </c>
      <c r="AH276" s="1999">
        <v>1.3751633987507417</v>
      </c>
      <c r="AI276" s="1979">
        <v>1.2398110438788497</v>
      </c>
      <c r="AJ276" s="1979">
        <v>1.4021362205465988</v>
      </c>
      <c r="AK276" s="1979">
        <v>1.2701371298407091</v>
      </c>
      <c r="AL276" s="1979">
        <v>1.4055118958713853</v>
      </c>
      <c r="AM276" s="1979">
        <v>1.2743759851676311</v>
      </c>
      <c r="AN276" s="1979">
        <v>1.4088875711961719</v>
      </c>
      <c r="AO276" s="1979">
        <v>1.2786148404945525</v>
      </c>
      <c r="AP276" s="1979">
        <v>1.4122632465209588</v>
      </c>
      <c r="AQ276" s="1979">
        <v>1.2828536958214747</v>
      </c>
      <c r="AR276" s="2000">
        <v>0</v>
      </c>
      <c r="AS276" s="1998">
        <v>0</v>
      </c>
      <c r="AT276" s="1998">
        <v>0</v>
      </c>
      <c r="AU276" s="1998">
        <v>0</v>
      </c>
      <c r="AV276" s="1998">
        <v>0</v>
      </c>
      <c r="AW276" s="1998">
        <v>0</v>
      </c>
      <c r="AX276" s="1998">
        <v>0</v>
      </c>
      <c r="AY276" s="1998">
        <v>0</v>
      </c>
      <c r="AZ276" s="1998">
        <v>0</v>
      </c>
      <c r="BA276" s="1998">
        <v>0</v>
      </c>
      <c r="BB276" s="1999">
        <v>0</v>
      </c>
      <c r="BC276" s="1979">
        <v>0</v>
      </c>
      <c r="BD276" s="1979">
        <v>0</v>
      </c>
      <c r="BE276" s="1979">
        <v>0</v>
      </c>
      <c r="BF276" s="1979">
        <v>0</v>
      </c>
      <c r="BG276" s="1979">
        <v>0</v>
      </c>
      <c r="BH276" s="1979">
        <v>0</v>
      </c>
      <c r="BI276" s="1979">
        <v>0</v>
      </c>
      <c r="BJ276" s="1979">
        <v>0</v>
      </c>
      <c r="BK276" s="1979">
        <v>0</v>
      </c>
      <c r="BL276" s="2000">
        <v>0</v>
      </c>
      <c r="BM276" s="1998">
        <v>0</v>
      </c>
      <c r="BN276" s="1998">
        <v>0</v>
      </c>
      <c r="BO276" s="1998">
        <v>0</v>
      </c>
      <c r="BP276" s="1998">
        <v>0</v>
      </c>
      <c r="BQ276" s="1998">
        <v>0</v>
      </c>
      <c r="BR276" s="1998">
        <v>0</v>
      </c>
      <c r="BS276" s="1998">
        <v>0</v>
      </c>
      <c r="BT276" s="1998">
        <v>0</v>
      </c>
      <c r="BU276" s="1998">
        <v>0</v>
      </c>
      <c r="BV276" s="1999">
        <v>0</v>
      </c>
      <c r="BW276" s="1979">
        <v>0</v>
      </c>
      <c r="BX276" s="1979">
        <v>0</v>
      </c>
      <c r="BY276" s="1979">
        <v>0</v>
      </c>
      <c r="BZ276" s="1979">
        <v>0</v>
      </c>
      <c r="CA276" s="1979">
        <v>0</v>
      </c>
      <c r="CB276" s="1979">
        <v>0</v>
      </c>
      <c r="CC276" s="1979">
        <v>0</v>
      </c>
      <c r="CD276" s="1979">
        <v>0</v>
      </c>
      <c r="CE276" s="1979">
        <v>0</v>
      </c>
      <c r="CF276" s="2000">
        <v>0</v>
      </c>
      <c r="CG276" s="1998">
        <v>0</v>
      </c>
      <c r="CH276" s="2000">
        <v>0</v>
      </c>
      <c r="CI276" s="1998">
        <v>0</v>
      </c>
      <c r="CJ276" s="2000">
        <v>0</v>
      </c>
      <c r="CK276" s="1998">
        <v>0</v>
      </c>
      <c r="CL276" s="2000">
        <v>0</v>
      </c>
      <c r="CM276" s="1998">
        <v>0</v>
      </c>
      <c r="CN276" s="2000">
        <v>0</v>
      </c>
      <c r="CO276" s="1998">
        <v>0</v>
      </c>
      <c r="CP276" s="1999">
        <v>0</v>
      </c>
      <c r="CQ276" s="1979">
        <v>0</v>
      </c>
      <c r="CR276" s="1999">
        <v>0</v>
      </c>
      <c r="CS276" s="1979">
        <v>0</v>
      </c>
      <c r="CT276" s="1999">
        <v>0</v>
      </c>
      <c r="CU276" s="1979">
        <v>0</v>
      </c>
      <c r="CV276" s="1999">
        <v>0</v>
      </c>
      <c r="CW276" s="1979">
        <v>0</v>
      </c>
      <c r="CX276" s="1999">
        <v>0</v>
      </c>
      <c r="CY276" s="1979">
        <v>0</v>
      </c>
      <c r="CZ276" s="2000">
        <v>0</v>
      </c>
      <c r="DA276" s="1998">
        <v>0</v>
      </c>
      <c r="DB276" s="1998">
        <v>0</v>
      </c>
      <c r="DC276" s="1998">
        <v>0</v>
      </c>
      <c r="DD276" s="1998">
        <v>0</v>
      </c>
      <c r="DE276" s="1998">
        <v>0</v>
      </c>
      <c r="DF276" s="1998">
        <v>0</v>
      </c>
      <c r="DG276" s="1998">
        <v>0</v>
      </c>
      <c r="DH276" s="1998">
        <v>0</v>
      </c>
      <c r="DI276" s="1998">
        <v>0</v>
      </c>
      <c r="DJ276" s="1999">
        <v>0</v>
      </c>
      <c r="DK276" s="1979">
        <v>0</v>
      </c>
      <c r="DL276" s="1979">
        <v>0</v>
      </c>
      <c r="DM276" s="1979">
        <v>0</v>
      </c>
      <c r="DN276" s="1979">
        <v>0</v>
      </c>
      <c r="DO276" s="1979">
        <v>0</v>
      </c>
      <c r="DP276" s="1979">
        <v>0</v>
      </c>
      <c r="DQ276" s="1979">
        <v>0</v>
      </c>
      <c r="DR276" s="1979">
        <v>0</v>
      </c>
      <c r="DS276" s="1979">
        <v>0</v>
      </c>
    </row>
    <row r="277" spans="2:123">
      <c r="B277" s="2">
        <v>18</v>
      </c>
      <c r="C277" s="2" t="str">
        <f>CONCATENATE($U$8," ",V$15)</f>
        <v>Proportion de fenêtres 50</v>
      </c>
      <c r="D277" s="1998">
        <v>0</v>
      </c>
      <c r="E277" s="1998">
        <v>0</v>
      </c>
      <c r="F277" s="1998">
        <v>0</v>
      </c>
      <c r="G277" s="1998">
        <v>0</v>
      </c>
      <c r="H277" s="1998">
        <v>0</v>
      </c>
      <c r="I277" s="1998">
        <v>0</v>
      </c>
      <c r="J277" s="1998">
        <v>0</v>
      </c>
      <c r="K277" s="1998">
        <v>0</v>
      </c>
      <c r="L277" s="1998">
        <v>0</v>
      </c>
      <c r="M277" s="1998">
        <v>0</v>
      </c>
      <c r="N277" s="1999">
        <v>0</v>
      </c>
      <c r="O277" s="1979">
        <v>0</v>
      </c>
      <c r="P277" s="1979">
        <v>0</v>
      </c>
      <c r="Q277" s="1979">
        <v>0</v>
      </c>
      <c r="R277" s="1979">
        <v>0</v>
      </c>
      <c r="S277" s="1979">
        <v>0</v>
      </c>
      <c r="T277" s="1979">
        <v>0</v>
      </c>
      <c r="U277" s="1979">
        <v>0</v>
      </c>
      <c r="V277" s="1979">
        <v>0</v>
      </c>
      <c r="W277" s="1979">
        <v>0</v>
      </c>
      <c r="X277" s="2000">
        <v>0</v>
      </c>
      <c r="Y277" s="1998">
        <v>0</v>
      </c>
      <c r="Z277" s="1998">
        <v>0</v>
      </c>
      <c r="AA277" s="1998">
        <v>0</v>
      </c>
      <c r="AB277" s="1998">
        <v>0</v>
      </c>
      <c r="AC277" s="1998">
        <v>0</v>
      </c>
      <c r="AD277" s="1998">
        <v>0</v>
      </c>
      <c r="AE277" s="1998">
        <v>0</v>
      </c>
      <c r="AF277" s="1998">
        <v>0</v>
      </c>
      <c r="AG277" s="1998">
        <v>0</v>
      </c>
      <c r="AH277" s="1999">
        <v>1.3751633987507417</v>
      </c>
      <c r="AI277" s="1979">
        <v>1.2398110438788497</v>
      </c>
      <c r="AJ277" s="1979">
        <v>1.4021362205465988</v>
      </c>
      <c r="AK277" s="1979">
        <v>1.2701371298407091</v>
      </c>
      <c r="AL277" s="1979">
        <v>1.4055118958713853</v>
      </c>
      <c r="AM277" s="1979">
        <v>1.2743759851676311</v>
      </c>
      <c r="AN277" s="1979">
        <v>1.4088875711961719</v>
      </c>
      <c r="AO277" s="1979">
        <v>1.2786148404945525</v>
      </c>
      <c r="AP277" s="1979">
        <v>1.4122632465209588</v>
      </c>
      <c r="AQ277" s="1979">
        <v>1.2828536958214747</v>
      </c>
      <c r="AR277" s="2000">
        <v>0</v>
      </c>
      <c r="AS277" s="1998">
        <v>0</v>
      </c>
      <c r="AT277" s="1998">
        <v>0</v>
      </c>
      <c r="AU277" s="1998">
        <v>0</v>
      </c>
      <c r="AV277" s="1998">
        <v>0</v>
      </c>
      <c r="AW277" s="1998">
        <v>0</v>
      </c>
      <c r="AX277" s="1998">
        <v>0</v>
      </c>
      <c r="AY277" s="1998">
        <v>0</v>
      </c>
      <c r="AZ277" s="1998">
        <v>0</v>
      </c>
      <c r="BA277" s="1998">
        <v>0</v>
      </c>
      <c r="BB277" s="1999">
        <v>0</v>
      </c>
      <c r="BC277" s="1979">
        <v>0</v>
      </c>
      <c r="BD277" s="1979">
        <v>0</v>
      </c>
      <c r="BE277" s="1979">
        <v>0</v>
      </c>
      <c r="BF277" s="1979">
        <v>0</v>
      </c>
      <c r="BG277" s="1979">
        <v>0</v>
      </c>
      <c r="BH277" s="1979">
        <v>0</v>
      </c>
      <c r="BI277" s="1979">
        <v>0</v>
      </c>
      <c r="BJ277" s="1979">
        <v>0</v>
      </c>
      <c r="BK277" s="1979">
        <v>0</v>
      </c>
      <c r="BL277" s="2000">
        <v>0</v>
      </c>
      <c r="BM277" s="1998">
        <v>0</v>
      </c>
      <c r="BN277" s="1998">
        <v>0</v>
      </c>
      <c r="BO277" s="1998">
        <v>0</v>
      </c>
      <c r="BP277" s="1998">
        <v>0</v>
      </c>
      <c r="BQ277" s="1998">
        <v>0</v>
      </c>
      <c r="BR277" s="1998">
        <v>0</v>
      </c>
      <c r="BS277" s="1998">
        <v>0</v>
      </c>
      <c r="BT277" s="1998">
        <v>0</v>
      </c>
      <c r="BU277" s="1998">
        <v>0</v>
      </c>
      <c r="BV277" s="1999">
        <v>0</v>
      </c>
      <c r="BW277" s="1979">
        <v>0</v>
      </c>
      <c r="BX277" s="1979">
        <v>0</v>
      </c>
      <c r="BY277" s="1979">
        <v>0</v>
      </c>
      <c r="BZ277" s="1979">
        <v>0</v>
      </c>
      <c r="CA277" s="1979">
        <v>0</v>
      </c>
      <c r="CB277" s="1979">
        <v>0</v>
      </c>
      <c r="CC277" s="1979">
        <v>0</v>
      </c>
      <c r="CD277" s="1979">
        <v>0</v>
      </c>
      <c r="CE277" s="1979">
        <v>0</v>
      </c>
      <c r="CF277" s="2000">
        <v>0</v>
      </c>
      <c r="CG277" s="1998">
        <v>0</v>
      </c>
      <c r="CH277" s="2000">
        <v>0</v>
      </c>
      <c r="CI277" s="1998">
        <v>0</v>
      </c>
      <c r="CJ277" s="2000">
        <v>0</v>
      </c>
      <c r="CK277" s="1998">
        <v>0</v>
      </c>
      <c r="CL277" s="2000">
        <v>0</v>
      </c>
      <c r="CM277" s="1998">
        <v>0</v>
      </c>
      <c r="CN277" s="2000">
        <v>0</v>
      </c>
      <c r="CO277" s="1998">
        <v>0</v>
      </c>
      <c r="CP277" s="1999">
        <v>0</v>
      </c>
      <c r="CQ277" s="1979">
        <v>0</v>
      </c>
      <c r="CR277" s="1999">
        <v>0</v>
      </c>
      <c r="CS277" s="1979">
        <v>0</v>
      </c>
      <c r="CT277" s="1999">
        <v>0</v>
      </c>
      <c r="CU277" s="1979">
        <v>0</v>
      </c>
      <c r="CV277" s="1999">
        <v>0</v>
      </c>
      <c r="CW277" s="1979">
        <v>0</v>
      </c>
      <c r="CX277" s="1999">
        <v>0</v>
      </c>
      <c r="CY277" s="1979">
        <v>0</v>
      </c>
      <c r="CZ277" s="2000">
        <v>0</v>
      </c>
      <c r="DA277" s="1998">
        <v>0</v>
      </c>
      <c r="DB277" s="1998">
        <v>0</v>
      </c>
      <c r="DC277" s="1998">
        <v>0</v>
      </c>
      <c r="DD277" s="1998">
        <v>0</v>
      </c>
      <c r="DE277" s="1998">
        <v>0</v>
      </c>
      <c r="DF277" s="1998">
        <v>0</v>
      </c>
      <c r="DG277" s="1998">
        <v>0</v>
      </c>
      <c r="DH277" s="1998">
        <v>0</v>
      </c>
      <c r="DI277" s="1998">
        <v>0</v>
      </c>
      <c r="DJ277" s="1999">
        <v>0</v>
      </c>
      <c r="DK277" s="1979">
        <v>0</v>
      </c>
      <c r="DL277" s="1979">
        <v>0</v>
      </c>
      <c r="DM277" s="1979">
        <v>0</v>
      </c>
      <c r="DN277" s="1979">
        <v>0</v>
      </c>
      <c r="DO277" s="1979">
        <v>0</v>
      </c>
      <c r="DP277" s="1979">
        <v>0</v>
      </c>
      <c r="DQ277" s="1979">
        <v>0</v>
      </c>
      <c r="DR277" s="1979">
        <v>0</v>
      </c>
      <c r="DS277" s="1979">
        <v>0</v>
      </c>
    </row>
    <row r="278" spans="2:123">
      <c r="B278" s="2">
        <v>19</v>
      </c>
      <c r="C278" s="2" t="str">
        <f>CONCATENATE($U$8," ",V$16)</f>
        <v>Proportion de fenêtres 60</v>
      </c>
      <c r="D278" s="1998">
        <v>0</v>
      </c>
      <c r="E278" s="1998">
        <v>0</v>
      </c>
      <c r="F278" s="1998">
        <v>0</v>
      </c>
      <c r="G278" s="1998">
        <v>0</v>
      </c>
      <c r="H278" s="1998">
        <v>0</v>
      </c>
      <c r="I278" s="1998">
        <v>0</v>
      </c>
      <c r="J278" s="1998">
        <v>0</v>
      </c>
      <c r="K278" s="1998">
        <v>0</v>
      </c>
      <c r="L278" s="1998">
        <v>0</v>
      </c>
      <c r="M278" s="1998">
        <v>0</v>
      </c>
      <c r="N278" s="1999">
        <v>0</v>
      </c>
      <c r="O278" s="1979">
        <v>0</v>
      </c>
      <c r="P278" s="1979">
        <v>0</v>
      </c>
      <c r="Q278" s="1979">
        <v>0</v>
      </c>
      <c r="R278" s="1979">
        <v>0</v>
      </c>
      <c r="S278" s="1979">
        <v>0</v>
      </c>
      <c r="T278" s="1979">
        <v>0</v>
      </c>
      <c r="U278" s="1979">
        <v>0</v>
      </c>
      <c r="V278" s="1979">
        <v>0</v>
      </c>
      <c r="W278" s="1979">
        <v>0</v>
      </c>
      <c r="X278" s="2000">
        <v>0</v>
      </c>
      <c r="Y278" s="1998">
        <v>0</v>
      </c>
      <c r="Z278" s="1998">
        <v>0</v>
      </c>
      <c r="AA278" s="1998">
        <v>0</v>
      </c>
      <c r="AB278" s="1998">
        <v>0</v>
      </c>
      <c r="AC278" s="1998">
        <v>0</v>
      </c>
      <c r="AD278" s="1998">
        <v>0</v>
      </c>
      <c r="AE278" s="1998">
        <v>0</v>
      </c>
      <c r="AF278" s="1998">
        <v>0</v>
      </c>
      <c r="AG278" s="1998">
        <v>0</v>
      </c>
      <c r="AH278" s="1999">
        <v>1.3751633987507417</v>
      </c>
      <c r="AI278" s="1979">
        <v>1.2398110438788497</v>
      </c>
      <c r="AJ278" s="1979">
        <v>1.4021362205465988</v>
      </c>
      <c r="AK278" s="1979">
        <v>1.2701371298407091</v>
      </c>
      <c r="AL278" s="1979">
        <v>1.4055118958713853</v>
      </c>
      <c r="AM278" s="1979">
        <v>1.2743759851676311</v>
      </c>
      <c r="AN278" s="1979">
        <v>1.4088875711961719</v>
      </c>
      <c r="AO278" s="1979">
        <v>1.2786148404945525</v>
      </c>
      <c r="AP278" s="1979">
        <v>1.4122632465209588</v>
      </c>
      <c r="AQ278" s="1979">
        <v>1.2828536958214747</v>
      </c>
      <c r="AR278" s="2000">
        <v>0</v>
      </c>
      <c r="AS278" s="1998">
        <v>0</v>
      </c>
      <c r="AT278" s="1998">
        <v>0</v>
      </c>
      <c r="AU278" s="1998">
        <v>0</v>
      </c>
      <c r="AV278" s="1998">
        <v>0</v>
      </c>
      <c r="AW278" s="1998">
        <v>0</v>
      </c>
      <c r="AX278" s="1998">
        <v>0</v>
      </c>
      <c r="AY278" s="1998">
        <v>0</v>
      </c>
      <c r="AZ278" s="1998">
        <v>0</v>
      </c>
      <c r="BA278" s="1998">
        <v>0</v>
      </c>
      <c r="BB278" s="1999">
        <v>0</v>
      </c>
      <c r="BC278" s="1979">
        <v>0</v>
      </c>
      <c r="BD278" s="1979">
        <v>0</v>
      </c>
      <c r="BE278" s="1979">
        <v>0</v>
      </c>
      <c r="BF278" s="1979">
        <v>0</v>
      </c>
      <c r="BG278" s="1979">
        <v>0</v>
      </c>
      <c r="BH278" s="1979">
        <v>0</v>
      </c>
      <c r="BI278" s="1979">
        <v>0</v>
      </c>
      <c r="BJ278" s="1979">
        <v>0</v>
      </c>
      <c r="BK278" s="1979">
        <v>0</v>
      </c>
      <c r="BL278" s="2000">
        <v>0</v>
      </c>
      <c r="BM278" s="1998">
        <v>0</v>
      </c>
      <c r="BN278" s="1998">
        <v>0</v>
      </c>
      <c r="BO278" s="1998">
        <v>0</v>
      </c>
      <c r="BP278" s="1998">
        <v>0</v>
      </c>
      <c r="BQ278" s="1998">
        <v>0</v>
      </c>
      <c r="BR278" s="1998">
        <v>0</v>
      </c>
      <c r="BS278" s="1998">
        <v>0</v>
      </c>
      <c r="BT278" s="1998">
        <v>0</v>
      </c>
      <c r="BU278" s="1998">
        <v>0</v>
      </c>
      <c r="BV278" s="1999">
        <v>0</v>
      </c>
      <c r="BW278" s="1979">
        <v>0</v>
      </c>
      <c r="BX278" s="1979">
        <v>0</v>
      </c>
      <c r="BY278" s="1979">
        <v>0</v>
      </c>
      <c r="BZ278" s="1979">
        <v>0</v>
      </c>
      <c r="CA278" s="1979">
        <v>0</v>
      </c>
      <c r="CB278" s="1979">
        <v>0</v>
      </c>
      <c r="CC278" s="1979">
        <v>0</v>
      </c>
      <c r="CD278" s="1979">
        <v>0</v>
      </c>
      <c r="CE278" s="1979">
        <v>0</v>
      </c>
      <c r="CF278" s="2000">
        <v>0</v>
      </c>
      <c r="CG278" s="1998">
        <v>0</v>
      </c>
      <c r="CH278" s="2000">
        <v>0</v>
      </c>
      <c r="CI278" s="1998">
        <v>0</v>
      </c>
      <c r="CJ278" s="2000">
        <v>0</v>
      </c>
      <c r="CK278" s="1998">
        <v>0</v>
      </c>
      <c r="CL278" s="2000">
        <v>0</v>
      </c>
      <c r="CM278" s="1998">
        <v>0</v>
      </c>
      <c r="CN278" s="2000">
        <v>0</v>
      </c>
      <c r="CO278" s="1998">
        <v>0</v>
      </c>
      <c r="CP278" s="1999">
        <v>0</v>
      </c>
      <c r="CQ278" s="1979">
        <v>0</v>
      </c>
      <c r="CR278" s="1999">
        <v>0</v>
      </c>
      <c r="CS278" s="1979">
        <v>0</v>
      </c>
      <c r="CT278" s="1999">
        <v>0</v>
      </c>
      <c r="CU278" s="1979">
        <v>0</v>
      </c>
      <c r="CV278" s="1999">
        <v>0</v>
      </c>
      <c r="CW278" s="1979">
        <v>0</v>
      </c>
      <c r="CX278" s="1999">
        <v>0</v>
      </c>
      <c r="CY278" s="1979">
        <v>0</v>
      </c>
      <c r="CZ278" s="2000">
        <v>0</v>
      </c>
      <c r="DA278" s="1998">
        <v>0</v>
      </c>
      <c r="DB278" s="1998">
        <v>0</v>
      </c>
      <c r="DC278" s="1998">
        <v>0</v>
      </c>
      <c r="DD278" s="1998">
        <v>0</v>
      </c>
      <c r="DE278" s="1998">
        <v>0</v>
      </c>
      <c r="DF278" s="1998">
        <v>0</v>
      </c>
      <c r="DG278" s="1998">
        <v>0</v>
      </c>
      <c r="DH278" s="1998">
        <v>0</v>
      </c>
      <c r="DI278" s="1998">
        <v>0</v>
      </c>
      <c r="DJ278" s="1999">
        <v>0</v>
      </c>
      <c r="DK278" s="1979">
        <v>0</v>
      </c>
      <c r="DL278" s="1979">
        <v>0</v>
      </c>
      <c r="DM278" s="1979">
        <v>0</v>
      </c>
      <c r="DN278" s="1979">
        <v>0</v>
      </c>
      <c r="DO278" s="1979">
        <v>0</v>
      </c>
      <c r="DP278" s="1979">
        <v>0</v>
      </c>
      <c r="DQ278" s="1979">
        <v>0</v>
      </c>
      <c r="DR278" s="1979">
        <v>0</v>
      </c>
      <c r="DS278" s="1979">
        <v>0</v>
      </c>
    </row>
    <row r="279" spans="2:123">
      <c r="B279" s="2">
        <v>20</v>
      </c>
      <c r="C279" s="2" t="str">
        <f>CONCATENATE($U$8," ",V$17)</f>
        <v>Proportion de fenêtres 70</v>
      </c>
      <c r="D279" s="1998">
        <v>0</v>
      </c>
      <c r="E279" s="1998">
        <v>0</v>
      </c>
      <c r="F279" s="1998">
        <v>0</v>
      </c>
      <c r="G279" s="1998">
        <v>0</v>
      </c>
      <c r="H279" s="1998">
        <v>0</v>
      </c>
      <c r="I279" s="1998">
        <v>0</v>
      </c>
      <c r="J279" s="1998">
        <v>0</v>
      </c>
      <c r="K279" s="1998">
        <v>0</v>
      </c>
      <c r="L279" s="1998">
        <v>0</v>
      </c>
      <c r="M279" s="1998">
        <v>0</v>
      </c>
      <c r="N279" s="1999">
        <v>0</v>
      </c>
      <c r="O279" s="1979">
        <v>0</v>
      </c>
      <c r="P279" s="1979">
        <v>0</v>
      </c>
      <c r="Q279" s="1979">
        <v>0</v>
      </c>
      <c r="R279" s="1979">
        <v>0</v>
      </c>
      <c r="S279" s="1979">
        <v>0</v>
      </c>
      <c r="T279" s="1979">
        <v>0</v>
      </c>
      <c r="U279" s="1979">
        <v>0</v>
      </c>
      <c r="V279" s="1979">
        <v>0</v>
      </c>
      <c r="W279" s="1979">
        <v>0</v>
      </c>
      <c r="X279" s="2000">
        <v>0</v>
      </c>
      <c r="Y279" s="1998">
        <v>0</v>
      </c>
      <c r="Z279" s="1998">
        <v>0</v>
      </c>
      <c r="AA279" s="1998">
        <v>0</v>
      </c>
      <c r="AB279" s="1998">
        <v>0</v>
      </c>
      <c r="AC279" s="1998">
        <v>0</v>
      </c>
      <c r="AD279" s="1998">
        <v>0</v>
      </c>
      <c r="AE279" s="1998">
        <v>0</v>
      </c>
      <c r="AF279" s="1998">
        <v>0</v>
      </c>
      <c r="AG279" s="1998">
        <v>0</v>
      </c>
      <c r="AH279" s="1999">
        <v>1.3751633987507417</v>
      </c>
      <c r="AI279" s="1979">
        <v>1.2398110438788497</v>
      </c>
      <c r="AJ279" s="1979">
        <v>1.4021362205465988</v>
      </c>
      <c r="AK279" s="1979">
        <v>1.2701371298407091</v>
      </c>
      <c r="AL279" s="1979">
        <v>1.4055118958713853</v>
      </c>
      <c r="AM279" s="1979">
        <v>1.2743759851676311</v>
      </c>
      <c r="AN279" s="1979">
        <v>1.4088875711961719</v>
      </c>
      <c r="AO279" s="1979">
        <v>1.2786148404945525</v>
      </c>
      <c r="AP279" s="1979">
        <v>1.4122632465209588</v>
      </c>
      <c r="AQ279" s="1979">
        <v>1.2828536958214747</v>
      </c>
      <c r="AR279" s="2000">
        <v>0</v>
      </c>
      <c r="AS279" s="1998">
        <v>0</v>
      </c>
      <c r="AT279" s="1998">
        <v>0</v>
      </c>
      <c r="AU279" s="1998">
        <v>0</v>
      </c>
      <c r="AV279" s="1998">
        <v>0</v>
      </c>
      <c r="AW279" s="1998">
        <v>0</v>
      </c>
      <c r="AX279" s="1998">
        <v>0</v>
      </c>
      <c r="AY279" s="1998">
        <v>0</v>
      </c>
      <c r="AZ279" s="1998">
        <v>0</v>
      </c>
      <c r="BA279" s="1998">
        <v>0</v>
      </c>
      <c r="BB279" s="1999">
        <v>0</v>
      </c>
      <c r="BC279" s="1979">
        <v>0</v>
      </c>
      <c r="BD279" s="1979">
        <v>0</v>
      </c>
      <c r="BE279" s="1979">
        <v>0</v>
      </c>
      <c r="BF279" s="1979">
        <v>0</v>
      </c>
      <c r="BG279" s="1979">
        <v>0</v>
      </c>
      <c r="BH279" s="1979">
        <v>0</v>
      </c>
      <c r="BI279" s="1979">
        <v>0</v>
      </c>
      <c r="BJ279" s="1979">
        <v>0</v>
      </c>
      <c r="BK279" s="1979">
        <v>0</v>
      </c>
      <c r="BL279" s="2000">
        <v>0</v>
      </c>
      <c r="BM279" s="1998">
        <v>0</v>
      </c>
      <c r="BN279" s="1998">
        <v>0</v>
      </c>
      <c r="BO279" s="1998">
        <v>0</v>
      </c>
      <c r="BP279" s="1998">
        <v>0</v>
      </c>
      <c r="BQ279" s="1998">
        <v>0</v>
      </c>
      <c r="BR279" s="1998">
        <v>0</v>
      </c>
      <c r="BS279" s="1998">
        <v>0</v>
      </c>
      <c r="BT279" s="1998">
        <v>0</v>
      </c>
      <c r="BU279" s="1998">
        <v>0</v>
      </c>
      <c r="BV279" s="1999">
        <v>0</v>
      </c>
      <c r="BW279" s="1979">
        <v>0</v>
      </c>
      <c r="BX279" s="1979">
        <v>0</v>
      </c>
      <c r="BY279" s="1979">
        <v>0</v>
      </c>
      <c r="BZ279" s="1979">
        <v>0</v>
      </c>
      <c r="CA279" s="1979">
        <v>0</v>
      </c>
      <c r="CB279" s="1979">
        <v>0</v>
      </c>
      <c r="CC279" s="1979">
        <v>0</v>
      </c>
      <c r="CD279" s="1979">
        <v>0</v>
      </c>
      <c r="CE279" s="1979">
        <v>0</v>
      </c>
      <c r="CF279" s="2000">
        <v>0</v>
      </c>
      <c r="CG279" s="1998">
        <v>0</v>
      </c>
      <c r="CH279" s="2000">
        <v>0</v>
      </c>
      <c r="CI279" s="1998">
        <v>0</v>
      </c>
      <c r="CJ279" s="2000">
        <v>0</v>
      </c>
      <c r="CK279" s="1998">
        <v>0</v>
      </c>
      <c r="CL279" s="2000">
        <v>0</v>
      </c>
      <c r="CM279" s="1998">
        <v>0</v>
      </c>
      <c r="CN279" s="2000">
        <v>0</v>
      </c>
      <c r="CO279" s="1998">
        <v>0</v>
      </c>
      <c r="CP279" s="1999">
        <v>0</v>
      </c>
      <c r="CQ279" s="1979">
        <v>0</v>
      </c>
      <c r="CR279" s="1999">
        <v>0</v>
      </c>
      <c r="CS279" s="1979">
        <v>0</v>
      </c>
      <c r="CT279" s="1999">
        <v>0</v>
      </c>
      <c r="CU279" s="1979">
        <v>0</v>
      </c>
      <c r="CV279" s="1999">
        <v>0</v>
      </c>
      <c r="CW279" s="1979">
        <v>0</v>
      </c>
      <c r="CX279" s="1999">
        <v>0</v>
      </c>
      <c r="CY279" s="1979">
        <v>0</v>
      </c>
      <c r="CZ279" s="2000">
        <v>0</v>
      </c>
      <c r="DA279" s="1998">
        <v>0</v>
      </c>
      <c r="DB279" s="1998">
        <v>0</v>
      </c>
      <c r="DC279" s="1998">
        <v>0</v>
      </c>
      <c r="DD279" s="1998">
        <v>0</v>
      </c>
      <c r="DE279" s="1998">
        <v>0</v>
      </c>
      <c r="DF279" s="1998">
        <v>0</v>
      </c>
      <c r="DG279" s="1998">
        <v>0</v>
      </c>
      <c r="DH279" s="1998">
        <v>0</v>
      </c>
      <c r="DI279" s="1998">
        <v>0</v>
      </c>
      <c r="DJ279" s="1999">
        <v>0</v>
      </c>
      <c r="DK279" s="1979">
        <v>0</v>
      </c>
      <c r="DL279" s="1979">
        <v>0</v>
      </c>
      <c r="DM279" s="1979">
        <v>0</v>
      </c>
      <c r="DN279" s="1979">
        <v>0</v>
      </c>
      <c r="DO279" s="1979">
        <v>0</v>
      </c>
      <c r="DP279" s="1979">
        <v>0</v>
      </c>
      <c r="DQ279" s="1979">
        <v>0</v>
      </c>
      <c r="DR279" s="1979">
        <v>0</v>
      </c>
      <c r="DS279" s="1979">
        <v>0</v>
      </c>
    </row>
    <row r="280" spans="2:123">
      <c r="B280" s="2">
        <v>21</v>
      </c>
      <c r="C280" s="2" t="str">
        <f>CONCATENATE($U$8," ",V$18)</f>
        <v>Proportion de fenêtres 80</v>
      </c>
      <c r="D280" s="1998">
        <v>0</v>
      </c>
      <c r="E280" s="1998">
        <v>0</v>
      </c>
      <c r="F280" s="1998">
        <v>0</v>
      </c>
      <c r="G280" s="1998">
        <v>0</v>
      </c>
      <c r="H280" s="1998">
        <v>0</v>
      </c>
      <c r="I280" s="1998">
        <v>0</v>
      </c>
      <c r="J280" s="1998">
        <v>0</v>
      </c>
      <c r="K280" s="1998">
        <v>0</v>
      </c>
      <c r="L280" s="1998">
        <v>0</v>
      </c>
      <c r="M280" s="1998">
        <v>0</v>
      </c>
      <c r="N280" s="1999">
        <v>0</v>
      </c>
      <c r="O280" s="1979">
        <v>0</v>
      </c>
      <c r="P280" s="1979">
        <v>0</v>
      </c>
      <c r="Q280" s="1979">
        <v>0</v>
      </c>
      <c r="R280" s="1979">
        <v>0</v>
      </c>
      <c r="S280" s="1979">
        <v>0</v>
      </c>
      <c r="T280" s="1979">
        <v>0</v>
      </c>
      <c r="U280" s="1979">
        <v>0</v>
      </c>
      <c r="V280" s="1979">
        <v>0</v>
      </c>
      <c r="W280" s="1979">
        <v>0</v>
      </c>
      <c r="X280" s="2000">
        <v>0</v>
      </c>
      <c r="Y280" s="1998">
        <v>0</v>
      </c>
      <c r="Z280" s="1998">
        <v>0</v>
      </c>
      <c r="AA280" s="1998">
        <v>0</v>
      </c>
      <c r="AB280" s="1998">
        <v>0</v>
      </c>
      <c r="AC280" s="1998">
        <v>0</v>
      </c>
      <c r="AD280" s="1998">
        <v>0</v>
      </c>
      <c r="AE280" s="1998">
        <v>0</v>
      </c>
      <c r="AF280" s="1998">
        <v>0</v>
      </c>
      <c r="AG280" s="1998">
        <v>0</v>
      </c>
      <c r="AH280" s="1999">
        <v>1.3751633987507417</v>
      </c>
      <c r="AI280" s="1979">
        <v>1.2398110438788497</v>
      </c>
      <c r="AJ280" s="1979">
        <v>1.4021362205465988</v>
      </c>
      <c r="AK280" s="1979">
        <v>1.2701371298407091</v>
      </c>
      <c r="AL280" s="1979">
        <v>1.4055118958713853</v>
      </c>
      <c r="AM280" s="1979">
        <v>1.2743759851676311</v>
      </c>
      <c r="AN280" s="1979">
        <v>1.4088875711961719</v>
      </c>
      <c r="AO280" s="1979">
        <v>1.2786148404945525</v>
      </c>
      <c r="AP280" s="1979">
        <v>1.4122632465209588</v>
      </c>
      <c r="AQ280" s="1979">
        <v>1.2828536958214747</v>
      </c>
      <c r="AR280" s="2000">
        <v>0</v>
      </c>
      <c r="AS280" s="1998">
        <v>0</v>
      </c>
      <c r="AT280" s="1998">
        <v>0</v>
      </c>
      <c r="AU280" s="1998">
        <v>0</v>
      </c>
      <c r="AV280" s="1998">
        <v>0</v>
      </c>
      <c r="AW280" s="1998">
        <v>0</v>
      </c>
      <c r="AX280" s="1998">
        <v>0</v>
      </c>
      <c r="AY280" s="1998">
        <v>0</v>
      </c>
      <c r="AZ280" s="1998">
        <v>0</v>
      </c>
      <c r="BA280" s="1998">
        <v>0</v>
      </c>
      <c r="BB280" s="1999">
        <v>0</v>
      </c>
      <c r="BC280" s="1979">
        <v>0</v>
      </c>
      <c r="BD280" s="1979">
        <v>0</v>
      </c>
      <c r="BE280" s="1979">
        <v>0</v>
      </c>
      <c r="BF280" s="1979">
        <v>0</v>
      </c>
      <c r="BG280" s="1979">
        <v>0</v>
      </c>
      <c r="BH280" s="1979">
        <v>0</v>
      </c>
      <c r="BI280" s="1979">
        <v>0</v>
      </c>
      <c r="BJ280" s="1979">
        <v>0</v>
      </c>
      <c r="BK280" s="1979">
        <v>0</v>
      </c>
      <c r="BL280" s="2000">
        <v>0</v>
      </c>
      <c r="BM280" s="1998">
        <v>0</v>
      </c>
      <c r="BN280" s="1998">
        <v>0</v>
      </c>
      <c r="BO280" s="1998">
        <v>0</v>
      </c>
      <c r="BP280" s="1998">
        <v>0</v>
      </c>
      <c r="BQ280" s="1998">
        <v>0</v>
      </c>
      <c r="BR280" s="1998">
        <v>0</v>
      </c>
      <c r="BS280" s="1998">
        <v>0</v>
      </c>
      <c r="BT280" s="1998">
        <v>0</v>
      </c>
      <c r="BU280" s="1998">
        <v>0</v>
      </c>
      <c r="BV280" s="1999">
        <v>0</v>
      </c>
      <c r="BW280" s="1979">
        <v>0</v>
      </c>
      <c r="BX280" s="1979">
        <v>0</v>
      </c>
      <c r="BY280" s="1979">
        <v>0</v>
      </c>
      <c r="BZ280" s="1979">
        <v>0</v>
      </c>
      <c r="CA280" s="1979">
        <v>0</v>
      </c>
      <c r="CB280" s="1979">
        <v>0</v>
      </c>
      <c r="CC280" s="1979">
        <v>0</v>
      </c>
      <c r="CD280" s="1979">
        <v>0</v>
      </c>
      <c r="CE280" s="1979">
        <v>0</v>
      </c>
      <c r="CF280" s="2000">
        <v>0</v>
      </c>
      <c r="CG280" s="1998">
        <v>0</v>
      </c>
      <c r="CH280" s="2000">
        <v>0</v>
      </c>
      <c r="CI280" s="1998">
        <v>0</v>
      </c>
      <c r="CJ280" s="2000">
        <v>0</v>
      </c>
      <c r="CK280" s="1998">
        <v>0</v>
      </c>
      <c r="CL280" s="2000">
        <v>0</v>
      </c>
      <c r="CM280" s="1998">
        <v>0</v>
      </c>
      <c r="CN280" s="2000">
        <v>0</v>
      </c>
      <c r="CO280" s="1998">
        <v>0</v>
      </c>
      <c r="CP280" s="1999">
        <v>0</v>
      </c>
      <c r="CQ280" s="1979">
        <v>0</v>
      </c>
      <c r="CR280" s="1999">
        <v>0</v>
      </c>
      <c r="CS280" s="1979">
        <v>0</v>
      </c>
      <c r="CT280" s="1999">
        <v>0</v>
      </c>
      <c r="CU280" s="1979">
        <v>0</v>
      </c>
      <c r="CV280" s="1999">
        <v>0</v>
      </c>
      <c r="CW280" s="1979">
        <v>0</v>
      </c>
      <c r="CX280" s="1999">
        <v>0</v>
      </c>
      <c r="CY280" s="1979">
        <v>0</v>
      </c>
      <c r="CZ280" s="2000">
        <v>0</v>
      </c>
      <c r="DA280" s="1998">
        <v>0</v>
      </c>
      <c r="DB280" s="1998">
        <v>0</v>
      </c>
      <c r="DC280" s="1998">
        <v>0</v>
      </c>
      <c r="DD280" s="1998">
        <v>0</v>
      </c>
      <c r="DE280" s="1998">
        <v>0</v>
      </c>
      <c r="DF280" s="1998">
        <v>0</v>
      </c>
      <c r="DG280" s="1998">
        <v>0</v>
      </c>
      <c r="DH280" s="1998">
        <v>0</v>
      </c>
      <c r="DI280" s="1998">
        <v>0</v>
      </c>
      <c r="DJ280" s="1999">
        <v>0</v>
      </c>
      <c r="DK280" s="1979">
        <v>0</v>
      </c>
      <c r="DL280" s="1979">
        <v>0</v>
      </c>
      <c r="DM280" s="1979">
        <v>0</v>
      </c>
      <c r="DN280" s="1979">
        <v>0</v>
      </c>
      <c r="DO280" s="1979">
        <v>0</v>
      </c>
      <c r="DP280" s="1979">
        <v>0</v>
      </c>
      <c r="DQ280" s="1979">
        <v>0</v>
      </c>
      <c r="DR280" s="1979">
        <v>0</v>
      </c>
      <c r="DS280" s="1979">
        <v>0</v>
      </c>
    </row>
    <row r="281" spans="2:123">
      <c r="B281" s="2">
        <v>22</v>
      </c>
      <c r="C281" s="2" t="str">
        <f>CONCATENATE($U$8," ",V$19)</f>
        <v>Proportion de fenêtres 90</v>
      </c>
      <c r="D281" s="1998">
        <v>0</v>
      </c>
      <c r="E281" s="1998">
        <v>0</v>
      </c>
      <c r="F281" s="1998">
        <v>0</v>
      </c>
      <c r="G281" s="1998">
        <v>0</v>
      </c>
      <c r="H281" s="1998">
        <v>0</v>
      </c>
      <c r="I281" s="1998">
        <v>0</v>
      </c>
      <c r="J281" s="1998">
        <v>0</v>
      </c>
      <c r="K281" s="1998">
        <v>0</v>
      </c>
      <c r="L281" s="1998">
        <v>0</v>
      </c>
      <c r="M281" s="1998">
        <v>0</v>
      </c>
      <c r="N281" s="1999">
        <v>0</v>
      </c>
      <c r="O281" s="1979">
        <v>0</v>
      </c>
      <c r="P281" s="1979">
        <v>0</v>
      </c>
      <c r="Q281" s="1979">
        <v>0</v>
      </c>
      <c r="R281" s="1979">
        <v>0</v>
      </c>
      <c r="S281" s="1979">
        <v>0</v>
      </c>
      <c r="T281" s="1979">
        <v>0</v>
      </c>
      <c r="U281" s="1979">
        <v>0</v>
      </c>
      <c r="V281" s="1979">
        <v>0</v>
      </c>
      <c r="W281" s="1979">
        <v>0</v>
      </c>
      <c r="X281" s="2000">
        <v>0</v>
      </c>
      <c r="Y281" s="1998">
        <v>0</v>
      </c>
      <c r="Z281" s="1998">
        <v>0</v>
      </c>
      <c r="AA281" s="1998">
        <v>0</v>
      </c>
      <c r="AB281" s="1998">
        <v>0</v>
      </c>
      <c r="AC281" s="1998">
        <v>0</v>
      </c>
      <c r="AD281" s="1998">
        <v>0</v>
      </c>
      <c r="AE281" s="1998">
        <v>0</v>
      </c>
      <c r="AF281" s="1998">
        <v>0</v>
      </c>
      <c r="AG281" s="1998">
        <v>0</v>
      </c>
      <c r="AH281" s="1999">
        <v>1.3751633987507417</v>
      </c>
      <c r="AI281" s="1979">
        <v>1.2398110438788497</v>
      </c>
      <c r="AJ281" s="1979">
        <v>1.4021362205465988</v>
      </c>
      <c r="AK281" s="1979">
        <v>1.2701371298407091</v>
      </c>
      <c r="AL281" s="1979">
        <v>1.4055118958713853</v>
      </c>
      <c r="AM281" s="1979">
        <v>1.2743759851676311</v>
      </c>
      <c r="AN281" s="1979">
        <v>1.4088875711961719</v>
      </c>
      <c r="AO281" s="1979">
        <v>1.2786148404945525</v>
      </c>
      <c r="AP281" s="1979">
        <v>1.4122632465209588</v>
      </c>
      <c r="AQ281" s="1979">
        <v>1.2828536958214747</v>
      </c>
      <c r="AR281" s="2000">
        <v>0</v>
      </c>
      <c r="AS281" s="1998">
        <v>0</v>
      </c>
      <c r="AT281" s="1998">
        <v>0</v>
      </c>
      <c r="AU281" s="1998">
        <v>0</v>
      </c>
      <c r="AV281" s="1998">
        <v>0</v>
      </c>
      <c r="AW281" s="1998">
        <v>0</v>
      </c>
      <c r="AX281" s="1998">
        <v>0</v>
      </c>
      <c r="AY281" s="1998">
        <v>0</v>
      </c>
      <c r="AZ281" s="1998">
        <v>0</v>
      </c>
      <c r="BA281" s="1998">
        <v>0</v>
      </c>
      <c r="BB281" s="1999">
        <v>0</v>
      </c>
      <c r="BC281" s="1979">
        <v>0</v>
      </c>
      <c r="BD281" s="1979">
        <v>0</v>
      </c>
      <c r="BE281" s="1979">
        <v>0</v>
      </c>
      <c r="BF281" s="1979">
        <v>0</v>
      </c>
      <c r="BG281" s="1979">
        <v>0</v>
      </c>
      <c r="BH281" s="1979">
        <v>0</v>
      </c>
      <c r="BI281" s="1979">
        <v>0</v>
      </c>
      <c r="BJ281" s="1979">
        <v>0</v>
      </c>
      <c r="BK281" s="1979">
        <v>0</v>
      </c>
      <c r="BL281" s="2000">
        <v>0</v>
      </c>
      <c r="BM281" s="1998">
        <v>0</v>
      </c>
      <c r="BN281" s="1998">
        <v>0</v>
      </c>
      <c r="BO281" s="1998">
        <v>0</v>
      </c>
      <c r="BP281" s="1998">
        <v>0</v>
      </c>
      <c r="BQ281" s="1998">
        <v>0</v>
      </c>
      <c r="BR281" s="1998">
        <v>0</v>
      </c>
      <c r="BS281" s="1998">
        <v>0</v>
      </c>
      <c r="BT281" s="1998">
        <v>0</v>
      </c>
      <c r="BU281" s="1998">
        <v>0</v>
      </c>
      <c r="BV281" s="1999">
        <v>0</v>
      </c>
      <c r="BW281" s="1979">
        <v>0</v>
      </c>
      <c r="BX281" s="1979">
        <v>0</v>
      </c>
      <c r="BY281" s="1979">
        <v>0</v>
      </c>
      <c r="BZ281" s="1979">
        <v>0</v>
      </c>
      <c r="CA281" s="1979">
        <v>0</v>
      </c>
      <c r="CB281" s="1979">
        <v>0</v>
      </c>
      <c r="CC281" s="1979">
        <v>0</v>
      </c>
      <c r="CD281" s="1979">
        <v>0</v>
      </c>
      <c r="CE281" s="1979">
        <v>0</v>
      </c>
      <c r="CF281" s="2000">
        <v>0</v>
      </c>
      <c r="CG281" s="1998">
        <v>0</v>
      </c>
      <c r="CH281" s="2000">
        <v>0</v>
      </c>
      <c r="CI281" s="1998">
        <v>0</v>
      </c>
      <c r="CJ281" s="2000">
        <v>0</v>
      </c>
      <c r="CK281" s="1998">
        <v>0</v>
      </c>
      <c r="CL281" s="2000">
        <v>0</v>
      </c>
      <c r="CM281" s="1998">
        <v>0</v>
      </c>
      <c r="CN281" s="2000">
        <v>0</v>
      </c>
      <c r="CO281" s="1998">
        <v>0</v>
      </c>
      <c r="CP281" s="1999">
        <v>0</v>
      </c>
      <c r="CQ281" s="1979">
        <v>0</v>
      </c>
      <c r="CR281" s="1999">
        <v>0</v>
      </c>
      <c r="CS281" s="1979">
        <v>0</v>
      </c>
      <c r="CT281" s="1999">
        <v>0</v>
      </c>
      <c r="CU281" s="1979">
        <v>0</v>
      </c>
      <c r="CV281" s="1999">
        <v>0</v>
      </c>
      <c r="CW281" s="1979">
        <v>0</v>
      </c>
      <c r="CX281" s="1999">
        <v>0</v>
      </c>
      <c r="CY281" s="1979">
        <v>0</v>
      </c>
      <c r="CZ281" s="2000">
        <v>0</v>
      </c>
      <c r="DA281" s="1998">
        <v>0</v>
      </c>
      <c r="DB281" s="1998">
        <v>0</v>
      </c>
      <c r="DC281" s="1998">
        <v>0</v>
      </c>
      <c r="DD281" s="1998">
        <v>0</v>
      </c>
      <c r="DE281" s="1998">
        <v>0</v>
      </c>
      <c r="DF281" s="1998">
        <v>0</v>
      </c>
      <c r="DG281" s="1998">
        <v>0</v>
      </c>
      <c r="DH281" s="1998">
        <v>0</v>
      </c>
      <c r="DI281" s="1998">
        <v>0</v>
      </c>
      <c r="DJ281" s="1999">
        <v>0</v>
      </c>
      <c r="DK281" s="1979">
        <v>0</v>
      </c>
      <c r="DL281" s="1979">
        <v>0</v>
      </c>
      <c r="DM281" s="1979">
        <v>0</v>
      </c>
      <c r="DN281" s="1979">
        <v>0</v>
      </c>
      <c r="DO281" s="1979">
        <v>0</v>
      </c>
      <c r="DP281" s="1979">
        <v>0</v>
      </c>
      <c r="DQ281" s="1979">
        <v>0</v>
      </c>
      <c r="DR281" s="1979">
        <v>0</v>
      </c>
      <c r="DS281" s="1979">
        <v>0</v>
      </c>
    </row>
    <row r="282" spans="2:123">
      <c r="B282" s="2">
        <v>23</v>
      </c>
      <c r="C282" s="2" t="str">
        <f>CONCATENATE($U$8," ",V$20)</f>
        <v>Proportion de fenêtres 100</v>
      </c>
      <c r="D282" s="1998">
        <v>0</v>
      </c>
      <c r="E282" s="1998">
        <v>0</v>
      </c>
      <c r="F282" s="1998">
        <v>0</v>
      </c>
      <c r="G282" s="1998">
        <v>0</v>
      </c>
      <c r="H282" s="1998">
        <v>0</v>
      </c>
      <c r="I282" s="1998">
        <v>0</v>
      </c>
      <c r="J282" s="1998">
        <v>0</v>
      </c>
      <c r="K282" s="1998">
        <v>0</v>
      </c>
      <c r="L282" s="1998">
        <v>0</v>
      </c>
      <c r="M282" s="1998">
        <v>0</v>
      </c>
      <c r="N282" s="1999">
        <v>0</v>
      </c>
      <c r="O282" s="1979">
        <v>0</v>
      </c>
      <c r="P282" s="1979">
        <v>0</v>
      </c>
      <c r="Q282" s="1979">
        <v>0</v>
      </c>
      <c r="R282" s="1979">
        <v>0</v>
      </c>
      <c r="S282" s="1979">
        <v>0</v>
      </c>
      <c r="T282" s="1979">
        <v>0</v>
      </c>
      <c r="U282" s="1979">
        <v>0</v>
      </c>
      <c r="V282" s="1979">
        <v>0</v>
      </c>
      <c r="W282" s="1979">
        <v>0</v>
      </c>
      <c r="X282" s="2000">
        <v>0</v>
      </c>
      <c r="Y282" s="1998">
        <v>0</v>
      </c>
      <c r="Z282" s="1998">
        <v>0</v>
      </c>
      <c r="AA282" s="1998">
        <v>0</v>
      </c>
      <c r="AB282" s="1998">
        <v>0</v>
      </c>
      <c r="AC282" s="1998">
        <v>0</v>
      </c>
      <c r="AD282" s="1998">
        <v>0</v>
      </c>
      <c r="AE282" s="1998">
        <v>0</v>
      </c>
      <c r="AF282" s="1998">
        <v>0</v>
      </c>
      <c r="AG282" s="1998">
        <v>0</v>
      </c>
      <c r="AH282" s="1999">
        <v>1.3751633987507417</v>
      </c>
      <c r="AI282" s="1979">
        <v>1.2398110438788497</v>
      </c>
      <c r="AJ282" s="1979">
        <v>1.4021362205465988</v>
      </c>
      <c r="AK282" s="1979">
        <v>1.2701371298407091</v>
      </c>
      <c r="AL282" s="1979">
        <v>1.4055118958713853</v>
      </c>
      <c r="AM282" s="1979">
        <v>1.2743759851676311</v>
      </c>
      <c r="AN282" s="1979">
        <v>1.4088875711961719</v>
      </c>
      <c r="AO282" s="1979">
        <v>1.2786148404945525</v>
      </c>
      <c r="AP282" s="1979">
        <v>1.4122632465209588</v>
      </c>
      <c r="AQ282" s="1979">
        <v>1.2828536958214747</v>
      </c>
      <c r="AR282" s="2000">
        <v>0</v>
      </c>
      <c r="AS282" s="1998">
        <v>0</v>
      </c>
      <c r="AT282" s="1998">
        <v>0</v>
      </c>
      <c r="AU282" s="1998">
        <v>0</v>
      </c>
      <c r="AV282" s="1998">
        <v>0</v>
      </c>
      <c r="AW282" s="1998">
        <v>0</v>
      </c>
      <c r="AX282" s="1998">
        <v>0</v>
      </c>
      <c r="AY282" s="1998">
        <v>0</v>
      </c>
      <c r="AZ282" s="1998">
        <v>0</v>
      </c>
      <c r="BA282" s="1998">
        <v>0</v>
      </c>
      <c r="BB282" s="1999">
        <v>0</v>
      </c>
      <c r="BC282" s="1979">
        <v>0</v>
      </c>
      <c r="BD282" s="1979">
        <v>0</v>
      </c>
      <c r="BE282" s="1979">
        <v>0</v>
      </c>
      <c r="BF282" s="1979">
        <v>0</v>
      </c>
      <c r="BG282" s="1979">
        <v>0</v>
      </c>
      <c r="BH282" s="1979">
        <v>0</v>
      </c>
      <c r="BI282" s="1979">
        <v>0</v>
      </c>
      <c r="BJ282" s="1979">
        <v>0</v>
      </c>
      <c r="BK282" s="1979">
        <v>0</v>
      </c>
      <c r="BL282" s="2000">
        <v>0</v>
      </c>
      <c r="BM282" s="1998">
        <v>0</v>
      </c>
      <c r="BN282" s="1998">
        <v>0</v>
      </c>
      <c r="BO282" s="1998">
        <v>0</v>
      </c>
      <c r="BP282" s="1998">
        <v>0</v>
      </c>
      <c r="BQ282" s="1998">
        <v>0</v>
      </c>
      <c r="BR282" s="1998">
        <v>0</v>
      </c>
      <c r="BS282" s="1998">
        <v>0</v>
      </c>
      <c r="BT282" s="1998">
        <v>0</v>
      </c>
      <c r="BU282" s="1998">
        <v>0</v>
      </c>
      <c r="BV282" s="1999">
        <v>0</v>
      </c>
      <c r="BW282" s="1979">
        <v>0</v>
      </c>
      <c r="BX282" s="1979">
        <v>0</v>
      </c>
      <c r="BY282" s="1979">
        <v>0</v>
      </c>
      <c r="BZ282" s="1979">
        <v>0</v>
      </c>
      <c r="CA282" s="1979">
        <v>0</v>
      </c>
      <c r="CB282" s="1979">
        <v>0</v>
      </c>
      <c r="CC282" s="1979">
        <v>0</v>
      </c>
      <c r="CD282" s="1979">
        <v>0</v>
      </c>
      <c r="CE282" s="1979">
        <v>0</v>
      </c>
      <c r="CF282" s="2000">
        <v>0</v>
      </c>
      <c r="CG282" s="1998">
        <v>0</v>
      </c>
      <c r="CH282" s="2000">
        <v>0</v>
      </c>
      <c r="CI282" s="1998">
        <v>0</v>
      </c>
      <c r="CJ282" s="2000">
        <v>0</v>
      </c>
      <c r="CK282" s="1998">
        <v>0</v>
      </c>
      <c r="CL282" s="2000">
        <v>0</v>
      </c>
      <c r="CM282" s="1998">
        <v>0</v>
      </c>
      <c r="CN282" s="2000">
        <v>0</v>
      </c>
      <c r="CO282" s="1998">
        <v>0</v>
      </c>
      <c r="CP282" s="1999">
        <v>0</v>
      </c>
      <c r="CQ282" s="1979">
        <v>0</v>
      </c>
      <c r="CR282" s="1999">
        <v>0</v>
      </c>
      <c r="CS282" s="1979">
        <v>0</v>
      </c>
      <c r="CT282" s="1999">
        <v>0</v>
      </c>
      <c r="CU282" s="1979">
        <v>0</v>
      </c>
      <c r="CV282" s="1999">
        <v>0</v>
      </c>
      <c r="CW282" s="1979">
        <v>0</v>
      </c>
      <c r="CX282" s="1999">
        <v>0</v>
      </c>
      <c r="CY282" s="1979">
        <v>0</v>
      </c>
      <c r="CZ282" s="2000">
        <v>0</v>
      </c>
      <c r="DA282" s="1998">
        <v>0</v>
      </c>
      <c r="DB282" s="1998">
        <v>0</v>
      </c>
      <c r="DC282" s="1998">
        <v>0</v>
      </c>
      <c r="DD282" s="1998">
        <v>0</v>
      </c>
      <c r="DE282" s="1998">
        <v>0</v>
      </c>
      <c r="DF282" s="1998">
        <v>0</v>
      </c>
      <c r="DG282" s="1998">
        <v>0</v>
      </c>
      <c r="DH282" s="1998">
        <v>0</v>
      </c>
      <c r="DI282" s="1998">
        <v>0</v>
      </c>
      <c r="DJ282" s="1999">
        <v>0</v>
      </c>
      <c r="DK282" s="1979">
        <v>0</v>
      </c>
      <c r="DL282" s="1979">
        <v>0</v>
      </c>
      <c r="DM282" s="1979">
        <v>0</v>
      </c>
      <c r="DN282" s="1979">
        <v>0</v>
      </c>
      <c r="DO282" s="1979">
        <v>0</v>
      </c>
      <c r="DP282" s="1979">
        <v>0</v>
      </c>
      <c r="DQ282" s="1979">
        <v>0</v>
      </c>
      <c r="DR282" s="1979">
        <v>0</v>
      </c>
      <c r="DS282" s="1979">
        <v>0</v>
      </c>
    </row>
    <row r="283" spans="2:123">
      <c r="B283" s="2">
        <v>24</v>
      </c>
      <c r="C283" s="2" t="s">
        <v>4211</v>
      </c>
      <c r="D283" s="1998">
        <v>0.8826013366689236</v>
      </c>
      <c r="E283" s="1998">
        <v>0.88191265901315286</v>
      </c>
      <c r="F283" s="1998">
        <v>0.8826013366689236</v>
      </c>
      <c r="G283" s="1998">
        <v>0.88191265901315286</v>
      </c>
      <c r="H283" s="1998">
        <v>0.8826013366689236</v>
      </c>
      <c r="I283" s="1998">
        <v>0.88191265901315286</v>
      </c>
      <c r="J283" s="1998">
        <v>0.8826013366689236</v>
      </c>
      <c r="K283" s="1998">
        <v>0.88191265901315286</v>
      </c>
      <c r="L283" s="1998">
        <v>0.8826013366689236</v>
      </c>
      <c r="M283" s="1998">
        <v>0.88191265901315286</v>
      </c>
      <c r="N283" s="1999">
        <v>0.76334582665060702</v>
      </c>
      <c r="O283" s="1979">
        <v>0.76788521867535808</v>
      </c>
      <c r="P283" s="1979">
        <v>0.76334582665060702</v>
      </c>
      <c r="Q283" s="1979">
        <v>0.76788521867535808</v>
      </c>
      <c r="R283" s="1979">
        <v>0.76334582665060702</v>
      </c>
      <c r="S283" s="1979">
        <v>0.76788521867535808</v>
      </c>
      <c r="T283" s="1979">
        <v>0.76334582665060702</v>
      </c>
      <c r="U283" s="1979">
        <v>0.76788521867535808</v>
      </c>
      <c r="V283" s="1979">
        <v>0.76334582665060702</v>
      </c>
      <c r="W283" s="1979">
        <v>0.76788521867535808</v>
      </c>
      <c r="X283" s="2000">
        <v>0.92312868655307501</v>
      </c>
      <c r="Y283" s="1998">
        <v>0.91669361180519193</v>
      </c>
      <c r="Z283" s="1998">
        <v>0.92312868655307501</v>
      </c>
      <c r="AA283" s="1998">
        <v>0.91669361180519193</v>
      </c>
      <c r="AB283" s="1998">
        <v>0.92312868655307501</v>
      </c>
      <c r="AC283" s="1998">
        <v>0.91669361180519193</v>
      </c>
      <c r="AD283" s="1998">
        <v>0.92312868655307501</v>
      </c>
      <c r="AE283" s="1998">
        <v>0.91669361180519193</v>
      </c>
      <c r="AF283" s="1998">
        <v>0.92312868655307501</v>
      </c>
      <c r="AG283" s="1998">
        <v>0.91669361180519193</v>
      </c>
      <c r="AH283" s="1999">
        <v>0.83515927062346285</v>
      </c>
      <c r="AI283" s="1979">
        <v>0.82782218967614762</v>
      </c>
      <c r="AJ283" s="1979">
        <v>0.83515927062346285</v>
      </c>
      <c r="AK283" s="1979">
        <v>0.82782218967614762</v>
      </c>
      <c r="AL283" s="1979">
        <v>0.83515927062346285</v>
      </c>
      <c r="AM283" s="1979">
        <v>0.82782218967614762</v>
      </c>
      <c r="AN283" s="1979">
        <v>0.83515927062346285</v>
      </c>
      <c r="AO283" s="1979">
        <v>0.82782218967614762</v>
      </c>
      <c r="AP283" s="1979">
        <v>0.83515927062346285</v>
      </c>
      <c r="AQ283" s="1979">
        <v>0.82782218967614762</v>
      </c>
      <c r="AR283" s="2000">
        <v>0.91408103122428785</v>
      </c>
      <c r="AS283" s="1998">
        <v>0.91475539883448376</v>
      </c>
      <c r="AT283" s="1998">
        <v>0.91408103122428785</v>
      </c>
      <c r="AU283" s="1998">
        <v>0.91475539883448376</v>
      </c>
      <c r="AV283" s="1998">
        <v>0.91408103122428785</v>
      </c>
      <c r="AW283" s="1998">
        <v>0.91475539883448376</v>
      </c>
      <c r="AX283" s="1998">
        <v>0.91408103122428785</v>
      </c>
      <c r="AY283" s="1998">
        <v>0.91475539883448376</v>
      </c>
      <c r="AZ283" s="1998">
        <v>0.91408103122428785</v>
      </c>
      <c r="BA283" s="1998">
        <v>0.91475539883448376</v>
      </c>
      <c r="BB283" s="1999">
        <v>1.3779240903170769</v>
      </c>
      <c r="BC283" s="1979">
        <v>1.3862499617484139</v>
      </c>
      <c r="BD283" s="1979">
        <v>1.3779240903170769</v>
      </c>
      <c r="BE283" s="1979">
        <v>1.3862499617484139</v>
      </c>
      <c r="BF283" s="1979">
        <v>1.3779240903170769</v>
      </c>
      <c r="BG283" s="1979">
        <v>1.3862499617484139</v>
      </c>
      <c r="BH283" s="1979">
        <v>1.3779240903170769</v>
      </c>
      <c r="BI283" s="1979">
        <v>1.3862499617484139</v>
      </c>
      <c r="BJ283" s="1979">
        <v>1.3779240903170769</v>
      </c>
      <c r="BK283" s="1979">
        <v>1.3862499617484139</v>
      </c>
      <c r="BL283" s="2000">
        <v>0.81504532796908635</v>
      </c>
      <c r="BM283" s="1998">
        <v>0.81939147790231492</v>
      </c>
      <c r="BN283" s="1998">
        <v>0.81504532796908635</v>
      </c>
      <c r="BO283" s="1998">
        <v>0.81939147790231492</v>
      </c>
      <c r="BP283" s="1998">
        <v>0.81504532796908635</v>
      </c>
      <c r="BQ283" s="1998">
        <v>0.81939147790231492</v>
      </c>
      <c r="BR283" s="1998">
        <v>0.81504532796908635</v>
      </c>
      <c r="BS283" s="1998">
        <v>0.81939147790231492</v>
      </c>
      <c r="BT283" s="1998">
        <v>0.81504532796908635</v>
      </c>
      <c r="BU283" s="1998">
        <v>0.81939147790231492</v>
      </c>
      <c r="BV283" s="1999">
        <v>0.75818607942942884</v>
      </c>
      <c r="BW283" s="1979">
        <v>0.75642464860108916</v>
      </c>
      <c r="BX283" s="1979">
        <v>0.75818607942942884</v>
      </c>
      <c r="BY283" s="1979">
        <v>0.75642464860108916</v>
      </c>
      <c r="BZ283" s="1979">
        <v>0.75818607942942884</v>
      </c>
      <c r="CA283" s="1979">
        <v>0.75642464860108916</v>
      </c>
      <c r="CB283" s="1979">
        <v>0.75818607942942884</v>
      </c>
      <c r="CC283" s="1979">
        <v>0.75642464860108916</v>
      </c>
      <c r="CD283" s="1979">
        <v>0.75818607942942884</v>
      </c>
      <c r="CE283" s="1979">
        <v>0.75642464860108916</v>
      </c>
      <c r="CF283" s="2000">
        <v>0.80719296136381258</v>
      </c>
      <c r="CG283" s="1998">
        <v>0.81872288984299058</v>
      </c>
      <c r="CH283" s="1998">
        <v>0.80719296136381258</v>
      </c>
      <c r="CI283" s="1998">
        <v>0.81872288984299058</v>
      </c>
      <c r="CJ283" s="1998">
        <v>0.80719296136381258</v>
      </c>
      <c r="CK283" s="1998">
        <v>0.81872288984299058</v>
      </c>
      <c r="CL283" s="1998">
        <v>0.80719296136381258</v>
      </c>
      <c r="CM283" s="1998">
        <v>0.81872288984299058</v>
      </c>
      <c r="CN283" s="1998">
        <v>0.80719296136381258</v>
      </c>
      <c r="CO283" s="1998">
        <v>0.81872288984299058</v>
      </c>
      <c r="CP283" s="1999">
        <v>0.79813582946748696</v>
      </c>
      <c r="CQ283" s="1979">
        <v>0.81077198351634028</v>
      </c>
      <c r="CR283" s="1979">
        <v>0.79813582946748696</v>
      </c>
      <c r="CS283" s="1979">
        <v>0.81077198351634028</v>
      </c>
      <c r="CT283" s="1979">
        <v>0.79813582946748696</v>
      </c>
      <c r="CU283" s="1979">
        <v>0.81077198351634028</v>
      </c>
      <c r="CV283" s="1979">
        <v>0.79813582946748696</v>
      </c>
      <c r="CW283" s="1979">
        <v>0.81077198351634028</v>
      </c>
      <c r="CX283" s="1979">
        <v>0.79813582946748696</v>
      </c>
      <c r="CY283" s="1979">
        <v>0.81077198351634028</v>
      </c>
      <c r="CZ283" s="2000">
        <v>1</v>
      </c>
      <c r="DA283" s="1998">
        <v>1</v>
      </c>
      <c r="DB283" s="1998">
        <v>1</v>
      </c>
      <c r="DC283" s="1998">
        <v>1</v>
      </c>
      <c r="DD283" s="1998">
        <v>1</v>
      </c>
      <c r="DE283" s="1998">
        <v>1</v>
      </c>
      <c r="DF283" s="1998">
        <v>1</v>
      </c>
      <c r="DG283" s="1998">
        <v>1</v>
      </c>
      <c r="DH283" s="1998">
        <v>1</v>
      </c>
      <c r="DI283" s="1998">
        <v>1</v>
      </c>
      <c r="DJ283" s="1999">
        <v>1.0002450682306379</v>
      </c>
      <c r="DK283" s="1979">
        <v>1.0001651239704095</v>
      </c>
      <c r="DL283" s="1979">
        <v>1.0002450682306379</v>
      </c>
      <c r="DM283" s="1979">
        <v>1.0001651239704095</v>
      </c>
      <c r="DN283" s="1979">
        <v>1.0002450682306379</v>
      </c>
      <c r="DO283" s="1979">
        <v>1.0001651239704095</v>
      </c>
      <c r="DP283" s="1979">
        <v>1.0002450682306379</v>
      </c>
      <c r="DQ283" s="1979">
        <v>1.0001651239704095</v>
      </c>
      <c r="DR283" s="1979">
        <v>1.0002450682306379</v>
      </c>
      <c r="DS283" s="1979">
        <v>1.0001651239704095</v>
      </c>
    </row>
    <row r="284" spans="2:123">
      <c r="B284" s="2">
        <v>25</v>
      </c>
      <c r="C284" s="2" t="s">
        <v>4229</v>
      </c>
      <c r="D284" s="1998">
        <v>0.91292982313176918</v>
      </c>
      <c r="E284" s="1998">
        <v>0.9125827720671047</v>
      </c>
      <c r="F284" s="1998">
        <v>0.91292982313176918</v>
      </c>
      <c r="G284" s="1998">
        <v>0.9125827720671047</v>
      </c>
      <c r="H284" s="1998">
        <v>0.91292982313176918</v>
      </c>
      <c r="I284" s="1998">
        <v>0.9125827720671047</v>
      </c>
      <c r="J284" s="1998">
        <v>0.91292982313176918</v>
      </c>
      <c r="K284" s="1998">
        <v>0.9125827720671047</v>
      </c>
      <c r="L284" s="1998">
        <v>0.91292982313176918</v>
      </c>
      <c r="M284" s="1998">
        <v>0.9125827720671047</v>
      </c>
      <c r="N284" s="1999">
        <v>0.85169000385791704</v>
      </c>
      <c r="O284" s="1979">
        <v>0.85830731292323603</v>
      </c>
      <c r="P284" s="1979">
        <v>0.85169000385791704</v>
      </c>
      <c r="Q284" s="1979">
        <v>0.85830731292323603</v>
      </c>
      <c r="R284" s="1979">
        <v>0.85169000385791704</v>
      </c>
      <c r="S284" s="1979">
        <v>0.85830731292323603</v>
      </c>
      <c r="T284" s="1979">
        <v>0.85169000385791704</v>
      </c>
      <c r="U284" s="1979">
        <v>0.85830731292323603</v>
      </c>
      <c r="V284" s="1979">
        <v>0.85169000385791704</v>
      </c>
      <c r="W284" s="1979">
        <v>0.85830731292323603</v>
      </c>
      <c r="X284" s="2000">
        <v>0.96981513216885551</v>
      </c>
      <c r="Y284" s="1998">
        <v>0.96505817916298342</v>
      </c>
      <c r="Z284" s="1998">
        <v>0.96981513216885551</v>
      </c>
      <c r="AA284" s="1998">
        <v>0.96505817916298342</v>
      </c>
      <c r="AB284" s="1998">
        <v>0.96981513216885551</v>
      </c>
      <c r="AC284" s="1998">
        <v>0.96505817916298342</v>
      </c>
      <c r="AD284" s="1998">
        <v>0.96981513216885551</v>
      </c>
      <c r="AE284" s="1998">
        <v>0.96505817916298342</v>
      </c>
      <c r="AF284" s="1998">
        <v>0.96981513216885551</v>
      </c>
      <c r="AG284" s="1998">
        <v>0.96505817916298342</v>
      </c>
      <c r="AH284" s="1999">
        <v>0.93871649296211201</v>
      </c>
      <c r="AI284" s="1979">
        <v>0.93819824274275199</v>
      </c>
      <c r="AJ284" s="1979">
        <v>0.93871649296211201</v>
      </c>
      <c r="AK284" s="1979">
        <v>0.93819824274275199</v>
      </c>
      <c r="AL284" s="1979">
        <v>0.93871649296211201</v>
      </c>
      <c r="AM284" s="1979">
        <v>0.93819824274275199</v>
      </c>
      <c r="AN284" s="1979">
        <v>0.93871649296211201</v>
      </c>
      <c r="AO284" s="1979">
        <v>0.93819824274275199</v>
      </c>
      <c r="AP284" s="1979">
        <v>0.93871649296211201</v>
      </c>
      <c r="AQ284" s="1979">
        <v>0.93819824274275199</v>
      </c>
      <c r="AR284" s="2000">
        <v>0.96312340480789194</v>
      </c>
      <c r="AS284" s="1998">
        <v>0.96438239521439473</v>
      </c>
      <c r="AT284" s="1998">
        <v>0.96312340480789194</v>
      </c>
      <c r="AU284" s="1998">
        <v>0.96438239521439473</v>
      </c>
      <c r="AV284" s="1998">
        <v>0.96312340480789194</v>
      </c>
      <c r="AW284" s="1998">
        <v>0.96438239521439473</v>
      </c>
      <c r="AX284" s="1998">
        <v>0.96312340480789194</v>
      </c>
      <c r="AY284" s="1998">
        <v>0.96438239521439473</v>
      </c>
      <c r="AZ284" s="1998">
        <v>0.96312340480789194</v>
      </c>
      <c r="BA284" s="1998">
        <v>0.96438239521439473</v>
      </c>
      <c r="BB284" s="1999">
        <v>1.6633162050082382</v>
      </c>
      <c r="BC284" s="1979">
        <v>1.6684354677572975</v>
      </c>
      <c r="BD284" s="1979">
        <v>1.6633162050082382</v>
      </c>
      <c r="BE284" s="1979">
        <v>1.6684354677572975</v>
      </c>
      <c r="BF284" s="1979">
        <v>1.6633162050082382</v>
      </c>
      <c r="BG284" s="1979">
        <v>1.6684354677572975</v>
      </c>
      <c r="BH284" s="1979">
        <v>1.6633162050082382</v>
      </c>
      <c r="BI284" s="1979">
        <v>1.6684354677572975</v>
      </c>
      <c r="BJ284" s="1979">
        <v>1.6633162050082382</v>
      </c>
      <c r="BK284" s="1979">
        <v>1.6684354677572975</v>
      </c>
      <c r="BL284" s="2000">
        <v>0.92257945362571736</v>
      </c>
      <c r="BM284" s="1998">
        <v>0.92638696675106547</v>
      </c>
      <c r="BN284" s="1998">
        <v>0.92257945362571736</v>
      </c>
      <c r="BO284" s="1998">
        <v>0.92638696675106547</v>
      </c>
      <c r="BP284" s="1998">
        <v>0.92257945362571736</v>
      </c>
      <c r="BQ284" s="1998">
        <v>0.92638696675106547</v>
      </c>
      <c r="BR284" s="1998">
        <v>0.92257945362571736</v>
      </c>
      <c r="BS284" s="1998">
        <v>0.92638696675106547</v>
      </c>
      <c r="BT284" s="1998">
        <v>0.92257945362571736</v>
      </c>
      <c r="BU284" s="1998">
        <v>0.92638696675106547</v>
      </c>
      <c r="BV284" s="1999">
        <v>0.82284332182257303</v>
      </c>
      <c r="BW284" s="1979">
        <v>0.82198011587613595</v>
      </c>
      <c r="BX284" s="1979">
        <v>0.82284332182257303</v>
      </c>
      <c r="BY284" s="1979">
        <v>0.82198011587613595</v>
      </c>
      <c r="BZ284" s="1979">
        <v>0.82284332182257303</v>
      </c>
      <c r="CA284" s="1979">
        <v>0.82198011587613595</v>
      </c>
      <c r="CB284" s="1979">
        <v>0.82284332182257303</v>
      </c>
      <c r="CC284" s="1979">
        <v>0.82198011587613595</v>
      </c>
      <c r="CD284" s="1979">
        <v>0.82284332182257303</v>
      </c>
      <c r="CE284" s="1979">
        <v>0.82198011587613595</v>
      </c>
      <c r="CF284" s="2000">
        <v>0.86128226688212361</v>
      </c>
      <c r="CG284" s="1998">
        <v>0.87102719352858338</v>
      </c>
      <c r="CH284" s="1998">
        <v>0.86128226688212361</v>
      </c>
      <c r="CI284" s="1998">
        <v>0.87102719352858338</v>
      </c>
      <c r="CJ284" s="1998">
        <v>0.86128226688212361</v>
      </c>
      <c r="CK284" s="1998">
        <v>0.87102719352858338</v>
      </c>
      <c r="CL284" s="1998">
        <v>0.86128226688212361</v>
      </c>
      <c r="CM284" s="1998">
        <v>0.87102719352858338</v>
      </c>
      <c r="CN284" s="1998">
        <v>0.86128226688212361</v>
      </c>
      <c r="CO284" s="1998">
        <v>0.87102719352858338</v>
      </c>
      <c r="CP284" s="1999">
        <v>0.85466392119864998</v>
      </c>
      <c r="CQ284" s="1979">
        <v>0.86524983451263915</v>
      </c>
      <c r="CR284" s="1979">
        <v>0.85466392119864998</v>
      </c>
      <c r="CS284" s="1979">
        <v>0.86524983451263915</v>
      </c>
      <c r="CT284" s="1979">
        <v>0.85466392119864998</v>
      </c>
      <c r="CU284" s="1979">
        <v>0.86524983451263915</v>
      </c>
      <c r="CV284" s="1979">
        <v>0.85466392119864998</v>
      </c>
      <c r="CW284" s="1979">
        <v>0.86524983451263915</v>
      </c>
      <c r="CX284" s="1979">
        <v>0.85466392119864998</v>
      </c>
      <c r="CY284" s="1979">
        <v>0.86524983451263915</v>
      </c>
      <c r="CZ284" s="2000">
        <v>1.0931272105979928</v>
      </c>
      <c r="DA284" s="1998">
        <v>1.0890508106235626</v>
      </c>
      <c r="DB284" s="1998">
        <v>1.0931272105979928</v>
      </c>
      <c r="DC284" s="1998">
        <v>1.0890508106235626</v>
      </c>
      <c r="DD284" s="1998">
        <v>1.0931272105979928</v>
      </c>
      <c r="DE284" s="1998">
        <v>1.0890508106235626</v>
      </c>
      <c r="DF284" s="1998">
        <v>1.0931272105979928</v>
      </c>
      <c r="DG284" s="1998">
        <v>1.0890508106235626</v>
      </c>
      <c r="DH284" s="1998">
        <v>1.0931272105979928</v>
      </c>
      <c r="DI284" s="1998">
        <v>1.0890508106235626</v>
      </c>
      <c r="DJ284" s="1999">
        <v>1.0889013725521897</v>
      </c>
      <c r="DK284" s="1979">
        <v>1.0876218473174644</v>
      </c>
      <c r="DL284" s="1979">
        <v>1.0889013725521897</v>
      </c>
      <c r="DM284" s="1979">
        <v>1.0876218473174644</v>
      </c>
      <c r="DN284" s="1979">
        <v>1.0889013725521897</v>
      </c>
      <c r="DO284" s="1979">
        <v>1.0876218473174644</v>
      </c>
      <c r="DP284" s="1979">
        <v>1.0889013725521897</v>
      </c>
      <c r="DQ284" s="1979">
        <v>1.0876218473174644</v>
      </c>
      <c r="DR284" s="1979">
        <v>1.0889013725521897</v>
      </c>
      <c r="DS284" s="1979">
        <v>1.0876218473174644</v>
      </c>
    </row>
    <row r="285" spans="2:123">
      <c r="B285" s="2">
        <v>26</v>
      </c>
      <c r="C285" s="2" t="s">
        <v>4244</v>
      </c>
      <c r="D285" s="1998">
        <v>0.96772783265384288</v>
      </c>
      <c r="E285" s="1998">
        <v>0.96412957065102256</v>
      </c>
      <c r="F285" s="1998">
        <v>0.96772783265384288</v>
      </c>
      <c r="G285" s="1998">
        <v>0.96412957065102256</v>
      </c>
      <c r="H285" s="1998">
        <v>0.96772783265384288</v>
      </c>
      <c r="I285" s="1998">
        <v>0.96412957065102256</v>
      </c>
      <c r="J285" s="1998">
        <v>0.96772783265384288</v>
      </c>
      <c r="K285" s="1998">
        <v>0.96412957065102256</v>
      </c>
      <c r="L285" s="1998">
        <v>0.96772783265384288</v>
      </c>
      <c r="M285" s="1998">
        <v>0.96412957065102256</v>
      </c>
      <c r="N285" s="1999">
        <v>1</v>
      </c>
      <c r="O285" s="1979">
        <v>1</v>
      </c>
      <c r="P285" s="1979">
        <v>1</v>
      </c>
      <c r="Q285" s="1979">
        <v>1</v>
      </c>
      <c r="R285" s="1979">
        <v>1</v>
      </c>
      <c r="S285" s="1979">
        <v>1</v>
      </c>
      <c r="T285" s="1979">
        <v>1</v>
      </c>
      <c r="U285" s="1979">
        <v>1</v>
      </c>
      <c r="V285" s="1979">
        <v>1</v>
      </c>
      <c r="W285" s="1979">
        <v>1</v>
      </c>
      <c r="X285" s="2000">
        <v>1</v>
      </c>
      <c r="Y285" s="1998">
        <v>0.99456526585057647</v>
      </c>
      <c r="Z285" s="1998">
        <v>1</v>
      </c>
      <c r="AA285" s="1998">
        <v>0.99456526585057647</v>
      </c>
      <c r="AB285" s="1998">
        <v>1</v>
      </c>
      <c r="AC285" s="1998">
        <v>0.99456526585057647</v>
      </c>
      <c r="AD285" s="1998">
        <v>1</v>
      </c>
      <c r="AE285" s="1998">
        <v>0.99456526585057647</v>
      </c>
      <c r="AF285" s="1998">
        <v>1</v>
      </c>
      <c r="AG285" s="1998">
        <v>0.99456526585057647</v>
      </c>
      <c r="AH285" s="1999">
        <v>1</v>
      </c>
      <c r="AI285" s="1979">
        <v>1</v>
      </c>
      <c r="AJ285" s="1979">
        <v>1</v>
      </c>
      <c r="AK285" s="1979">
        <v>1</v>
      </c>
      <c r="AL285" s="1979">
        <v>1</v>
      </c>
      <c r="AM285" s="1979">
        <v>1</v>
      </c>
      <c r="AN285" s="1979">
        <v>1</v>
      </c>
      <c r="AO285" s="1979">
        <v>1</v>
      </c>
      <c r="AP285" s="1979">
        <v>1</v>
      </c>
      <c r="AQ285" s="1979">
        <v>1</v>
      </c>
      <c r="AR285" s="2000">
        <v>1</v>
      </c>
      <c r="AS285" s="1998">
        <v>1</v>
      </c>
      <c r="AT285" s="1998">
        <v>1</v>
      </c>
      <c r="AU285" s="1998">
        <v>1</v>
      </c>
      <c r="AV285" s="1998">
        <v>1</v>
      </c>
      <c r="AW285" s="1998">
        <v>1</v>
      </c>
      <c r="AX285" s="1998">
        <v>1</v>
      </c>
      <c r="AY285" s="1998">
        <v>1</v>
      </c>
      <c r="AZ285" s="1998">
        <v>1</v>
      </c>
      <c r="BA285" s="1998">
        <v>1</v>
      </c>
      <c r="BB285" s="1999">
        <v>1.8677630614880787</v>
      </c>
      <c r="BC285" s="1979">
        <v>1.8607989021595341</v>
      </c>
      <c r="BD285" s="1979">
        <v>1.8677630614880787</v>
      </c>
      <c r="BE285" s="1979">
        <v>1.8607989021595341</v>
      </c>
      <c r="BF285" s="1979">
        <v>1.8677630614880787</v>
      </c>
      <c r="BG285" s="1979">
        <v>1.8607989021595341</v>
      </c>
      <c r="BH285" s="1979">
        <v>1.8677630614880787</v>
      </c>
      <c r="BI285" s="1979">
        <v>1.8607989021595341</v>
      </c>
      <c r="BJ285" s="1979">
        <v>1.8677630614880787</v>
      </c>
      <c r="BK285" s="1979">
        <v>1.8607989021595341</v>
      </c>
      <c r="BL285" s="2000">
        <v>1</v>
      </c>
      <c r="BM285" s="1998">
        <v>1</v>
      </c>
      <c r="BN285" s="1998">
        <v>1</v>
      </c>
      <c r="BO285" s="1998">
        <v>1</v>
      </c>
      <c r="BP285" s="1998">
        <v>1</v>
      </c>
      <c r="BQ285" s="1998">
        <v>1</v>
      </c>
      <c r="BR285" s="1998">
        <v>1</v>
      </c>
      <c r="BS285" s="1998">
        <v>1</v>
      </c>
      <c r="BT285" s="1998">
        <v>1</v>
      </c>
      <c r="BU285" s="1998">
        <v>1</v>
      </c>
      <c r="BV285" s="1999">
        <v>1</v>
      </c>
      <c r="BW285" s="1979">
        <v>1</v>
      </c>
      <c r="BX285" s="1979">
        <v>1</v>
      </c>
      <c r="BY285" s="1979">
        <v>1</v>
      </c>
      <c r="BZ285" s="1979">
        <v>1</v>
      </c>
      <c r="CA285" s="1979">
        <v>1</v>
      </c>
      <c r="CB285" s="1979">
        <v>1</v>
      </c>
      <c r="CC285" s="1979">
        <v>1</v>
      </c>
      <c r="CD285" s="1979">
        <v>1</v>
      </c>
      <c r="CE285" s="1979">
        <v>1</v>
      </c>
      <c r="CF285" s="2000">
        <v>1</v>
      </c>
      <c r="CG285" s="1998">
        <v>1</v>
      </c>
      <c r="CH285" s="1998">
        <v>1</v>
      </c>
      <c r="CI285" s="1998">
        <v>1</v>
      </c>
      <c r="CJ285" s="1998">
        <v>1</v>
      </c>
      <c r="CK285" s="1998">
        <v>1</v>
      </c>
      <c r="CL285" s="1998">
        <v>1</v>
      </c>
      <c r="CM285" s="1998">
        <v>1</v>
      </c>
      <c r="CN285" s="1998">
        <v>1</v>
      </c>
      <c r="CO285" s="1998">
        <v>1</v>
      </c>
      <c r="CP285" s="1999">
        <v>1</v>
      </c>
      <c r="CQ285" s="1979">
        <v>1</v>
      </c>
      <c r="CR285" s="1979">
        <v>1</v>
      </c>
      <c r="CS285" s="1979">
        <v>1</v>
      </c>
      <c r="CT285" s="1979">
        <v>1</v>
      </c>
      <c r="CU285" s="1979">
        <v>1</v>
      </c>
      <c r="CV285" s="1979">
        <v>1</v>
      </c>
      <c r="CW285" s="1979">
        <v>1</v>
      </c>
      <c r="CX285" s="1979">
        <v>1</v>
      </c>
      <c r="CY285" s="1979">
        <v>1</v>
      </c>
      <c r="CZ285" s="2000">
        <v>1.3315453130345394</v>
      </c>
      <c r="DA285" s="1998">
        <v>1.3082077926656719</v>
      </c>
      <c r="DB285" s="1998">
        <v>1.3315453130345394</v>
      </c>
      <c r="DC285" s="1998">
        <v>1.3082077926656719</v>
      </c>
      <c r="DD285" s="1998">
        <v>1.3315453130345394</v>
      </c>
      <c r="DE285" s="1998">
        <v>1.3082077926656719</v>
      </c>
      <c r="DF285" s="1998">
        <v>1.3315453130345394</v>
      </c>
      <c r="DG285" s="1998">
        <v>1.3082077926656719</v>
      </c>
      <c r="DH285" s="1998">
        <v>1.3315453130345394</v>
      </c>
      <c r="DI285" s="1998">
        <v>1.3082077926656719</v>
      </c>
      <c r="DJ285" s="1999">
        <v>1.3058240386588684</v>
      </c>
      <c r="DK285" s="1979">
        <v>1.291467328254273</v>
      </c>
      <c r="DL285" s="1979">
        <v>1.3058240386588684</v>
      </c>
      <c r="DM285" s="1979">
        <v>1.291467328254273</v>
      </c>
      <c r="DN285" s="1979">
        <v>1.3058240386588684</v>
      </c>
      <c r="DO285" s="1979">
        <v>1.291467328254273</v>
      </c>
      <c r="DP285" s="1979">
        <v>1.3058240386588684</v>
      </c>
      <c r="DQ285" s="1979">
        <v>1.291467328254273</v>
      </c>
      <c r="DR285" s="1979">
        <v>1.3058240386588684</v>
      </c>
      <c r="DS285" s="1979">
        <v>1.291467328254273</v>
      </c>
    </row>
    <row r="286" spans="2:123">
      <c r="B286" s="2">
        <v>27</v>
      </c>
      <c r="C286" s="2" t="s">
        <v>4259</v>
      </c>
      <c r="D286" s="1998">
        <v>1.0276667149414613</v>
      </c>
      <c r="E286" s="1998">
        <v>1.0319187461350141</v>
      </c>
      <c r="F286" s="1998">
        <v>1.0276667149414613</v>
      </c>
      <c r="G286" s="1998">
        <v>1.0319187461350141</v>
      </c>
      <c r="H286" s="1998">
        <v>1.0276667149414613</v>
      </c>
      <c r="I286" s="1998">
        <v>1.0319187461350141</v>
      </c>
      <c r="J286" s="1998">
        <v>1.0276667149414613</v>
      </c>
      <c r="K286" s="1998">
        <v>1.0319187461350141</v>
      </c>
      <c r="L286" s="1998">
        <v>1.0276667149414613</v>
      </c>
      <c r="M286" s="1998">
        <v>1.0319187461350141</v>
      </c>
      <c r="N286" s="1999">
        <v>1.1584921603271991</v>
      </c>
      <c r="O286" s="1979">
        <v>1.1790586861653303</v>
      </c>
      <c r="P286" s="1979">
        <v>1.1584921603271991</v>
      </c>
      <c r="Q286" s="1979">
        <v>1.1790586861653303</v>
      </c>
      <c r="R286" s="1979">
        <v>1.1584921603271991</v>
      </c>
      <c r="S286" s="1979">
        <v>1.1790586861653303</v>
      </c>
      <c r="T286" s="1979">
        <v>1.1584921603271991</v>
      </c>
      <c r="U286" s="1979">
        <v>1.1790586861653303</v>
      </c>
      <c r="V286" s="1979">
        <v>1.1584921603271991</v>
      </c>
      <c r="W286" s="1979">
        <v>1.1790586861653303</v>
      </c>
      <c r="X286" s="2000">
        <v>1.0499831390527208</v>
      </c>
      <c r="Y286" s="1998">
        <v>1.0519782901065435</v>
      </c>
      <c r="Z286" s="1998">
        <v>1.0499831390527208</v>
      </c>
      <c r="AA286" s="1998">
        <v>1.0519782901065435</v>
      </c>
      <c r="AB286" s="1998">
        <v>1.0499831390527208</v>
      </c>
      <c r="AC286" s="1998">
        <v>1.0519782901065435</v>
      </c>
      <c r="AD286" s="1998">
        <v>1.0499831390527208</v>
      </c>
      <c r="AE286" s="1998">
        <v>1.0519782901065435</v>
      </c>
      <c r="AF286" s="1998">
        <v>1.0499831390527208</v>
      </c>
      <c r="AG286" s="1998">
        <v>1.0519782901065435</v>
      </c>
      <c r="AH286" s="1999">
        <v>1.0970161357582471</v>
      </c>
      <c r="AI286" s="1979">
        <v>1.1127435535323817</v>
      </c>
      <c r="AJ286" s="1979">
        <v>1.0970161357582471</v>
      </c>
      <c r="AK286" s="1979">
        <v>1.1127435535323817</v>
      </c>
      <c r="AL286" s="1979">
        <v>1.0970161357582471</v>
      </c>
      <c r="AM286" s="1979">
        <v>1.1127435535323817</v>
      </c>
      <c r="AN286" s="1979">
        <v>1.0970161357582471</v>
      </c>
      <c r="AO286" s="1979">
        <v>1.1127435535323817</v>
      </c>
      <c r="AP286" s="1979">
        <v>1.0970161357582471</v>
      </c>
      <c r="AQ286" s="1979">
        <v>1.1127435535323817</v>
      </c>
      <c r="AR286" s="2000">
        <v>1.0631757253408356</v>
      </c>
      <c r="AS286" s="1998">
        <v>1.0728272244566142</v>
      </c>
      <c r="AT286" s="1998">
        <v>1.0631757253408356</v>
      </c>
      <c r="AU286" s="1998">
        <v>1.0728272244566142</v>
      </c>
      <c r="AV286" s="1998">
        <v>1.0631757253408356</v>
      </c>
      <c r="AW286" s="1998">
        <v>1.0728272244566142</v>
      </c>
      <c r="AX286" s="1998">
        <v>1.0631757253408356</v>
      </c>
      <c r="AY286" s="1998">
        <v>1.0728272244566142</v>
      </c>
      <c r="AZ286" s="1998">
        <v>1.0631757253408356</v>
      </c>
      <c r="BA286" s="1998">
        <v>1.0728272244566142</v>
      </c>
      <c r="BB286" s="1999">
        <v>2.2115272364255643</v>
      </c>
      <c r="BC286" s="1979">
        <v>2.2435016026188501</v>
      </c>
      <c r="BD286" s="1979">
        <v>2.2115272364255643</v>
      </c>
      <c r="BE286" s="1979">
        <v>2.2435016026188501</v>
      </c>
      <c r="BF286" s="1979">
        <v>2.2115272364255643</v>
      </c>
      <c r="BG286" s="1979">
        <v>2.2435016026188501</v>
      </c>
      <c r="BH286" s="1979">
        <v>2.2115272364255643</v>
      </c>
      <c r="BI286" s="1979">
        <v>2.2435016026188501</v>
      </c>
      <c r="BJ286" s="1979">
        <v>2.2115272364255643</v>
      </c>
      <c r="BK286" s="1979">
        <v>2.2435016026188501</v>
      </c>
      <c r="BL286" s="2000">
        <v>1.1251015530646817</v>
      </c>
      <c r="BM286" s="1998">
        <v>1.1388298168705033</v>
      </c>
      <c r="BN286" s="1998">
        <v>1.1251015530646817</v>
      </c>
      <c r="BO286" s="1998">
        <v>1.1388298168705033</v>
      </c>
      <c r="BP286" s="1998">
        <v>1.1251015530646817</v>
      </c>
      <c r="BQ286" s="1998">
        <v>1.1388298168705033</v>
      </c>
      <c r="BR286" s="1998">
        <v>1.1251015530646817</v>
      </c>
      <c r="BS286" s="1998">
        <v>1.1388298168705033</v>
      </c>
      <c r="BT286" s="1998">
        <v>1.1251015530646817</v>
      </c>
      <c r="BU286" s="1998">
        <v>1.1388298168705033</v>
      </c>
      <c r="BV286" s="1999">
        <v>1.143377194782732</v>
      </c>
      <c r="BW286" s="1979">
        <v>1.1592778053690169</v>
      </c>
      <c r="BX286" s="1979">
        <v>1.143377194782732</v>
      </c>
      <c r="BY286" s="1979">
        <v>1.1592778053690169</v>
      </c>
      <c r="BZ286" s="1979">
        <v>1.143377194782732</v>
      </c>
      <c r="CA286" s="1979">
        <v>1.1592778053690169</v>
      </c>
      <c r="CB286" s="1979">
        <v>1.143377194782732</v>
      </c>
      <c r="CC286" s="1979">
        <v>1.1592778053690169</v>
      </c>
      <c r="CD286" s="1979">
        <v>1.143377194782732</v>
      </c>
      <c r="CE286" s="1979">
        <v>1.1592778053690169</v>
      </c>
      <c r="CF286" s="2000">
        <v>1.1339929256890262</v>
      </c>
      <c r="CG286" s="1998">
        <v>1.1589029071489558</v>
      </c>
      <c r="CH286" s="1998">
        <v>1.1339929256890262</v>
      </c>
      <c r="CI286" s="1998">
        <v>1.1589029071489558</v>
      </c>
      <c r="CJ286" s="1998">
        <v>1.1339929256890262</v>
      </c>
      <c r="CK286" s="1998">
        <v>1.1589029071489558</v>
      </c>
      <c r="CL286" s="1998">
        <v>1.1339929256890262</v>
      </c>
      <c r="CM286" s="1998">
        <v>1.1589029071489558</v>
      </c>
      <c r="CN286" s="1998">
        <v>1.1339929256890262</v>
      </c>
      <c r="CO286" s="1998">
        <v>1.1589029071489558</v>
      </c>
      <c r="CP286" s="1999">
        <v>1.1421268551603387</v>
      </c>
      <c r="CQ286" s="1979">
        <v>1.1681689466314089</v>
      </c>
      <c r="CR286" s="1979">
        <v>1.1421268551603387</v>
      </c>
      <c r="CS286" s="1979">
        <v>1.1681689466314089</v>
      </c>
      <c r="CT286" s="1979">
        <v>1.1421268551603387</v>
      </c>
      <c r="CU286" s="1979">
        <v>1.1681689466314089</v>
      </c>
      <c r="CV286" s="1979">
        <v>1.1421268551603387</v>
      </c>
      <c r="CW286" s="1979">
        <v>1.1681689466314089</v>
      </c>
      <c r="CX286" s="1979">
        <v>1.1421268551603387</v>
      </c>
      <c r="CY286" s="1979">
        <v>1.1681689466314089</v>
      </c>
      <c r="CZ286" s="2000">
        <v>1.5647127023350567</v>
      </c>
      <c r="DA286" s="1998">
        <v>1.5815332278221961</v>
      </c>
      <c r="DB286" s="1998">
        <v>1.5647127023350567</v>
      </c>
      <c r="DC286" s="1998">
        <v>1.5815332278221961</v>
      </c>
      <c r="DD286" s="1998">
        <v>1.5647127023350567</v>
      </c>
      <c r="DE286" s="1998">
        <v>1.5815332278221961</v>
      </c>
      <c r="DF286" s="1998">
        <v>1.5647127023350567</v>
      </c>
      <c r="DG286" s="1998">
        <v>1.5815332278221961</v>
      </c>
      <c r="DH286" s="1998">
        <v>1.5647127023350567</v>
      </c>
      <c r="DI286" s="1998">
        <v>1.5815332278221961</v>
      </c>
      <c r="DJ286" s="1999">
        <v>1.5137884053841772</v>
      </c>
      <c r="DK286" s="1979">
        <v>1.5385691878013936</v>
      </c>
      <c r="DL286" s="1979">
        <v>1.5137884053841772</v>
      </c>
      <c r="DM286" s="1979">
        <v>1.5385691878013936</v>
      </c>
      <c r="DN286" s="1979">
        <v>1.5137884053841772</v>
      </c>
      <c r="DO286" s="1979">
        <v>1.5385691878013936</v>
      </c>
      <c r="DP286" s="1979">
        <v>1.5137884053841772</v>
      </c>
      <c r="DQ286" s="1979">
        <v>1.5385691878013936</v>
      </c>
      <c r="DR286" s="1979">
        <v>1.5137884053841772</v>
      </c>
      <c r="DS286" s="1979">
        <v>1.5385691878013936</v>
      </c>
    </row>
    <row r="287" spans="2:123">
      <c r="B287" s="2">
        <v>28</v>
      </c>
      <c r="C287" s="2" t="s">
        <v>4274</v>
      </c>
      <c r="D287" s="1998">
        <v>1.2677409788794161</v>
      </c>
      <c r="E287" s="1998">
        <v>1.2768871008274929</v>
      </c>
      <c r="F287" s="1998">
        <v>1.2677409788794161</v>
      </c>
      <c r="G287" s="1998">
        <v>1.2768871008274929</v>
      </c>
      <c r="H287" s="1998">
        <v>1.2677409788794161</v>
      </c>
      <c r="I287" s="1998">
        <v>1.2768871008274929</v>
      </c>
      <c r="J287" s="1998">
        <v>1.2677409788794161</v>
      </c>
      <c r="K287" s="1998">
        <v>1.2768871008274929</v>
      </c>
      <c r="L287" s="1998">
        <v>1.2677409788794161</v>
      </c>
      <c r="M287" s="1998">
        <v>1.2768871008274929</v>
      </c>
      <c r="N287" s="1999">
        <v>1.3169843206543983</v>
      </c>
      <c r="O287" s="1979">
        <v>1.3581173723306608</v>
      </c>
      <c r="P287" s="1979">
        <v>1.3169843206543983</v>
      </c>
      <c r="Q287" s="1979">
        <v>1.3581173723306608</v>
      </c>
      <c r="R287" s="1979">
        <v>1.3169843206543983</v>
      </c>
      <c r="S287" s="1979">
        <v>1.3581173723306608</v>
      </c>
      <c r="T287" s="1979">
        <v>1.3169843206543983</v>
      </c>
      <c r="U287" s="1979">
        <v>1.3581173723306608</v>
      </c>
      <c r="V287" s="1979">
        <v>1.3169843206543983</v>
      </c>
      <c r="W287" s="1979">
        <v>1.3581173723306608</v>
      </c>
      <c r="X287" s="2000">
        <v>1.099966278105442</v>
      </c>
      <c r="Y287" s="1998">
        <v>1.1093913143625103</v>
      </c>
      <c r="Z287" s="1998">
        <v>1.099966278105442</v>
      </c>
      <c r="AA287" s="1998">
        <v>1.1093913143625103</v>
      </c>
      <c r="AB287" s="1998">
        <v>1.099966278105442</v>
      </c>
      <c r="AC287" s="1998">
        <v>1.1093913143625103</v>
      </c>
      <c r="AD287" s="1998">
        <v>1.099966278105442</v>
      </c>
      <c r="AE287" s="1998">
        <v>1.1093913143625103</v>
      </c>
      <c r="AF287" s="1998">
        <v>1.099966278105442</v>
      </c>
      <c r="AG287" s="1998">
        <v>1.1093913143625103</v>
      </c>
      <c r="AH287" s="1999">
        <v>1.1940322715164942</v>
      </c>
      <c r="AI287" s="1979">
        <v>1.2254871070647639</v>
      </c>
      <c r="AJ287" s="1979">
        <v>1.1940322715164942</v>
      </c>
      <c r="AK287" s="1979">
        <v>1.2254871070647639</v>
      </c>
      <c r="AL287" s="1979">
        <v>1.1940322715164942</v>
      </c>
      <c r="AM287" s="1979">
        <v>1.2254871070647639</v>
      </c>
      <c r="AN287" s="1979">
        <v>1.1940322715164942</v>
      </c>
      <c r="AO287" s="1979">
        <v>1.2254871070647639</v>
      </c>
      <c r="AP287" s="1979">
        <v>1.1940322715164942</v>
      </c>
      <c r="AQ287" s="1979">
        <v>1.2254871070647639</v>
      </c>
      <c r="AR287" s="2000">
        <v>1.1263514506816714</v>
      </c>
      <c r="AS287" s="1998">
        <v>1.1456544489132279</v>
      </c>
      <c r="AT287" s="1998">
        <v>1.1263514506816714</v>
      </c>
      <c r="AU287" s="1998">
        <v>1.1456544489132279</v>
      </c>
      <c r="AV287" s="1998">
        <v>1.1263514506816714</v>
      </c>
      <c r="AW287" s="1998">
        <v>1.1456544489132279</v>
      </c>
      <c r="AX287" s="1998">
        <v>1.1263514506816714</v>
      </c>
      <c r="AY287" s="1998">
        <v>1.1456544489132279</v>
      </c>
      <c r="AZ287" s="1998">
        <v>1.1263514506816714</v>
      </c>
      <c r="BA287" s="1998">
        <v>1.1456544489132279</v>
      </c>
      <c r="BB287" s="1999">
        <v>2.5552914113630503</v>
      </c>
      <c r="BC287" s="1979">
        <v>2.6262043030781661</v>
      </c>
      <c r="BD287" s="1979">
        <v>2.5552914113630503</v>
      </c>
      <c r="BE287" s="1979">
        <v>2.6262043030781661</v>
      </c>
      <c r="BF287" s="1979">
        <v>2.5552914113630503</v>
      </c>
      <c r="BG287" s="1979">
        <v>2.6262043030781661</v>
      </c>
      <c r="BH287" s="1979">
        <v>2.5552914113630503</v>
      </c>
      <c r="BI287" s="1979">
        <v>2.6262043030781661</v>
      </c>
      <c r="BJ287" s="1979">
        <v>2.5552914113630503</v>
      </c>
      <c r="BK287" s="1979">
        <v>2.6262043030781661</v>
      </c>
      <c r="BL287" s="2000">
        <v>1.2502031061293635</v>
      </c>
      <c r="BM287" s="1998">
        <v>1.2776596337410064</v>
      </c>
      <c r="BN287" s="1998">
        <v>1.2502031061293635</v>
      </c>
      <c r="BO287" s="1998">
        <v>1.2776596337410064</v>
      </c>
      <c r="BP287" s="1998">
        <v>1.2502031061293635</v>
      </c>
      <c r="BQ287" s="1998">
        <v>1.2776596337410064</v>
      </c>
      <c r="BR287" s="1998">
        <v>1.2502031061293635</v>
      </c>
      <c r="BS287" s="1998">
        <v>1.2776596337410064</v>
      </c>
      <c r="BT287" s="1998">
        <v>1.2502031061293635</v>
      </c>
      <c r="BU287" s="1998">
        <v>1.2776596337410064</v>
      </c>
      <c r="BV287" s="1999">
        <v>1.2867543895654641</v>
      </c>
      <c r="BW287" s="1979">
        <v>1.3185556107380338</v>
      </c>
      <c r="BX287" s="1979">
        <v>1.2867543895654641</v>
      </c>
      <c r="BY287" s="1979">
        <v>1.3185556107380338</v>
      </c>
      <c r="BZ287" s="1979">
        <v>1.2867543895654641</v>
      </c>
      <c r="CA287" s="1979">
        <v>1.3185556107380338</v>
      </c>
      <c r="CB287" s="1979">
        <v>1.2867543895654641</v>
      </c>
      <c r="CC287" s="1979">
        <v>1.3185556107380338</v>
      </c>
      <c r="CD287" s="1979">
        <v>1.2867543895654641</v>
      </c>
      <c r="CE287" s="1979">
        <v>1.3185556107380338</v>
      </c>
      <c r="CF287" s="2000">
        <v>1.2679858513780522</v>
      </c>
      <c r="CG287" s="1998">
        <v>1.3178058142979114</v>
      </c>
      <c r="CH287" s="1998">
        <v>1.2679858513780522</v>
      </c>
      <c r="CI287" s="1998">
        <v>1.3178058142979114</v>
      </c>
      <c r="CJ287" s="1998">
        <v>1.2679858513780522</v>
      </c>
      <c r="CK287" s="1998">
        <v>1.3178058142979114</v>
      </c>
      <c r="CL287" s="1998">
        <v>1.2679858513780522</v>
      </c>
      <c r="CM287" s="1998">
        <v>1.3178058142979114</v>
      </c>
      <c r="CN287" s="1998">
        <v>1.2679858513780522</v>
      </c>
      <c r="CO287" s="1998">
        <v>1.3178058142979114</v>
      </c>
      <c r="CP287" s="1999">
        <v>1.284253710320677</v>
      </c>
      <c r="CQ287" s="1979">
        <v>1.3363378932628178</v>
      </c>
      <c r="CR287" s="1979">
        <v>1.284253710320677</v>
      </c>
      <c r="CS287" s="1979">
        <v>1.3363378932628178</v>
      </c>
      <c r="CT287" s="1979">
        <v>1.284253710320677</v>
      </c>
      <c r="CU287" s="1979">
        <v>1.3363378932628178</v>
      </c>
      <c r="CV287" s="1979">
        <v>1.284253710320677</v>
      </c>
      <c r="CW287" s="1979">
        <v>1.3363378932628178</v>
      </c>
      <c r="CX287" s="1979">
        <v>1.284253710320677</v>
      </c>
      <c r="CY287" s="1979">
        <v>1.3363378932628178</v>
      </c>
      <c r="CZ287" s="2000">
        <v>1.7978800916355735</v>
      </c>
      <c r="DA287" s="1998">
        <v>1.8548586629787203</v>
      </c>
      <c r="DB287" s="1998">
        <v>1.7978800916355735</v>
      </c>
      <c r="DC287" s="1998">
        <v>1.8548586629787203</v>
      </c>
      <c r="DD287" s="1998">
        <v>1.7978800916355735</v>
      </c>
      <c r="DE287" s="1998">
        <v>1.8548586629787203</v>
      </c>
      <c r="DF287" s="1998">
        <v>1.7978800916355735</v>
      </c>
      <c r="DG287" s="1998">
        <v>1.8548586629787203</v>
      </c>
      <c r="DH287" s="1998">
        <v>1.7978800916355735</v>
      </c>
      <c r="DI287" s="1998">
        <v>1.8548586629787203</v>
      </c>
      <c r="DJ287" s="1999">
        <v>1.7217527721094865</v>
      </c>
      <c r="DK287" s="1979">
        <v>1.7856710473485147</v>
      </c>
      <c r="DL287" s="1979">
        <v>1.7217527721094865</v>
      </c>
      <c r="DM287" s="1979">
        <v>1.7856710473485147</v>
      </c>
      <c r="DN287" s="1979">
        <v>1.7217527721094865</v>
      </c>
      <c r="DO287" s="1979">
        <v>1.7856710473485147</v>
      </c>
      <c r="DP287" s="1979">
        <v>1.7217527721094865</v>
      </c>
      <c r="DQ287" s="1979">
        <v>1.7856710473485147</v>
      </c>
      <c r="DR287" s="1979">
        <v>1.7217527721094865</v>
      </c>
      <c r="DS287" s="1979">
        <v>1.7856710473485147</v>
      </c>
    </row>
    <row r="288" spans="2:123">
      <c r="B288" s="2">
        <v>29</v>
      </c>
      <c r="C288" s="2" t="str">
        <f>AD$13</f>
        <v>Fondation superficielle</v>
      </c>
      <c r="D288" s="1998">
        <v>0.96772783265384288</v>
      </c>
      <c r="E288" s="1998">
        <v>0.96412957065102256</v>
      </c>
      <c r="F288" s="1998">
        <v>0.96772783265384288</v>
      </c>
      <c r="G288" s="1998">
        <v>0.96412957065102256</v>
      </c>
      <c r="H288" s="1998">
        <v>0.96772783265384288</v>
      </c>
      <c r="I288" s="1998">
        <v>0.96412957065102256</v>
      </c>
      <c r="J288" s="1998">
        <v>0.96772783265384288</v>
      </c>
      <c r="K288" s="1998">
        <v>0.96412957065102256</v>
      </c>
      <c r="L288" s="1998">
        <v>0.96772783265384288</v>
      </c>
      <c r="M288" s="1998">
        <v>0.96412957065102256</v>
      </c>
      <c r="N288" s="1999">
        <v>1</v>
      </c>
      <c r="O288" s="1979">
        <v>1</v>
      </c>
      <c r="P288" s="1979">
        <v>1</v>
      </c>
      <c r="Q288" s="1979">
        <v>1</v>
      </c>
      <c r="R288" s="1979">
        <v>1</v>
      </c>
      <c r="S288" s="1979">
        <v>1</v>
      </c>
      <c r="T288" s="1979">
        <v>1</v>
      </c>
      <c r="U288" s="1979">
        <v>1</v>
      </c>
      <c r="V288" s="1979">
        <v>1</v>
      </c>
      <c r="W288" s="1979">
        <v>1</v>
      </c>
      <c r="X288" s="2000">
        <v>1</v>
      </c>
      <c r="Y288" s="1998">
        <v>0.99456526585057647</v>
      </c>
      <c r="Z288" s="1998">
        <v>1</v>
      </c>
      <c r="AA288" s="1998">
        <v>0.99456526585057647</v>
      </c>
      <c r="AB288" s="1998">
        <v>1</v>
      </c>
      <c r="AC288" s="1998">
        <v>0.99456526585057647</v>
      </c>
      <c r="AD288" s="1998">
        <v>1</v>
      </c>
      <c r="AE288" s="1998">
        <v>0.99456526585057647</v>
      </c>
      <c r="AF288" s="1998">
        <v>1</v>
      </c>
      <c r="AG288" s="1998">
        <v>0.99456526585057647</v>
      </c>
      <c r="AH288" s="1999">
        <v>1</v>
      </c>
      <c r="AI288" s="1979">
        <v>1</v>
      </c>
      <c r="AJ288" s="1979">
        <v>1</v>
      </c>
      <c r="AK288" s="1979">
        <v>1</v>
      </c>
      <c r="AL288" s="1979">
        <v>1</v>
      </c>
      <c r="AM288" s="1979">
        <v>1</v>
      </c>
      <c r="AN288" s="1979">
        <v>1</v>
      </c>
      <c r="AO288" s="1979">
        <v>1</v>
      </c>
      <c r="AP288" s="1979">
        <v>1</v>
      </c>
      <c r="AQ288" s="1979">
        <v>1</v>
      </c>
      <c r="AR288" s="2000">
        <v>1</v>
      </c>
      <c r="AS288" s="1998">
        <v>1</v>
      </c>
      <c r="AT288" s="1998">
        <v>1</v>
      </c>
      <c r="AU288" s="1998">
        <v>1</v>
      </c>
      <c r="AV288" s="1998">
        <v>1</v>
      </c>
      <c r="AW288" s="1998">
        <v>1</v>
      </c>
      <c r="AX288" s="1998">
        <v>1</v>
      </c>
      <c r="AY288" s="1998">
        <v>1</v>
      </c>
      <c r="AZ288" s="1998">
        <v>1</v>
      </c>
      <c r="BA288" s="1998">
        <v>1</v>
      </c>
      <c r="BB288" s="1999">
        <v>1.3180265000109936</v>
      </c>
      <c r="BC288" s="1979">
        <v>1.3308586370188196</v>
      </c>
      <c r="BD288" s="1979">
        <v>1.3180265000109936</v>
      </c>
      <c r="BE288" s="1979">
        <v>1.3308586370188196</v>
      </c>
      <c r="BF288" s="1979">
        <v>1.3180265000109936</v>
      </c>
      <c r="BG288" s="1979">
        <v>1.3308586370188196</v>
      </c>
      <c r="BH288" s="1979">
        <v>1.3180265000109936</v>
      </c>
      <c r="BI288" s="1979">
        <v>1.3308586370188196</v>
      </c>
      <c r="BJ288" s="1979">
        <v>1.3180265000109936</v>
      </c>
      <c r="BK288" s="1979">
        <v>1.3308586370188196</v>
      </c>
      <c r="BL288" s="2000">
        <v>1</v>
      </c>
      <c r="BM288" s="1998">
        <v>1</v>
      </c>
      <c r="BN288" s="1998">
        <v>1</v>
      </c>
      <c r="BO288" s="1998">
        <v>1</v>
      </c>
      <c r="BP288" s="1998">
        <v>1</v>
      </c>
      <c r="BQ288" s="1998">
        <v>1</v>
      </c>
      <c r="BR288" s="1998">
        <v>1</v>
      </c>
      <c r="BS288" s="1998">
        <v>1</v>
      </c>
      <c r="BT288" s="1998">
        <v>1</v>
      </c>
      <c r="BU288" s="1998">
        <v>1</v>
      </c>
      <c r="BV288" s="1999">
        <v>1</v>
      </c>
      <c r="BW288" s="1979">
        <v>1</v>
      </c>
      <c r="BX288" s="1979">
        <v>1</v>
      </c>
      <c r="BY288" s="1979">
        <v>1</v>
      </c>
      <c r="BZ288" s="1979">
        <v>1</v>
      </c>
      <c r="CA288" s="1979">
        <v>1</v>
      </c>
      <c r="CB288" s="1979">
        <v>1</v>
      </c>
      <c r="CC288" s="1979">
        <v>1</v>
      </c>
      <c r="CD288" s="1979">
        <v>1</v>
      </c>
      <c r="CE288" s="1979">
        <v>1</v>
      </c>
      <c r="CF288" s="2000">
        <v>1</v>
      </c>
      <c r="CG288" s="1998">
        <v>1</v>
      </c>
      <c r="CH288" s="1998">
        <v>1</v>
      </c>
      <c r="CI288" s="1998">
        <v>1</v>
      </c>
      <c r="CJ288" s="1998">
        <v>1</v>
      </c>
      <c r="CK288" s="1998">
        <v>1</v>
      </c>
      <c r="CL288" s="1998">
        <v>1</v>
      </c>
      <c r="CM288" s="1998">
        <v>1</v>
      </c>
      <c r="CN288" s="1998">
        <v>1</v>
      </c>
      <c r="CO288" s="1998">
        <v>1</v>
      </c>
      <c r="CP288" s="1999">
        <v>1</v>
      </c>
      <c r="CQ288" s="1979">
        <v>1</v>
      </c>
      <c r="CR288" s="1979">
        <v>1</v>
      </c>
      <c r="CS288" s="1979">
        <v>1</v>
      </c>
      <c r="CT288" s="1979">
        <v>1</v>
      </c>
      <c r="CU288" s="1979">
        <v>1</v>
      </c>
      <c r="CV288" s="1979">
        <v>1</v>
      </c>
      <c r="CW288" s="1979">
        <v>1</v>
      </c>
      <c r="CX288" s="1979">
        <v>1</v>
      </c>
      <c r="CY288" s="1979">
        <v>1</v>
      </c>
      <c r="CZ288" s="2000">
        <v>1</v>
      </c>
      <c r="DA288" s="1998">
        <v>1</v>
      </c>
      <c r="DB288" s="1998">
        <v>1</v>
      </c>
      <c r="DC288" s="1998">
        <v>1</v>
      </c>
      <c r="DD288" s="1998">
        <v>1</v>
      </c>
      <c r="DE288" s="1998">
        <v>1</v>
      </c>
      <c r="DF288" s="1998">
        <v>1</v>
      </c>
      <c r="DG288" s="1998">
        <v>1</v>
      </c>
      <c r="DH288" s="1998">
        <v>1</v>
      </c>
      <c r="DI288" s="1998">
        <v>1</v>
      </c>
      <c r="DJ288" s="1999">
        <v>1.0002450682306379</v>
      </c>
      <c r="DK288" s="1979">
        <v>1.0001651239704095</v>
      </c>
      <c r="DL288" s="1979">
        <v>1.0002450682306379</v>
      </c>
      <c r="DM288" s="1979">
        <v>1.0001651239704095</v>
      </c>
      <c r="DN288" s="1979">
        <v>1.0002450682306379</v>
      </c>
      <c r="DO288" s="1979">
        <v>1.0001651239704095</v>
      </c>
      <c r="DP288" s="1979">
        <v>1.0002450682306379</v>
      </c>
      <c r="DQ288" s="1979">
        <v>1.0001651239704095</v>
      </c>
      <c r="DR288" s="1979">
        <v>1.0002450682306379</v>
      </c>
      <c r="DS288" s="1979">
        <v>1.0001651239704095</v>
      </c>
    </row>
    <row r="289" spans="1:189">
      <c r="B289" s="2">
        <v>30</v>
      </c>
      <c r="C289" s="2" t="str">
        <f>AD$14</f>
        <v>Micro-pieux</v>
      </c>
      <c r="D289" s="1998">
        <v>0.98215194558222918</v>
      </c>
      <c r="E289" s="1998">
        <v>0.97790342861972512</v>
      </c>
      <c r="F289" s="1998">
        <v>0.98215194558222918</v>
      </c>
      <c r="G289" s="1998">
        <v>0.97790342861972512</v>
      </c>
      <c r="H289" s="1998">
        <v>0.98215194558222918</v>
      </c>
      <c r="I289" s="1998">
        <v>0.97790342861972512</v>
      </c>
      <c r="J289" s="1998">
        <v>0.98215194558222918</v>
      </c>
      <c r="K289" s="1998">
        <v>0.97790342861972512</v>
      </c>
      <c r="L289" s="1998">
        <v>0.98215194558222918</v>
      </c>
      <c r="M289" s="1998">
        <v>0.97790342861972512</v>
      </c>
      <c r="N289" s="1999">
        <v>1.0358398385172327</v>
      </c>
      <c r="O289" s="1979">
        <v>1.034179277007147</v>
      </c>
      <c r="P289" s="1979">
        <v>1.0358398385172327</v>
      </c>
      <c r="Q289" s="1979">
        <v>1.034179277007147</v>
      </c>
      <c r="R289" s="1979">
        <v>1.0358398385172327</v>
      </c>
      <c r="S289" s="1979">
        <v>1.034179277007147</v>
      </c>
      <c r="T289" s="1979">
        <v>1.0358398385172327</v>
      </c>
      <c r="U289" s="1979">
        <v>1.034179277007147</v>
      </c>
      <c r="V289" s="1979">
        <v>1.0358398385172327</v>
      </c>
      <c r="W289" s="1979">
        <v>1.034179277007147</v>
      </c>
      <c r="X289" s="2000">
        <v>1.0118507754959125</v>
      </c>
      <c r="Y289" s="1998">
        <v>1.0060579802998373</v>
      </c>
      <c r="Z289" s="1998">
        <v>1.0118507754959125</v>
      </c>
      <c r="AA289" s="1998">
        <v>1.0060579802998373</v>
      </c>
      <c r="AB289" s="1998">
        <v>1.0118507754959125</v>
      </c>
      <c r="AC289" s="1998">
        <v>1.0060579802998373</v>
      </c>
      <c r="AD289" s="1998">
        <v>1.0118507754959125</v>
      </c>
      <c r="AE289" s="1998">
        <v>1.0060579802998373</v>
      </c>
      <c r="AF289" s="1998">
        <v>1.0118507754959125</v>
      </c>
      <c r="AG289" s="1998">
        <v>1.0060579802998373</v>
      </c>
      <c r="AH289" s="1999">
        <v>1.0213887038976559</v>
      </c>
      <c r="AI289" s="1979">
        <v>1.0209797472917035</v>
      </c>
      <c r="AJ289" s="1979">
        <v>1.0213887038976559</v>
      </c>
      <c r="AK289" s="1979">
        <v>1.0209797472917035</v>
      </c>
      <c r="AL289" s="1979">
        <v>1.0213887038976559</v>
      </c>
      <c r="AM289" s="1979">
        <v>1.0209797472917035</v>
      </c>
      <c r="AN289" s="1979">
        <v>1.0213887038976559</v>
      </c>
      <c r="AO289" s="1979">
        <v>1.0209797472917035</v>
      </c>
      <c r="AP289" s="1979">
        <v>1.0213887038976559</v>
      </c>
      <c r="AQ289" s="1979">
        <v>1.0209797472917035</v>
      </c>
      <c r="AR289" s="2000">
        <v>1.0157420354354325</v>
      </c>
      <c r="AS289" s="1998">
        <v>1.0153243205893627</v>
      </c>
      <c r="AT289" s="1998">
        <v>1.0157420354354325</v>
      </c>
      <c r="AU289" s="1998">
        <v>1.0153243205893627</v>
      </c>
      <c r="AV289" s="1998">
        <v>1.0157420354354325</v>
      </c>
      <c r="AW289" s="1998">
        <v>1.0153243205893627</v>
      </c>
      <c r="AX289" s="1998">
        <v>1.0157420354354325</v>
      </c>
      <c r="AY289" s="1998">
        <v>1.0153243205893627</v>
      </c>
      <c r="AZ289" s="1998">
        <v>1.0157420354354325</v>
      </c>
      <c r="BA289" s="1998">
        <v>1.0153243205893627</v>
      </c>
      <c r="BB289" s="1999">
        <v>1.40141854193508</v>
      </c>
      <c r="BC289" s="1979">
        <v>1.4092475041878993</v>
      </c>
      <c r="BD289" s="1979">
        <v>1.40141854193508</v>
      </c>
      <c r="BE289" s="1979">
        <v>1.4092475041878993</v>
      </c>
      <c r="BF289" s="1979">
        <v>1.40141854193508</v>
      </c>
      <c r="BG289" s="1979">
        <v>1.4092475041878993</v>
      </c>
      <c r="BH289" s="1979">
        <v>1.40141854193508</v>
      </c>
      <c r="BI289" s="1979">
        <v>1.4092475041878993</v>
      </c>
      <c r="BJ289" s="1979">
        <v>1.40141854193508</v>
      </c>
      <c r="BK289" s="1979">
        <v>1.4092475041878993</v>
      </c>
      <c r="BL289" s="2000">
        <v>1.0311726231989757</v>
      </c>
      <c r="BM289" s="1998">
        <v>1.0292126006031375</v>
      </c>
      <c r="BN289" s="1998">
        <v>1.0311726231989757</v>
      </c>
      <c r="BO289" s="1998">
        <v>1.0292126006031375</v>
      </c>
      <c r="BP289" s="1998">
        <v>1.0311726231989757</v>
      </c>
      <c r="BQ289" s="1998">
        <v>1.0292126006031375</v>
      </c>
      <c r="BR289" s="1998">
        <v>1.0311726231989757</v>
      </c>
      <c r="BS289" s="1998">
        <v>1.0292126006031375</v>
      </c>
      <c r="BT289" s="1998">
        <v>1.0311726231989757</v>
      </c>
      <c r="BU289" s="1998">
        <v>1.0292126006031375</v>
      </c>
      <c r="BV289" s="1999">
        <v>1.0214671801269579</v>
      </c>
      <c r="BW289" s="1979">
        <v>1.0214390644346296</v>
      </c>
      <c r="BX289" s="1979">
        <v>1.0214671801269579</v>
      </c>
      <c r="BY289" s="1979">
        <v>1.0214390644346296</v>
      </c>
      <c r="BZ289" s="1979">
        <v>1.0214671801269579</v>
      </c>
      <c r="CA289" s="1979">
        <v>1.0214390644346296</v>
      </c>
      <c r="CB289" s="1979">
        <v>1.0214671801269579</v>
      </c>
      <c r="CC289" s="1979">
        <v>1.0214390644346296</v>
      </c>
      <c r="CD289" s="1979">
        <v>1.0214671801269579</v>
      </c>
      <c r="CE289" s="1979">
        <v>1.0214390644346296</v>
      </c>
      <c r="CF289" s="2000">
        <v>1.0349309906091928</v>
      </c>
      <c r="CG289" s="1998">
        <v>1.0349881878015106</v>
      </c>
      <c r="CH289" s="1998">
        <v>1.0349309906091928</v>
      </c>
      <c r="CI289" s="1998">
        <v>1.0349881878015106</v>
      </c>
      <c r="CJ289" s="1998">
        <v>1.0349309906091928</v>
      </c>
      <c r="CK289" s="1998">
        <v>1.0349881878015106</v>
      </c>
      <c r="CL289" s="1998">
        <v>1.0349309906091928</v>
      </c>
      <c r="CM289" s="1998">
        <v>1.0349881878015106</v>
      </c>
      <c r="CN289" s="1998">
        <v>1.0349309906091928</v>
      </c>
      <c r="CO289" s="1998">
        <v>1.0349881878015106</v>
      </c>
      <c r="CP289" s="1999">
        <v>1.0366605151957169</v>
      </c>
      <c r="CQ289" s="1979">
        <v>1.0366360621091044</v>
      </c>
      <c r="CR289" s="1979">
        <v>1.0366605151957169</v>
      </c>
      <c r="CS289" s="1979">
        <v>1.0366360621091044</v>
      </c>
      <c r="CT289" s="1979">
        <v>1.0366605151957169</v>
      </c>
      <c r="CU289" s="1979">
        <v>1.0366360621091044</v>
      </c>
      <c r="CV289" s="1979">
        <v>1.0366605151957169</v>
      </c>
      <c r="CW289" s="1979">
        <v>1.0366360621091044</v>
      </c>
      <c r="CX289" s="1979">
        <v>1.0366605151957169</v>
      </c>
      <c r="CY289" s="1979">
        <v>1.0366360621091044</v>
      </c>
      <c r="CZ289" s="2000">
        <v>1.059981437956472</v>
      </c>
      <c r="DA289" s="1998">
        <v>1.0593833390900691</v>
      </c>
      <c r="DB289" s="1998">
        <v>1.059981437956472</v>
      </c>
      <c r="DC289" s="1998">
        <v>1.0593833390900691</v>
      </c>
      <c r="DD289" s="1998">
        <v>1.059981437956472</v>
      </c>
      <c r="DE289" s="1998">
        <v>1.0593833390900691</v>
      </c>
      <c r="DF289" s="1998">
        <v>1.059981437956472</v>
      </c>
      <c r="DG289" s="1998">
        <v>1.0593833390900691</v>
      </c>
      <c r="DH289" s="1998">
        <v>1.059981437956472</v>
      </c>
      <c r="DI289" s="1998">
        <v>1.0593833390900691</v>
      </c>
      <c r="DJ289" s="1999">
        <v>1.0531436744991662</v>
      </c>
      <c r="DK289" s="1979">
        <v>1.0532469496640777</v>
      </c>
      <c r="DL289" s="1979">
        <v>1.0531436744991662</v>
      </c>
      <c r="DM289" s="1979">
        <v>1.0532469496640777</v>
      </c>
      <c r="DN289" s="1979">
        <v>1.0531436744991662</v>
      </c>
      <c r="DO289" s="1979">
        <v>1.0532469496640777</v>
      </c>
      <c r="DP289" s="1979">
        <v>1.0531436744991662</v>
      </c>
      <c r="DQ289" s="1979">
        <v>1.0532469496640777</v>
      </c>
      <c r="DR289" s="1979">
        <v>1.0531436744991662</v>
      </c>
      <c r="DS289" s="1979">
        <v>1.0532469496640777</v>
      </c>
    </row>
    <row r="290" spans="1:189">
      <c r="B290" s="2">
        <v>31</v>
      </c>
      <c r="C290" s="2" t="str">
        <f>AD$15</f>
        <v>Pieux en béton coulé sur place</v>
      </c>
      <c r="D290" s="1998">
        <v>1.0037284271901226</v>
      </c>
      <c r="E290" s="1998">
        <v>1.0087568640961355</v>
      </c>
      <c r="F290" s="1998">
        <v>1.0037284271901226</v>
      </c>
      <c r="G290" s="1998">
        <v>1.0087568640961355</v>
      </c>
      <c r="H290" s="1998">
        <v>1.0037284271901226</v>
      </c>
      <c r="I290" s="1998">
        <v>1.0087568640961355</v>
      </c>
      <c r="J290" s="1998">
        <v>1.0037284271901226</v>
      </c>
      <c r="K290" s="1998">
        <v>1.0087568640961355</v>
      </c>
      <c r="L290" s="1998">
        <v>1.0037284271901226</v>
      </c>
      <c r="M290" s="1998">
        <v>1.0087568640961355</v>
      </c>
      <c r="N290" s="1999">
        <v>1.0894512890401353</v>
      </c>
      <c r="O290" s="1979">
        <v>1.1107408416876123</v>
      </c>
      <c r="P290" s="1979">
        <v>1.0894512890401353</v>
      </c>
      <c r="Q290" s="1979">
        <v>1.1107408416876123</v>
      </c>
      <c r="R290" s="1979">
        <v>1.0894512890401353</v>
      </c>
      <c r="S290" s="1979">
        <v>1.1107408416876123</v>
      </c>
      <c r="T290" s="1979">
        <v>1.0894512890401353</v>
      </c>
      <c r="U290" s="1979">
        <v>1.1107408416876123</v>
      </c>
      <c r="V290" s="1979">
        <v>1.0894512890401353</v>
      </c>
      <c r="W290" s="1979">
        <v>1.1107408416876123</v>
      </c>
      <c r="X290" s="2000">
        <v>1.0295778995690765</v>
      </c>
      <c r="Y290" s="1998">
        <v>1.0318016553482365</v>
      </c>
      <c r="Z290" s="1998">
        <v>1.0295778995690765</v>
      </c>
      <c r="AA290" s="1998">
        <v>1.0318016553482365</v>
      </c>
      <c r="AB290" s="1998">
        <v>1.0295778995690765</v>
      </c>
      <c r="AC290" s="1998">
        <v>1.0318016553482365</v>
      </c>
      <c r="AD290" s="1998">
        <v>1.0295778995690765</v>
      </c>
      <c r="AE290" s="1998">
        <v>1.0318016553482365</v>
      </c>
      <c r="AF290" s="1998">
        <v>1.0295778995690765</v>
      </c>
      <c r="AG290" s="1998">
        <v>1.0318016553482365</v>
      </c>
      <c r="AH290" s="1999">
        <v>1.0533832520931459</v>
      </c>
      <c r="AI290" s="1979">
        <v>1.067974371517304</v>
      </c>
      <c r="AJ290" s="1979">
        <v>1.0533832520931459</v>
      </c>
      <c r="AK290" s="1979">
        <v>1.067974371517304</v>
      </c>
      <c r="AL290" s="1979">
        <v>1.0533832520931459</v>
      </c>
      <c r="AM290" s="1979">
        <v>1.067974371517304</v>
      </c>
      <c r="AN290" s="1979">
        <v>1.0533832520931459</v>
      </c>
      <c r="AO290" s="1979">
        <v>1.067974371517304</v>
      </c>
      <c r="AP290" s="1979">
        <v>1.0533832520931459</v>
      </c>
      <c r="AQ290" s="1979">
        <v>1.067974371517304</v>
      </c>
      <c r="AR290" s="2000">
        <v>1.039289947166973</v>
      </c>
      <c r="AS290" s="1998">
        <v>1.0496507916186171</v>
      </c>
      <c r="AT290" s="1998">
        <v>1.039289947166973</v>
      </c>
      <c r="AU290" s="1998">
        <v>1.0496507916186171</v>
      </c>
      <c r="AV290" s="1998">
        <v>1.039289947166973</v>
      </c>
      <c r="AW290" s="1998">
        <v>1.0496507916186171</v>
      </c>
      <c r="AX290" s="1998">
        <v>1.039289947166973</v>
      </c>
      <c r="AY290" s="1998">
        <v>1.0496507916186171</v>
      </c>
      <c r="AZ290" s="1998">
        <v>1.039289947166973</v>
      </c>
      <c r="BA290" s="1998">
        <v>1.0496507916186171</v>
      </c>
      <c r="BB290" s="1999">
        <v>1.5261615238954289</v>
      </c>
      <c r="BC290" s="1979">
        <v>1.5848385303742931</v>
      </c>
      <c r="BD290" s="1979">
        <v>1.5261615238954289</v>
      </c>
      <c r="BE290" s="1979">
        <v>1.5848385303742931</v>
      </c>
      <c r="BF290" s="1979">
        <v>1.5261615238954289</v>
      </c>
      <c r="BG290" s="1979">
        <v>1.5848385303742931</v>
      </c>
      <c r="BH290" s="1979">
        <v>1.5261615238954289</v>
      </c>
      <c r="BI290" s="1979">
        <v>1.5848385303742931</v>
      </c>
      <c r="BJ290" s="1979">
        <v>1.5261615238954289</v>
      </c>
      <c r="BK290" s="1979">
        <v>1.5848385303742931</v>
      </c>
      <c r="BL290" s="2000">
        <v>1.0778025639420794</v>
      </c>
      <c r="BM290" s="1998">
        <v>1.0946488124368183</v>
      </c>
      <c r="BN290" s="1998">
        <v>1.0778025639420794</v>
      </c>
      <c r="BO290" s="1998">
        <v>1.0946488124368183</v>
      </c>
      <c r="BP290" s="1998">
        <v>1.0778025639420794</v>
      </c>
      <c r="BQ290" s="1998">
        <v>1.0946488124368183</v>
      </c>
      <c r="BR290" s="1998">
        <v>1.0778025639420794</v>
      </c>
      <c r="BS290" s="1998">
        <v>1.0946488124368183</v>
      </c>
      <c r="BT290" s="1998">
        <v>1.0778025639420794</v>
      </c>
      <c r="BU290" s="1998">
        <v>1.0946488124368183</v>
      </c>
      <c r="BV290" s="1999">
        <v>1.0535791179273823</v>
      </c>
      <c r="BW290" s="1979">
        <v>1.0694625588478481</v>
      </c>
      <c r="BX290" s="1979">
        <v>1.0535791179273823</v>
      </c>
      <c r="BY290" s="1979">
        <v>1.0694625588478481</v>
      </c>
      <c r="BZ290" s="1979">
        <v>1.0535791179273823</v>
      </c>
      <c r="CA290" s="1979">
        <v>1.0694625588478481</v>
      </c>
      <c r="CB290" s="1979">
        <v>1.0535791179273823</v>
      </c>
      <c r="CC290" s="1979">
        <v>1.0694625588478481</v>
      </c>
      <c r="CD290" s="1979">
        <v>1.0535791179273823</v>
      </c>
      <c r="CE290" s="1979">
        <v>1.0694625588478481</v>
      </c>
      <c r="CF290" s="2000">
        <v>1.0871829301334257</v>
      </c>
      <c r="CG290" s="1998">
        <v>1.1133617122870485</v>
      </c>
      <c r="CH290" s="1998">
        <v>1.0871829301334257</v>
      </c>
      <c r="CI290" s="1998">
        <v>1.1133617122870485</v>
      </c>
      <c r="CJ290" s="1998">
        <v>1.0871829301334257</v>
      </c>
      <c r="CK290" s="1998">
        <v>1.1133617122870485</v>
      </c>
      <c r="CL290" s="1998">
        <v>1.0871829301334257</v>
      </c>
      <c r="CM290" s="1998">
        <v>1.1133617122870485</v>
      </c>
      <c r="CN290" s="1998">
        <v>1.0871829301334257</v>
      </c>
      <c r="CO290" s="1998">
        <v>1.1133617122870485</v>
      </c>
      <c r="CP290" s="1999">
        <v>1.0914995847304267</v>
      </c>
      <c r="CQ290" s="1979">
        <v>1.1187008242811434</v>
      </c>
      <c r="CR290" s="1979">
        <v>1.0914995847304267</v>
      </c>
      <c r="CS290" s="1979">
        <v>1.1187008242811434</v>
      </c>
      <c r="CT290" s="1979">
        <v>1.0914995847304267</v>
      </c>
      <c r="CU290" s="1979">
        <v>1.1187008242811434</v>
      </c>
      <c r="CV290" s="1979">
        <v>1.0914995847304267</v>
      </c>
      <c r="CW290" s="1979">
        <v>1.1187008242811434</v>
      </c>
      <c r="CX290" s="1979">
        <v>1.0914995847304267</v>
      </c>
      <c r="CY290" s="1979">
        <v>1.1187008242811434</v>
      </c>
      <c r="CZ290" s="2000">
        <v>1.1497053883517772</v>
      </c>
      <c r="DA290" s="1998">
        <v>1.1924019911737775</v>
      </c>
      <c r="DB290" s="1998">
        <v>1.1497053883517772</v>
      </c>
      <c r="DC290" s="1998">
        <v>1.1924019911737775</v>
      </c>
      <c r="DD290" s="1998">
        <v>1.1497053883517772</v>
      </c>
      <c r="DE290" s="1998">
        <v>1.1924019911737775</v>
      </c>
      <c r="DF290" s="1998">
        <v>1.1497053883517772</v>
      </c>
      <c r="DG290" s="1998">
        <v>1.1924019911737775</v>
      </c>
      <c r="DH290" s="1998">
        <v>1.1497053883517772</v>
      </c>
      <c r="DI290" s="1998">
        <v>1.1924019911737775</v>
      </c>
      <c r="DJ290" s="1999">
        <v>1.1322726865155595</v>
      </c>
      <c r="DK290" s="1979">
        <v>1.1721502146557041</v>
      </c>
      <c r="DL290" s="1979">
        <v>1.1322726865155595</v>
      </c>
      <c r="DM290" s="1979">
        <v>1.1721502146557041</v>
      </c>
      <c r="DN290" s="1979">
        <v>1.1322726865155595</v>
      </c>
      <c r="DO290" s="1979">
        <v>1.1721502146557041</v>
      </c>
      <c r="DP290" s="1979">
        <v>1.1322726865155595</v>
      </c>
      <c r="DQ290" s="1979">
        <v>1.1721502146557041</v>
      </c>
      <c r="DR290" s="1979">
        <v>1.1322726865155595</v>
      </c>
      <c r="DS290" s="1979">
        <v>1.1721502146557041</v>
      </c>
    </row>
    <row r="291" spans="1:189">
      <c r="B291" s="2">
        <v>32</v>
      </c>
      <c r="C291" s="2" t="str">
        <f>AD$16</f>
        <v>Colonnes ballastées</v>
      </c>
      <c r="D291" s="1998">
        <v>0.97125110674546655</v>
      </c>
      <c r="E291" s="1998">
        <v>0.96679150843935979</v>
      </c>
      <c r="F291" s="1998">
        <v>0.97125110674546655</v>
      </c>
      <c r="G291" s="1998">
        <v>0.96679150843935979</v>
      </c>
      <c r="H291" s="1998">
        <v>0.97125110674546655</v>
      </c>
      <c r="I291" s="1998">
        <v>0.96679150843935979</v>
      </c>
      <c r="J291" s="1998">
        <v>0.97125110674546655</v>
      </c>
      <c r="K291" s="1998">
        <v>0.96679150843935979</v>
      </c>
      <c r="L291" s="1998">
        <v>0.97125110674546655</v>
      </c>
      <c r="M291" s="1998">
        <v>0.96679150843935979</v>
      </c>
      <c r="N291" s="1999">
        <v>1.0087543390101477</v>
      </c>
      <c r="O291" s="1979">
        <v>1.006605492030636</v>
      </c>
      <c r="P291" s="1979">
        <v>1.0087543390101477</v>
      </c>
      <c r="Q291" s="1979">
        <v>1.006605492030636</v>
      </c>
      <c r="R291" s="1979">
        <v>1.0087543390101477</v>
      </c>
      <c r="S291" s="1979">
        <v>1.006605492030636</v>
      </c>
      <c r="T291" s="1979">
        <v>1.0087543390101477</v>
      </c>
      <c r="U291" s="1979">
        <v>1.006605492030636</v>
      </c>
      <c r="V291" s="1979">
        <v>1.0087543390101477</v>
      </c>
      <c r="W291" s="1979">
        <v>1.006605492030636</v>
      </c>
      <c r="X291" s="2000">
        <v>1.0028947035063922</v>
      </c>
      <c r="Y291" s="1998">
        <v>0.99678634951156475</v>
      </c>
      <c r="Z291" s="1998">
        <v>1.0028947035063922</v>
      </c>
      <c r="AA291" s="1998">
        <v>0.99678634951156475</v>
      </c>
      <c r="AB291" s="1998">
        <v>1.0028947035063922</v>
      </c>
      <c r="AC291" s="1998">
        <v>0.99678634951156475</v>
      </c>
      <c r="AD291" s="1998">
        <v>1.0028947035063922</v>
      </c>
      <c r="AE291" s="1998">
        <v>0.99678634951156475</v>
      </c>
      <c r="AF291" s="1998">
        <v>1.0028947035063922</v>
      </c>
      <c r="AG291" s="1998">
        <v>0.99678634951156475</v>
      </c>
      <c r="AH291" s="1999">
        <v>1.0052244645247972</v>
      </c>
      <c r="AI291" s="1979">
        <v>1.0040545490038051</v>
      </c>
      <c r="AJ291" s="1979">
        <v>1.0052244645247972</v>
      </c>
      <c r="AK291" s="1979">
        <v>1.0040545490038051</v>
      </c>
      <c r="AL291" s="1979">
        <v>1.0052244645247972</v>
      </c>
      <c r="AM291" s="1979">
        <v>1.0040545490038051</v>
      </c>
      <c r="AN291" s="1979">
        <v>1.0052244645247972</v>
      </c>
      <c r="AO291" s="1979">
        <v>1.0040545490038051</v>
      </c>
      <c r="AP291" s="1979">
        <v>1.0052244645247972</v>
      </c>
      <c r="AQ291" s="1979">
        <v>1.0040545490038051</v>
      </c>
      <c r="AR291" s="2000">
        <v>1.0038451935224337</v>
      </c>
      <c r="AS291" s="1998">
        <v>1.002961580419234</v>
      </c>
      <c r="AT291" s="1998">
        <v>1.0038451935224337</v>
      </c>
      <c r="AU291" s="1998">
        <v>1.002961580419234</v>
      </c>
      <c r="AV291" s="1998">
        <v>1.0038451935224337</v>
      </c>
      <c r="AW291" s="1998">
        <v>1.002961580419234</v>
      </c>
      <c r="AX291" s="1998">
        <v>1.0038451935224337</v>
      </c>
      <c r="AY291" s="1998">
        <v>1.002961580419234</v>
      </c>
      <c r="AZ291" s="1998">
        <v>1.0038451935224337</v>
      </c>
      <c r="BA291" s="1998">
        <v>1.002961580419234</v>
      </c>
      <c r="BB291" s="1999">
        <v>1.338396072976588</v>
      </c>
      <c r="BC291" s="1979">
        <v>1.3460080808548507</v>
      </c>
      <c r="BD291" s="1979">
        <v>1.338396072976588</v>
      </c>
      <c r="BE291" s="1979">
        <v>1.3460080808548507</v>
      </c>
      <c r="BF291" s="1979">
        <v>1.338396072976588</v>
      </c>
      <c r="BG291" s="1979">
        <v>1.3460080808548507</v>
      </c>
      <c r="BH291" s="1979">
        <v>1.338396072976588</v>
      </c>
      <c r="BI291" s="1979">
        <v>1.3460080808548507</v>
      </c>
      <c r="BJ291" s="1979">
        <v>1.338396072976588</v>
      </c>
      <c r="BK291" s="1979">
        <v>1.3460080808548507</v>
      </c>
      <c r="BL291" s="2000">
        <v>1.0076143119670644</v>
      </c>
      <c r="BM291" s="1998">
        <v>1.0056456314285942</v>
      </c>
      <c r="BN291" s="1998">
        <v>1.0076143119670644</v>
      </c>
      <c r="BO291" s="1998">
        <v>1.0056456314285942</v>
      </c>
      <c r="BP291" s="1998">
        <v>1.0076143119670644</v>
      </c>
      <c r="BQ291" s="1998">
        <v>1.0056456314285942</v>
      </c>
      <c r="BR291" s="1998">
        <v>1.0076143119670644</v>
      </c>
      <c r="BS291" s="1998">
        <v>1.0056456314285942</v>
      </c>
      <c r="BT291" s="1998">
        <v>1.0076143119670644</v>
      </c>
      <c r="BU291" s="1998">
        <v>1.0056456314285942</v>
      </c>
      <c r="BV291" s="1999">
        <v>1.0052436333476482</v>
      </c>
      <c r="BW291" s="1979">
        <v>1.0041433167014511</v>
      </c>
      <c r="BX291" s="1979">
        <v>1.0052436333476482</v>
      </c>
      <c r="BY291" s="1979">
        <v>1.0041433167014511</v>
      </c>
      <c r="BZ291" s="1979">
        <v>1.0052436333476482</v>
      </c>
      <c r="CA291" s="1979">
        <v>1.0041433167014511</v>
      </c>
      <c r="CB291" s="1979">
        <v>1.0052436333476482</v>
      </c>
      <c r="CC291" s="1979">
        <v>1.0041433167014511</v>
      </c>
      <c r="CD291" s="1979">
        <v>1.0052436333476482</v>
      </c>
      <c r="CE291" s="1979">
        <v>1.0041433167014511</v>
      </c>
      <c r="CF291" s="2000">
        <v>1.0085323412829028</v>
      </c>
      <c r="CG291" s="1998">
        <v>1.0067618222480523</v>
      </c>
      <c r="CH291" s="1998">
        <v>1.0085323412829028</v>
      </c>
      <c r="CI291" s="1998">
        <v>1.0067618222480523</v>
      </c>
      <c r="CJ291" s="1998">
        <v>1.0085323412829028</v>
      </c>
      <c r="CK291" s="1998">
        <v>1.0067618222480523</v>
      </c>
      <c r="CL291" s="1998">
        <v>1.0085323412829028</v>
      </c>
      <c r="CM291" s="1998">
        <v>1.0067618222480523</v>
      </c>
      <c r="CN291" s="1998">
        <v>1.0085323412829028</v>
      </c>
      <c r="CO291" s="1998">
        <v>1.0067618222480523</v>
      </c>
      <c r="CP291" s="1999">
        <v>1.0089547997867139</v>
      </c>
      <c r="CQ291" s="1979">
        <v>1.0070802906756915</v>
      </c>
      <c r="CR291" s="1979">
        <v>1.0089547997867139</v>
      </c>
      <c r="CS291" s="1979">
        <v>1.0070802906756915</v>
      </c>
      <c r="CT291" s="1979">
        <v>1.0089547997867139</v>
      </c>
      <c r="CU291" s="1979">
        <v>1.0070802906756915</v>
      </c>
      <c r="CV291" s="1979">
        <v>1.0089547997867139</v>
      </c>
      <c r="CW291" s="1979">
        <v>1.0070802906756915</v>
      </c>
      <c r="CX291" s="1979">
        <v>1.0089547997867139</v>
      </c>
      <c r="CY291" s="1979">
        <v>1.0070802906756915</v>
      </c>
      <c r="CZ291" s="2000">
        <v>1.0146512334851789</v>
      </c>
      <c r="DA291" s="1998">
        <v>1.011476432723547</v>
      </c>
      <c r="DB291" s="1998">
        <v>1.0146512334851789</v>
      </c>
      <c r="DC291" s="1998">
        <v>1.011476432723547</v>
      </c>
      <c r="DD291" s="1998">
        <v>1.0146512334851789</v>
      </c>
      <c r="DE291" s="1998">
        <v>1.011476432723547</v>
      </c>
      <c r="DF291" s="1998">
        <v>1.0146512334851789</v>
      </c>
      <c r="DG291" s="1998">
        <v>1.011476432723547</v>
      </c>
      <c r="DH291" s="1998">
        <v>1.0146512334851789</v>
      </c>
      <c r="DI291" s="1998">
        <v>1.011476432723547</v>
      </c>
      <c r="DJ291" s="1999">
        <v>1.0131662294746078</v>
      </c>
      <c r="DK291" s="1979">
        <v>1.0104237253012045</v>
      </c>
      <c r="DL291" s="1979">
        <v>1.0131662294746078</v>
      </c>
      <c r="DM291" s="1979">
        <v>1.0104237253012045</v>
      </c>
      <c r="DN291" s="1979">
        <v>1.0131662294746078</v>
      </c>
      <c r="DO291" s="1979">
        <v>1.0104237253012045</v>
      </c>
      <c r="DP291" s="1979">
        <v>1.0131662294746078</v>
      </c>
      <c r="DQ291" s="1979">
        <v>1.0104237253012045</v>
      </c>
      <c r="DR291" s="1979">
        <v>1.0131662294746078</v>
      </c>
      <c r="DS291" s="1979">
        <v>1.0104237253012045</v>
      </c>
    </row>
    <row r="292" spans="1:189">
      <c r="B292" s="2">
        <v>33</v>
      </c>
      <c r="C292" s="2" t="str">
        <f>AD$17</f>
        <v>Pieu en béton préfabriqué (battus)</v>
      </c>
      <c r="D292" s="1998">
        <v>0.97582476936753082</v>
      </c>
      <c r="E292" s="1998">
        <v>0.97696278685316518</v>
      </c>
      <c r="F292" s="1998">
        <v>0.97582476936753082</v>
      </c>
      <c r="G292" s="1998">
        <v>0.97696278685316518</v>
      </c>
      <c r="H292" s="1998">
        <v>0.97582476936753082</v>
      </c>
      <c r="I292" s="1998">
        <v>0.97696278685316518</v>
      </c>
      <c r="J292" s="1998">
        <v>0.97582476936753082</v>
      </c>
      <c r="K292" s="1998">
        <v>0.97696278685316518</v>
      </c>
      <c r="L292" s="1998">
        <v>0.97582476936753082</v>
      </c>
      <c r="M292" s="1998">
        <v>0.97696278685316518</v>
      </c>
      <c r="N292" s="1999">
        <v>1.0201185962522339</v>
      </c>
      <c r="O292" s="1979">
        <v>1.031845112129246</v>
      </c>
      <c r="P292" s="1979">
        <v>1.0201185962522339</v>
      </c>
      <c r="Q292" s="1979">
        <v>1.031845112129246</v>
      </c>
      <c r="R292" s="1979">
        <v>1.0201185962522339</v>
      </c>
      <c r="S292" s="1979">
        <v>1.031845112129246</v>
      </c>
      <c r="T292" s="1979">
        <v>1.0201185962522339</v>
      </c>
      <c r="U292" s="1979">
        <v>1.031845112129246</v>
      </c>
      <c r="V292" s="1979">
        <v>1.0201185962522339</v>
      </c>
      <c r="W292" s="1979">
        <v>1.031845112129246</v>
      </c>
      <c r="X292" s="2000">
        <v>1.0066524007178073</v>
      </c>
      <c r="Y292" s="1998">
        <v>1.0052731219655431</v>
      </c>
      <c r="Z292" s="1998">
        <v>1.0066524007178073</v>
      </c>
      <c r="AA292" s="1998">
        <v>1.0052731219655431</v>
      </c>
      <c r="AB292" s="1998">
        <v>1.0066524007178073</v>
      </c>
      <c r="AC292" s="1998">
        <v>1.0052731219655431</v>
      </c>
      <c r="AD292" s="1998">
        <v>1.0066524007178073</v>
      </c>
      <c r="AE292" s="1998">
        <v>1.0052731219655431</v>
      </c>
      <c r="AF292" s="1998">
        <v>1.0066524007178073</v>
      </c>
      <c r="AG292" s="1998">
        <v>1.0052731219655431</v>
      </c>
      <c r="AH292" s="1999">
        <v>1.0120064909854047</v>
      </c>
      <c r="AI292" s="1979">
        <v>1.0195470022612778</v>
      </c>
      <c r="AJ292" s="1979">
        <v>1.0120064909854047</v>
      </c>
      <c r="AK292" s="1979">
        <v>1.0195470022612778</v>
      </c>
      <c r="AL292" s="1979">
        <v>1.0120064909854047</v>
      </c>
      <c r="AM292" s="1979">
        <v>1.0195470022612778</v>
      </c>
      <c r="AN292" s="1979">
        <v>1.0120064909854047</v>
      </c>
      <c r="AO292" s="1979">
        <v>1.0195470022612778</v>
      </c>
      <c r="AP292" s="1979">
        <v>1.0120064909854047</v>
      </c>
      <c r="AQ292" s="1979">
        <v>1.0195470022612778</v>
      </c>
      <c r="AR292" s="2000">
        <v>1.0088367489424246</v>
      </c>
      <c r="AS292" s="1998">
        <v>1.0142777949156363</v>
      </c>
      <c r="AT292" s="1998">
        <v>1.0088367489424246</v>
      </c>
      <c r="AU292" s="1998">
        <v>1.0142777949156363</v>
      </c>
      <c r="AV292" s="1998">
        <v>1.0088367489424246</v>
      </c>
      <c r="AW292" s="1998">
        <v>1.0142777949156363</v>
      </c>
      <c r="AX292" s="1998">
        <v>1.0088367489424246</v>
      </c>
      <c r="AY292" s="1998">
        <v>1.0142777949156363</v>
      </c>
      <c r="AZ292" s="1998">
        <v>1.0088367489424246</v>
      </c>
      <c r="BA292" s="1998">
        <v>1.0142777949156363</v>
      </c>
      <c r="BB292" s="1999">
        <v>1.3648383968144167</v>
      </c>
      <c r="BC292" s="1979">
        <v>1.4038941861371332</v>
      </c>
      <c r="BD292" s="1979">
        <v>1.3648383968144167</v>
      </c>
      <c r="BE292" s="1979">
        <v>1.4038941861371332</v>
      </c>
      <c r="BF292" s="1979">
        <v>1.3648383968144167</v>
      </c>
      <c r="BG292" s="1979">
        <v>1.4038941861371332</v>
      </c>
      <c r="BH292" s="1979">
        <v>1.3648383968144167</v>
      </c>
      <c r="BI292" s="1979">
        <v>1.4038941861371332</v>
      </c>
      <c r="BJ292" s="1979">
        <v>1.3648383968144167</v>
      </c>
      <c r="BK292" s="1979">
        <v>1.4038941861371332</v>
      </c>
      <c r="BL292" s="2000">
        <v>1.0174986675780264</v>
      </c>
      <c r="BM292" s="1998">
        <v>1.027217619073665</v>
      </c>
      <c r="BN292" s="1998">
        <v>1.0174986675780264</v>
      </c>
      <c r="BO292" s="1998">
        <v>1.027217619073665</v>
      </c>
      <c r="BP292" s="1998">
        <v>1.0174986675780264</v>
      </c>
      <c r="BQ292" s="1998">
        <v>1.027217619073665</v>
      </c>
      <c r="BR292" s="1998">
        <v>1.0174986675780264</v>
      </c>
      <c r="BS292" s="1998">
        <v>1.027217619073665</v>
      </c>
      <c r="BT292" s="1998">
        <v>1.0174986675780264</v>
      </c>
      <c r="BU292" s="1998">
        <v>1.027217619073665</v>
      </c>
      <c r="BV292" s="1999">
        <v>1.0120505434041112</v>
      </c>
      <c r="BW292" s="1979">
        <v>1.019974951802642</v>
      </c>
      <c r="BX292" s="1979">
        <v>1.0120505434041112</v>
      </c>
      <c r="BY292" s="1979">
        <v>1.019974951802642</v>
      </c>
      <c r="BZ292" s="1979">
        <v>1.0120505434041112</v>
      </c>
      <c r="CA292" s="1979">
        <v>1.019974951802642</v>
      </c>
      <c r="CB292" s="1979">
        <v>1.0120505434041112</v>
      </c>
      <c r="CC292" s="1979">
        <v>1.019974951802642</v>
      </c>
      <c r="CD292" s="1979">
        <v>1.0120505434041112</v>
      </c>
      <c r="CE292" s="1979">
        <v>1.019974951802642</v>
      </c>
      <c r="CF292" s="2000">
        <v>1.0196084169413604</v>
      </c>
      <c r="CG292" s="1998">
        <v>1.0325987809369181</v>
      </c>
      <c r="CH292" s="1998">
        <v>1.0196084169413604</v>
      </c>
      <c r="CI292" s="1998">
        <v>1.0325987809369181</v>
      </c>
      <c r="CJ292" s="1998">
        <v>1.0196084169413604</v>
      </c>
      <c r="CK292" s="1998">
        <v>1.0325987809369181</v>
      </c>
      <c r="CL292" s="1998">
        <v>1.0196084169413604</v>
      </c>
      <c r="CM292" s="1998">
        <v>1.0325987809369181</v>
      </c>
      <c r="CN292" s="1998">
        <v>1.0196084169413604</v>
      </c>
      <c r="CO292" s="1998">
        <v>1.0325987809369181</v>
      </c>
      <c r="CP292" s="1999">
        <v>1.0205792808822751</v>
      </c>
      <c r="CQ292" s="1979">
        <v>1.0341341189163979</v>
      </c>
      <c r="CR292" s="1979">
        <v>1.0205792808822751</v>
      </c>
      <c r="CS292" s="1979">
        <v>1.0341341189163979</v>
      </c>
      <c r="CT292" s="1979">
        <v>1.0205792808822751</v>
      </c>
      <c r="CU292" s="1979">
        <v>1.0341341189163979</v>
      </c>
      <c r="CV292" s="1979">
        <v>1.0205792808822751</v>
      </c>
      <c r="CW292" s="1979">
        <v>1.0341341189163979</v>
      </c>
      <c r="CX292" s="1979">
        <v>1.0205792808822751</v>
      </c>
      <c r="CY292" s="1979">
        <v>1.0341341189163979</v>
      </c>
      <c r="CZ292" s="2000">
        <v>1.0336704176915985</v>
      </c>
      <c r="DA292" s="1998">
        <v>1.0553279430555793</v>
      </c>
      <c r="DB292" s="1998">
        <v>1.0336704176915985</v>
      </c>
      <c r="DC292" s="1998">
        <v>1.0553279430555793</v>
      </c>
      <c r="DD292" s="1998">
        <v>1.0336704176915985</v>
      </c>
      <c r="DE292" s="1998">
        <v>1.0553279430555793</v>
      </c>
      <c r="DF292" s="1998">
        <v>1.0336704176915985</v>
      </c>
      <c r="DG292" s="1998">
        <v>1.0553279430555793</v>
      </c>
      <c r="DH292" s="1998">
        <v>1.0336704176915985</v>
      </c>
      <c r="DI292" s="1998">
        <v>1.0553279430555793</v>
      </c>
      <c r="DJ292" s="1999">
        <v>1.0299395575434369</v>
      </c>
      <c r="DK292" s="1979">
        <v>1.0496218954195684</v>
      </c>
      <c r="DL292" s="1979">
        <v>1.0299395575434369</v>
      </c>
      <c r="DM292" s="1979">
        <v>1.0496218954195684</v>
      </c>
      <c r="DN292" s="1979">
        <v>1.0299395575434369</v>
      </c>
      <c r="DO292" s="1979">
        <v>1.0496218954195684</v>
      </c>
      <c r="DP292" s="1979">
        <v>1.0299395575434369</v>
      </c>
      <c r="DQ292" s="1979">
        <v>1.0496218954195684</v>
      </c>
      <c r="DR292" s="1979">
        <v>1.0299395575434369</v>
      </c>
      <c r="DS292" s="1979">
        <v>1.0496218954195684</v>
      </c>
    </row>
    <row r="293" spans="1:189">
      <c r="B293" s="2">
        <v>34</v>
      </c>
      <c r="C293" s="2" t="str">
        <f>AF$13</f>
        <v/>
      </c>
      <c r="D293" s="1998">
        <v>0.96772783265384288</v>
      </c>
      <c r="E293" s="1998">
        <v>0.96412957065102256</v>
      </c>
      <c r="F293" s="1998">
        <v>0.96772783265384288</v>
      </c>
      <c r="G293" s="1998">
        <v>0.96412957065102256</v>
      </c>
      <c r="H293" s="1998">
        <v>0.96772783265384288</v>
      </c>
      <c r="I293" s="1998">
        <v>0.96412957065102256</v>
      </c>
      <c r="J293" s="1998">
        <v>0.96772783265384288</v>
      </c>
      <c r="K293" s="1998">
        <v>0.96412957065102256</v>
      </c>
      <c r="L293" s="1998">
        <v>0.96772783265384288</v>
      </c>
      <c r="M293" s="1998">
        <v>0.96412957065102256</v>
      </c>
      <c r="N293" s="1999">
        <v>1</v>
      </c>
      <c r="O293" s="1979">
        <v>1</v>
      </c>
      <c r="P293" s="1979">
        <v>1</v>
      </c>
      <c r="Q293" s="1979">
        <v>1</v>
      </c>
      <c r="R293" s="1979">
        <v>1</v>
      </c>
      <c r="S293" s="1979">
        <v>1</v>
      </c>
      <c r="T293" s="1979">
        <v>1</v>
      </c>
      <c r="U293" s="1979">
        <v>1</v>
      </c>
      <c r="V293" s="1979">
        <v>1</v>
      </c>
      <c r="W293" s="1979">
        <v>1</v>
      </c>
      <c r="X293" s="2000">
        <v>1</v>
      </c>
      <c r="Y293" s="1998">
        <v>0.99456526585057647</v>
      </c>
      <c r="Z293" s="1998">
        <v>1</v>
      </c>
      <c r="AA293" s="1998">
        <v>0.99456526585057647</v>
      </c>
      <c r="AB293" s="1998">
        <v>1</v>
      </c>
      <c r="AC293" s="1998">
        <v>0.99456526585057647</v>
      </c>
      <c r="AD293" s="1998">
        <v>1</v>
      </c>
      <c r="AE293" s="1998">
        <v>0.99456526585057647</v>
      </c>
      <c r="AF293" s="1998">
        <v>1</v>
      </c>
      <c r="AG293" s="1998">
        <v>0.99456526585057647</v>
      </c>
      <c r="AH293" s="1999">
        <v>1</v>
      </c>
      <c r="AI293" s="1979">
        <v>1</v>
      </c>
      <c r="AJ293" s="1979">
        <v>1</v>
      </c>
      <c r="AK293" s="1979">
        <v>1</v>
      </c>
      <c r="AL293" s="1979">
        <v>1</v>
      </c>
      <c r="AM293" s="1979">
        <v>1</v>
      </c>
      <c r="AN293" s="1979">
        <v>1</v>
      </c>
      <c r="AO293" s="1979">
        <v>1</v>
      </c>
      <c r="AP293" s="1979">
        <v>1</v>
      </c>
      <c r="AQ293" s="1979">
        <v>1</v>
      </c>
      <c r="AR293" s="2000">
        <v>1</v>
      </c>
      <c r="AS293" s="1998">
        <v>1</v>
      </c>
      <c r="AT293" s="1998">
        <v>1</v>
      </c>
      <c r="AU293" s="1998">
        <v>1</v>
      </c>
      <c r="AV293" s="1998">
        <v>1</v>
      </c>
      <c r="AW293" s="1998">
        <v>1</v>
      </c>
      <c r="AX293" s="1998">
        <v>1</v>
      </c>
      <c r="AY293" s="1998">
        <v>1</v>
      </c>
      <c r="AZ293" s="1998">
        <v>1</v>
      </c>
      <c r="BA293" s="1998">
        <v>1</v>
      </c>
      <c r="BB293" s="1999">
        <v>1.3180265000109936</v>
      </c>
      <c r="BC293" s="1979">
        <v>1.3308586370188196</v>
      </c>
      <c r="BD293" s="1979">
        <v>1.3180265000109936</v>
      </c>
      <c r="BE293" s="1979">
        <v>1.3308586370188196</v>
      </c>
      <c r="BF293" s="1979">
        <v>1.3180265000109936</v>
      </c>
      <c r="BG293" s="1979">
        <v>1.3308586370188196</v>
      </c>
      <c r="BH293" s="1979">
        <v>1.3180265000109936</v>
      </c>
      <c r="BI293" s="1979">
        <v>1.3308586370188196</v>
      </c>
      <c r="BJ293" s="1979">
        <v>1.3180265000109936</v>
      </c>
      <c r="BK293" s="1979">
        <v>1.3308586370188196</v>
      </c>
      <c r="BL293" s="2000">
        <v>1</v>
      </c>
      <c r="BM293" s="1998">
        <v>1</v>
      </c>
      <c r="BN293" s="1998">
        <v>1</v>
      </c>
      <c r="BO293" s="1998">
        <v>1</v>
      </c>
      <c r="BP293" s="1998">
        <v>1</v>
      </c>
      <c r="BQ293" s="1998">
        <v>1</v>
      </c>
      <c r="BR293" s="1998">
        <v>1</v>
      </c>
      <c r="BS293" s="1998">
        <v>1</v>
      </c>
      <c r="BT293" s="1998">
        <v>1</v>
      </c>
      <c r="BU293" s="1998">
        <v>1</v>
      </c>
      <c r="BV293" s="1999">
        <v>1</v>
      </c>
      <c r="BW293" s="1979">
        <v>1</v>
      </c>
      <c r="BX293" s="1979">
        <v>1</v>
      </c>
      <c r="BY293" s="1979">
        <v>1</v>
      </c>
      <c r="BZ293" s="1979">
        <v>1</v>
      </c>
      <c r="CA293" s="1979">
        <v>1</v>
      </c>
      <c r="CB293" s="1979">
        <v>1</v>
      </c>
      <c r="CC293" s="1979">
        <v>1</v>
      </c>
      <c r="CD293" s="1979">
        <v>1</v>
      </c>
      <c r="CE293" s="1979">
        <v>1</v>
      </c>
      <c r="CF293" s="2000">
        <v>1</v>
      </c>
      <c r="CG293" s="1998">
        <v>1</v>
      </c>
      <c r="CH293" s="1998">
        <v>1</v>
      </c>
      <c r="CI293" s="1998">
        <v>1</v>
      </c>
      <c r="CJ293" s="1998">
        <v>1</v>
      </c>
      <c r="CK293" s="1998">
        <v>1</v>
      </c>
      <c r="CL293" s="1998">
        <v>1</v>
      </c>
      <c r="CM293" s="1998">
        <v>1</v>
      </c>
      <c r="CN293" s="1998">
        <v>1</v>
      </c>
      <c r="CO293" s="1998">
        <v>1</v>
      </c>
      <c r="CP293" s="1999">
        <v>1</v>
      </c>
      <c r="CQ293" s="1979">
        <v>1</v>
      </c>
      <c r="CR293" s="1979">
        <v>1</v>
      </c>
      <c r="CS293" s="1979">
        <v>1</v>
      </c>
      <c r="CT293" s="1979">
        <v>1</v>
      </c>
      <c r="CU293" s="1979">
        <v>1</v>
      </c>
      <c r="CV293" s="1979">
        <v>1</v>
      </c>
      <c r="CW293" s="1979">
        <v>1</v>
      </c>
      <c r="CX293" s="1979">
        <v>1</v>
      </c>
      <c r="CY293" s="1979">
        <v>1</v>
      </c>
      <c r="CZ293" s="2000">
        <v>1</v>
      </c>
      <c r="DA293" s="1998">
        <v>1</v>
      </c>
      <c r="DB293" s="1998">
        <v>1</v>
      </c>
      <c r="DC293" s="1998">
        <v>1</v>
      </c>
      <c r="DD293" s="1998">
        <v>1</v>
      </c>
      <c r="DE293" s="1998">
        <v>1</v>
      </c>
      <c r="DF293" s="1998">
        <v>1</v>
      </c>
      <c r="DG293" s="1998">
        <v>1</v>
      </c>
      <c r="DH293" s="1998">
        <v>1</v>
      </c>
      <c r="DI293" s="1998">
        <v>1</v>
      </c>
      <c r="DJ293" s="1999">
        <v>1.0002450682306379</v>
      </c>
      <c r="DK293" s="1979">
        <v>1.0001651239704095</v>
      </c>
      <c r="DL293" s="1979">
        <v>1.0002450682306379</v>
      </c>
      <c r="DM293" s="1979">
        <v>1.0001651239704095</v>
      </c>
      <c r="DN293" s="1979">
        <v>1.0002450682306379</v>
      </c>
      <c r="DO293" s="1979">
        <v>1.0001651239704095</v>
      </c>
      <c r="DP293" s="1979">
        <v>1.0002450682306379</v>
      </c>
      <c r="DQ293" s="1979">
        <v>1.0001651239704095</v>
      </c>
      <c r="DR293" s="1979">
        <v>1.0002450682306379</v>
      </c>
      <c r="DS293" s="1979">
        <v>1.0001651239704095</v>
      </c>
    </row>
    <row r="294" spans="1:189">
      <c r="B294" s="2">
        <v>35</v>
      </c>
      <c r="C294" s="2" t="str">
        <f>AF$14</f>
        <v/>
      </c>
      <c r="D294" s="1998">
        <v>1.1085004672486292</v>
      </c>
      <c r="E294" s="1998">
        <v>1.1563231854497538</v>
      </c>
      <c r="F294" s="1998">
        <v>1.1085004672486292</v>
      </c>
      <c r="G294" s="1998">
        <v>1.1563231854497538</v>
      </c>
      <c r="H294" s="1998">
        <v>1.1085004672486292</v>
      </c>
      <c r="I294" s="1998">
        <v>1.1563231854497538</v>
      </c>
      <c r="J294" s="1998">
        <v>1.1085004672486292</v>
      </c>
      <c r="K294" s="1998">
        <v>1.1563231854497538</v>
      </c>
      <c r="L294" s="1998">
        <v>1.1085004672486292</v>
      </c>
      <c r="M294" s="1998">
        <v>1.1563231854497538</v>
      </c>
      <c r="N294" s="1999">
        <v>1.4661405894816513</v>
      </c>
      <c r="O294" s="1979">
        <v>1.6355767160242427</v>
      </c>
      <c r="P294" s="1979">
        <v>1.4661405894816513</v>
      </c>
      <c r="Q294" s="1979">
        <v>1.6355767160242427</v>
      </c>
      <c r="R294" s="1979">
        <v>1.4661405894816513</v>
      </c>
      <c r="S294" s="1979">
        <v>1.6355767160242427</v>
      </c>
      <c r="T294" s="1979">
        <v>1.4661405894816513</v>
      </c>
      <c r="U294" s="1979">
        <v>1.6355767160242427</v>
      </c>
      <c r="V294" s="1979">
        <v>1.4661405894816513</v>
      </c>
      <c r="W294" s="1979">
        <v>1.6355767160242427</v>
      </c>
      <c r="X294" s="2000">
        <v>1.1110825743123112</v>
      </c>
      <c r="Y294" s="1998">
        <v>1.1485848729928583</v>
      </c>
      <c r="Z294" s="1998">
        <v>1.1110825743123112</v>
      </c>
      <c r="AA294" s="1998">
        <v>1.1485848729928583</v>
      </c>
      <c r="AB294" s="1998">
        <v>1.1110825743123112</v>
      </c>
      <c r="AC294" s="1998">
        <v>1.1485848729928583</v>
      </c>
      <c r="AD294" s="1998">
        <v>1.1110825743123112</v>
      </c>
      <c r="AE294" s="1998">
        <v>1.1485848729928583</v>
      </c>
      <c r="AF294" s="1998">
        <v>1.1110825743123112</v>
      </c>
      <c r="AG294" s="1998">
        <v>1.1485848729928583</v>
      </c>
      <c r="AH294" s="1999">
        <v>1.3200738324007066</v>
      </c>
      <c r="AI294" s="1979">
        <v>1.4488695905462043</v>
      </c>
      <c r="AJ294" s="1979">
        <v>1.3200738324007066</v>
      </c>
      <c r="AK294" s="1979">
        <v>1.4488695905462043</v>
      </c>
      <c r="AL294" s="1979">
        <v>1.3200738324007066</v>
      </c>
      <c r="AM294" s="1979">
        <v>1.4488695905462043</v>
      </c>
      <c r="AN294" s="1979">
        <v>1.3200738324007066</v>
      </c>
      <c r="AO294" s="1979">
        <v>1.4488695905462043</v>
      </c>
      <c r="AP294" s="1979">
        <v>1.3200738324007066</v>
      </c>
      <c r="AQ294" s="1979">
        <v>1.4488695905462043</v>
      </c>
      <c r="AR294" s="2000">
        <v>1.079525499647328</v>
      </c>
      <c r="AS294" s="1998">
        <v>1.1106830147253564</v>
      </c>
      <c r="AT294" s="1998">
        <v>1.079525499647328</v>
      </c>
      <c r="AU294" s="1998">
        <v>1.1106830147253564</v>
      </c>
      <c r="AV294" s="1998">
        <v>1.079525499647328</v>
      </c>
      <c r="AW294" s="1998">
        <v>1.1106830147253564</v>
      </c>
      <c r="AX294" s="1998">
        <v>1.079525499647328</v>
      </c>
      <c r="AY294" s="1998">
        <v>1.1106830147253564</v>
      </c>
      <c r="AZ294" s="1998">
        <v>1.079525499647328</v>
      </c>
      <c r="BA294" s="1998">
        <v>1.1106830147253564</v>
      </c>
      <c r="BB294" s="1999">
        <v>1.3180265000109936</v>
      </c>
      <c r="BC294" s="1979">
        <v>1.3308586370188196</v>
      </c>
      <c r="BD294" s="1979">
        <v>1.3180265000109936</v>
      </c>
      <c r="BE294" s="1979">
        <v>1.3308586370188196</v>
      </c>
      <c r="BF294" s="1979">
        <v>1.3180265000109936</v>
      </c>
      <c r="BG294" s="1979">
        <v>1.3308586370188196</v>
      </c>
      <c r="BH294" s="1979">
        <v>1.3180265000109936</v>
      </c>
      <c r="BI294" s="1979">
        <v>1.3308586370188196</v>
      </c>
      <c r="BJ294" s="1979">
        <v>1.3180265000109936</v>
      </c>
      <c r="BK294" s="1979">
        <v>1.3308586370188196</v>
      </c>
      <c r="BL294" s="2000">
        <v>1.1814683629492135</v>
      </c>
      <c r="BM294" s="1998">
        <v>1.2431375423131188</v>
      </c>
      <c r="BN294" s="1998">
        <v>1.1814683629492135</v>
      </c>
      <c r="BO294" s="1998">
        <v>1.2431375423131188</v>
      </c>
      <c r="BP294" s="1998">
        <v>1.1814683629492135</v>
      </c>
      <c r="BQ294" s="1998">
        <v>1.2431375423131188</v>
      </c>
      <c r="BR294" s="1998">
        <v>1.1814683629492135</v>
      </c>
      <c r="BS294" s="1998">
        <v>1.2431375423131188</v>
      </c>
      <c r="BT294" s="1998">
        <v>1.1814683629492135</v>
      </c>
      <c r="BU294" s="1998">
        <v>1.2431375423131188</v>
      </c>
      <c r="BV294" s="1999">
        <v>1.2668831194801757</v>
      </c>
      <c r="BW294" s="1979">
        <v>1.3810712323180965</v>
      </c>
      <c r="BX294" s="1979">
        <v>1.2668831194801757</v>
      </c>
      <c r="BY294" s="1979">
        <v>1.3810712323180965</v>
      </c>
      <c r="BZ294" s="1979">
        <v>1.2668831194801757</v>
      </c>
      <c r="CA294" s="1979">
        <v>1.3810712323180965</v>
      </c>
      <c r="CB294" s="1979">
        <v>1.2668831194801757</v>
      </c>
      <c r="CC294" s="1979">
        <v>1.3810712323180965</v>
      </c>
      <c r="CD294" s="1979">
        <v>1.2668831194801757</v>
      </c>
      <c r="CE294" s="1979">
        <v>1.3810712323180965</v>
      </c>
      <c r="CF294" s="2000">
        <v>1.0355857826682435</v>
      </c>
      <c r="CG294" s="1998">
        <v>1.0509613939831395</v>
      </c>
      <c r="CH294" s="1998">
        <v>1.0355857826682435</v>
      </c>
      <c r="CI294" s="1998">
        <v>1.0509613939831395</v>
      </c>
      <c r="CJ294" s="1998">
        <v>1.0355857826682435</v>
      </c>
      <c r="CK294" s="1998">
        <v>1.0509613939831395</v>
      </c>
      <c r="CL294" s="1998">
        <v>1.0355857826682435</v>
      </c>
      <c r="CM294" s="1998">
        <v>1.0509613939831395</v>
      </c>
      <c r="CN294" s="1998">
        <v>1.0355857826682435</v>
      </c>
      <c r="CO294" s="1998">
        <v>1.0509613939831395</v>
      </c>
      <c r="CP294" s="1999">
        <v>1.0426831173942406</v>
      </c>
      <c r="CQ294" s="1979">
        <v>1.0609846567394052</v>
      </c>
      <c r="CR294" s="1979">
        <v>1.0426831173942406</v>
      </c>
      <c r="CS294" s="1979">
        <v>1.0609846567394052</v>
      </c>
      <c r="CT294" s="1979">
        <v>1.0426831173942406</v>
      </c>
      <c r="CU294" s="1979">
        <v>1.0609846567394052</v>
      </c>
      <c r="CV294" s="1979">
        <v>1.0426831173942406</v>
      </c>
      <c r="CW294" s="1979">
        <v>1.0609846567394052</v>
      </c>
      <c r="CX294" s="1979">
        <v>1.0426831173942406</v>
      </c>
      <c r="CY294" s="1979">
        <v>1.0609846567394052</v>
      </c>
      <c r="CZ294" s="2000">
        <v>1</v>
      </c>
      <c r="DA294" s="1998">
        <v>1</v>
      </c>
      <c r="DB294" s="1998">
        <v>1</v>
      </c>
      <c r="DC294" s="1998">
        <v>1</v>
      </c>
      <c r="DD294" s="1998">
        <v>1</v>
      </c>
      <c r="DE294" s="1998">
        <v>1</v>
      </c>
      <c r="DF294" s="1998">
        <v>1</v>
      </c>
      <c r="DG294" s="1998">
        <v>1</v>
      </c>
      <c r="DH294" s="1998">
        <v>1</v>
      </c>
      <c r="DI294" s="1998">
        <v>1</v>
      </c>
      <c r="DJ294" s="1999">
        <v>1.0085960930064017</v>
      </c>
      <c r="DK294" s="1979">
        <v>1.0121461944782337</v>
      </c>
      <c r="DL294" s="1979">
        <v>1.0085960930064017</v>
      </c>
      <c r="DM294" s="1979">
        <v>1.0121461944782337</v>
      </c>
      <c r="DN294" s="1979">
        <v>1.0085960930064017</v>
      </c>
      <c r="DO294" s="1979">
        <v>1.0121461944782337</v>
      </c>
      <c r="DP294" s="1979">
        <v>1.0085960930064017</v>
      </c>
      <c r="DQ294" s="1979">
        <v>1.0121461944782337</v>
      </c>
      <c r="DR294" s="1979">
        <v>1.0085960930064017</v>
      </c>
      <c r="DS294" s="1979">
        <v>1.0121461944782337</v>
      </c>
    </row>
    <row r="295" spans="1:189">
      <c r="B295" s="2">
        <v>36</v>
      </c>
      <c r="C295" s="2" t="str">
        <f>AF$15</f>
        <v/>
      </c>
      <c r="D295" s="1998">
        <v>0.99089193585001911</v>
      </c>
      <c r="E295" s="1998">
        <v>0.99491643010161035</v>
      </c>
      <c r="F295" s="1998">
        <v>0.99089193585001911</v>
      </c>
      <c r="G295" s="1998">
        <v>0.99491643010161035</v>
      </c>
      <c r="H295" s="1998">
        <v>0.99089193585001911</v>
      </c>
      <c r="I295" s="1998">
        <v>0.99491643010161035</v>
      </c>
      <c r="J295" s="1998">
        <v>0.99089193585001911</v>
      </c>
      <c r="K295" s="1998">
        <v>0.99491643010161035</v>
      </c>
      <c r="L295" s="1998">
        <v>0.99089193585001911</v>
      </c>
      <c r="M295" s="1998">
        <v>0.99491643010161035</v>
      </c>
      <c r="N295" s="1999">
        <v>1.0767033219898217</v>
      </c>
      <c r="O295" s="1979">
        <v>1.1018109318917584</v>
      </c>
      <c r="P295" s="1979">
        <v>1.0767033219898217</v>
      </c>
      <c r="Q295" s="1979">
        <v>1.1018109318917584</v>
      </c>
      <c r="R295" s="1979">
        <v>1.0767033219898217</v>
      </c>
      <c r="S295" s="1979">
        <v>1.1018109318917584</v>
      </c>
      <c r="T295" s="1979">
        <v>1.0767033219898217</v>
      </c>
      <c r="U295" s="1979">
        <v>1.1018109318917584</v>
      </c>
      <c r="V295" s="1979">
        <v>1.0767033219898217</v>
      </c>
      <c r="W295" s="1979">
        <v>1.1018109318917584</v>
      </c>
      <c r="X295" s="2000">
        <v>1.018278610910949</v>
      </c>
      <c r="Y295" s="1998">
        <v>1.0192371572799035</v>
      </c>
      <c r="Z295" s="1998">
        <v>1.018278610910949</v>
      </c>
      <c r="AA295" s="1998">
        <v>1.0192371572799035</v>
      </c>
      <c r="AB295" s="1998">
        <v>1.018278610910949</v>
      </c>
      <c r="AC295" s="1998">
        <v>1.0192371572799035</v>
      </c>
      <c r="AD295" s="1998">
        <v>1.018278610910949</v>
      </c>
      <c r="AE295" s="1998">
        <v>1.0192371572799035</v>
      </c>
      <c r="AF295" s="1998">
        <v>1.018278610910949</v>
      </c>
      <c r="AG295" s="1998">
        <v>1.0192371572799035</v>
      </c>
      <c r="AH295" s="1999">
        <v>1.052668072210678</v>
      </c>
      <c r="AI295" s="1979">
        <v>1.0719029350182141</v>
      </c>
      <c r="AJ295" s="1979">
        <v>1.052668072210678</v>
      </c>
      <c r="AK295" s="1979">
        <v>1.0719029350182141</v>
      </c>
      <c r="AL295" s="1979">
        <v>1.052668072210678</v>
      </c>
      <c r="AM295" s="1979">
        <v>1.0719029350182141</v>
      </c>
      <c r="AN295" s="1979">
        <v>1.052668072210678</v>
      </c>
      <c r="AO295" s="1979">
        <v>1.0719029350182141</v>
      </c>
      <c r="AP295" s="1979">
        <v>1.052668072210678</v>
      </c>
      <c r="AQ295" s="1979">
        <v>1.0719029350182141</v>
      </c>
      <c r="AR295" s="2000">
        <v>1.0130859018577067</v>
      </c>
      <c r="AS295" s="1998">
        <v>1.0177299460311695</v>
      </c>
      <c r="AT295" s="1998">
        <v>1.0130859018577067</v>
      </c>
      <c r="AU295" s="1998">
        <v>1.0177299460311695</v>
      </c>
      <c r="AV295" s="1998">
        <v>1.0130859018577067</v>
      </c>
      <c r="AW295" s="1998">
        <v>1.0177299460311695</v>
      </c>
      <c r="AX295" s="1998">
        <v>1.0130859018577067</v>
      </c>
      <c r="AY295" s="1998">
        <v>1.0177299460311695</v>
      </c>
      <c r="AZ295" s="1998">
        <v>1.0130859018577067</v>
      </c>
      <c r="BA295" s="1998">
        <v>1.0177299460311695</v>
      </c>
      <c r="BB295" s="1999">
        <v>1.3180265000109936</v>
      </c>
      <c r="BC295" s="1979">
        <v>1.3308586370188196</v>
      </c>
      <c r="BD295" s="1979">
        <v>1.3180265000109936</v>
      </c>
      <c r="BE295" s="1979">
        <v>1.3308586370188196</v>
      </c>
      <c r="BF295" s="1979">
        <v>1.3180265000109936</v>
      </c>
      <c r="BG295" s="1979">
        <v>1.3308586370188196</v>
      </c>
      <c r="BH295" s="1979">
        <v>1.3180265000109936</v>
      </c>
      <c r="BI295" s="1979">
        <v>1.3308586370188196</v>
      </c>
      <c r="BJ295" s="1979">
        <v>1.3180265000109936</v>
      </c>
      <c r="BK295" s="1979">
        <v>1.3308586370188196</v>
      </c>
      <c r="BL295" s="2000">
        <v>1.0298605755180803</v>
      </c>
      <c r="BM295" s="1998">
        <v>1.0389473986958111</v>
      </c>
      <c r="BN295" s="1998">
        <v>1.0298605755180803</v>
      </c>
      <c r="BO295" s="1998">
        <v>1.0389473986958111</v>
      </c>
      <c r="BP295" s="1998">
        <v>1.0298605755180803</v>
      </c>
      <c r="BQ295" s="1998">
        <v>1.0389473986958111</v>
      </c>
      <c r="BR295" s="1998">
        <v>1.0298605755180803</v>
      </c>
      <c r="BS295" s="1998">
        <v>1.0389473986958111</v>
      </c>
      <c r="BT295" s="1998">
        <v>1.0298605755180803</v>
      </c>
      <c r="BU295" s="1998">
        <v>1.0389473986958111</v>
      </c>
      <c r="BV295" s="1999">
        <v>1.0439155531808537</v>
      </c>
      <c r="BW295" s="1979">
        <v>1.0610425402650627</v>
      </c>
      <c r="BX295" s="1979">
        <v>1.0439155531808537</v>
      </c>
      <c r="BY295" s="1979">
        <v>1.0610425402650627</v>
      </c>
      <c r="BZ295" s="1979">
        <v>1.0439155531808537</v>
      </c>
      <c r="CA295" s="1979">
        <v>1.0610425402650627</v>
      </c>
      <c r="CB295" s="1979">
        <v>1.0439155531808537</v>
      </c>
      <c r="CC295" s="1979">
        <v>1.0610425402650627</v>
      </c>
      <c r="CD295" s="1979">
        <v>1.0439155531808537</v>
      </c>
      <c r="CE295" s="1979">
        <v>1.0610425402650627</v>
      </c>
      <c r="CF295" s="2000">
        <v>1.0058556319871166</v>
      </c>
      <c r="CG295" s="1998">
        <v>1.0081633371410803</v>
      </c>
      <c r="CH295" s="1998">
        <v>1.0058556319871166</v>
      </c>
      <c r="CI295" s="1998">
        <v>1.0081633371410803</v>
      </c>
      <c r="CJ295" s="1998">
        <v>1.0058556319871166</v>
      </c>
      <c r="CK295" s="1998">
        <v>1.0081633371410803</v>
      </c>
      <c r="CL295" s="1998">
        <v>1.0058556319871166</v>
      </c>
      <c r="CM295" s="1998">
        <v>1.0081633371410803</v>
      </c>
      <c r="CN295" s="1998">
        <v>1.0058556319871166</v>
      </c>
      <c r="CO295" s="1998">
        <v>1.0081633371410803</v>
      </c>
      <c r="CP295" s="1999">
        <v>1.0070234967108538</v>
      </c>
      <c r="CQ295" s="1979">
        <v>1.009768930448832</v>
      </c>
      <c r="CR295" s="1979">
        <v>1.0070234967108538</v>
      </c>
      <c r="CS295" s="1979">
        <v>1.009768930448832</v>
      </c>
      <c r="CT295" s="1979">
        <v>1.0070234967108538</v>
      </c>
      <c r="CU295" s="1979">
        <v>1.009768930448832</v>
      </c>
      <c r="CV295" s="1979">
        <v>1.0070234967108538</v>
      </c>
      <c r="CW295" s="1979">
        <v>1.009768930448832</v>
      </c>
      <c r="CX295" s="1979">
        <v>1.0070234967108538</v>
      </c>
      <c r="CY295" s="1979">
        <v>1.009768930448832</v>
      </c>
      <c r="CZ295" s="2000">
        <v>1</v>
      </c>
      <c r="DA295" s="1998">
        <v>1</v>
      </c>
      <c r="DB295" s="1998">
        <v>1</v>
      </c>
      <c r="DC295" s="1998">
        <v>1</v>
      </c>
      <c r="DD295" s="1998">
        <v>1</v>
      </c>
      <c r="DE295" s="1998">
        <v>1</v>
      </c>
      <c r="DF295" s="1998">
        <v>1</v>
      </c>
      <c r="DG295" s="1998">
        <v>1</v>
      </c>
      <c r="DH295" s="1998">
        <v>1</v>
      </c>
      <c r="DI295" s="1998">
        <v>1</v>
      </c>
      <c r="DJ295" s="1999">
        <v>1.0016192273508138</v>
      </c>
      <c r="DK295" s="1979">
        <v>1.0020843320261934</v>
      </c>
      <c r="DL295" s="1979">
        <v>1.0016192273508138</v>
      </c>
      <c r="DM295" s="1979">
        <v>1.0020843320261934</v>
      </c>
      <c r="DN295" s="1979">
        <v>1.0016192273508138</v>
      </c>
      <c r="DO295" s="1979">
        <v>1.0020843320261934</v>
      </c>
      <c r="DP295" s="1979">
        <v>1.0016192273508138</v>
      </c>
      <c r="DQ295" s="1979">
        <v>1.0020843320261934</v>
      </c>
      <c r="DR295" s="1979">
        <v>1.0016192273508138</v>
      </c>
      <c r="DS295" s="1979">
        <v>1.0020843320261934</v>
      </c>
    </row>
    <row r="296" spans="1:189">
      <c r="B296" s="2">
        <v>37</v>
      </c>
      <c r="C296" s="2" t="str">
        <f>AF$16</f>
        <v/>
      </c>
      <c r="D296" s="1998">
        <v>1.0125322659304401</v>
      </c>
      <c r="E296" s="1998">
        <v>1.0066655697798217</v>
      </c>
      <c r="F296" s="1998">
        <v>1.0125322659304401</v>
      </c>
      <c r="G296" s="1998">
        <v>1.0066655697798217</v>
      </c>
      <c r="H296" s="1998">
        <v>1.0125322659304401</v>
      </c>
      <c r="I296" s="1998">
        <v>1.0066655697798217</v>
      </c>
      <c r="J296" s="1998">
        <v>1.0125322659304401</v>
      </c>
      <c r="K296" s="1998">
        <v>1.0066655697798217</v>
      </c>
      <c r="L296" s="1998">
        <v>1.0125322659304401</v>
      </c>
      <c r="M296" s="1998">
        <v>1.0066655697798217</v>
      </c>
      <c r="N296" s="1999">
        <v>1.1483609722803176</v>
      </c>
      <c r="O296" s="1979">
        <v>1.1406648741551781</v>
      </c>
      <c r="P296" s="1979">
        <v>1.1483609722803176</v>
      </c>
      <c r="Q296" s="1979">
        <v>1.1406648741551781</v>
      </c>
      <c r="R296" s="1979">
        <v>1.1483609722803176</v>
      </c>
      <c r="S296" s="1979">
        <v>1.1406648741551781</v>
      </c>
      <c r="T296" s="1979">
        <v>1.1483609722803176</v>
      </c>
      <c r="U296" s="1979">
        <v>1.1406648741551781</v>
      </c>
      <c r="V296" s="1979">
        <v>1.1483609722803176</v>
      </c>
      <c r="W296" s="1979">
        <v>1.1406648741551781</v>
      </c>
      <c r="X296" s="2000">
        <v>1.0353548244891122</v>
      </c>
      <c r="Y296" s="1998">
        <v>1.0286526515427747</v>
      </c>
      <c r="Z296" s="1998">
        <v>1.0353548244891122</v>
      </c>
      <c r="AA296" s="1998">
        <v>1.0286526515427747</v>
      </c>
      <c r="AB296" s="1998">
        <v>1.0353548244891122</v>
      </c>
      <c r="AC296" s="1998">
        <v>1.0286526515427747</v>
      </c>
      <c r="AD296" s="1998">
        <v>1.0353548244891122</v>
      </c>
      <c r="AE296" s="1998">
        <v>1.0286526515427747</v>
      </c>
      <c r="AF296" s="1998">
        <v>1.0353548244891122</v>
      </c>
      <c r="AG296" s="1998">
        <v>1.0286526515427747</v>
      </c>
      <c r="AH296" s="1999">
        <v>1.1018715513044277</v>
      </c>
      <c r="AI296" s="1979">
        <v>1.0993431365158126</v>
      </c>
      <c r="AJ296" s="1979">
        <v>1.1018715513044277</v>
      </c>
      <c r="AK296" s="1979">
        <v>1.0993431365158126</v>
      </c>
      <c r="AL296" s="1979">
        <v>1.1018715513044277</v>
      </c>
      <c r="AM296" s="1979">
        <v>1.0993431365158126</v>
      </c>
      <c r="AN296" s="1979">
        <v>1.1018715513044277</v>
      </c>
      <c r="AO296" s="1979">
        <v>1.0993431365158126</v>
      </c>
      <c r="AP296" s="1979">
        <v>1.1018715513044277</v>
      </c>
      <c r="AQ296" s="1979">
        <v>1.0993431365158126</v>
      </c>
      <c r="AR296" s="2000">
        <v>1.0253109913939817</v>
      </c>
      <c r="AS296" s="1998">
        <v>1.0244961968318298</v>
      </c>
      <c r="AT296" s="1998">
        <v>1.0253109913939817</v>
      </c>
      <c r="AU296" s="1998">
        <v>1.0244961968318298</v>
      </c>
      <c r="AV296" s="1998">
        <v>1.0253109913939817</v>
      </c>
      <c r="AW296" s="1998">
        <v>1.0244961968318298</v>
      </c>
      <c r="AX296" s="1998">
        <v>1.0253109913939817</v>
      </c>
      <c r="AY296" s="1998">
        <v>1.0244961968318298</v>
      </c>
      <c r="AZ296" s="1998">
        <v>1.0253109913939817</v>
      </c>
      <c r="BA296" s="1998">
        <v>1.0244961968318298</v>
      </c>
      <c r="BB296" s="1999">
        <v>1.3180265000109936</v>
      </c>
      <c r="BC296" s="1979">
        <v>1.3308586370188196</v>
      </c>
      <c r="BD296" s="1979">
        <v>1.3180265000109936</v>
      </c>
      <c r="BE296" s="1979">
        <v>1.3308586370188196</v>
      </c>
      <c r="BF296" s="1979">
        <v>1.3180265000109936</v>
      </c>
      <c r="BG296" s="1979">
        <v>1.3308586370188196</v>
      </c>
      <c r="BH296" s="1979">
        <v>1.3180265000109936</v>
      </c>
      <c r="BI296" s="1979">
        <v>1.3308586370188196</v>
      </c>
      <c r="BJ296" s="1979">
        <v>1.3180265000109936</v>
      </c>
      <c r="BK296" s="1979">
        <v>1.3308586370188196</v>
      </c>
      <c r="BL296" s="2000">
        <v>1.057756872867907</v>
      </c>
      <c r="BM296" s="1998">
        <v>1.0538108318470396</v>
      </c>
      <c r="BN296" s="1998">
        <v>1.057756872867907</v>
      </c>
      <c r="BO296" s="1998">
        <v>1.0538108318470396</v>
      </c>
      <c r="BP296" s="1998">
        <v>1.057756872867907</v>
      </c>
      <c r="BQ296" s="1998">
        <v>1.0538108318470396</v>
      </c>
      <c r="BR296" s="1998">
        <v>1.057756872867907</v>
      </c>
      <c r="BS296" s="1998">
        <v>1.0538108318470396</v>
      </c>
      <c r="BT296" s="1998">
        <v>1.057756872867907</v>
      </c>
      <c r="BU296" s="1998">
        <v>1.0538108318470396</v>
      </c>
      <c r="BV296" s="1999">
        <v>1.0849422684587771</v>
      </c>
      <c r="BW296" s="1979">
        <v>1.0843381067725255</v>
      </c>
      <c r="BX296" s="1979">
        <v>1.0849422684587771</v>
      </c>
      <c r="BY296" s="1979">
        <v>1.0843381067725255</v>
      </c>
      <c r="BZ296" s="1979">
        <v>1.0849422684587771</v>
      </c>
      <c r="CA296" s="1979">
        <v>1.0843381067725255</v>
      </c>
      <c r="CB296" s="1979">
        <v>1.0849422684587771</v>
      </c>
      <c r="CC296" s="1979">
        <v>1.0843381067725255</v>
      </c>
      <c r="CD296" s="1979">
        <v>1.0849422684587771</v>
      </c>
      <c r="CE296" s="1979">
        <v>1.0843381067725255</v>
      </c>
      <c r="CF296" s="2000">
        <v>1.0113260707931218</v>
      </c>
      <c r="CG296" s="1998">
        <v>1.011278698370595</v>
      </c>
      <c r="CH296" s="1998">
        <v>1.0113260707931218</v>
      </c>
      <c r="CI296" s="1998">
        <v>1.011278698370595</v>
      </c>
      <c r="CJ296" s="1998">
        <v>1.0113260707931218</v>
      </c>
      <c r="CK296" s="1998">
        <v>1.011278698370595</v>
      </c>
      <c r="CL296" s="1998">
        <v>1.0113260707931218</v>
      </c>
      <c r="CM296" s="1998">
        <v>1.011278698370595</v>
      </c>
      <c r="CN296" s="1998">
        <v>1.0113260707931218</v>
      </c>
      <c r="CO296" s="1998">
        <v>1.011278698370595</v>
      </c>
      <c r="CP296" s="1999">
        <v>1.013584976162677</v>
      </c>
      <c r="CQ296" s="1979">
        <v>1.0134970316711822</v>
      </c>
      <c r="CR296" s="1979">
        <v>1.013584976162677</v>
      </c>
      <c r="CS296" s="1979">
        <v>1.0134970316711822</v>
      </c>
      <c r="CT296" s="1979">
        <v>1.013584976162677</v>
      </c>
      <c r="CU296" s="1979">
        <v>1.0134970316711822</v>
      </c>
      <c r="CV296" s="1979">
        <v>1.013584976162677</v>
      </c>
      <c r="CW296" s="1979">
        <v>1.0134970316711822</v>
      </c>
      <c r="CX296" s="1979">
        <v>1.013584976162677</v>
      </c>
      <c r="CY296" s="1979">
        <v>1.0134970316711822</v>
      </c>
      <c r="CZ296" s="2000">
        <v>1</v>
      </c>
      <c r="DA296" s="1998">
        <v>1</v>
      </c>
      <c r="DB296" s="1998">
        <v>1</v>
      </c>
      <c r="DC296" s="1998">
        <v>1</v>
      </c>
      <c r="DD296" s="1998">
        <v>1</v>
      </c>
      <c r="DE296" s="1998">
        <v>1</v>
      </c>
      <c r="DF296" s="1998">
        <v>1</v>
      </c>
      <c r="DG296" s="1998">
        <v>1</v>
      </c>
      <c r="DH296" s="1998">
        <v>1</v>
      </c>
      <c r="DI296" s="1998">
        <v>1</v>
      </c>
      <c r="DJ296" s="1999">
        <v>1.002902992005624</v>
      </c>
      <c r="DK296" s="1979">
        <v>1.0028167563111434</v>
      </c>
      <c r="DL296" s="1979">
        <v>1.002902992005624</v>
      </c>
      <c r="DM296" s="1979">
        <v>1.0028167563111434</v>
      </c>
      <c r="DN296" s="1979">
        <v>1.002902992005624</v>
      </c>
      <c r="DO296" s="1979">
        <v>1.0028167563111434</v>
      </c>
      <c r="DP296" s="1979">
        <v>1.002902992005624</v>
      </c>
      <c r="DQ296" s="1979">
        <v>1.0028167563111434</v>
      </c>
      <c r="DR296" s="1979">
        <v>1.002902992005624</v>
      </c>
      <c r="DS296" s="1979">
        <v>1.0028167563111434</v>
      </c>
    </row>
    <row r="297" spans="1:189">
      <c r="B297" s="2">
        <v>38</v>
      </c>
      <c r="C297" s="2" t="str">
        <f>AF$17</f>
        <v/>
      </c>
      <c r="D297" s="1998">
        <v>1.0585003115621834</v>
      </c>
      <c r="E297" s="1998">
        <v>1.0736221665254722</v>
      </c>
      <c r="F297" s="1998">
        <v>1.0585003115621834</v>
      </c>
      <c r="G297" s="1998">
        <v>1.0736221665254722</v>
      </c>
      <c r="H297" s="1998">
        <v>1.0585003115621834</v>
      </c>
      <c r="I297" s="1998">
        <v>1.0736221665254722</v>
      </c>
      <c r="J297" s="1998">
        <v>1.0585003115621834</v>
      </c>
      <c r="K297" s="1998">
        <v>1.0736221665254722</v>
      </c>
      <c r="L297" s="1998">
        <v>1.0585003115621834</v>
      </c>
      <c r="M297" s="1998">
        <v>1.0736221665254722</v>
      </c>
      <c r="N297" s="1999">
        <v>1.3005750155123672</v>
      </c>
      <c r="O297" s="1979">
        <v>1.3620877030057905</v>
      </c>
      <c r="P297" s="1979">
        <v>1.3005750155123672</v>
      </c>
      <c r="Q297" s="1979">
        <v>1.3620877030057905</v>
      </c>
      <c r="R297" s="1979">
        <v>1.3005750155123672</v>
      </c>
      <c r="S297" s="1979">
        <v>1.3620877030057905</v>
      </c>
      <c r="T297" s="1979">
        <v>1.3005750155123672</v>
      </c>
      <c r="U297" s="1979">
        <v>1.3620877030057905</v>
      </c>
      <c r="V297" s="1979">
        <v>1.3005750155123672</v>
      </c>
      <c r="W297" s="1979">
        <v>1.3620877030057905</v>
      </c>
      <c r="X297" s="2000">
        <v>1.0716278462989133</v>
      </c>
      <c r="Y297" s="1998">
        <v>1.0823101507117705</v>
      </c>
      <c r="Z297" s="1998">
        <v>1.0716278462989133</v>
      </c>
      <c r="AA297" s="1998">
        <v>1.0823101507117705</v>
      </c>
      <c r="AB297" s="1998">
        <v>1.0716278462989133</v>
      </c>
      <c r="AC297" s="1998">
        <v>1.0823101507117705</v>
      </c>
      <c r="AD297" s="1998">
        <v>1.0716278462989133</v>
      </c>
      <c r="AE297" s="1998">
        <v>1.0823101507117705</v>
      </c>
      <c r="AF297" s="1998">
        <v>1.0716278462989133</v>
      </c>
      <c r="AG297" s="1998">
        <v>1.0823101507117705</v>
      </c>
      <c r="AH297" s="1999">
        <v>1.206388800524594</v>
      </c>
      <c r="AI297" s="1979">
        <v>1.2557207570577924</v>
      </c>
      <c r="AJ297" s="1979">
        <v>1.206388800524594</v>
      </c>
      <c r="AK297" s="1979">
        <v>1.2557207570577924</v>
      </c>
      <c r="AL297" s="1979">
        <v>1.206388800524594</v>
      </c>
      <c r="AM297" s="1979">
        <v>1.2557207570577924</v>
      </c>
      <c r="AN297" s="1979">
        <v>1.206388800524594</v>
      </c>
      <c r="AO297" s="1979">
        <v>1.2557207570577924</v>
      </c>
      <c r="AP297" s="1979">
        <v>1.206388800524594</v>
      </c>
      <c r="AQ297" s="1979">
        <v>1.2557207570577924</v>
      </c>
      <c r="AR297" s="2000">
        <v>1.0512793325222012</v>
      </c>
      <c r="AS297" s="1998">
        <v>1.0630560521699974</v>
      </c>
      <c r="AT297" s="1998">
        <v>1.0512793325222012</v>
      </c>
      <c r="AU297" s="1998">
        <v>1.0630560521699974</v>
      </c>
      <c r="AV297" s="1998">
        <v>1.0512793325222012</v>
      </c>
      <c r="AW297" s="1998">
        <v>1.0630560521699974</v>
      </c>
      <c r="AX297" s="1998">
        <v>1.0512793325222012</v>
      </c>
      <c r="AY297" s="1998">
        <v>1.0630560521699974</v>
      </c>
      <c r="AZ297" s="1998">
        <v>1.0512793325222012</v>
      </c>
      <c r="BA297" s="1998">
        <v>1.0630560521699974</v>
      </c>
      <c r="BB297" s="1999">
        <v>1.3180265000109936</v>
      </c>
      <c r="BC297" s="1979">
        <v>1.3308586370188196</v>
      </c>
      <c r="BD297" s="1979">
        <v>1.3180265000109936</v>
      </c>
      <c r="BE297" s="1979">
        <v>1.3308586370188196</v>
      </c>
      <c r="BF297" s="1979">
        <v>1.3180265000109936</v>
      </c>
      <c r="BG297" s="1979">
        <v>1.3308586370188196</v>
      </c>
      <c r="BH297" s="1979">
        <v>1.3180265000109936</v>
      </c>
      <c r="BI297" s="1979">
        <v>1.3308586370188196</v>
      </c>
      <c r="BJ297" s="1979">
        <v>1.3180265000109936</v>
      </c>
      <c r="BK297" s="1979">
        <v>1.3308586370188196</v>
      </c>
      <c r="BL297" s="2000">
        <v>1.1170137448642214</v>
      </c>
      <c r="BM297" s="1998">
        <v>1.1385153231561622</v>
      </c>
      <c r="BN297" s="1998">
        <v>1.1170137448642214</v>
      </c>
      <c r="BO297" s="1998">
        <v>1.1385153231561622</v>
      </c>
      <c r="BP297" s="1998">
        <v>1.1170137448642214</v>
      </c>
      <c r="BQ297" s="1998">
        <v>1.1385153231561622</v>
      </c>
      <c r="BR297" s="1998">
        <v>1.1170137448642214</v>
      </c>
      <c r="BS297" s="1998">
        <v>1.1385153231561622</v>
      </c>
      <c r="BT297" s="1998">
        <v>1.1170137448642214</v>
      </c>
      <c r="BU297" s="1998">
        <v>1.1385153231561622</v>
      </c>
      <c r="BV297" s="1999">
        <v>1.1720905657817644</v>
      </c>
      <c r="BW297" s="1979">
        <v>1.2170960699359263</v>
      </c>
      <c r="BX297" s="1979">
        <v>1.1720905657817644</v>
      </c>
      <c r="BY297" s="1979">
        <v>1.2170960699359263</v>
      </c>
      <c r="BZ297" s="1979">
        <v>1.1720905657817644</v>
      </c>
      <c r="CA297" s="1979">
        <v>1.2170960699359263</v>
      </c>
      <c r="CB297" s="1979">
        <v>1.1720905657817644</v>
      </c>
      <c r="CC297" s="1979">
        <v>1.2170960699359263</v>
      </c>
      <c r="CD297" s="1979">
        <v>1.1720905657817644</v>
      </c>
      <c r="CE297" s="1979">
        <v>1.2170960699359263</v>
      </c>
      <c r="CF297" s="2000">
        <v>1.0229462900654527</v>
      </c>
      <c r="CG297" s="1998">
        <v>1.029032677919284</v>
      </c>
      <c r="CH297" s="1998">
        <v>1.0229462900654527</v>
      </c>
      <c r="CI297" s="1998">
        <v>1.029032677919284</v>
      </c>
      <c r="CJ297" s="1998">
        <v>1.0229462900654527</v>
      </c>
      <c r="CK297" s="1998">
        <v>1.029032677919284</v>
      </c>
      <c r="CL297" s="1998">
        <v>1.0229462900654527</v>
      </c>
      <c r="CM297" s="1998">
        <v>1.029032677919284</v>
      </c>
      <c r="CN297" s="1998">
        <v>1.0229462900654527</v>
      </c>
      <c r="CO297" s="1998">
        <v>1.029032677919284</v>
      </c>
      <c r="CP297" s="1999">
        <v>1.0275227666553484</v>
      </c>
      <c r="CQ297" s="1979">
        <v>1.0347429251585825</v>
      </c>
      <c r="CR297" s="1979">
        <v>1.0275227666553484</v>
      </c>
      <c r="CS297" s="1979">
        <v>1.0347429251585825</v>
      </c>
      <c r="CT297" s="1979">
        <v>1.0275227666553484</v>
      </c>
      <c r="CU297" s="1979">
        <v>1.0347429251585825</v>
      </c>
      <c r="CV297" s="1979">
        <v>1.0275227666553484</v>
      </c>
      <c r="CW297" s="1979">
        <v>1.0347429251585825</v>
      </c>
      <c r="CX297" s="1979">
        <v>1.0275227666553484</v>
      </c>
      <c r="CY297" s="1979">
        <v>1.0347429251585825</v>
      </c>
      <c r="CZ297" s="2000">
        <v>1</v>
      </c>
      <c r="DA297" s="1998">
        <v>1</v>
      </c>
      <c r="DB297" s="1998">
        <v>1</v>
      </c>
      <c r="DC297" s="1998">
        <v>1</v>
      </c>
      <c r="DD297" s="1998">
        <v>1</v>
      </c>
      <c r="DE297" s="1998">
        <v>1</v>
      </c>
      <c r="DF297" s="1998">
        <v>1</v>
      </c>
      <c r="DG297" s="1998">
        <v>1</v>
      </c>
      <c r="DH297" s="1998">
        <v>1</v>
      </c>
      <c r="DI297" s="1998">
        <v>1</v>
      </c>
      <c r="DJ297" s="1999">
        <v>1.0056299445065071</v>
      </c>
      <c r="DK297" s="1979">
        <v>1.0069907332011339</v>
      </c>
      <c r="DL297" s="1979">
        <v>1.0056299445065071</v>
      </c>
      <c r="DM297" s="1979">
        <v>1.0069907332011339</v>
      </c>
      <c r="DN297" s="1979">
        <v>1.0056299445065071</v>
      </c>
      <c r="DO297" s="1979">
        <v>1.0069907332011339</v>
      </c>
      <c r="DP297" s="1979">
        <v>1.0056299445065071</v>
      </c>
      <c r="DQ297" s="1979">
        <v>1.0069907332011339</v>
      </c>
      <c r="DR297" s="1979">
        <v>1.0056299445065071</v>
      </c>
      <c r="DS297" s="1979">
        <v>1.0069907332011339</v>
      </c>
    </row>
    <row r="298" spans="1:189">
      <c r="B298" s="2">
        <v>39</v>
      </c>
      <c r="C298" s="2" t="str">
        <f>AF$18</f>
        <v/>
      </c>
      <c r="D298" s="1998">
        <v>1.0227769495140195</v>
      </c>
      <c r="E298" s="1998">
        <v>1.0059727025741969</v>
      </c>
      <c r="F298" s="1998">
        <v>1.0227769495140195</v>
      </c>
      <c r="G298" s="1998">
        <v>1.0059727025741969</v>
      </c>
      <c r="H298" s="1998">
        <v>1.0227769495140195</v>
      </c>
      <c r="I298" s="1998">
        <v>1.0059727025741969</v>
      </c>
      <c r="J298" s="1998">
        <v>1.0227769495140195</v>
      </c>
      <c r="K298" s="1998">
        <v>1.0059727025741969</v>
      </c>
      <c r="L298" s="1998">
        <v>1.0227769495140195</v>
      </c>
      <c r="M298" s="1998">
        <v>1.0059727025741969</v>
      </c>
      <c r="N298" s="1999">
        <v>1.1822842050055484</v>
      </c>
      <c r="O298" s="1979">
        <v>1.1383735895895952</v>
      </c>
      <c r="P298" s="1979">
        <v>1.1822842050055484</v>
      </c>
      <c r="Q298" s="1979">
        <v>1.1383735895895952</v>
      </c>
      <c r="R298" s="1979">
        <v>1.1822842050055484</v>
      </c>
      <c r="S298" s="1979">
        <v>1.1383735895895952</v>
      </c>
      <c r="T298" s="1979">
        <v>1.1822842050055484</v>
      </c>
      <c r="U298" s="1979">
        <v>1.1383735895895952</v>
      </c>
      <c r="V298" s="1979">
        <v>1.1822842050055484</v>
      </c>
      <c r="W298" s="1979">
        <v>1.1383735895895952</v>
      </c>
      <c r="X298" s="2000">
        <v>1.0434388234052001</v>
      </c>
      <c r="Y298" s="1998">
        <v>1.0280974034669013</v>
      </c>
      <c r="Z298" s="1998">
        <v>1.0434388234052001</v>
      </c>
      <c r="AA298" s="1998">
        <v>1.0280974034669013</v>
      </c>
      <c r="AB298" s="1998">
        <v>1.0434388234052001</v>
      </c>
      <c r="AC298" s="1998">
        <v>1.0280974034669013</v>
      </c>
      <c r="AD298" s="1998">
        <v>1.0434388234052001</v>
      </c>
      <c r="AE298" s="1998">
        <v>1.0280974034669013</v>
      </c>
      <c r="AF298" s="1998">
        <v>1.0434388234052001</v>
      </c>
      <c r="AG298" s="1998">
        <v>1.0280974034669013</v>
      </c>
      <c r="AH298" s="1999">
        <v>1.1251648223706952</v>
      </c>
      <c r="AI298" s="1979">
        <v>1.0977249400985309</v>
      </c>
      <c r="AJ298" s="1979">
        <v>1.1251648223706952</v>
      </c>
      <c r="AK298" s="1979">
        <v>1.0977249400985309</v>
      </c>
      <c r="AL298" s="1979">
        <v>1.1251648223706952</v>
      </c>
      <c r="AM298" s="1979">
        <v>1.0977249400985309</v>
      </c>
      <c r="AN298" s="1979">
        <v>1.1251648223706952</v>
      </c>
      <c r="AO298" s="1979">
        <v>1.0977249400985309</v>
      </c>
      <c r="AP298" s="1979">
        <v>1.1251648223706952</v>
      </c>
      <c r="AQ298" s="1979">
        <v>1.0977249400985309</v>
      </c>
      <c r="AR298" s="2000">
        <v>1.0310984342663703</v>
      </c>
      <c r="AS298" s="1998">
        <v>1.0240971792515468</v>
      </c>
      <c r="AT298" s="1998">
        <v>1.0310984342663703</v>
      </c>
      <c r="AU298" s="1998">
        <v>1.0240971792515468</v>
      </c>
      <c r="AV298" s="1998">
        <v>1.0310984342663703</v>
      </c>
      <c r="AW298" s="1998">
        <v>1.0240971792515468</v>
      </c>
      <c r="AX298" s="1998">
        <v>1.0310984342663703</v>
      </c>
      <c r="AY298" s="1998">
        <v>1.0240971792515468</v>
      </c>
      <c r="AZ298" s="1998">
        <v>1.0310984342663703</v>
      </c>
      <c r="BA298" s="1998">
        <v>1.0240971792515468</v>
      </c>
      <c r="BB298" s="1999">
        <v>1.3180265000109936</v>
      </c>
      <c r="BC298" s="1979">
        <v>1.3308586370188196</v>
      </c>
      <c r="BD298" s="1979">
        <v>1.3180265000109936</v>
      </c>
      <c r="BE298" s="1979">
        <v>1.3308586370188196</v>
      </c>
      <c r="BF298" s="1979">
        <v>1.3180265000109936</v>
      </c>
      <c r="BG298" s="1979">
        <v>1.3308586370188196</v>
      </c>
      <c r="BH298" s="1979">
        <v>1.3180265000109936</v>
      </c>
      <c r="BI298" s="1979">
        <v>1.3308586370188196</v>
      </c>
      <c r="BJ298" s="1979">
        <v>1.3180265000109936</v>
      </c>
      <c r="BK298" s="1979">
        <v>1.3308586370188196</v>
      </c>
      <c r="BL298" s="2000">
        <v>1.0991807094920885</v>
      </c>
      <c r="BM298" s="1998">
        <v>1.0810384024859852</v>
      </c>
      <c r="BN298" s="1998">
        <v>1.0991807094920885</v>
      </c>
      <c r="BO298" s="1998">
        <v>1.0810384024859852</v>
      </c>
      <c r="BP298" s="1998">
        <v>1.0991807094920885</v>
      </c>
      <c r="BQ298" s="1998">
        <v>1.0810384024859852</v>
      </c>
      <c r="BR298" s="1998">
        <v>1.0991807094920885</v>
      </c>
      <c r="BS298" s="1998">
        <v>1.0810384024859852</v>
      </c>
      <c r="BT298" s="1998">
        <v>1.0991807094920885</v>
      </c>
      <c r="BU298" s="1998">
        <v>1.0810384024859852</v>
      </c>
      <c r="BV298" s="1999">
        <v>1.1043646023572886</v>
      </c>
      <c r="BW298" s="1979">
        <v>1.0829643266906182</v>
      </c>
      <c r="BX298" s="1979">
        <v>1.1043646023572886</v>
      </c>
      <c r="BY298" s="1979">
        <v>1.0829643266906182</v>
      </c>
      <c r="BZ298" s="1979">
        <v>1.1043646023572886</v>
      </c>
      <c r="CA298" s="1979">
        <v>1.0829643266906182</v>
      </c>
      <c r="CB298" s="1979">
        <v>1.1043646023572886</v>
      </c>
      <c r="CC298" s="1979">
        <v>1.0829643266906182</v>
      </c>
      <c r="CD298" s="1979">
        <v>1.1043646023572886</v>
      </c>
      <c r="CE298" s="1979">
        <v>1.0829643266906182</v>
      </c>
      <c r="CF298" s="2000">
        <v>1.013915814776813</v>
      </c>
      <c r="CG298" s="1998">
        <v>1.0110949800994089</v>
      </c>
      <c r="CH298" s="1998">
        <v>1.013915814776813</v>
      </c>
      <c r="CI298" s="1998">
        <v>1.0110949800994089</v>
      </c>
      <c r="CJ298" s="1998">
        <v>1.013915814776813</v>
      </c>
      <c r="CK298" s="1998">
        <v>1.0110949800994089</v>
      </c>
      <c r="CL298" s="1998">
        <v>1.013915814776813</v>
      </c>
      <c r="CM298" s="1998">
        <v>1.0110949800994089</v>
      </c>
      <c r="CN298" s="1998">
        <v>1.013915814776813</v>
      </c>
      <c r="CO298" s="1998">
        <v>1.0110949800994089</v>
      </c>
      <c r="CP298" s="1999">
        <v>1.0166912264173766</v>
      </c>
      <c r="CQ298" s="1979">
        <v>1.0132771790566961</v>
      </c>
      <c r="CR298" s="1979">
        <v>1.0166912264173766</v>
      </c>
      <c r="CS298" s="1979">
        <v>1.0132771790566961</v>
      </c>
      <c r="CT298" s="1979">
        <v>1.0166912264173766</v>
      </c>
      <c r="CU298" s="1979">
        <v>1.0132771790566961</v>
      </c>
      <c r="CV298" s="1979">
        <v>1.0166912264173766</v>
      </c>
      <c r="CW298" s="1979">
        <v>1.0132771790566961</v>
      </c>
      <c r="CX298" s="1979">
        <v>1.0166912264173766</v>
      </c>
      <c r="CY298" s="1979">
        <v>1.0132771790566961</v>
      </c>
      <c r="CZ298" s="2000">
        <v>1</v>
      </c>
      <c r="DA298" s="1998">
        <v>1</v>
      </c>
      <c r="DB298" s="1998">
        <v>1</v>
      </c>
      <c r="DC298" s="1998">
        <v>1</v>
      </c>
      <c r="DD298" s="1998">
        <v>1</v>
      </c>
      <c r="DE298" s="1998">
        <v>1</v>
      </c>
      <c r="DF298" s="1998">
        <v>1</v>
      </c>
      <c r="DG298" s="1998">
        <v>1</v>
      </c>
      <c r="DH298" s="1998">
        <v>1</v>
      </c>
      <c r="DI298" s="1998">
        <v>1</v>
      </c>
      <c r="DJ298" s="1999">
        <v>1.0035107351701431</v>
      </c>
      <c r="DK298" s="1979">
        <v>1.0027735639769348</v>
      </c>
      <c r="DL298" s="1979">
        <v>1.0035107351701431</v>
      </c>
      <c r="DM298" s="1979">
        <v>1.0027735639769348</v>
      </c>
      <c r="DN298" s="1979">
        <v>1.0035107351701431</v>
      </c>
      <c r="DO298" s="1979">
        <v>1.0027735639769348</v>
      </c>
      <c r="DP298" s="1979">
        <v>1.0035107351701431</v>
      </c>
      <c r="DQ298" s="1979">
        <v>1.0027735639769348</v>
      </c>
      <c r="DR298" s="1979">
        <v>1.0035107351701431</v>
      </c>
      <c r="DS298" s="1979">
        <v>1.0027735639769348</v>
      </c>
    </row>
    <row r="302" spans="1:189" ht="30">
      <c r="A302" s="1995" t="s">
        <v>4339</v>
      </c>
      <c r="R302" s="2007" t="s">
        <v>4340</v>
      </c>
      <c r="BN302" s="2008" t="s">
        <v>4341</v>
      </c>
      <c r="EA302" s="2008" t="s">
        <v>4342</v>
      </c>
    </row>
    <row r="304" spans="1:189">
      <c r="A304" s="2009"/>
      <c r="B304" s="2010"/>
      <c r="C304" s="2010" t="s">
        <v>4322</v>
      </c>
      <c r="D304" s="2010" t="str">
        <f>$AN$9</f>
        <v>Habitat collectif</v>
      </c>
      <c r="E304" s="2010"/>
      <c r="F304" s="2010"/>
      <c r="G304" s="2010"/>
      <c r="H304" s="2010"/>
      <c r="I304" s="2011" t="str">
        <f>$AN$10</f>
        <v>Habitat individuel</v>
      </c>
      <c r="J304" s="2010"/>
      <c r="K304" s="2010"/>
      <c r="L304" s="2010"/>
      <c r="M304" s="2010"/>
      <c r="N304" s="2011" t="str">
        <f>$AN$11</f>
        <v>Administration</v>
      </c>
      <c r="O304" s="2010"/>
      <c r="P304" s="2010"/>
      <c r="Q304" s="2010"/>
      <c r="R304" s="2010"/>
      <c r="S304" s="2011" t="str">
        <f>$AN$12</f>
        <v>Ecole</v>
      </c>
      <c r="T304" s="2010"/>
      <c r="U304" s="2010"/>
      <c r="V304" s="2010"/>
      <c r="W304" s="2010"/>
      <c r="X304" s="2011" t="str">
        <f>$AN$13</f>
        <v>Commerce</v>
      </c>
      <c r="Y304" s="2010"/>
      <c r="Z304" s="2010"/>
      <c r="AA304" s="2010"/>
      <c r="AB304" s="2010"/>
      <c r="AC304" s="2011" t="str">
        <f>$AN$14</f>
        <v>Restaurant</v>
      </c>
      <c r="AD304" s="2010"/>
      <c r="AE304" s="2010"/>
      <c r="AF304" s="2010"/>
      <c r="AG304" s="2010"/>
      <c r="AH304" s="2011" t="str">
        <f>$AN$15</f>
        <v>Lieu de rassemblement</v>
      </c>
      <c r="AI304" s="2010"/>
      <c r="AJ304" s="2010"/>
      <c r="AK304" s="2010"/>
      <c r="AL304" s="2010"/>
      <c r="AM304" s="2011" t="str">
        <f>$AN$16</f>
        <v>Hôpital</v>
      </c>
      <c r="AN304" s="2010"/>
      <c r="AO304" s="2010"/>
      <c r="AP304" s="2010"/>
      <c r="AQ304" s="2010"/>
      <c r="AR304" s="2011" t="str">
        <f>$AN$17</f>
        <v>Industrie</v>
      </c>
      <c r="AS304" s="2010"/>
      <c r="AT304" s="2010"/>
      <c r="AU304" s="2010"/>
      <c r="AV304" s="2010"/>
      <c r="AW304" s="2011" t="str">
        <f>$AN$18</f>
        <v>Entrepôt</v>
      </c>
      <c r="AX304" s="2010"/>
      <c r="AY304" s="2010"/>
      <c r="AZ304" s="2010"/>
      <c r="BA304" s="2010"/>
      <c r="BB304" s="2011" t="str">
        <f>$AN$19</f>
        <v>Installation sportive</v>
      </c>
      <c r="BC304" s="2010"/>
      <c r="BD304" s="2010"/>
      <c r="BE304" s="2010"/>
      <c r="BF304" s="2010"/>
      <c r="BG304" s="2011" t="str">
        <f>$AN$20</f>
        <v>Piscine couverte</v>
      </c>
      <c r="BH304" s="2010"/>
      <c r="BI304" s="2010"/>
      <c r="BJ304" s="2010"/>
      <c r="BK304" s="2012"/>
      <c r="BN304" s="2013"/>
      <c r="BO304" s="2014"/>
      <c r="BP304" s="2014" t="s">
        <v>4322</v>
      </c>
      <c r="BQ304" s="2014" t="str">
        <f>$AN$9</f>
        <v>Habitat collectif</v>
      </c>
      <c r="BR304" s="2014"/>
      <c r="BS304" s="2014"/>
      <c r="BT304" s="2014"/>
      <c r="BU304" s="2014"/>
      <c r="BV304" s="2015" t="str">
        <f>$AN$10</f>
        <v>Habitat individuel</v>
      </c>
      <c r="BW304" s="2014"/>
      <c r="BX304" s="2014"/>
      <c r="BY304" s="2014"/>
      <c r="BZ304" s="2014"/>
      <c r="CA304" s="2015" t="str">
        <f>$AN$11</f>
        <v>Administration</v>
      </c>
      <c r="CB304" s="2014"/>
      <c r="CC304" s="2014"/>
      <c r="CD304" s="2014"/>
      <c r="CE304" s="2014"/>
      <c r="CF304" s="2015" t="str">
        <f>$AN$12</f>
        <v>Ecole</v>
      </c>
      <c r="CG304" s="2014"/>
      <c r="CH304" s="2014"/>
      <c r="CI304" s="2014"/>
      <c r="CJ304" s="2014"/>
      <c r="CK304" s="2015" t="str">
        <f>$AN$13</f>
        <v>Commerce</v>
      </c>
      <c r="CL304" s="2014"/>
      <c r="CM304" s="2014"/>
      <c r="CN304" s="2014"/>
      <c r="CO304" s="2014"/>
      <c r="CP304" s="2015" t="str">
        <f>$AN$14</f>
        <v>Restaurant</v>
      </c>
      <c r="CQ304" s="2014"/>
      <c r="CR304" s="2014"/>
      <c r="CS304" s="2014"/>
      <c r="CT304" s="2014"/>
      <c r="CU304" s="2015" t="str">
        <f>$AN$15</f>
        <v>Lieu de rassemblement</v>
      </c>
      <c r="CV304" s="2014"/>
      <c r="CW304" s="2014"/>
      <c r="CX304" s="2014"/>
      <c r="CY304" s="2014"/>
      <c r="CZ304" s="2015" t="str">
        <f>$AN$16</f>
        <v>Hôpital</v>
      </c>
      <c r="DA304" s="2014"/>
      <c r="DB304" s="2014"/>
      <c r="DC304" s="2014"/>
      <c r="DD304" s="2014"/>
      <c r="DE304" s="2015" t="str">
        <f>$AN$17</f>
        <v>Industrie</v>
      </c>
      <c r="DF304" s="2014"/>
      <c r="DG304" s="2014"/>
      <c r="DH304" s="2014"/>
      <c r="DI304" s="2014"/>
      <c r="DJ304" s="2015" t="str">
        <f>$AN$18</f>
        <v>Entrepôt</v>
      </c>
      <c r="DK304" s="2014"/>
      <c r="DL304" s="2014"/>
      <c r="DM304" s="2014"/>
      <c r="DN304" s="2014"/>
      <c r="DO304" s="2015" t="str">
        <f>$AN$19</f>
        <v>Installation sportive</v>
      </c>
      <c r="DP304" s="2014"/>
      <c r="DQ304" s="2014"/>
      <c r="DR304" s="2014"/>
      <c r="DS304" s="2014"/>
      <c r="DT304" s="2" t="str">
        <f>$AN$20</f>
        <v>Piscine couverte</v>
      </c>
      <c r="EC304" s="2" t="s">
        <v>4322</v>
      </c>
      <c r="ED304" s="2" t="str">
        <f>$AN$9</f>
        <v>Habitat collectif</v>
      </c>
      <c r="EI304" s="2" t="str">
        <f>$AN$10</f>
        <v>Habitat individuel</v>
      </c>
      <c r="EN304" s="2" t="str">
        <f>$AN$11</f>
        <v>Administration</v>
      </c>
      <c r="ES304" s="2" t="str">
        <f>$AN$12</f>
        <v>Ecole</v>
      </c>
      <c r="EX304" s="2" t="str">
        <f>$AN$13</f>
        <v>Commerce</v>
      </c>
      <c r="FC304" s="2" t="str">
        <f>$AN$14</f>
        <v>Restaurant</v>
      </c>
      <c r="FH304" s="2" t="str">
        <f>$AN$15</f>
        <v>Lieu de rassemblement</v>
      </c>
      <c r="FM304" s="2" t="str">
        <f>$AN$16</f>
        <v>Hôpital</v>
      </c>
      <c r="FR304" s="2" t="str">
        <f>$AN$17</f>
        <v>Industrie</v>
      </c>
      <c r="FW304" s="2" t="str">
        <f>$AN$18</f>
        <v>Entrepôt</v>
      </c>
      <c r="GB304" s="2" t="str">
        <f>$AN$19</f>
        <v>Installation sportive</v>
      </c>
      <c r="GG304" s="2" t="str">
        <f>$AN$20</f>
        <v>Piscine couverte</v>
      </c>
    </row>
    <row r="305" spans="1:193">
      <c r="A305" s="2016"/>
      <c r="C305" s="2" t="s">
        <v>4323</v>
      </c>
      <c r="D305" s="1614" t="s">
        <v>4213</v>
      </c>
      <c r="E305" s="1614" t="s">
        <v>4231</v>
      </c>
      <c r="F305" s="1614" t="s">
        <v>4246</v>
      </c>
      <c r="G305" s="1614" t="s">
        <v>4261</v>
      </c>
      <c r="H305" s="1614" t="s">
        <v>4276</v>
      </c>
      <c r="I305" s="1614" t="s">
        <v>4213</v>
      </c>
      <c r="J305" s="1614" t="s">
        <v>4231</v>
      </c>
      <c r="K305" s="1614" t="s">
        <v>4246</v>
      </c>
      <c r="L305" s="1614" t="s">
        <v>4261</v>
      </c>
      <c r="M305" s="1614" t="s">
        <v>4276</v>
      </c>
      <c r="N305" s="1614" t="s">
        <v>4213</v>
      </c>
      <c r="O305" s="1614" t="s">
        <v>4231</v>
      </c>
      <c r="P305" s="1614" t="s">
        <v>4246</v>
      </c>
      <c r="Q305" s="1614" t="s">
        <v>4261</v>
      </c>
      <c r="R305" s="1614" t="s">
        <v>4276</v>
      </c>
      <c r="S305" s="1614" t="s">
        <v>4213</v>
      </c>
      <c r="T305" s="1614" t="s">
        <v>4231</v>
      </c>
      <c r="U305" s="1614" t="s">
        <v>4246</v>
      </c>
      <c r="V305" s="1614" t="s">
        <v>4261</v>
      </c>
      <c r="W305" s="1614" t="s">
        <v>4276</v>
      </c>
      <c r="X305" s="1614" t="s">
        <v>4213</v>
      </c>
      <c r="Y305" s="1614" t="s">
        <v>4231</v>
      </c>
      <c r="Z305" s="1614" t="s">
        <v>4246</v>
      </c>
      <c r="AA305" s="1614" t="s">
        <v>4261</v>
      </c>
      <c r="AB305" s="1614" t="s">
        <v>4276</v>
      </c>
      <c r="AC305" s="1614" t="s">
        <v>4213</v>
      </c>
      <c r="AD305" s="1614" t="s">
        <v>4231</v>
      </c>
      <c r="AE305" s="1614" t="s">
        <v>4246</v>
      </c>
      <c r="AF305" s="1614" t="s">
        <v>4261</v>
      </c>
      <c r="AG305" s="1614" t="s">
        <v>4276</v>
      </c>
      <c r="AH305" s="1614" t="s">
        <v>4213</v>
      </c>
      <c r="AI305" s="1614" t="s">
        <v>4231</v>
      </c>
      <c r="AJ305" s="1614" t="s">
        <v>4246</v>
      </c>
      <c r="AK305" s="1614" t="s">
        <v>4261</v>
      </c>
      <c r="AL305" s="1614" t="s">
        <v>4276</v>
      </c>
      <c r="AM305" s="1614" t="s">
        <v>4213</v>
      </c>
      <c r="AN305" s="1614" t="s">
        <v>4231</v>
      </c>
      <c r="AO305" s="1614" t="s">
        <v>4246</v>
      </c>
      <c r="AP305" s="1614" t="s">
        <v>4261</v>
      </c>
      <c r="AQ305" s="1614" t="s">
        <v>4276</v>
      </c>
      <c r="AR305" s="1614" t="s">
        <v>4213</v>
      </c>
      <c r="AS305" s="1614" t="s">
        <v>4231</v>
      </c>
      <c r="AT305" s="1614" t="s">
        <v>4246</v>
      </c>
      <c r="AU305" s="1614" t="s">
        <v>4261</v>
      </c>
      <c r="AV305" s="1614" t="s">
        <v>4276</v>
      </c>
      <c r="AW305" s="1614" t="s">
        <v>4213</v>
      </c>
      <c r="AX305" s="1614" t="s">
        <v>4231</v>
      </c>
      <c r="AY305" s="1614" t="s">
        <v>4246</v>
      </c>
      <c r="AZ305" s="1614" t="s">
        <v>4261</v>
      </c>
      <c r="BA305" s="1614" t="s">
        <v>4276</v>
      </c>
      <c r="BB305" s="1614" t="s">
        <v>4213</v>
      </c>
      <c r="BC305" s="1614" t="s">
        <v>4231</v>
      </c>
      <c r="BD305" s="1614" t="s">
        <v>4246</v>
      </c>
      <c r="BE305" s="1614" t="s">
        <v>4261</v>
      </c>
      <c r="BF305" s="1614" t="s">
        <v>4276</v>
      </c>
      <c r="BG305" s="1614" t="s">
        <v>4213</v>
      </c>
      <c r="BH305" s="1614" t="s">
        <v>4231</v>
      </c>
      <c r="BI305" s="1614" t="s">
        <v>4246</v>
      </c>
      <c r="BJ305" s="1614" t="s">
        <v>4261</v>
      </c>
      <c r="BK305" s="2017" t="s">
        <v>4276</v>
      </c>
      <c r="BN305" s="2018"/>
      <c r="BP305" s="2" t="s">
        <v>4323</v>
      </c>
      <c r="BQ305" s="1614" t="s">
        <v>4213</v>
      </c>
      <c r="BR305" s="1614" t="s">
        <v>4231</v>
      </c>
      <c r="BS305" s="1614" t="s">
        <v>4246</v>
      </c>
      <c r="BT305" s="1614" t="s">
        <v>4261</v>
      </c>
      <c r="BU305" s="1614" t="s">
        <v>4276</v>
      </c>
      <c r="BV305" s="1614" t="s">
        <v>4213</v>
      </c>
      <c r="BW305" s="1614" t="s">
        <v>4231</v>
      </c>
      <c r="BX305" s="1614" t="s">
        <v>4246</v>
      </c>
      <c r="BY305" s="1614" t="s">
        <v>4261</v>
      </c>
      <c r="BZ305" s="1614" t="s">
        <v>4276</v>
      </c>
      <c r="CA305" s="1614" t="s">
        <v>4213</v>
      </c>
      <c r="CB305" s="1614" t="s">
        <v>4231</v>
      </c>
      <c r="CC305" s="1614" t="s">
        <v>4246</v>
      </c>
      <c r="CD305" s="1614" t="s">
        <v>4261</v>
      </c>
      <c r="CE305" s="1614" t="s">
        <v>4276</v>
      </c>
      <c r="CF305" s="1614" t="s">
        <v>4213</v>
      </c>
      <c r="CG305" s="1614" t="s">
        <v>4231</v>
      </c>
      <c r="CH305" s="1614" t="s">
        <v>4246</v>
      </c>
      <c r="CI305" s="1614" t="s">
        <v>4261</v>
      </c>
      <c r="CJ305" s="1614" t="s">
        <v>4276</v>
      </c>
      <c r="CK305" s="1614" t="s">
        <v>4213</v>
      </c>
      <c r="CL305" s="1614" t="s">
        <v>4231</v>
      </c>
      <c r="CM305" s="1614" t="s">
        <v>4246</v>
      </c>
      <c r="CN305" s="1614" t="s">
        <v>4261</v>
      </c>
      <c r="CO305" s="1614" t="s">
        <v>4276</v>
      </c>
      <c r="CP305" s="1614" t="s">
        <v>4213</v>
      </c>
      <c r="CQ305" s="1614" t="s">
        <v>4231</v>
      </c>
      <c r="CR305" s="1614" t="s">
        <v>4246</v>
      </c>
      <c r="CS305" s="1614" t="s">
        <v>4261</v>
      </c>
      <c r="CT305" s="1614" t="s">
        <v>4276</v>
      </c>
      <c r="CU305" s="1614" t="s">
        <v>4213</v>
      </c>
      <c r="CV305" s="1614" t="s">
        <v>4231</v>
      </c>
      <c r="CW305" s="1614" t="s">
        <v>4246</v>
      </c>
      <c r="CX305" s="1614" t="s">
        <v>4261</v>
      </c>
      <c r="CY305" s="1614" t="s">
        <v>4276</v>
      </c>
      <c r="CZ305" s="1614" t="s">
        <v>4213</v>
      </c>
      <c r="DA305" s="1614" t="s">
        <v>4231</v>
      </c>
      <c r="DB305" s="1614" t="s">
        <v>4246</v>
      </c>
      <c r="DC305" s="1614" t="s">
        <v>4261</v>
      </c>
      <c r="DD305" s="1614" t="s">
        <v>4276</v>
      </c>
      <c r="DE305" s="1614" t="s">
        <v>4213</v>
      </c>
      <c r="DF305" s="1614" t="s">
        <v>4231</v>
      </c>
      <c r="DG305" s="1614" t="s">
        <v>4246</v>
      </c>
      <c r="DH305" s="1614" t="s">
        <v>4261</v>
      </c>
      <c r="DI305" s="1614" t="s">
        <v>4276</v>
      </c>
      <c r="DJ305" s="1614" t="s">
        <v>4213</v>
      </c>
      <c r="DK305" s="1614" t="s">
        <v>4231</v>
      </c>
      <c r="DL305" s="1614" t="s">
        <v>4246</v>
      </c>
      <c r="DM305" s="1614" t="s">
        <v>4261</v>
      </c>
      <c r="DN305" s="1614" t="s">
        <v>4276</v>
      </c>
      <c r="DO305" s="1614" t="s">
        <v>4213</v>
      </c>
      <c r="DP305" s="1614" t="s">
        <v>4231</v>
      </c>
      <c r="DQ305" s="1614" t="s">
        <v>4246</v>
      </c>
      <c r="DR305" s="1614" t="s">
        <v>4261</v>
      </c>
      <c r="DS305" s="1614" t="s">
        <v>4276</v>
      </c>
      <c r="DT305" s="1614" t="s">
        <v>4213</v>
      </c>
      <c r="DU305" s="1614" t="s">
        <v>4231</v>
      </c>
      <c r="DV305" s="1614" t="s">
        <v>4246</v>
      </c>
      <c r="DW305" s="1614" t="s">
        <v>4261</v>
      </c>
      <c r="DX305" s="1614" t="s">
        <v>4276</v>
      </c>
      <c r="EC305" s="2" t="s">
        <v>4323</v>
      </c>
      <c r="ED305" s="1614" t="s">
        <v>4213</v>
      </c>
      <c r="EE305" s="1614" t="s">
        <v>4231</v>
      </c>
      <c r="EF305" s="1614" t="s">
        <v>4246</v>
      </c>
      <c r="EG305" s="1614" t="s">
        <v>4261</v>
      </c>
      <c r="EH305" s="1614" t="s">
        <v>4276</v>
      </c>
      <c r="EI305" s="1614" t="s">
        <v>4213</v>
      </c>
      <c r="EJ305" s="1614" t="s">
        <v>4231</v>
      </c>
      <c r="EK305" s="1614" t="s">
        <v>4246</v>
      </c>
      <c r="EL305" s="1614" t="s">
        <v>4261</v>
      </c>
      <c r="EM305" s="1614" t="s">
        <v>4276</v>
      </c>
      <c r="EN305" s="1614" t="s">
        <v>4213</v>
      </c>
      <c r="EO305" s="1614" t="s">
        <v>4231</v>
      </c>
      <c r="EP305" s="1614" t="s">
        <v>4246</v>
      </c>
      <c r="EQ305" s="1614" t="s">
        <v>4261</v>
      </c>
      <c r="ER305" s="1614" t="s">
        <v>4276</v>
      </c>
      <c r="ES305" s="1614" t="s">
        <v>4213</v>
      </c>
      <c r="ET305" s="1614" t="s">
        <v>4231</v>
      </c>
      <c r="EU305" s="1614" t="s">
        <v>4246</v>
      </c>
      <c r="EV305" s="1614" t="s">
        <v>4261</v>
      </c>
      <c r="EW305" s="1614" t="s">
        <v>4276</v>
      </c>
      <c r="EX305" s="1614" t="s">
        <v>4213</v>
      </c>
      <c r="EY305" s="1614" t="s">
        <v>4231</v>
      </c>
      <c r="EZ305" s="1614" t="s">
        <v>4246</v>
      </c>
      <c r="FA305" s="1614" t="s">
        <v>4261</v>
      </c>
      <c r="FB305" s="1614" t="s">
        <v>4276</v>
      </c>
      <c r="FC305" s="1614" t="s">
        <v>4213</v>
      </c>
      <c r="FD305" s="1614" t="s">
        <v>4231</v>
      </c>
      <c r="FE305" s="1614" t="s">
        <v>4246</v>
      </c>
      <c r="FF305" s="1614" t="s">
        <v>4261</v>
      </c>
      <c r="FG305" s="1614" t="s">
        <v>4276</v>
      </c>
      <c r="FH305" s="1614" t="s">
        <v>4213</v>
      </c>
      <c r="FI305" s="1614" t="s">
        <v>4231</v>
      </c>
      <c r="FJ305" s="1614" t="s">
        <v>4246</v>
      </c>
      <c r="FK305" s="1614" t="s">
        <v>4261</v>
      </c>
      <c r="FL305" s="1614" t="s">
        <v>4276</v>
      </c>
      <c r="FM305" s="1614" t="s">
        <v>4213</v>
      </c>
      <c r="FN305" s="1614" t="s">
        <v>4231</v>
      </c>
      <c r="FO305" s="1614" t="s">
        <v>4246</v>
      </c>
      <c r="FP305" s="1614" t="s">
        <v>4261</v>
      </c>
      <c r="FQ305" s="1614" t="s">
        <v>4276</v>
      </c>
      <c r="FR305" s="1614" t="s">
        <v>4213</v>
      </c>
      <c r="FS305" s="1614" t="s">
        <v>4231</v>
      </c>
      <c r="FT305" s="1614" t="s">
        <v>4246</v>
      </c>
      <c r="FU305" s="1614" t="s">
        <v>4261</v>
      </c>
      <c r="FV305" s="1614" t="s">
        <v>4276</v>
      </c>
      <c r="FW305" s="1614" t="s">
        <v>4213</v>
      </c>
      <c r="FX305" s="1614" t="s">
        <v>4231</v>
      </c>
      <c r="FY305" s="1614" t="s">
        <v>4246</v>
      </c>
      <c r="FZ305" s="1614" t="s">
        <v>4261</v>
      </c>
      <c r="GA305" s="1614" t="s">
        <v>4276</v>
      </c>
      <c r="GB305" s="1614" t="s">
        <v>4213</v>
      </c>
      <c r="GC305" s="1614" t="s">
        <v>4231</v>
      </c>
      <c r="GD305" s="1614" t="s">
        <v>4246</v>
      </c>
      <c r="GE305" s="1614" t="s">
        <v>4261</v>
      </c>
      <c r="GF305" s="1614" t="s">
        <v>4276</v>
      </c>
      <c r="GG305" s="1614" t="s">
        <v>4213</v>
      </c>
      <c r="GH305" s="1614" t="s">
        <v>4231</v>
      </c>
      <c r="GI305" s="1614" t="s">
        <v>4246</v>
      </c>
      <c r="GJ305" s="1614" t="s">
        <v>4261</v>
      </c>
      <c r="GK305" s="1614" t="s">
        <v>4276</v>
      </c>
    </row>
    <row r="306" spans="1:193">
      <c r="A306" s="2016" t="s">
        <v>4324</v>
      </c>
      <c r="B306" s="1614" t="s">
        <v>4325</v>
      </c>
      <c r="C306" s="2" t="s">
        <v>4326</v>
      </c>
      <c r="D306" s="2" t="s">
        <v>4157</v>
      </c>
      <c r="E306" s="2" t="s">
        <v>4157</v>
      </c>
      <c r="F306" s="2" t="s">
        <v>4157</v>
      </c>
      <c r="G306" s="2" t="s">
        <v>4157</v>
      </c>
      <c r="H306" s="2" t="s">
        <v>4157</v>
      </c>
      <c r="I306" s="2" t="s">
        <v>4157</v>
      </c>
      <c r="J306" s="2" t="s">
        <v>4157</v>
      </c>
      <c r="K306" s="2" t="s">
        <v>4157</v>
      </c>
      <c r="L306" s="2" t="s">
        <v>4157</v>
      </c>
      <c r="M306" s="2" t="s">
        <v>4157</v>
      </c>
      <c r="N306" s="2" t="s">
        <v>4157</v>
      </c>
      <c r="O306" s="2" t="s">
        <v>4157</v>
      </c>
      <c r="P306" s="2" t="s">
        <v>4157</v>
      </c>
      <c r="Q306" s="2" t="s">
        <v>4157</v>
      </c>
      <c r="R306" s="2" t="s">
        <v>4157</v>
      </c>
      <c r="S306" s="2" t="s">
        <v>4157</v>
      </c>
      <c r="T306" s="2" t="s">
        <v>4157</v>
      </c>
      <c r="U306" s="2" t="s">
        <v>4157</v>
      </c>
      <c r="V306" s="2" t="s">
        <v>4157</v>
      </c>
      <c r="W306" s="2" t="s">
        <v>4157</v>
      </c>
      <c r="X306" s="2" t="s">
        <v>4157</v>
      </c>
      <c r="Y306" s="2" t="s">
        <v>4157</v>
      </c>
      <c r="Z306" s="2" t="s">
        <v>4157</v>
      </c>
      <c r="AA306" s="2" t="s">
        <v>4157</v>
      </c>
      <c r="AB306" s="2" t="s">
        <v>4157</v>
      </c>
      <c r="AC306" s="2" t="s">
        <v>4157</v>
      </c>
      <c r="AD306" s="2" t="s">
        <v>4157</v>
      </c>
      <c r="AE306" s="2" t="s">
        <v>4157</v>
      </c>
      <c r="AF306" s="2" t="s">
        <v>4157</v>
      </c>
      <c r="AG306" s="2" t="s">
        <v>4157</v>
      </c>
      <c r="AH306" s="2" t="s">
        <v>4157</v>
      </c>
      <c r="AI306" s="2" t="s">
        <v>4157</v>
      </c>
      <c r="AJ306" s="2" t="s">
        <v>4157</v>
      </c>
      <c r="AK306" s="2" t="s">
        <v>4157</v>
      </c>
      <c r="AL306" s="2" t="s">
        <v>4157</v>
      </c>
      <c r="AM306" s="2" t="s">
        <v>4157</v>
      </c>
      <c r="AN306" s="2" t="s">
        <v>4157</v>
      </c>
      <c r="AO306" s="2" t="s">
        <v>4157</v>
      </c>
      <c r="AP306" s="2" t="s">
        <v>4157</v>
      </c>
      <c r="AQ306" s="2" t="s">
        <v>4157</v>
      </c>
      <c r="AR306" s="2" t="s">
        <v>4157</v>
      </c>
      <c r="AS306" s="2" t="s">
        <v>4157</v>
      </c>
      <c r="AT306" s="2" t="s">
        <v>4157</v>
      </c>
      <c r="AU306" s="2" t="s">
        <v>4157</v>
      </c>
      <c r="AV306" s="2" t="s">
        <v>4157</v>
      </c>
      <c r="AW306" s="2" t="s">
        <v>4157</v>
      </c>
      <c r="AX306" s="2" t="s">
        <v>4157</v>
      </c>
      <c r="AY306" s="2" t="s">
        <v>4157</v>
      </c>
      <c r="AZ306" s="2" t="s">
        <v>4157</v>
      </c>
      <c r="BA306" s="2" t="s">
        <v>4157</v>
      </c>
      <c r="BB306" s="2" t="s">
        <v>4157</v>
      </c>
      <c r="BC306" s="2" t="s">
        <v>4157</v>
      </c>
      <c r="BD306" s="2" t="s">
        <v>4157</v>
      </c>
      <c r="BE306" s="2" t="s">
        <v>4157</v>
      </c>
      <c r="BF306" s="2" t="s">
        <v>4157</v>
      </c>
      <c r="BG306" s="2" t="s">
        <v>4157</v>
      </c>
      <c r="BH306" s="2" t="s">
        <v>4157</v>
      </c>
      <c r="BI306" s="2" t="s">
        <v>4157</v>
      </c>
      <c r="BJ306" s="2" t="s">
        <v>4157</v>
      </c>
      <c r="BK306" s="2019" t="s">
        <v>4157</v>
      </c>
      <c r="BN306" s="2018" t="s">
        <v>4324</v>
      </c>
      <c r="BO306" s="1614" t="s">
        <v>4325</v>
      </c>
      <c r="BP306" s="2" t="s">
        <v>4326</v>
      </c>
      <c r="BQ306" s="2" t="s">
        <v>4157</v>
      </c>
      <c r="BR306" s="2" t="s">
        <v>4157</v>
      </c>
      <c r="BS306" s="2" t="s">
        <v>4157</v>
      </c>
      <c r="BT306" s="2" t="s">
        <v>4157</v>
      </c>
      <c r="BU306" s="2" t="s">
        <v>4157</v>
      </c>
      <c r="BV306" s="2" t="s">
        <v>4157</v>
      </c>
      <c r="BW306" s="2" t="s">
        <v>4157</v>
      </c>
      <c r="BX306" s="2" t="s">
        <v>4157</v>
      </c>
      <c r="BY306" s="2" t="s">
        <v>4157</v>
      </c>
      <c r="BZ306" s="2" t="s">
        <v>4157</v>
      </c>
      <c r="CA306" s="2" t="s">
        <v>4157</v>
      </c>
      <c r="CB306" s="2" t="s">
        <v>4157</v>
      </c>
      <c r="CC306" s="2" t="s">
        <v>4157</v>
      </c>
      <c r="CD306" s="2" t="s">
        <v>4157</v>
      </c>
      <c r="CE306" s="2" t="s">
        <v>4157</v>
      </c>
      <c r="CF306" s="2" t="s">
        <v>4157</v>
      </c>
      <c r="CG306" s="2" t="s">
        <v>4157</v>
      </c>
      <c r="CH306" s="2" t="s">
        <v>4157</v>
      </c>
      <c r="CI306" s="2" t="s">
        <v>4157</v>
      </c>
      <c r="CJ306" s="2" t="s">
        <v>4157</v>
      </c>
      <c r="CK306" s="2" t="s">
        <v>4157</v>
      </c>
      <c r="CL306" s="2" t="s">
        <v>4157</v>
      </c>
      <c r="CM306" s="2" t="s">
        <v>4157</v>
      </c>
      <c r="CN306" s="2" t="s">
        <v>4157</v>
      </c>
      <c r="CO306" s="2" t="s">
        <v>4157</v>
      </c>
      <c r="CP306" s="2" t="s">
        <v>4157</v>
      </c>
      <c r="CQ306" s="2" t="s">
        <v>4157</v>
      </c>
      <c r="CR306" s="2" t="s">
        <v>4157</v>
      </c>
      <c r="CS306" s="2" t="s">
        <v>4157</v>
      </c>
      <c r="CT306" s="2" t="s">
        <v>4157</v>
      </c>
      <c r="CU306" s="2" t="s">
        <v>4157</v>
      </c>
      <c r="CV306" s="2" t="s">
        <v>4157</v>
      </c>
      <c r="CW306" s="2" t="s">
        <v>4157</v>
      </c>
      <c r="CX306" s="2" t="s">
        <v>4157</v>
      </c>
      <c r="CY306" s="2" t="s">
        <v>4157</v>
      </c>
      <c r="CZ306" s="2" t="s">
        <v>4157</v>
      </c>
      <c r="DA306" s="2" t="s">
        <v>4157</v>
      </c>
      <c r="DB306" s="2" t="s">
        <v>4157</v>
      </c>
      <c r="DC306" s="2" t="s">
        <v>4157</v>
      </c>
      <c r="DD306" s="2" t="s">
        <v>4157</v>
      </c>
      <c r="DE306" s="2" t="s">
        <v>4157</v>
      </c>
      <c r="DF306" s="2" t="s">
        <v>4157</v>
      </c>
      <c r="DG306" s="2" t="s">
        <v>4157</v>
      </c>
      <c r="DH306" s="2" t="s">
        <v>4157</v>
      </c>
      <c r="DI306" s="2" t="s">
        <v>4157</v>
      </c>
      <c r="DJ306" s="2" t="s">
        <v>4157</v>
      </c>
      <c r="DK306" s="2" t="s">
        <v>4157</v>
      </c>
      <c r="DL306" s="2" t="s">
        <v>4157</v>
      </c>
      <c r="DM306" s="2" t="s">
        <v>4157</v>
      </c>
      <c r="DN306" s="2" t="s">
        <v>4157</v>
      </c>
      <c r="DO306" s="2" t="s">
        <v>4157</v>
      </c>
      <c r="DP306" s="2" t="s">
        <v>4157</v>
      </c>
      <c r="DQ306" s="2" t="s">
        <v>4157</v>
      </c>
      <c r="DR306" s="2" t="s">
        <v>4157</v>
      </c>
      <c r="DS306" s="2" t="s">
        <v>4157</v>
      </c>
      <c r="DT306" s="2" t="s">
        <v>4157</v>
      </c>
      <c r="DU306" s="2" t="s">
        <v>4157</v>
      </c>
      <c r="DV306" s="2" t="s">
        <v>4157</v>
      </c>
      <c r="DW306" s="2" t="s">
        <v>4157</v>
      </c>
      <c r="DX306" s="2" t="s">
        <v>4157</v>
      </c>
      <c r="EA306" s="2" t="s">
        <v>4324</v>
      </c>
      <c r="EB306" s="1614" t="s">
        <v>4325</v>
      </c>
      <c r="EC306" s="2" t="s">
        <v>4326</v>
      </c>
      <c r="ED306" s="2" t="s">
        <v>4157</v>
      </c>
      <c r="EE306" s="2" t="s">
        <v>4157</v>
      </c>
      <c r="EF306" s="2" t="s">
        <v>4157</v>
      </c>
      <c r="EG306" s="2" t="s">
        <v>4157</v>
      </c>
      <c r="EH306" s="2" t="s">
        <v>4157</v>
      </c>
      <c r="EI306" s="2" t="s">
        <v>4157</v>
      </c>
      <c r="EJ306" s="2" t="s">
        <v>4157</v>
      </c>
      <c r="EK306" s="2" t="s">
        <v>4157</v>
      </c>
      <c r="EL306" s="2" t="s">
        <v>4157</v>
      </c>
      <c r="EM306" s="2" t="s">
        <v>4157</v>
      </c>
      <c r="EN306" s="2" t="s">
        <v>4157</v>
      </c>
      <c r="EO306" s="2" t="s">
        <v>4157</v>
      </c>
      <c r="EP306" s="2" t="s">
        <v>4157</v>
      </c>
      <c r="EQ306" s="2" t="s">
        <v>4157</v>
      </c>
      <c r="ER306" s="2" t="s">
        <v>4157</v>
      </c>
      <c r="ES306" s="2" t="s">
        <v>4157</v>
      </c>
      <c r="ET306" s="2" t="s">
        <v>4157</v>
      </c>
      <c r="EU306" s="2" t="s">
        <v>4157</v>
      </c>
      <c r="EV306" s="2" t="s">
        <v>4157</v>
      </c>
      <c r="EW306" s="2" t="s">
        <v>4157</v>
      </c>
      <c r="EX306" s="2" t="s">
        <v>4157</v>
      </c>
      <c r="EY306" s="2" t="s">
        <v>4157</v>
      </c>
      <c r="EZ306" s="2" t="s">
        <v>4157</v>
      </c>
      <c r="FA306" s="2" t="s">
        <v>4157</v>
      </c>
      <c r="FB306" s="2" t="s">
        <v>4157</v>
      </c>
      <c r="FC306" s="2" t="s">
        <v>4157</v>
      </c>
      <c r="FD306" s="2" t="s">
        <v>4157</v>
      </c>
      <c r="FE306" s="2" t="s">
        <v>4157</v>
      </c>
      <c r="FF306" s="2" t="s">
        <v>4157</v>
      </c>
      <c r="FG306" s="2" t="s">
        <v>4157</v>
      </c>
      <c r="FH306" s="2" t="s">
        <v>4157</v>
      </c>
      <c r="FI306" s="2" t="s">
        <v>4157</v>
      </c>
      <c r="FJ306" s="2" t="s">
        <v>4157</v>
      </c>
      <c r="FK306" s="2" t="s">
        <v>4157</v>
      </c>
      <c r="FL306" s="2" t="s">
        <v>4157</v>
      </c>
      <c r="FM306" s="2" t="s">
        <v>4157</v>
      </c>
      <c r="FN306" s="2" t="s">
        <v>4157</v>
      </c>
      <c r="FO306" s="2" t="s">
        <v>4157</v>
      </c>
      <c r="FP306" s="2" t="s">
        <v>4157</v>
      </c>
      <c r="FQ306" s="2" t="s">
        <v>4157</v>
      </c>
      <c r="FR306" s="2" t="s">
        <v>4157</v>
      </c>
      <c r="FS306" s="2" t="s">
        <v>4157</v>
      </c>
      <c r="FT306" s="2" t="s">
        <v>4157</v>
      </c>
      <c r="FU306" s="2" t="s">
        <v>4157</v>
      </c>
      <c r="FV306" s="2" t="s">
        <v>4157</v>
      </c>
      <c r="FW306" s="2" t="s">
        <v>4157</v>
      </c>
      <c r="FX306" s="2" t="s">
        <v>4157</v>
      </c>
      <c r="FY306" s="2" t="s">
        <v>4157</v>
      </c>
      <c r="FZ306" s="2" t="s">
        <v>4157</v>
      </c>
      <c r="GA306" s="2" t="s">
        <v>4157</v>
      </c>
      <c r="GB306" s="2" t="s">
        <v>4157</v>
      </c>
      <c r="GC306" s="2" t="s">
        <v>4157</v>
      </c>
      <c r="GD306" s="2" t="s">
        <v>4157</v>
      </c>
      <c r="GE306" s="2" t="s">
        <v>4157</v>
      </c>
      <c r="GF306" s="2" t="s">
        <v>4157</v>
      </c>
      <c r="GG306" s="2" t="s">
        <v>4157</v>
      </c>
      <c r="GH306" s="2" t="s">
        <v>4157</v>
      </c>
      <c r="GI306" s="2" t="s">
        <v>4157</v>
      </c>
      <c r="GJ306" s="2" t="s">
        <v>4157</v>
      </c>
      <c r="GK306" s="2" t="s">
        <v>4157</v>
      </c>
    </row>
    <row r="307" spans="1:193">
      <c r="A307" s="2020" t="str">
        <f>Uebersetzung!$D630</f>
        <v>Contruction massive lourde</v>
      </c>
      <c r="B307" s="2">
        <v>1</v>
      </c>
      <c r="C307" s="2" t="s">
        <v>4327</v>
      </c>
      <c r="D307" s="1998">
        <f>IF(Construction!$F$31=Construction!$R$22,Oeko!BQ307,Oeko!ED307)</f>
        <v>1.09375</v>
      </c>
      <c r="E307" s="1998">
        <f>IF(Construction!$F$31=Construction!$R$22,Oeko!BR307,Oeko!EE307)</f>
        <v>1.09375</v>
      </c>
      <c r="F307" s="1998">
        <f>IF(Construction!$F$31=Construction!$R$22,Oeko!BS307,Oeko!EF307)</f>
        <v>1.09375</v>
      </c>
      <c r="G307" s="1998">
        <f>IF(Construction!$F$31=Construction!$R$22,Oeko!BT307,Oeko!EG307)</f>
        <v>1.09375</v>
      </c>
      <c r="H307" s="1998">
        <f>IF(Construction!$F$31=Construction!$R$22,Oeko!BU307,Oeko!EH307)</f>
        <v>1.09375</v>
      </c>
      <c r="I307" s="1979">
        <f>IF(Construction!$F$31=Construction!$R$22,Oeko!BV307,Oeko!EI307)</f>
        <v>1.5999999999999999</v>
      </c>
      <c r="J307" s="1979">
        <f>IF(Construction!$F$31=Construction!$R$22,Oeko!BW307,Oeko!EJ307)</f>
        <v>1.5999999999999999</v>
      </c>
      <c r="K307" s="1979">
        <f>IF(Construction!$F$31=Construction!$R$22,Oeko!BX307,Oeko!EK307)</f>
        <v>1.5999999999999999</v>
      </c>
      <c r="L307" s="1979">
        <f>IF(Construction!$F$31=Construction!$R$22,Oeko!BY307,Oeko!EL307)</f>
        <v>1.5999999999999999</v>
      </c>
      <c r="M307" s="1979">
        <f>IF(Construction!$F$31=Construction!$R$22,Oeko!BZ307,Oeko!EM307)</f>
        <v>1.5999999999999999</v>
      </c>
      <c r="N307" s="1998">
        <f>IF(Construction!$F$31=Construction!$R$22,Oeko!CA307,Oeko!EN307)</f>
        <v>1.0389610389610389</v>
      </c>
      <c r="O307" s="1998">
        <f>IF(Construction!$F$31=Construction!$R$22,Oeko!CB307,Oeko!EO307)</f>
        <v>1.0389610389610389</v>
      </c>
      <c r="P307" s="1998">
        <f>IF(Construction!$F$31=Construction!$R$22,Oeko!CC307,Oeko!EP307)</f>
        <v>1.0389610389610389</v>
      </c>
      <c r="Q307" s="1998">
        <f>IF(Construction!$F$31=Construction!$R$22,Oeko!CD307,Oeko!EQ307)</f>
        <v>1.0389610389610389</v>
      </c>
      <c r="R307" s="1998">
        <f>IF(Construction!$F$31=Construction!$R$22,Oeko!CE307,Oeko!ER307)</f>
        <v>1.0389610389610389</v>
      </c>
      <c r="S307" s="1979">
        <f>IF(Construction!$F$31=Construction!$R$22,Oeko!CF307,Oeko!ES307)</f>
        <v>1.3500000000000003</v>
      </c>
      <c r="T307" s="1979">
        <f>IF(Construction!$F$31=Construction!$R$22,Oeko!CG307,Oeko!ET307)</f>
        <v>1.3500000000000003</v>
      </c>
      <c r="U307" s="1979">
        <f>IF(Construction!$F$31=Construction!$R$22,Oeko!CH307,Oeko!EU307)</f>
        <v>1.3500000000000003</v>
      </c>
      <c r="V307" s="1979">
        <f>IF(Construction!$F$31=Construction!$R$22,Oeko!CI307,Oeko!EV307)</f>
        <v>1.3500000000000003</v>
      </c>
      <c r="W307" s="1979">
        <f>IF(Construction!$F$31=Construction!$R$22,Oeko!CJ307,Oeko!EW307)</f>
        <v>1.3500000000000003</v>
      </c>
      <c r="X307" s="1998">
        <f>IF(Construction!$F$31=Construction!$R$22,Oeko!CK307,Oeko!EX307)</f>
        <v>1.0285714285714285</v>
      </c>
      <c r="Y307" s="1998">
        <f>IF(Construction!$F$31=Construction!$R$22,Oeko!CL307,Oeko!EY307)</f>
        <v>1.0285714285714285</v>
      </c>
      <c r="Z307" s="1998">
        <f>IF(Construction!$F$31=Construction!$R$22,Oeko!CM307,Oeko!EZ307)</f>
        <v>1.0285714285714285</v>
      </c>
      <c r="AA307" s="1998">
        <f>IF(Construction!$F$31=Construction!$R$22,Oeko!CN307,Oeko!FA307)</f>
        <v>1.0285714285714285</v>
      </c>
      <c r="AB307" s="1998">
        <f>IF(Construction!$F$31=Construction!$R$22,Oeko!CO307,Oeko!FB307)</f>
        <v>1.0285714285714285</v>
      </c>
      <c r="AC307" s="1979">
        <f>IF(Construction!$F$31=Construction!$R$22,Oeko!CP307,Oeko!FC307)</f>
        <v>1.0000000000000002</v>
      </c>
      <c r="AD307" s="1979">
        <f>IF(Construction!$F$31=Construction!$R$22,Oeko!CQ307,Oeko!FD307)</f>
        <v>1.0000000000000002</v>
      </c>
      <c r="AE307" s="1979">
        <f>IF(Construction!$F$31=Construction!$R$22,Oeko!CR307,Oeko!FE307)</f>
        <v>1.0000000000000002</v>
      </c>
      <c r="AF307" s="1979">
        <f>IF(Construction!$F$31=Construction!$R$22,Oeko!CS307,Oeko!FF307)</f>
        <v>1.0000000000000002</v>
      </c>
      <c r="AG307" s="1979">
        <f>IF(Construction!$F$31=Construction!$R$22,Oeko!CT307,Oeko!FG307)</f>
        <v>1.0000000000000002</v>
      </c>
      <c r="AH307" s="1998">
        <f>IF(Construction!$F$31=Construction!$R$22,Oeko!CU307,Oeko!FH307)</f>
        <v>1.4999999999999998</v>
      </c>
      <c r="AI307" s="1998">
        <f>IF(Construction!$F$31=Construction!$R$22,Oeko!CV307,Oeko!FI307)</f>
        <v>1.4999999999999998</v>
      </c>
      <c r="AJ307" s="1998">
        <f>IF(Construction!$F$31=Construction!$R$22,Oeko!CW307,Oeko!FJ307)</f>
        <v>1.4999999999999998</v>
      </c>
      <c r="AK307" s="1998">
        <f>IF(Construction!$F$31=Construction!$R$22,Oeko!CX307,Oeko!FK307)</f>
        <v>1.4999999999999998</v>
      </c>
      <c r="AL307" s="1998">
        <f>IF(Construction!$F$31=Construction!$R$22,Oeko!CY307,Oeko!FL307)</f>
        <v>1.4999999999999998</v>
      </c>
      <c r="AM307" s="1979">
        <f>IF(Construction!$F$31=Construction!$R$22,Oeko!CZ307,Oeko!FM307)</f>
        <v>1.2222222222222223</v>
      </c>
      <c r="AN307" s="1979">
        <f>IF(Construction!$F$31=Construction!$R$22,Oeko!DA307,Oeko!FN307)</f>
        <v>1.2222222222222223</v>
      </c>
      <c r="AO307" s="1979">
        <f>IF(Construction!$F$31=Construction!$R$22,Oeko!DB307,Oeko!FO307)</f>
        <v>1.2222222222222223</v>
      </c>
      <c r="AP307" s="1979">
        <f>IF(Construction!$F$31=Construction!$R$22,Oeko!DC307,Oeko!FP307)</f>
        <v>1.2222222222222223</v>
      </c>
      <c r="AQ307" s="1979">
        <f>IF(Construction!$F$31=Construction!$R$22,Oeko!DD307,Oeko!FQ307)</f>
        <v>1.2222222222222223</v>
      </c>
      <c r="AR307" s="1998">
        <f>IF(Construction!$F$31=Construction!$R$22,Oeko!DE307,Oeko!FR307)</f>
        <v>13.798045313008366</v>
      </c>
      <c r="AS307" s="1998">
        <f>IF(Construction!$F$31=Construction!$R$22,Oeko!DF307,Oeko!FS307)</f>
        <v>13.798045313008366</v>
      </c>
      <c r="AT307" s="1998">
        <f>IF(Construction!$F$31=Construction!$R$22,Oeko!DG307,Oeko!FT307)</f>
        <v>13.798045313008366</v>
      </c>
      <c r="AU307" s="1998">
        <f>IF(Construction!$F$31=Construction!$R$22,Oeko!DH307,Oeko!FU307)</f>
        <v>13.798045313008366</v>
      </c>
      <c r="AV307" s="1998">
        <f>IF(Construction!$F$31=Construction!$R$22,Oeko!DI307,Oeko!FV307)</f>
        <v>13.798045313008366</v>
      </c>
      <c r="AW307" s="1979">
        <f>IF(Construction!$F$31=Construction!$R$22,Oeko!DJ307,Oeko!FW307)</f>
        <v>13.770696286005787</v>
      </c>
      <c r="AX307" s="1979">
        <f>IF(Construction!$F$31=Construction!$R$22,Oeko!DK307,Oeko!FX307)</f>
        <v>13.770696286005787</v>
      </c>
      <c r="AY307" s="1979">
        <f>IF(Construction!$F$31=Construction!$R$22,Oeko!DL307,Oeko!FY307)</f>
        <v>13.770696286005787</v>
      </c>
      <c r="AZ307" s="1979">
        <f>IF(Construction!$F$31=Construction!$R$22,Oeko!DM307,Oeko!FZ307)</f>
        <v>13.770696286005787</v>
      </c>
      <c r="BA307" s="1979">
        <f>IF(Construction!$F$31=Construction!$R$22,Oeko!DN307,Oeko!GA307)</f>
        <v>13.770696286005787</v>
      </c>
      <c r="BB307" s="1998">
        <f>IF(Construction!$F$31=Construction!$R$22,Oeko!DO307,Oeko!GB307)</f>
        <v>0.97975662301212196</v>
      </c>
      <c r="BC307" s="1998">
        <f>IF(Construction!$F$31=Construction!$R$22,Oeko!DP307,Oeko!GC307)</f>
        <v>0.97975662301212196</v>
      </c>
      <c r="BD307" s="1998">
        <f>IF(Construction!$F$31=Construction!$R$22,Oeko!DQ307,Oeko!GD307)</f>
        <v>0.97975662301212196</v>
      </c>
      <c r="BE307" s="1998">
        <f>IF(Construction!$F$31=Construction!$R$22,Oeko!DR307,Oeko!GE307)</f>
        <v>0.97975662301212196</v>
      </c>
      <c r="BF307" s="1998">
        <f>IF(Construction!$F$31=Construction!$R$22,Oeko!DS307,Oeko!GF307)</f>
        <v>0.97975662301212196</v>
      </c>
      <c r="BG307" s="1979">
        <f>IF(Construction!$F$31=Construction!$R$22,Oeko!DT307,Oeko!GG307)</f>
        <v>0.97614876347816082</v>
      </c>
      <c r="BH307" s="1979">
        <f>IF(Construction!$F$31=Construction!$R$22,Oeko!DU307,Oeko!GH307)</f>
        <v>0.97614876347816082</v>
      </c>
      <c r="BI307" s="1979">
        <f>IF(Construction!$F$31=Construction!$R$22,Oeko!DV307,Oeko!GI307)</f>
        <v>0.97614876347816082</v>
      </c>
      <c r="BJ307" s="1979">
        <f>IF(Construction!$F$31=Construction!$R$22,Oeko!DW307,Oeko!GJ307)</f>
        <v>0.97614876347816082</v>
      </c>
      <c r="BK307" s="2021">
        <f>IF(Construction!$F$31=Construction!$R$22,Oeko!DX307,Oeko!GK307)</f>
        <v>0.97614876347816082</v>
      </c>
      <c r="BN307" s="2022" t="str">
        <f>Uebersetzung!$D630</f>
        <v>Contruction massive lourde</v>
      </c>
      <c r="BO307" s="2">
        <v>1</v>
      </c>
      <c r="BP307" s="2" t="s">
        <v>4327</v>
      </c>
      <c r="BQ307" s="1998">
        <v>1.09375</v>
      </c>
      <c r="BR307" s="1998">
        <v>1.09375</v>
      </c>
      <c r="BS307" s="1998">
        <v>1.09375</v>
      </c>
      <c r="BT307" s="1998">
        <v>1.09375</v>
      </c>
      <c r="BU307" s="1998">
        <v>1.09375</v>
      </c>
      <c r="BV307" s="1979">
        <v>1.5999999999999999</v>
      </c>
      <c r="BW307" s="1979">
        <v>1.5999999999999999</v>
      </c>
      <c r="BX307" s="1979">
        <v>1.5999999999999999</v>
      </c>
      <c r="BY307" s="1979">
        <v>1.5999999999999999</v>
      </c>
      <c r="BZ307" s="1979">
        <v>1.5999999999999999</v>
      </c>
      <c r="CA307" s="1998">
        <v>1.0389610389610389</v>
      </c>
      <c r="CB307" s="1998">
        <v>1.0389610389610389</v>
      </c>
      <c r="CC307" s="1998">
        <v>1.0389610389610389</v>
      </c>
      <c r="CD307" s="1998">
        <v>1.0389610389610389</v>
      </c>
      <c r="CE307" s="1998">
        <v>1.0389610389610389</v>
      </c>
      <c r="CF307" s="1979">
        <v>1.3500000000000003</v>
      </c>
      <c r="CG307" s="1979">
        <v>1.3500000000000003</v>
      </c>
      <c r="CH307" s="1979">
        <v>1.3500000000000003</v>
      </c>
      <c r="CI307" s="1979">
        <v>1.3500000000000003</v>
      </c>
      <c r="CJ307" s="1979">
        <v>1.3500000000000003</v>
      </c>
      <c r="CK307" s="1998">
        <v>1.0285714285714285</v>
      </c>
      <c r="CL307" s="1998">
        <v>1.0285714285714285</v>
      </c>
      <c r="CM307" s="1998">
        <v>1.0285714285714285</v>
      </c>
      <c r="CN307" s="1998">
        <v>1.0285714285714285</v>
      </c>
      <c r="CO307" s="1998">
        <v>1.0285714285714285</v>
      </c>
      <c r="CP307" s="1979">
        <v>1.0000000000000002</v>
      </c>
      <c r="CQ307" s="1979">
        <v>1.0000000000000002</v>
      </c>
      <c r="CR307" s="1979">
        <v>1.0000000000000002</v>
      </c>
      <c r="CS307" s="1979">
        <v>1.0000000000000002</v>
      </c>
      <c r="CT307" s="1979">
        <v>1.0000000000000002</v>
      </c>
      <c r="CU307" s="1998">
        <v>1.4999999999999998</v>
      </c>
      <c r="CV307" s="1998">
        <v>1.4999999999999998</v>
      </c>
      <c r="CW307" s="1998">
        <v>1.4999999999999998</v>
      </c>
      <c r="CX307" s="1998">
        <v>1.4999999999999998</v>
      </c>
      <c r="CY307" s="1998">
        <v>1.4999999999999998</v>
      </c>
      <c r="CZ307" s="1979">
        <v>1.2222222222222223</v>
      </c>
      <c r="DA307" s="1979">
        <v>1.2222222222222223</v>
      </c>
      <c r="DB307" s="1979">
        <v>1.2222222222222223</v>
      </c>
      <c r="DC307" s="1979">
        <v>1.2222222222222223</v>
      </c>
      <c r="DD307" s="1979">
        <v>1.2222222222222223</v>
      </c>
      <c r="DE307" s="1998">
        <v>13.798045313008366</v>
      </c>
      <c r="DF307" s="1998">
        <v>13.798045313008366</v>
      </c>
      <c r="DG307" s="1998">
        <v>13.798045313008366</v>
      </c>
      <c r="DH307" s="1998">
        <v>13.798045313008366</v>
      </c>
      <c r="DI307" s="1998">
        <v>13.798045313008366</v>
      </c>
      <c r="DJ307" s="1979">
        <v>13.770696286005787</v>
      </c>
      <c r="DK307" s="1979">
        <v>13.770696286005787</v>
      </c>
      <c r="DL307" s="1979">
        <v>13.770696286005787</v>
      </c>
      <c r="DM307" s="1979">
        <v>13.770696286005787</v>
      </c>
      <c r="DN307" s="1979">
        <v>13.770696286005787</v>
      </c>
      <c r="DO307" s="1998">
        <v>0.97975662301212196</v>
      </c>
      <c r="DP307" s="1998">
        <v>0.97975662301212196</v>
      </c>
      <c r="DQ307" s="1998">
        <v>0.97975662301212196</v>
      </c>
      <c r="DR307" s="1998">
        <v>0.97975662301212196</v>
      </c>
      <c r="DS307" s="1998">
        <v>0.97975662301212196</v>
      </c>
      <c r="DT307" s="1979">
        <v>0.97614876347816082</v>
      </c>
      <c r="DU307" s="1979">
        <v>0.97614876347816082</v>
      </c>
      <c r="DV307" s="1979">
        <v>0.97614876347816082</v>
      </c>
      <c r="DW307" s="1979">
        <v>0.97614876347816082</v>
      </c>
      <c r="DX307" s="1979">
        <v>0.97614876347816082</v>
      </c>
      <c r="EA307" s="1997" t="str">
        <f>Uebersetzung!$D630</f>
        <v>Contruction massive lourde</v>
      </c>
      <c r="EB307" s="2">
        <v>1</v>
      </c>
      <c r="EC307" s="2" t="s">
        <v>4327</v>
      </c>
      <c r="ED307" s="1998">
        <v>1.4765287570396433</v>
      </c>
      <c r="EE307" s="1998">
        <v>1.4976018524581565</v>
      </c>
      <c r="EF307" s="1998">
        <v>1.5326240173978296</v>
      </c>
      <c r="EG307" s="1998">
        <v>1.5753784825155279</v>
      </c>
      <c r="EH307" s="1998">
        <v>1.6145245408834814</v>
      </c>
      <c r="EI307" s="1979">
        <v>2.4061800028046467</v>
      </c>
      <c r="EJ307" s="1979">
        <v>2.4532245221215505</v>
      </c>
      <c r="EK307" s="1979">
        <v>2.5177500650097637</v>
      </c>
      <c r="EL307" s="1979">
        <v>2.5935868584441177</v>
      </c>
      <c r="EM307" s="1979">
        <v>2.6496289634227246</v>
      </c>
      <c r="EN307" s="1998">
        <v>1.4716549334323368</v>
      </c>
      <c r="EO307" s="1998">
        <v>1.5069107792904384</v>
      </c>
      <c r="EP307" s="1998">
        <v>1.5083797728678596</v>
      </c>
      <c r="EQ307" s="1998">
        <v>1.5098487664452802</v>
      </c>
      <c r="ER307" s="1998">
        <v>1.511317760022701</v>
      </c>
      <c r="ES307" s="1979">
        <v>1.9217709899505599</v>
      </c>
      <c r="ET307" s="1979">
        <v>1.9673694687146908</v>
      </c>
      <c r="EU307" s="1979">
        <v>1.9694903281920921</v>
      </c>
      <c r="EV307" s="1979">
        <v>1.9716111876694935</v>
      </c>
      <c r="EW307" s="1979">
        <v>1.9737320471468949</v>
      </c>
      <c r="EX307" s="1998">
        <v>1.4929499720644388</v>
      </c>
      <c r="EY307" s="1998">
        <v>1.5268837237028616</v>
      </c>
      <c r="EZ307" s="1998">
        <v>1.5293075631056061</v>
      </c>
      <c r="FA307" s="1998">
        <v>1.5317314025083508</v>
      </c>
      <c r="FB307" s="1998">
        <v>1.5341552419110951</v>
      </c>
      <c r="FC307" s="1979">
        <v>1.3838831062433552</v>
      </c>
      <c r="FD307" s="1979">
        <v>1.410982977343485</v>
      </c>
      <c r="FE307" s="1979">
        <v>1.4133394878739309</v>
      </c>
      <c r="FF307" s="1979">
        <v>1.4156959984043769</v>
      </c>
      <c r="FG307" s="1979">
        <v>1.4180525089348228</v>
      </c>
      <c r="FH307" s="1998">
        <v>2.6947508389361361</v>
      </c>
      <c r="FI307" s="1998">
        <v>2.6982856047318053</v>
      </c>
      <c r="FJ307" s="1998">
        <v>2.7018203705274741</v>
      </c>
      <c r="FK307" s="1998">
        <v>2.705355136323143</v>
      </c>
      <c r="FL307" s="1998">
        <v>2.7088899021188118</v>
      </c>
      <c r="FM307" s="1979">
        <v>1.6212684787578846</v>
      </c>
      <c r="FN307" s="1979">
        <v>1.6454096199697874</v>
      </c>
      <c r="FO307" s="1979">
        <v>1.6853655651860169</v>
      </c>
      <c r="FP307" s="1979">
        <v>1.7339620490138814</v>
      </c>
      <c r="FQ307" s="1979">
        <v>1.7770600082707053</v>
      </c>
      <c r="FR307" s="1998">
        <v>20.894089801659085</v>
      </c>
      <c r="FS307" s="1998">
        <v>20.910347421198924</v>
      </c>
      <c r="FT307" s="1998">
        <v>20.92660504073876</v>
      </c>
      <c r="FU307" s="1998">
        <v>20.942862660278596</v>
      </c>
      <c r="FV307" s="1998">
        <v>20.959120279818436</v>
      </c>
      <c r="FW307" s="1979">
        <v>20.774793847361309</v>
      </c>
      <c r="FX307" s="1979">
        <v>20.791019242766083</v>
      </c>
      <c r="FY307" s="1979">
        <v>20.807244638170854</v>
      </c>
      <c r="FZ307" s="1979">
        <v>20.823470033575628</v>
      </c>
      <c r="GA307" s="1979">
        <v>20.839695428980402</v>
      </c>
      <c r="GB307" s="1998">
        <v>1.3736967831601401</v>
      </c>
      <c r="GC307" s="1998">
        <v>1.374851186559841</v>
      </c>
      <c r="GD307" s="1998">
        <v>1.3760055899595425</v>
      </c>
      <c r="GE307" s="1998">
        <v>1.3771599933592436</v>
      </c>
      <c r="GF307" s="1998">
        <v>1.3794688001586457</v>
      </c>
      <c r="GG307" s="1979">
        <v>1.3971045492746832</v>
      </c>
      <c r="GH307" s="1979">
        <v>1.3988297779049967</v>
      </c>
      <c r="GI307" s="1979">
        <v>1.4005550065353105</v>
      </c>
      <c r="GJ307" s="1979">
        <v>1.4022802351656241</v>
      </c>
      <c r="GK307" s="1979">
        <v>1.4057306924262511</v>
      </c>
    </row>
    <row r="308" spans="1:193">
      <c r="A308" s="2020"/>
      <c r="B308" s="2">
        <v>2</v>
      </c>
      <c r="C308" s="2" t="s">
        <v>4328</v>
      </c>
      <c r="D308" s="1998">
        <f>IF(Construction!$F$31=Construction!$R$22,Oeko!BQ308,Oeko!ED308)</f>
        <v>1.09375</v>
      </c>
      <c r="E308" s="1998">
        <f>IF(Construction!$F$31=Construction!$R$22,Oeko!BR308,Oeko!EE308)</f>
        <v>1.0694444444444444</v>
      </c>
      <c r="F308" s="1998">
        <f>IF(Construction!$F$31=Construction!$R$22,Oeko!BS308,Oeko!EF308)</f>
        <v>1.0694444444444444</v>
      </c>
      <c r="G308" s="1998">
        <f>IF(Construction!$F$31=Construction!$R$22,Oeko!BT308,Oeko!EG308)</f>
        <v>1.0694444444444444</v>
      </c>
      <c r="H308" s="1998">
        <f>IF(Construction!$F$31=Construction!$R$22,Oeko!BU308,Oeko!EH308)</f>
        <v>1.0694444444444444</v>
      </c>
      <c r="I308" s="1979">
        <f>IF(Construction!$F$31=Construction!$R$22,Oeko!BV308,Oeko!EI308)</f>
        <v>1.5999999999999996</v>
      </c>
      <c r="J308" s="1979">
        <f>IF(Construction!$F$31=Construction!$R$22,Oeko!BW308,Oeko!EJ308)</f>
        <v>1.5999999999999996</v>
      </c>
      <c r="K308" s="1979">
        <f>IF(Construction!$F$31=Construction!$R$22,Oeko!BX308,Oeko!EK308)</f>
        <v>1.5999999999999996</v>
      </c>
      <c r="L308" s="1979">
        <f>IF(Construction!$F$31=Construction!$R$22,Oeko!BY308,Oeko!EL308)</f>
        <v>1.5999999999999996</v>
      </c>
      <c r="M308" s="1979">
        <f>IF(Construction!$F$31=Construction!$R$22,Oeko!BZ308,Oeko!EM308)</f>
        <v>1.5999999999999996</v>
      </c>
      <c r="N308" s="1998">
        <f>IF(Construction!$F$31=Construction!$R$22,Oeko!CA308,Oeko!EN308)</f>
        <v>1.0389610389610391</v>
      </c>
      <c r="O308" s="1998">
        <f>IF(Construction!$F$31=Construction!$R$22,Oeko!CB308,Oeko!EO308)</f>
        <v>1.0389610389610391</v>
      </c>
      <c r="P308" s="1998">
        <f>IF(Construction!$F$31=Construction!$R$22,Oeko!CC308,Oeko!EP308)</f>
        <v>1.0389610389610391</v>
      </c>
      <c r="Q308" s="1998">
        <f>IF(Construction!$F$31=Construction!$R$22,Oeko!CD308,Oeko!EQ308)</f>
        <v>1.0389610389610391</v>
      </c>
      <c r="R308" s="1998">
        <f>IF(Construction!$F$31=Construction!$R$22,Oeko!CE308,Oeko!ER308)</f>
        <v>1.0389610389610391</v>
      </c>
      <c r="S308" s="1979">
        <f>IF(Construction!$F$31=Construction!$R$22,Oeko!CF308,Oeko!ES308)</f>
        <v>1.3333333333333335</v>
      </c>
      <c r="T308" s="1979">
        <f>IF(Construction!$F$31=Construction!$R$22,Oeko!CG308,Oeko!ET308)</f>
        <v>1.3333333333333335</v>
      </c>
      <c r="U308" s="1979">
        <f>IF(Construction!$F$31=Construction!$R$22,Oeko!CH308,Oeko!EU308)</f>
        <v>1.3333333333333335</v>
      </c>
      <c r="V308" s="1979">
        <f>IF(Construction!$F$31=Construction!$R$22,Oeko!CI308,Oeko!EV308)</f>
        <v>1.3333333333333335</v>
      </c>
      <c r="W308" s="1979">
        <f>IF(Construction!$F$31=Construction!$R$22,Oeko!CJ308,Oeko!EW308)</f>
        <v>1.3333333333333335</v>
      </c>
      <c r="X308" s="1998">
        <f>IF(Construction!$F$31=Construction!$R$22,Oeko!CK308,Oeko!EX308)</f>
        <v>1.0285714285714285</v>
      </c>
      <c r="Y308" s="1998">
        <f>IF(Construction!$F$31=Construction!$R$22,Oeko!CL308,Oeko!EY308)</f>
        <v>1.0285714285714285</v>
      </c>
      <c r="Z308" s="1998">
        <f>IF(Construction!$F$31=Construction!$R$22,Oeko!CM308,Oeko!EZ308)</f>
        <v>1.0285714285714285</v>
      </c>
      <c r="AA308" s="1998">
        <f>IF(Construction!$F$31=Construction!$R$22,Oeko!CN308,Oeko!FA308)</f>
        <v>1.0285714285714285</v>
      </c>
      <c r="AB308" s="1998">
        <f>IF(Construction!$F$31=Construction!$R$22,Oeko!CO308,Oeko!FB308)</f>
        <v>1.0285714285714285</v>
      </c>
      <c r="AC308" s="1979">
        <f>IF(Construction!$F$31=Construction!$R$22,Oeko!CP308,Oeko!FC308)</f>
        <v>1.0000000000000002</v>
      </c>
      <c r="AD308" s="1979">
        <f>IF(Construction!$F$31=Construction!$R$22,Oeko!CQ308,Oeko!FD308)</f>
        <v>1.0000000000000002</v>
      </c>
      <c r="AE308" s="1979">
        <f>IF(Construction!$F$31=Construction!$R$22,Oeko!CR308,Oeko!FE308)</f>
        <v>1.0000000000000002</v>
      </c>
      <c r="AF308" s="1979">
        <f>IF(Construction!$F$31=Construction!$R$22,Oeko!CS308,Oeko!FF308)</f>
        <v>1.0000000000000002</v>
      </c>
      <c r="AG308" s="1979">
        <f>IF(Construction!$F$31=Construction!$R$22,Oeko!CT308,Oeko!FG308)</f>
        <v>1.0000000000000002</v>
      </c>
      <c r="AH308" s="1998">
        <f>IF(Construction!$F$31=Construction!$R$22,Oeko!CU308,Oeko!FH308)</f>
        <v>1.5</v>
      </c>
      <c r="AI308" s="1998">
        <f>IF(Construction!$F$31=Construction!$R$22,Oeko!CV308,Oeko!FI308)</f>
        <v>1.5</v>
      </c>
      <c r="AJ308" s="1998">
        <f>IF(Construction!$F$31=Construction!$R$22,Oeko!CW308,Oeko!FJ308)</f>
        <v>1.5</v>
      </c>
      <c r="AK308" s="1998">
        <f>IF(Construction!$F$31=Construction!$R$22,Oeko!CX308,Oeko!FK308)</f>
        <v>1.5</v>
      </c>
      <c r="AL308" s="1998">
        <f>IF(Construction!$F$31=Construction!$R$22,Oeko!CY308,Oeko!FL308)</f>
        <v>1.5</v>
      </c>
      <c r="AM308" s="1979">
        <f>IF(Construction!$F$31=Construction!$R$22,Oeko!CZ308,Oeko!FM308)</f>
        <v>1.2</v>
      </c>
      <c r="AN308" s="1979">
        <f>IF(Construction!$F$31=Construction!$R$22,Oeko!DA308,Oeko!FN308)</f>
        <v>1.2</v>
      </c>
      <c r="AO308" s="1979">
        <f>IF(Construction!$F$31=Construction!$R$22,Oeko!DB308,Oeko!FO308)</f>
        <v>1.2</v>
      </c>
      <c r="AP308" s="1979">
        <f>IF(Construction!$F$31=Construction!$R$22,Oeko!DC308,Oeko!FP308)</f>
        <v>1.2</v>
      </c>
      <c r="AQ308" s="1979">
        <f>IF(Construction!$F$31=Construction!$R$22,Oeko!DD308,Oeko!FQ308)</f>
        <v>1.2</v>
      </c>
      <c r="AR308" s="1998">
        <f>IF(Construction!$F$31=Construction!$R$22,Oeko!DE308,Oeko!FR308)</f>
        <v>13.414766276535909</v>
      </c>
      <c r="AS308" s="1998">
        <f>IF(Construction!$F$31=Construction!$R$22,Oeko!DF308,Oeko!FS308)</f>
        <v>13.414766276535909</v>
      </c>
      <c r="AT308" s="1998">
        <f>IF(Construction!$F$31=Construction!$R$22,Oeko!DG308,Oeko!FT308)</f>
        <v>13.414766276535909</v>
      </c>
      <c r="AU308" s="1998">
        <f>IF(Construction!$F$31=Construction!$R$22,Oeko!DH308,Oeko!FU308)</f>
        <v>13.414766276535909</v>
      </c>
      <c r="AV308" s="1998">
        <f>IF(Construction!$F$31=Construction!$R$22,Oeko!DI308,Oeko!FV308)</f>
        <v>13.414766276535909</v>
      </c>
      <c r="AW308" s="1979">
        <f>IF(Construction!$F$31=Construction!$R$22,Oeko!DJ308,Oeko!FW308)</f>
        <v>12.852649866938734</v>
      </c>
      <c r="AX308" s="1979">
        <f>IF(Construction!$F$31=Construction!$R$22,Oeko!DK308,Oeko!FX308)</f>
        <v>12.852649866938734</v>
      </c>
      <c r="AY308" s="1979">
        <f>IF(Construction!$F$31=Construction!$R$22,Oeko!DL308,Oeko!FY308)</f>
        <v>12.852649866938734</v>
      </c>
      <c r="AZ308" s="1979">
        <f>IF(Construction!$F$31=Construction!$R$22,Oeko!DM308,Oeko!FZ308)</f>
        <v>12.852649866938734</v>
      </c>
      <c r="BA308" s="1979">
        <f>IF(Construction!$F$31=Construction!$R$22,Oeko!DN308,Oeko!GA308)</f>
        <v>12.852649866938734</v>
      </c>
      <c r="BB308" s="1998">
        <f>IF(Construction!$F$31=Construction!$R$22,Oeko!DO308,Oeko!GB308)</f>
        <v>0.97975662301212174</v>
      </c>
      <c r="BC308" s="1998">
        <f>IF(Construction!$F$31=Construction!$R$22,Oeko!DP308,Oeko!GC308)</f>
        <v>0.97975662301212174</v>
      </c>
      <c r="BD308" s="1998">
        <f>IF(Construction!$F$31=Construction!$R$22,Oeko!DQ308,Oeko!GD308)</f>
        <v>0.97975662301212174</v>
      </c>
      <c r="BE308" s="1998">
        <f>IF(Construction!$F$31=Construction!$R$22,Oeko!DR308,Oeko!GE308)</f>
        <v>0.97975662301212174</v>
      </c>
      <c r="BF308" s="1998">
        <f>IF(Construction!$F$31=Construction!$R$22,Oeko!DS308,Oeko!GF308)</f>
        <v>0.97975662301212174</v>
      </c>
      <c r="BG308" s="1979">
        <f>IF(Construction!$F$31=Construction!$R$22,Oeko!DT308,Oeko!GG308)</f>
        <v>0.9761487634781606</v>
      </c>
      <c r="BH308" s="1979">
        <f>IF(Construction!$F$31=Construction!$R$22,Oeko!DU308,Oeko!GH308)</f>
        <v>0.9761487634781606</v>
      </c>
      <c r="BI308" s="1979">
        <f>IF(Construction!$F$31=Construction!$R$22,Oeko!DV308,Oeko!GI308)</f>
        <v>0.9761487634781606</v>
      </c>
      <c r="BJ308" s="1979">
        <f>IF(Construction!$F$31=Construction!$R$22,Oeko!DW308,Oeko!GJ308)</f>
        <v>0.9761487634781606</v>
      </c>
      <c r="BK308" s="2021">
        <f>IF(Construction!$F$31=Construction!$R$22,Oeko!DX308,Oeko!GK308)</f>
        <v>0.9761487634781606</v>
      </c>
      <c r="BN308" s="2022"/>
      <c r="BO308" s="2">
        <v>2</v>
      </c>
      <c r="BP308" s="2" t="s">
        <v>4328</v>
      </c>
      <c r="BQ308" s="1998">
        <v>1.09375</v>
      </c>
      <c r="BR308" s="1998">
        <v>1.0694444444444444</v>
      </c>
      <c r="BS308" s="1998">
        <v>1.0694444444444444</v>
      </c>
      <c r="BT308" s="1998">
        <v>1.0694444444444444</v>
      </c>
      <c r="BU308" s="1998">
        <v>1.0694444444444444</v>
      </c>
      <c r="BV308" s="1979">
        <v>1.5999999999999996</v>
      </c>
      <c r="BW308" s="1979">
        <v>1.5999999999999996</v>
      </c>
      <c r="BX308" s="1979">
        <v>1.5999999999999996</v>
      </c>
      <c r="BY308" s="1979">
        <v>1.5999999999999996</v>
      </c>
      <c r="BZ308" s="1979">
        <v>1.5999999999999996</v>
      </c>
      <c r="CA308" s="1998">
        <v>1.0389610389610391</v>
      </c>
      <c r="CB308" s="1998">
        <v>1.0389610389610391</v>
      </c>
      <c r="CC308" s="1998">
        <v>1.0389610389610391</v>
      </c>
      <c r="CD308" s="1998">
        <v>1.0389610389610391</v>
      </c>
      <c r="CE308" s="1998">
        <v>1.0389610389610391</v>
      </c>
      <c r="CF308" s="1979">
        <v>1.3333333333333335</v>
      </c>
      <c r="CG308" s="1979">
        <v>1.3333333333333335</v>
      </c>
      <c r="CH308" s="1979">
        <v>1.3333333333333335</v>
      </c>
      <c r="CI308" s="1979">
        <v>1.3333333333333335</v>
      </c>
      <c r="CJ308" s="1979">
        <v>1.3333333333333335</v>
      </c>
      <c r="CK308" s="1998">
        <v>1.0285714285714285</v>
      </c>
      <c r="CL308" s="1998">
        <v>1.0285714285714285</v>
      </c>
      <c r="CM308" s="1998">
        <v>1.0285714285714285</v>
      </c>
      <c r="CN308" s="1998">
        <v>1.0285714285714285</v>
      </c>
      <c r="CO308" s="1998">
        <v>1.0285714285714285</v>
      </c>
      <c r="CP308" s="1979">
        <v>1.0000000000000002</v>
      </c>
      <c r="CQ308" s="1979">
        <v>1.0000000000000002</v>
      </c>
      <c r="CR308" s="1979">
        <v>1.0000000000000002</v>
      </c>
      <c r="CS308" s="1979">
        <v>1.0000000000000002</v>
      </c>
      <c r="CT308" s="1979">
        <v>1.0000000000000002</v>
      </c>
      <c r="CU308" s="1998">
        <v>1.5</v>
      </c>
      <c r="CV308" s="1998">
        <v>1.5</v>
      </c>
      <c r="CW308" s="1998">
        <v>1.5</v>
      </c>
      <c r="CX308" s="1998">
        <v>1.5</v>
      </c>
      <c r="CY308" s="1998">
        <v>1.5</v>
      </c>
      <c r="CZ308" s="1979">
        <v>1.2</v>
      </c>
      <c r="DA308" s="1979">
        <v>1.2</v>
      </c>
      <c r="DB308" s="1979">
        <v>1.2</v>
      </c>
      <c r="DC308" s="1979">
        <v>1.2</v>
      </c>
      <c r="DD308" s="1979">
        <v>1.2</v>
      </c>
      <c r="DE308" s="1998">
        <v>13.414766276535909</v>
      </c>
      <c r="DF308" s="1998">
        <v>13.414766276535909</v>
      </c>
      <c r="DG308" s="1998">
        <v>13.414766276535909</v>
      </c>
      <c r="DH308" s="1998">
        <v>13.414766276535909</v>
      </c>
      <c r="DI308" s="1998">
        <v>13.414766276535909</v>
      </c>
      <c r="DJ308" s="1979">
        <v>12.852649866938734</v>
      </c>
      <c r="DK308" s="1979">
        <v>12.852649866938734</v>
      </c>
      <c r="DL308" s="1979">
        <v>12.852649866938734</v>
      </c>
      <c r="DM308" s="1979">
        <v>12.852649866938734</v>
      </c>
      <c r="DN308" s="1979">
        <v>12.852649866938734</v>
      </c>
      <c r="DO308" s="1998">
        <v>0.97975662301212174</v>
      </c>
      <c r="DP308" s="1998">
        <v>0.97975662301212174</v>
      </c>
      <c r="DQ308" s="1998">
        <v>0.97975662301212174</v>
      </c>
      <c r="DR308" s="1998">
        <v>0.97975662301212174</v>
      </c>
      <c r="DS308" s="1998">
        <v>0.97975662301212174</v>
      </c>
      <c r="DT308" s="1979">
        <v>0.9761487634781606</v>
      </c>
      <c r="DU308" s="1979">
        <v>0.9761487634781606</v>
      </c>
      <c r="DV308" s="1979">
        <v>0.9761487634781606</v>
      </c>
      <c r="DW308" s="1979">
        <v>0.9761487634781606</v>
      </c>
      <c r="DX308" s="1979">
        <v>0.9761487634781606</v>
      </c>
      <c r="EA308" s="1997"/>
      <c r="EB308" s="2">
        <v>2</v>
      </c>
      <c r="EC308" s="2" t="s">
        <v>4328</v>
      </c>
      <c r="ED308" s="1998">
        <v>1.4765287570396433</v>
      </c>
      <c r="EE308" s="1998">
        <v>1.4855171114195249</v>
      </c>
      <c r="EF308" s="1998">
        <v>1.5207832733870374</v>
      </c>
      <c r="EG308" s="1998">
        <v>1.5636099066397309</v>
      </c>
      <c r="EH308" s="1998">
        <v>1.6016253308927642</v>
      </c>
      <c r="EI308" s="1979">
        <v>2.4328379516702348</v>
      </c>
      <c r="EJ308" s="1979">
        <v>2.4812123998392308</v>
      </c>
      <c r="EK308" s="1979">
        <v>2.5464029071534897</v>
      </c>
      <c r="EL308" s="1979">
        <v>2.6229046650138899</v>
      </c>
      <c r="EM308" s="1979">
        <v>2.6796117344185428</v>
      </c>
      <c r="EN308" s="1998">
        <v>1.4780603575105493</v>
      </c>
      <c r="EO308" s="1998">
        <v>1.5133162033686511</v>
      </c>
      <c r="EP308" s="1998">
        <v>1.5147851969460717</v>
      </c>
      <c r="EQ308" s="1998">
        <v>1.5162541905234928</v>
      </c>
      <c r="ER308" s="1998">
        <v>1.5177231841009138</v>
      </c>
      <c r="ES308" s="1979">
        <v>1.9124646482746883</v>
      </c>
      <c r="ET308" s="1979">
        <v>1.957238348353163</v>
      </c>
      <c r="EU308" s="1979">
        <v>1.959594858883609</v>
      </c>
      <c r="EV308" s="1979">
        <v>1.9619513694140551</v>
      </c>
      <c r="EW308" s="1979">
        <v>1.9643078799445011</v>
      </c>
      <c r="EX308" s="1998">
        <v>1.5065913402230846</v>
      </c>
      <c r="EY308" s="1998">
        <v>1.5405250918615077</v>
      </c>
      <c r="EZ308" s="1998">
        <v>1.5429489312642524</v>
      </c>
      <c r="FA308" s="1998">
        <v>1.5453727706669966</v>
      </c>
      <c r="FB308" s="1998">
        <v>1.5477966100697411</v>
      </c>
      <c r="FC308" s="1979">
        <v>1.3933845567021137</v>
      </c>
      <c r="FD308" s="1979">
        <v>1.4204844278022433</v>
      </c>
      <c r="FE308" s="1979">
        <v>1.4228409383326892</v>
      </c>
      <c r="FF308" s="1979">
        <v>1.4251974488631354</v>
      </c>
      <c r="FG308" s="1979">
        <v>1.4275539593935813</v>
      </c>
      <c r="FH308" s="1998">
        <v>2.7146338965367733</v>
      </c>
      <c r="FI308" s="1998">
        <v>2.718168662332443</v>
      </c>
      <c r="FJ308" s="1998">
        <v>2.7217034281281123</v>
      </c>
      <c r="FK308" s="1998">
        <v>2.7252381939237806</v>
      </c>
      <c r="FL308" s="1998">
        <v>2.7287729597194499</v>
      </c>
      <c r="FM308" s="1979">
        <v>1.6131057220293104</v>
      </c>
      <c r="FN308" s="1979">
        <v>1.6377416257188051</v>
      </c>
      <c r="FO308" s="1979">
        <v>1.6778664018228158</v>
      </c>
      <c r="FP308" s="1979">
        <v>1.7264746158364321</v>
      </c>
      <c r="FQ308" s="1979">
        <v>1.7684846003647998</v>
      </c>
      <c r="FR308" s="1998">
        <v>20.661430836215086</v>
      </c>
      <c r="FS308" s="1998">
        <v>20.680398059011562</v>
      </c>
      <c r="FT308" s="1998">
        <v>20.699365281808042</v>
      </c>
      <c r="FU308" s="1998">
        <v>20.718332504604518</v>
      </c>
      <c r="FV308" s="1998">
        <v>20.737299727400995</v>
      </c>
      <c r="FW308" s="1979">
        <v>20.214192889061415</v>
      </c>
      <c r="FX308" s="1979">
        <v>20.236908442628096</v>
      </c>
      <c r="FY308" s="1979">
        <v>20.259623996194783</v>
      </c>
      <c r="FZ308" s="1979">
        <v>20.282339549761463</v>
      </c>
      <c r="GA308" s="1979">
        <v>20.305055103328144</v>
      </c>
      <c r="GB308" s="1998">
        <v>1.3840864137574505</v>
      </c>
      <c r="GC308" s="1998">
        <v>1.3854716978370918</v>
      </c>
      <c r="GD308" s="1998">
        <v>1.3868569819167331</v>
      </c>
      <c r="GE308" s="1998">
        <v>1.3882422659963745</v>
      </c>
      <c r="GF308" s="1998">
        <v>1.3910128341556571</v>
      </c>
      <c r="GG308" s="1979">
        <v>1.3988297779049965</v>
      </c>
      <c r="GH308" s="1979">
        <v>1.4005550065353103</v>
      </c>
      <c r="GI308" s="1979">
        <v>1.4022802351656238</v>
      </c>
      <c r="GJ308" s="1979">
        <v>1.4040054637959374</v>
      </c>
      <c r="GK308" s="1979">
        <v>1.4074559210565649</v>
      </c>
    </row>
    <row r="309" spans="1:193">
      <c r="A309" s="2020"/>
      <c r="B309" s="2">
        <v>3</v>
      </c>
      <c r="C309" s="2" t="s">
        <v>4329</v>
      </c>
      <c r="D309" s="1998">
        <f>IF(Construction!$F$31=Construction!$R$22,Oeko!BQ309,Oeko!ED309)</f>
        <v>1.09375</v>
      </c>
      <c r="E309" s="1998">
        <f>IF(Construction!$F$31=Construction!$R$22,Oeko!BR309,Oeko!EE309)</f>
        <v>1.0606060606060606</v>
      </c>
      <c r="F309" s="1998">
        <f>IF(Construction!$F$31=Construction!$R$22,Oeko!BS309,Oeko!EF309)</f>
        <v>1.0606060606060606</v>
      </c>
      <c r="G309" s="1998">
        <f>IF(Construction!$F$31=Construction!$R$22,Oeko!BT309,Oeko!EG309)</f>
        <v>1.0606060606060606</v>
      </c>
      <c r="H309" s="1998">
        <f>IF(Construction!$F$31=Construction!$R$22,Oeko!BU309,Oeko!EH309)</f>
        <v>1.0606060606060606</v>
      </c>
      <c r="I309" s="1979">
        <f>IF(Construction!$F$31=Construction!$R$22,Oeko!BV309,Oeko!EI309)</f>
        <v>1.5</v>
      </c>
      <c r="J309" s="1979">
        <f>IF(Construction!$F$31=Construction!$R$22,Oeko!BW309,Oeko!EJ309)</f>
        <v>1.5</v>
      </c>
      <c r="K309" s="1979">
        <f>IF(Construction!$F$31=Construction!$R$22,Oeko!BX309,Oeko!EK309)</f>
        <v>1.5</v>
      </c>
      <c r="L309" s="1979">
        <f>IF(Construction!$F$31=Construction!$R$22,Oeko!BY309,Oeko!EL309)</f>
        <v>1.5</v>
      </c>
      <c r="M309" s="1979">
        <f>IF(Construction!$F$31=Construction!$R$22,Oeko!BZ309,Oeko!EM309)</f>
        <v>1.5</v>
      </c>
      <c r="N309" s="1998">
        <f>IF(Construction!$F$31=Construction!$R$22,Oeko!CA309,Oeko!EN309)</f>
        <v>1.0285714285714287</v>
      </c>
      <c r="O309" s="1998">
        <f>IF(Construction!$F$31=Construction!$R$22,Oeko!CB309,Oeko!EO309)</f>
        <v>1.0285714285714287</v>
      </c>
      <c r="P309" s="1998">
        <f>IF(Construction!$F$31=Construction!$R$22,Oeko!CC309,Oeko!EP309)</f>
        <v>1.0285714285714287</v>
      </c>
      <c r="Q309" s="1998">
        <f>IF(Construction!$F$31=Construction!$R$22,Oeko!CD309,Oeko!EQ309)</f>
        <v>1.0285714285714287</v>
      </c>
      <c r="R309" s="1998">
        <f>IF(Construction!$F$31=Construction!$R$22,Oeko!CE309,Oeko!ER309)</f>
        <v>1.0285714285714287</v>
      </c>
      <c r="S309" s="1979">
        <f>IF(Construction!$F$31=Construction!$R$22,Oeko!CF309,Oeko!ES309)</f>
        <v>1.3125000000000002</v>
      </c>
      <c r="T309" s="1979">
        <f>IF(Construction!$F$31=Construction!$R$22,Oeko!CG309,Oeko!ET309)</f>
        <v>1.3125000000000002</v>
      </c>
      <c r="U309" s="1979">
        <f>IF(Construction!$F$31=Construction!$R$22,Oeko!CH309,Oeko!EU309)</f>
        <v>1.3125000000000002</v>
      </c>
      <c r="V309" s="1979">
        <f>IF(Construction!$F$31=Construction!$R$22,Oeko!CI309,Oeko!EV309)</f>
        <v>1.3125000000000002</v>
      </c>
      <c r="W309" s="1979">
        <f>IF(Construction!$F$31=Construction!$R$22,Oeko!CJ309,Oeko!EW309)</f>
        <v>1.3125000000000002</v>
      </c>
      <c r="X309" s="1998">
        <f>IF(Construction!$F$31=Construction!$R$22,Oeko!CK309,Oeko!EX309)</f>
        <v>0.99999999999999989</v>
      </c>
      <c r="Y309" s="1998">
        <f>IF(Construction!$F$31=Construction!$R$22,Oeko!CL309,Oeko!EY309)</f>
        <v>0.99999999999999989</v>
      </c>
      <c r="Z309" s="1998">
        <f>IF(Construction!$F$31=Construction!$R$22,Oeko!CM309,Oeko!EZ309)</f>
        <v>0.99999999999999989</v>
      </c>
      <c r="AA309" s="1998">
        <f>IF(Construction!$F$31=Construction!$R$22,Oeko!CN309,Oeko!FA309)</f>
        <v>0.99999999999999989</v>
      </c>
      <c r="AB309" s="1998">
        <f>IF(Construction!$F$31=Construction!$R$22,Oeko!CO309,Oeko!FB309)</f>
        <v>0.99999999999999989</v>
      </c>
      <c r="AC309" s="1979">
        <f>IF(Construction!$F$31=Construction!$R$22,Oeko!CP309,Oeko!FC309)</f>
        <v>1.0000000000000002</v>
      </c>
      <c r="AD309" s="1979">
        <f>IF(Construction!$F$31=Construction!$R$22,Oeko!CQ309,Oeko!FD309)</f>
        <v>1.0000000000000002</v>
      </c>
      <c r="AE309" s="1979">
        <f>IF(Construction!$F$31=Construction!$R$22,Oeko!CR309,Oeko!FE309)</f>
        <v>1.0000000000000002</v>
      </c>
      <c r="AF309" s="1979">
        <f>IF(Construction!$F$31=Construction!$R$22,Oeko!CS309,Oeko!FF309)</f>
        <v>1.0000000000000002</v>
      </c>
      <c r="AG309" s="1979">
        <f>IF(Construction!$F$31=Construction!$R$22,Oeko!CT309,Oeko!FG309)</f>
        <v>1.0000000000000002</v>
      </c>
      <c r="AH309" s="1998">
        <f>IF(Construction!$F$31=Construction!$R$22,Oeko!CU309,Oeko!FH309)</f>
        <v>1.5</v>
      </c>
      <c r="AI309" s="1998">
        <f>IF(Construction!$F$31=Construction!$R$22,Oeko!CV309,Oeko!FI309)</f>
        <v>1.5</v>
      </c>
      <c r="AJ309" s="1998">
        <f>IF(Construction!$F$31=Construction!$R$22,Oeko!CW309,Oeko!FJ309)</f>
        <v>1.5</v>
      </c>
      <c r="AK309" s="1998">
        <f>IF(Construction!$F$31=Construction!$R$22,Oeko!CX309,Oeko!FK309)</f>
        <v>1.5</v>
      </c>
      <c r="AL309" s="1998">
        <f>IF(Construction!$F$31=Construction!$R$22,Oeko!CY309,Oeko!FL309)</f>
        <v>1.5</v>
      </c>
      <c r="AM309" s="1979">
        <f>IF(Construction!$F$31=Construction!$R$22,Oeko!CZ309,Oeko!FM309)</f>
        <v>1.1428571428571428</v>
      </c>
      <c r="AN309" s="1979">
        <f>IF(Construction!$F$31=Construction!$R$22,Oeko!DA309,Oeko!FN309)</f>
        <v>1.1428571428571428</v>
      </c>
      <c r="AO309" s="1979">
        <f>IF(Construction!$F$31=Construction!$R$22,Oeko!DB309,Oeko!FO309)</f>
        <v>1.1428571428571428</v>
      </c>
      <c r="AP309" s="1979">
        <f>IF(Construction!$F$31=Construction!$R$22,Oeko!DC309,Oeko!FP309)</f>
        <v>1.1428571428571428</v>
      </c>
      <c r="AQ309" s="1979">
        <f>IF(Construction!$F$31=Construction!$R$22,Oeko!DD309,Oeko!FQ309)</f>
        <v>1.1428571428571428</v>
      </c>
      <c r="AR309" s="1998">
        <f>IF(Construction!$F$31=Construction!$R$22,Oeko!DE309,Oeko!FR309)</f>
        <v>12.878175625474475</v>
      </c>
      <c r="AS309" s="1998">
        <f>IF(Construction!$F$31=Construction!$R$22,Oeko!DF309,Oeko!FS309)</f>
        <v>12.878175625474475</v>
      </c>
      <c r="AT309" s="1998">
        <f>IF(Construction!$F$31=Construction!$R$22,Oeko!DG309,Oeko!FT309)</f>
        <v>12.878175625474475</v>
      </c>
      <c r="AU309" s="1998">
        <f>IF(Construction!$F$31=Construction!$R$22,Oeko!DH309,Oeko!FU309)</f>
        <v>12.878175625474475</v>
      </c>
      <c r="AV309" s="1998">
        <f>IF(Construction!$F$31=Construction!$R$22,Oeko!DI309,Oeko!FV309)</f>
        <v>12.878175625474475</v>
      </c>
      <c r="AW309" s="1979">
        <f>IF(Construction!$F$31=Construction!$R$22,Oeko!DJ309,Oeko!FW309)</f>
        <v>12.852649866938734</v>
      </c>
      <c r="AX309" s="1979">
        <f>IF(Construction!$F$31=Construction!$R$22,Oeko!DK309,Oeko!FX309)</f>
        <v>12.852649866938734</v>
      </c>
      <c r="AY309" s="1979">
        <f>IF(Construction!$F$31=Construction!$R$22,Oeko!DL309,Oeko!FY309)</f>
        <v>12.852649866938734</v>
      </c>
      <c r="AZ309" s="1979">
        <f>IF(Construction!$F$31=Construction!$R$22,Oeko!DM309,Oeko!FZ309)</f>
        <v>12.852649866938734</v>
      </c>
      <c r="BA309" s="1979">
        <f>IF(Construction!$F$31=Construction!$R$22,Oeko!DN309,Oeko!GA309)</f>
        <v>12.852649866938734</v>
      </c>
      <c r="BB309" s="1998">
        <f>IF(Construction!$F$31=Construction!$R$22,Oeko!DO309,Oeko!GB309)</f>
        <v>0.97975662301212196</v>
      </c>
      <c r="BC309" s="1998">
        <f>IF(Construction!$F$31=Construction!$R$22,Oeko!DP309,Oeko!GC309)</f>
        <v>0.97975662301212196</v>
      </c>
      <c r="BD309" s="1998">
        <f>IF(Construction!$F$31=Construction!$R$22,Oeko!DQ309,Oeko!GD309)</f>
        <v>0.97975662301212196</v>
      </c>
      <c r="BE309" s="1998">
        <f>IF(Construction!$F$31=Construction!$R$22,Oeko!DR309,Oeko!GE309)</f>
        <v>0.97975662301212196</v>
      </c>
      <c r="BF309" s="1998">
        <f>IF(Construction!$F$31=Construction!$R$22,Oeko!DS309,Oeko!GF309)</f>
        <v>0.97975662301212196</v>
      </c>
      <c r="BG309" s="1979">
        <f>IF(Construction!$F$31=Construction!$R$22,Oeko!DT309,Oeko!GG309)</f>
        <v>0.9761487634781606</v>
      </c>
      <c r="BH309" s="1979">
        <f>IF(Construction!$F$31=Construction!$R$22,Oeko!DU309,Oeko!GH309)</f>
        <v>0.9761487634781606</v>
      </c>
      <c r="BI309" s="1979">
        <f>IF(Construction!$F$31=Construction!$R$22,Oeko!DV309,Oeko!GI309)</f>
        <v>0.9761487634781606</v>
      </c>
      <c r="BJ309" s="1979">
        <f>IF(Construction!$F$31=Construction!$R$22,Oeko!DW309,Oeko!GJ309)</f>
        <v>0.9761487634781606</v>
      </c>
      <c r="BK309" s="2021">
        <f>IF(Construction!$F$31=Construction!$R$22,Oeko!DX309,Oeko!GK309)</f>
        <v>0.9761487634781606</v>
      </c>
      <c r="BN309" s="2022"/>
      <c r="BO309" s="2">
        <v>3</v>
      </c>
      <c r="BP309" s="2" t="s">
        <v>4329</v>
      </c>
      <c r="BQ309" s="1998">
        <v>1.09375</v>
      </c>
      <c r="BR309" s="1998">
        <v>1.0606060606060606</v>
      </c>
      <c r="BS309" s="1998">
        <v>1.0606060606060606</v>
      </c>
      <c r="BT309" s="1998">
        <v>1.0606060606060606</v>
      </c>
      <c r="BU309" s="1998">
        <v>1.0606060606060606</v>
      </c>
      <c r="BV309" s="1979">
        <v>1.5</v>
      </c>
      <c r="BW309" s="1979">
        <v>1.5</v>
      </c>
      <c r="BX309" s="1979">
        <v>1.5</v>
      </c>
      <c r="BY309" s="1979">
        <v>1.5</v>
      </c>
      <c r="BZ309" s="1979">
        <v>1.5</v>
      </c>
      <c r="CA309" s="1998">
        <v>1.0285714285714287</v>
      </c>
      <c r="CB309" s="1998">
        <v>1.0285714285714287</v>
      </c>
      <c r="CC309" s="1998">
        <v>1.0285714285714287</v>
      </c>
      <c r="CD309" s="1998">
        <v>1.0285714285714287</v>
      </c>
      <c r="CE309" s="1998">
        <v>1.0285714285714287</v>
      </c>
      <c r="CF309" s="1979">
        <v>1.3125000000000002</v>
      </c>
      <c r="CG309" s="1979">
        <v>1.3125000000000002</v>
      </c>
      <c r="CH309" s="1979">
        <v>1.3125000000000002</v>
      </c>
      <c r="CI309" s="1979">
        <v>1.3125000000000002</v>
      </c>
      <c r="CJ309" s="1979">
        <v>1.3125000000000002</v>
      </c>
      <c r="CK309" s="1998">
        <v>0.99999999999999989</v>
      </c>
      <c r="CL309" s="1998">
        <v>0.99999999999999989</v>
      </c>
      <c r="CM309" s="1998">
        <v>0.99999999999999989</v>
      </c>
      <c r="CN309" s="1998">
        <v>0.99999999999999989</v>
      </c>
      <c r="CO309" s="1998">
        <v>0.99999999999999989</v>
      </c>
      <c r="CP309" s="1979">
        <v>1.0000000000000002</v>
      </c>
      <c r="CQ309" s="1979">
        <v>1.0000000000000002</v>
      </c>
      <c r="CR309" s="1979">
        <v>1.0000000000000002</v>
      </c>
      <c r="CS309" s="1979">
        <v>1.0000000000000002</v>
      </c>
      <c r="CT309" s="1979">
        <v>1.0000000000000002</v>
      </c>
      <c r="CU309" s="1998">
        <v>1.5</v>
      </c>
      <c r="CV309" s="1998">
        <v>1.5</v>
      </c>
      <c r="CW309" s="1998">
        <v>1.5</v>
      </c>
      <c r="CX309" s="1998">
        <v>1.5</v>
      </c>
      <c r="CY309" s="1998">
        <v>1.5</v>
      </c>
      <c r="CZ309" s="1979">
        <v>1.1428571428571428</v>
      </c>
      <c r="DA309" s="1979">
        <v>1.1428571428571428</v>
      </c>
      <c r="DB309" s="1979">
        <v>1.1428571428571428</v>
      </c>
      <c r="DC309" s="1979">
        <v>1.1428571428571428</v>
      </c>
      <c r="DD309" s="1979">
        <v>1.1428571428571428</v>
      </c>
      <c r="DE309" s="1998">
        <v>12.878175625474475</v>
      </c>
      <c r="DF309" s="1998">
        <v>12.878175625474475</v>
      </c>
      <c r="DG309" s="1998">
        <v>12.878175625474475</v>
      </c>
      <c r="DH309" s="1998">
        <v>12.878175625474475</v>
      </c>
      <c r="DI309" s="1998">
        <v>12.878175625474475</v>
      </c>
      <c r="DJ309" s="1979">
        <v>12.852649866938734</v>
      </c>
      <c r="DK309" s="1979">
        <v>12.852649866938734</v>
      </c>
      <c r="DL309" s="1979">
        <v>12.852649866938734</v>
      </c>
      <c r="DM309" s="1979">
        <v>12.852649866938734</v>
      </c>
      <c r="DN309" s="1979">
        <v>12.852649866938734</v>
      </c>
      <c r="DO309" s="1998">
        <v>0.97975662301212196</v>
      </c>
      <c r="DP309" s="1998">
        <v>0.97975662301212196</v>
      </c>
      <c r="DQ309" s="1998">
        <v>0.97975662301212196</v>
      </c>
      <c r="DR309" s="1998">
        <v>0.97975662301212196</v>
      </c>
      <c r="DS309" s="1998">
        <v>0.97975662301212196</v>
      </c>
      <c r="DT309" s="1979">
        <v>0.9761487634781606</v>
      </c>
      <c r="DU309" s="1979">
        <v>0.9761487634781606</v>
      </c>
      <c r="DV309" s="1979">
        <v>0.9761487634781606</v>
      </c>
      <c r="DW309" s="1979">
        <v>0.9761487634781606</v>
      </c>
      <c r="DX309" s="1979">
        <v>0.9761487634781606</v>
      </c>
      <c r="EA309" s="1997"/>
      <c r="EB309" s="2">
        <v>3</v>
      </c>
      <c r="EC309" s="2" t="s">
        <v>4329</v>
      </c>
      <c r="ED309" s="1998">
        <v>1.4765287570396433</v>
      </c>
      <c r="EE309" s="1998">
        <v>1.4841669057648597</v>
      </c>
      <c r="EF309" s="1998">
        <v>1.5196573825415771</v>
      </c>
      <c r="EG309" s="1998">
        <v>1.5626458473697136</v>
      </c>
      <c r="EH309" s="1998">
        <v>1.6003857205618572</v>
      </c>
      <c r="EI309" s="1979">
        <v>2.3893824218482873</v>
      </c>
      <c r="EJ309" s="1979">
        <v>2.4391519242513073</v>
      </c>
      <c r="EK309" s="1979">
        <v>2.5046864821030117</v>
      </c>
      <c r="EL309" s="1979">
        <v>2.5808253373417225</v>
      </c>
      <c r="EM309" s="1979">
        <v>2.6322208320107503</v>
      </c>
      <c r="EN309" s="1998">
        <v>1.4779876114312971</v>
      </c>
      <c r="EO309" s="1998">
        <v>1.5127293095373018</v>
      </c>
      <c r="EP309" s="1998">
        <v>1.5143452024724648</v>
      </c>
      <c r="EQ309" s="1998">
        <v>1.5159610954076279</v>
      </c>
      <c r="ER309" s="1998">
        <v>1.5175769883427908</v>
      </c>
      <c r="ES309" s="1979">
        <v>1.9588584364815516</v>
      </c>
      <c r="ET309" s="1979">
        <v>2.0026011632029563</v>
      </c>
      <c r="EU309" s="1979">
        <v>2.0052522375497084</v>
      </c>
      <c r="EV309" s="1979">
        <v>2.00790331189646</v>
      </c>
      <c r="EW309" s="1979">
        <v>2.0105543862432116</v>
      </c>
      <c r="EX309" s="1998">
        <v>1.4897912877110848</v>
      </c>
      <c r="EY309" s="1998">
        <v>1.5223111330312402</v>
      </c>
      <c r="EZ309" s="1998">
        <v>1.5251389456677755</v>
      </c>
      <c r="FA309" s="1998">
        <v>1.5279667583043106</v>
      </c>
      <c r="FB309" s="1998">
        <v>1.5307945709408459</v>
      </c>
      <c r="FC309" s="1979">
        <v>1.4096727574885568</v>
      </c>
      <c r="FD309" s="1979">
        <v>1.4367726285886864</v>
      </c>
      <c r="FE309" s="1979">
        <v>1.4391291391191323</v>
      </c>
      <c r="FF309" s="1979">
        <v>1.4414856496495783</v>
      </c>
      <c r="FG309" s="1979">
        <v>1.4438421601800242</v>
      </c>
      <c r="FH309" s="1998">
        <v>2.7389354113819988</v>
      </c>
      <c r="FI309" s="1998">
        <v>2.7424701771776676</v>
      </c>
      <c r="FJ309" s="1998">
        <v>2.7460049429733369</v>
      </c>
      <c r="FK309" s="1998">
        <v>2.7495397087690061</v>
      </c>
      <c r="FL309" s="1998">
        <v>2.7530744745646749</v>
      </c>
      <c r="FM309" s="1979">
        <v>1.5853155600536886</v>
      </c>
      <c r="FN309" s="1979">
        <v>1.6108466684292639</v>
      </c>
      <c r="FO309" s="1979">
        <v>1.6512170602594194</v>
      </c>
      <c r="FP309" s="1979">
        <v>1.6996669167653895</v>
      </c>
      <c r="FQ309" s="1979">
        <v>1.7386907311495763</v>
      </c>
      <c r="FR309" s="1998">
        <v>20.471323927588298</v>
      </c>
      <c r="FS309" s="1998">
        <v>20.494084594944074</v>
      </c>
      <c r="FT309" s="1998">
        <v>20.516845262299846</v>
      </c>
      <c r="FU309" s="1998">
        <v>20.539605929655618</v>
      </c>
      <c r="FV309" s="1998">
        <v>20.562366597011394</v>
      </c>
      <c r="FW309" s="1979">
        <v>20.692923180479251</v>
      </c>
      <c r="FX309" s="1979">
        <v>20.715638734045935</v>
      </c>
      <c r="FY309" s="1979">
        <v>20.738354287612616</v>
      </c>
      <c r="FZ309" s="1979">
        <v>20.7610698411793</v>
      </c>
      <c r="GA309" s="1979">
        <v>20.783785394745983</v>
      </c>
      <c r="GB309" s="1998">
        <v>1.399670859653416</v>
      </c>
      <c r="GC309" s="1998">
        <v>1.4014024647529677</v>
      </c>
      <c r="GD309" s="1998">
        <v>1.4031340698525196</v>
      </c>
      <c r="GE309" s="1998">
        <v>1.4048656749520712</v>
      </c>
      <c r="GF309" s="1998">
        <v>1.4083288851511746</v>
      </c>
      <c r="GG309" s="1979">
        <v>1.4247082073597006</v>
      </c>
      <c r="GH309" s="1979">
        <v>1.427008512200119</v>
      </c>
      <c r="GI309" s="1979">
        <v>1.4293088170405372</v>
      </c>
      <c r="GJ309" s="1979">
        <v>1.4316091218809552</v>
      </c>
      <c r="GK309" s="1979">
        <v>1.4362097315617917</v>
      </c>
    </row>
    <row r="310" spans="1:193">
      <c r="A310" s="2020"/>
      <c r="B310" s="2">
        <v>4</v>
      </c>
      <c r="C310" s="2" t="s">
        <v>4330</v>
      </c>
      <c r="D310" s="1998">
        <f>IF(Construction!$F$31=Construction!$R$22,Oeko!BQ310,Oeko!ED310)</f>
        <v>1.09375</v>
      </c>
      <c r="E310" s="1998">
        <f>IF(Construction!$F$31=Construction!$R$22,Oeko!BR310,Oeko!EE310)</f>
        <v>1.0606060606060606</v>
      </c>
      <c r="F310" s="1998">
        <f>IF(Construction!$F$31=Construction!$R$22,Oeko!BS310,Oeko!EF310)</f>
        <v>1.0606060606060606</v>
      </c>
      <c r="G310" s="1998">
        <f>IF(Construction!$F$31=Construction!$R$22,Oeko!BT310,Oeko!EG310)</f>
        <v>1.0606060606060606</v>
      </c>
      <c r="H310" s="1998">
        <f>IF(Construction!$F$31=Construction!$R$22,Oeko!BU310,Oeko!EH310)</f>
        <v>1.0606060606060606</v>
      </c>
      <c r="I310" s="1979">
        <f>IF(Construction!$F$31=Construction!$R$22,Oeko!BV310,Oeko!EI310)</f>
        <v>1.5</v>
      </c>
      <c r="J310" s="1979">
        <f>IF(Construction!$F$31=Construction!$R$22,Oeko!BW310,Oeko!EJ310)</f>
        <v>1.5</v>
      </c>
      <c r="K310" s="1979">
        <f>IF(Construction!$F$31=Construction!$R$22,Oeko!BX310,Oeko!EK310)</f>
        <v>1.5</v>
      </c>
      <c r="L310" s="1979">
        <f>IF(Construction!$F$31=Construction!$R$22,Oeko!BY310,Oeko!EL310)</f>
        <v>1.5</v>
      </c>
      <c r="M310" s="1979">
        <f>IF(Construction!$F$31=Construction!$R$22,Oeko!BZ310,Oeko!EM310)</f>
        <v>1.5</v>
      </c>
      <c r="N310" s="1998">
        <f>IF(Construction!$F$31=Construction!$R$22,Oeko!CA310,Oeko!EN310)</f>
        <v>1.0158730158730158</v>
      </c>
      <c r="O310" s="1998">
        <f>IF(Construction!$F$31=Construction!$R$22,Oeko!CB310,Oeko!EO310)</f>
        <v>1.0158730158730158</v>
      </c>
      <c r="P310" s="1998">
        <f>IF(Construction!$F$31=Construction!$R$22,Oeko!CC310,Oeko!EP310)</f>
        <v>1.0158730158730158</v>
      </c>
      <c r="Q310" s="1998">
        <f>IF(Construction!$F$31=Construction!$R$22,Oeko!CD310,Oeko!EQ310)</f>
        <v>1.0158730158730158</v>
      </c>
      <c r="R310" s="1998">
        <f>IF(Construction!$F$31=Construction!$R$22,Oeko!CE310,Oeko!ER310)</f>
        <v>1.0158730158730158</v>
      </c>
      <c r="S310" s="1979">
        <f>IF(Construction!$F$31=Construction!$R$22,Oeko!CF310,Oeko!ES310)</f>
        <v>1.25</v>
      </c>
      <c r="T310" s="1979">
        <f>IF(Construction!$F$31=Construction!$R$22,Oeko!CG310,Oeko!ET310)</f>
        <v>1.25</v>
      </c>
      <c r="U310" s="1979">
        <f>IF(Construction!$F$31=Construction!$R$22,Oeko!CH310,Oeko!EU310)</f>
        <v>1.25</v>
      </c>
      <c r="V310" s="1979">
        <f>IF(Construction!$F$31=Construction!$R$22,Oeko!CI310,Oeko!EV310)</f>
        <v>1.25</v>
      </c>
      <c r="W310" s="1979">
        <f>IF(Construction!$F$31=Construction!$R$22,Oeko!CJ310,Oeko!EW310)</f>
        <v>1.25</v>
      </c>
      <c r="X310" s="1998">
        <f>IF(Construction!$F$31=Construction!$R$22,Oeko!CK310,Oeko!EX310)</f>
        <v>0.99999999999999989</v>
      </c>
      <c r="Y310" s="1998">
        <f>IF(Construction!$F$31=Construction!$R$22,Oeko!CL310,Oeko!EY310)</f>
        <v>0.99999999999999989</v>
      </c>
      <c r="Z310" s="1998">
        <f>IF(Construction!$F$31=Construction!$R$22,Oeko!CM310,Oeko!EZ310)</f>
        <v>0.99999999999999989</v>
      </c>
      <c r="AA310" s="1998">
        <f>IF(Construction!$F$31=Construction!$R$22,Oeko!CN310,Oeko!FA310)</f>
        <v>0.99999999999999989</v>
      </c>
      <c r="AB310" s="1998">
        <f>IF(Construction!$F$31=Construction!$R$22,Oeko!CO310,Oeko!FB310)</f>
        <v>0.99999999999999989</v>
      </c>
      <c r="AC310" s="1979">
        <f>IF(Construction!$F$31=Construction!$R$22,Oeko!CP310,Oeko!FC310)</f>
        <v>1.0000000000000002</v>
      </c>
      <c r="AD310" s="1979">
        <f>IF(Construction!$F$31=Construction!$R$22,Oeko!CQ310,Oeko!FD310)</f>
        <v>1.0000000000000002</v>
      </c>
      <c r="AE310" s="1979">
        <f>IF(Construction!$F$31=Construction!$R$22,Oeko!CR310,Oeko!FE310)</f>
        <v>1.0000000000000002</v>
      </c>
      <c r="AF310" s="1979">
        <f>IF(Construction!$F$31=Construction!$R$22,Oeko!CS310,Oeko!FF310)</f>
        <v>1.0000000000000002</v>
      </c>
      <c r="AG310" s="1979">
        <f>IF(Construction!$F$31=Construction!$R$22,Oeko!CT310,Oeko!FG310)</f>
        <v>1.0000000000000002</v>
      </c>
      <c r="AH310" s="1998">
        <f>IF(Construction!$F$31=Construction!$R$22,Oeko!CU310,Oeko!FH310)</f>
        <v>1.3333333333333333</v>
      </c>
      <c r="AI310" s="1998">
        <f>IF(Construction!$F$31=Construction!$R$22,Oeko!CV310,Oeko!FI310)</f>
        <v>1.3333333333333333</v>
      </c>
      <c r="AJ310" s="1998">
        <f>IF(Construction!$F$31=Construction!$R$22,Oeko!CW310,Oeko!FJ310)</f>
        <v>1.3333333333333333</v>
      </c>
      <c r="AK310" s="1998">
        <f>IF(Construction!$F$31=Construction!$R$22,Oeko!CX310,Oeko!FK310)</f>
        <v>1.3333333333333333</v>
      </c>
      <c r="AL310" s="1998">
        <f>IF(Construction!$F$31=Construction!$R$22,Oeko!CY310,Oeko!FL310)</f>
        <v>1.3333333333333333</v>
      </c>
      <c r="AM310" s="1979">
        <f>IF(Construction!$F$31=Construction!$R$22,Oeko!CZ310,Oeko!FM310)</f>
        <v>1.1428571428571428</v>
      </c>
      <c r="AN310" s="1979">
        <f>IF(Construction!$F$31=Construction!$R$22,Oeko!DA310,Oeko!FN310)</f>
        <v>1.1428571428571428</v>
      </c>
      <c r="AO310" s="1979">
        <f>IF(Construction!$F$31=Construction!$R$22,Oeko!DB310,Oeko!FO310)</f>
        <v>1.1428571428571428</v>
      </c>
      <c r="AP310" s="1979">
        <f>IF(Construction!$F$31=Construction!$R$22,Oeko!DC310,Oeko!FP310)</f>
        <v>1.1428571428571428</v>
      </c>
      <c r="AQ310" s="1979">
        <f>IF(Construction!$F$31=Construction!$R$22,Oeko!DD310,Oeko!FQ310)</f>
        <v>1.1428571428571428</v>
      </c>
      <c r="AR310" s="1998">
        <f>IF(Construction!$F$31=Construction!$R$22,Oeko!DE310,Oeko!FR310)</f>
        <v>12.073289648882321</v>
      </c>
      <c r="AS310" s="1998">
        <f>IF(Construction!$F$31=Construction!$R$22,Oeko!DF310,Oeko!FS310)</f>
        <v>12.073289648882321</v>
      </c>
      <c r="AT310" s="1998">
        <f>IF(Construction!$F$31=Construction!$R$22,Oeko!DG310,Oeko!FT310)</f>
        <v>12.073289648882321</v>
      </c>
      <c r="AU310" s="1998">
        <f>IF(Construction!$F$31=Construction!$R$22,Oeko!DH310,Oeko!FU310)</f>
        <v>12.073289648882321</v>
      </c>
      <c r="AV310" s="1998">
        <f>IF(Construction!$F$31=Construction!$R$22,Oeko!DI310,Oeko!FV310)</f>
        <v>12.073289648882321</v>
      </c>
      <c r="AW310" s="1979">
        <f>IF(Construction!$F$31=Construction!$R$22,Oeko!DJ310,Oeko!FW310)</f>
        <v>12.049359250255064</v>
      </c>
      <c r="AX310" s="1979">
        <f>IF(Construction!$F$31=Construction!$R$22,Oeko!DK310,Oeko!FX310)</f>
        <v>12.049359250255064</v>
      </c>
      <c r="AY310" s="1979">
        <f>IF(Construction!$F$31=Construction!$R$22,Oeko!DL310,Oeko!FY310)</f>
        <v>12.049359250255064</v>
      </c>
      <c r="AZ310" s="1979">
        <f>IF(Construction!$F$31=Construction!$R$22,Oeko!DM310,Oeko!FZ310)</f>
        <v>12.049359250255064</v>
      </c>
      <c r="BA310" s="1979">
        <f>IF(Construction!$F$31=Construction!$R$22,Oeko!DN310,Oeko!GA310)</f>
        <v>12.049359250255064</v>
      </c>
      <c r="BB310" s="1998">
        <f>IF(Construction!$F$31=Construction!$R$22,Oeko!DO310,Oeko!GB310)</f>
        <v>0.97975662301212196</v>
      </c>
      <c r="BC310" s="1998">
        <f>IF(Construction!$F$31=Construction!$R$22,Oeko!DP310,Oeko!GC310)</f>
        <v>0.97975662301212196</v>
      </c>
      <c r="BD310" s="1998">
        <f>IF(Construction!$F$31=Construction!$R$22,Oeko!DQ310,Oeko!GD310)</f>
        <v>0.97975662301212196</v>
      </c>
      <c r="BE310" s="1998">
        <f>IF(Construction!$F$31=Construction!$R$22,Oeko!DR310,Oeko!GE310)</f>
        <v>0.97975662301212196</v>
      </c>
      <c r="BF310" s="1998">
        <f>IF(Construction!$F$31=Construction!$R$22,Oeko!DS310,Oeko!GF310)</f>
        <v>0.97975662301212196</v>
      </c>
      <c r="BG310" s="1979">
        <f>IF(Construction!$F$31=Construction!$R$22,Oeko!DT310,Oeko!GG310)</f>
        <v>0.9761487634781606</v>
      </c>
      <c r="BH310" s="1979">
        <f>IF(Construction!$F$31=Construction!$R$22,Oeko!DU310,Oeko!GH310)</f>
        <v>0.9761487634781606</v>
      </c>
      <c r="BI310" s="1979">
        <f>IF(Construction!$F$31=Construction!$R$22,Oeko!DV310,Oeko!GI310)</f>
        <v>0.9761487634781606</v>
      </c>
      <c r="BJ310" s="1979">
        <f>IF(Construction!$F$31=Construction!$R$22,Oeko!DW310,Oeko!GJ310)</f>
        <v>0.9761487634781606</v>
      </c>
      <c r="BK310" s="2021">
        <f>IF(Construction!$F$31=Construction!$R$22,Oeko!DX310,Oeko!GK310)</f>
        <v>0.9761487634781606</v>
      </c>
      <c r="BN310" s="2022"/>
      <c r="BO310" s="2">
        <v>4</v>
      </c>
      <c r="BP310" s="2" t="s">
        <v>4330</v>
      </c>
      <c r="BQ310" s="1998">
        <v>1.09375</v>
      </c>
      <c r="BR310" s="1998">
        <v>1.0606060606060606</v>
      </c>
      <c r="BS310" s="1998">
        <v>1.0606060606060606</v>
      </c>
      <c r="BT310" s="1998">
        <v>1.0606060606060606</v>
      </c>
      <c r="BU310" s="1998">
        <v>1.0606060606060606</v>
      </c>
      <c r="BV310" s="1979">
        <v>1.5</v>
      </c>
      <c r="BW310" s="1979">
        <v>1.5</v>
      </c>
      <c r="BX310" s="1979">
        <v>1.5</v>
      </c>
      <c r="BY310" s="1979">
        <v>1.5</v>
      </c>
      <c r="BZ310" s="1979">
        <v>1.5</v>
      </c>
      <c r="CA310" s="1998">
        <v>1.0158730158730158</v>
      </c>
      <c r="CB310" s="1998">
        <v>1.0158730158730158</v>
      </c>
      <c r="CC310" s="1998">
        <v>1.0158730158730158</v>
      </c>
      <c r="CD310" s="1998">
        <v>1.0158730158730158</v>
      </c>
      <c r="CE310" s="1998">
        <v>1.0158730158730158</v>
      </c>
      <c r="CF310" s="1979">
        <v>1.25</v>
      </c>
      <c r="CG310" s="1979">
        <v>1.25</v>
      </c>
      <c r="CH310" s="1979">
        <v>1.25</v>
      </c>
      <c r="CI310" s="1979">
        <v>1.25</v>
      </c>
      <c r="CJ310" s="1979">
        <v>1.25</v>
      </c>
      <c r="CK310" s="1998">
        <v>0.99999999999999989</v>
      </c>
      <c r="CL310" s="1998">
        <v>0.99999999999999989</v>
      </c>
      <c r="CM310" s="1998">
        <v>0.99999999999999989</v>
      </c>
      <c r="CN310" s="1998">
        <v>0.99999999999999989</v>
      </c>
      <c r="CO310" s="1998">
        <v>0.99999999999999989</v>
      </c>
      <c r="CP310" s="1979">
        <v>1.0000000000000002</v>
      </c>
      <c r="CQ310" s="1979">
        <v>1.0000000000000002</v>
      </c>
      <c r="CR310" s="1979">
        <v>1.0000000000000002</v>
      </c>
      <c r="CS310" s="1979">
        <v>1.0000000000000002</v>
      </c>
      <c r="CT310" s="1979">
        <v>1.0000000000000002</v>
      </c>
      <c r="CU310" s="1998">
        <v>1.3333333333333333</v>
      </c>
      <c r="CV310" s="1998">
        <v>1.3333333333333333</v>
      </c>
      <c r="CW310" s="1998">
        <v>1.3333333333333333</v>
      </c>
      <c r="CX310" s="1998">
        <v>1.3333333333333333</v>
      </c>
      <c r="CY310" s="1998">
        <v>1.3333333333333333</v>
      </c>
      <c r="CZ310" s="1979">
        <v>1.1428571428571428</v>
      </c>
      <c r="DA310" s="1979">
        <v>1.1428571428571428</v>
      </c>
      <c r="DB310" s="1979">
        <v>1.1428571428571428</v>
      </c>
      <c r="DC310" s="1979">
        <v>1.1428571428571428</v>
      </c>
      <c r="DD310" s="1979">
        <v>1.1428571428571428</v>
      </c>
      <c r="DE310" s="1998">
        <v>12.073289648882321</v>
      </c>
      <c r="DF310" s="1998">
        <v>12.073289648882321</v>
      </c>
      <c r="DG310" s="1998">
        <v>12.073289648882321</v>
      </c>
      <c r="DH310" s="1998">
        <v>12.073289648882321</v>
      </c>
      <c r="DI310" s="1998">
        <v>12.073289648882321</v>
      </c>
      <c r="DJ310" s="1979">
        <v>12.049359250255064</v>
      </c>
      <c r="DK310" s="1979">
        <v>12.049359250255064</v>
      </c>
      <c r="DL310" s="1979">
        <v>12.049359250255064</v>
      </c>
      <c r="DM310" s="1979">
        <v>12.049359250255064</v>
      </c>
      <c r="DN310" s="1979">
        <v>12.049359250255064</v>
      </c>
      <c r="DO310" s="1998">
        <v>0.97975662301212196</v>
      </c>
      <c r="DP310" s="1998">
        <v>0.97975662301212196</v>
      </c>
      <c r="DQ310" s="1998">
        <v>0.97975662301212196</v>
      </c>
      <c r="DR310" s="1998">
        <v>0.97975662301212196</v>
      </c>
      <c r="DS310" s="1998">
        <v>0.97975662301212196</v>
      </c>
      <c r="DT310" s="1979">
        <v>0.9761487634781606</v>
      </c>
      <c r="DU310" s="1979">
        <v>0.9761487634781606</v>
      </c>
      <c r="DV310" s="1979">
        <v>0.9761487634781606</v>
      </c>
      <c r="DW310" s="1979">
        <v>0.9761487634781606</v>
      </c>
      <c r="DX310" s="1979">
        <v>0.9761487634781606</v>
      </c>
      <c r="EA310" s="1997"/>
      <c r="EB310" s="2">
        <v>4</v>
      </c>
      <c r="EC310" s="2" t="s">
        <v>4330</v>
      </c>
      <c r="ED310" s="1998">
        <v>1.4765287570396433</v>
      </c>
      <c r="EE310" s="1998">
        <v>1.489126949827341</v>
      </c>
      <c r="EF310" s="1998">
        <v>1.5250198186294848</v>
      </c>
      <c r="EG310" s="1998">
        <v>1.5684106754830469</v>
      </c>
      <c r="EH310" s="1998">
        <v>1.6065529407006167</v>
      </c>
      <c r="EI310" s="1979">
        <v>2.4125351378099191</v>
      </c>
      <c r="EJ310" s="1979">
        <v>2.4632943746357268</v>
      </c>
      <c r="EK310" s="1979">
        <v>2.5293237996988247</v>
      </c>
      <c r="EL310" s="1979">
        <v>2.6059575221489291</v>
      </c>
      <c r="EM310" s="1979">
        <v>2.6578478840293509</v>
      </c>
      <c r="EN310" s="1998">
        <v>1.4816474215465181</v>
      </c>
      <c r="EO310" s="1998">
        <v>1.5157607168444034</v>
      </c>
      <c r="EP310" s="1998">
        <v>1.5175561534390292</v>
      </c>
      <c r="EQ310" s="1998">
        <v>1.5193515900336545</v>
      </c>
      <c r="ER310" s="1998">
        <v>1.5211470266282801</v>
      </c>
      <c r="ES310" s="1979">
        <v>1.923196145785169</v>
      </c>
      <c r="ET310" s="1979">
        <v>1.9638459524353631</v>
      </c>
      <c r="EU310" s="1979">
        <v>1.9673807182310321</v>
      </c>
      <c r="EV310" s="1979">
        <v>1.9709154840267014</v>
      </c>
      <c r="EW310" s="1979">
        <v>1.9744502498223702</v>
      </c>
      <c r="EX310" s="1998">
        <v>1.5037606821355687</v>
      </c>
      <c r="EY310" s="1998">
        <v>1.5362805274557241</v>
      </c>
      <c r="EZ310" s="1998">
        <v>1.5391083400922596</v>
      </c>
      <c r="FA310" s="1998">
        <v>1.5419361527287947</v>
      </c>
      <c r="FB310" s="1998">
        <v>1.54476396536533</v>
      </c>
      <c r="FC310" s="1979">
        <v>1.4273390456332045</v>
      </c>
      <c r="FD310" s="1979">
        <v>1.4527893593620216</v>
      </c>
      <c r="FE310" s="1979">
        <v>1.4556171719985567</v>
      </c>
      <c r="FF310" s="1979">
        <v>1.4584449846350922</v>
      </c>
      <c r="FG310" s="1979">
        <v>1.4612727972716275</v>
      </c>
      <c r="FH310" s="1998">
        <v>2.635109025527226</v>
      </c>
      <c r="FI310" s="1998">
        <v>2.6398220465881184</v>
      </c>
      <c r="FJ310" s="1998">
        <v>2.6445350676490103</v>
      </c>
      <c r="FK310" s="1998">
        <v>2.6492480887099026</v>
      </c>
      <c r="FL310" s="1998">
        <v>2.6539611097707945</v>
      </c>
      <c r="FM310" s="1979">
        <v>1.5984222471944554</v>
      </c>
      <c r="FN310" s="1979">
        <v>1.6244560778165256</v>
      </c>
      <c r="FO310" s="1979">
        <v>1.6650778307699285</v>
      </c>
      <c r="FP310" s="1979">
        <v>1.7137790483991464</v>
      </c>
      <c r="FQ310" s="1979">
        <v>1.7530542239065805</v>
      </c>
      <c r="FR310" s="1998">
        <v>19.987600450997501</v>
      </c>
      <c r="FS310" s="1998">
        <v>20.016051285192219</v>
      </c>
      <c r="FT310" s="1998">
        <v>20.044502119386934</v>
      </c>
      <c r="FU310" s="1998">
        <v>20.072952953581648</v>
      </c>
      <c r="FV310" s="1998">
        <v>20.101403787776366</v>
      </c>
      <c r="FW310" s="1979">
        <v>20.281313608866807</v>
      </c>
      <c r="FX310" s="1979">
        <v>20.309708050825158</v>
      </c>
      <c r="FY310" s="1979">
        <v>20.338102492783516</v>
      </c>
      <c r="FZ310" s="1979">
        <v>20.366496934741868</v>
      </c>
      <c r="GA310" s="1979">
        <v>20.394891376700219</v>
      </c>
      <c r="GB310" s="1998">
        <v>1.4037112715523701</v>
      </c>
      <c r="GC310" s="1998">
        <v>1.4054428766519216</v>
      </c>
      <c r="GD310" s="1998">
        <v>1.4071744817514733</v>
      </c>
      <c r="GE310" s="1998">
        <v>1.408906086851025</v>
      </c>
      <c r="GF310" s="1998">
        <v>1.4123692970501285</v>
      </c>
      <c r="GG310" s="1979">
        <v>1.4622319300690219</v>
      </c>
      <c r="GH310" s="1979">
        <v>1.4639571586993356</v>
      </c>
      <c r="GI310" s="1979">
        <v>1.4656823873296494</v>
      </c>
      <c r="GJ310" s="1979">
        <v>1.4674076159599627</v>
      </c>
      <c r="GK310" s="1979">
        <v>1.4708580732205903</v>
      </c>
    </row>
    <row r="311" spans="1:193">
      <c r="A311" s="2020"/>
      <c r="B311" s="2">
        <v>5</v>
      </c>
      <c r="C311" s="2" t="s">
        <v>4331</v>
      </c>
      <c r="D311" s="1998">
        <f>IF(Construction!$F$31=Construction!$R$22,Oeko!BQ311,Oeko!ED311)</f>
        <v>1.09375</v>
      </c>
      <c r="E311" s="1998">
        <f>IF(Construction!$F$31=Construction!$R$22,Oeko!BR311,Oeko!EE311)</f>
        <v>1.0606060606060606</v>
      </c>
      <c r="F311" s="1998">
        <f>IF(Construction!$F$31=Construction!$R$22,Oeko!BS311,Oeko!EF311)</f>
        <v>1.0606060606060606</v>
      </c>
      <c r="G311" s="1998">
        <f>IF(Construction!$F$31=Construction!$R$22,Oeko!BT311,Oeko!EG311)</f>
        <v>1.0606060606060606</v>
      </c>
      <c r="H311" s="1998">
        <f>IF(Construction!$F$31=Construction!$R$22,Oeko!BU311,Oeko!EH311)</f>
        <v>1.0606060606060606</v>
      </c>
      <c r="I311" s="1979">
        <f>IF(Construction!$F$31=Construction!$R$22,Oeko!BV311,Oeko!EI311)</f>
        <v>1.4999999999999998</v>
      </c>
      <c r="J311" s="1979">
        <f>IF(Construction!$F$31=Construction!$R$22,Oeko!BW311,Oeko!EJ311)</f>
        <v>1.4999999999999998</v>
      </c>
      <c r="K311" s="1979">
        <f>IF(Construction!$F$31=Construction!$R$22,Oeko!BX311,Oeko!EK311)</f>
        <v>1.4999999999999998</v>
      </c>
      <c r="L311" s="1979">
        <f>IF(Construction!$F$31=Construction!$R$22,Oeko!BY311,Oeko!EL311)</f>
        <v>1.4999999999999998</v>
      </c>
      <c r="M311" s="1979">
        <f>IF(Construction!$F$31=Construction!$R$22,Oeko!BZ311,Oeko!EM311)</f>
        <v>1.4999999999999998</v>
      </c>
      <c r="N311" s="1998">
        <f>IF(Construction!$F$31=Construction!$R$22,Oeko!CA311,Oeko!EN311)</f>
        <v>1.015873015873016</v>
      </c>
      <c r="O311" s="1998">
        <f>IF(Construction!$F$31=Construction!$R$22,Oeko!CB311,Oeko!EO311)</f>
        <v>1.015873015873016</v>
      </c>
      <c r="P311" s="1998">
        <f>IF(Construction!$F$31=Construction!$R$22,Oeko!CC311,Oeko!EP311)</f>
        <v>1.015873015873016</v>
      </c>
      <c r="Q311" s="1998">
        <f>IF(Construction!$F$31=Construction!$R$22,Oeko!CD311,Oeko!EQ311)</f>
        <v>1.015873015873016</v>
      </c>
      <c r="R311" s="1998">
        <f>IF(Construction!$F$31=Construction!$R$22,Oeko!CE311,Oeko!ER311)</f>
        <v>1.015873015873016</v>
      </c>
      <c r="S311" s="1979">
        <f>IF(Construction!$F$31=Construction!$R$22,Oeko!CF311,Oeko!ES311)</f>
        <v>1.25</v>
      </c>
      <c r="T311" s="1979">
        <f>IF(Construction!$F$31=Construction!$R$22,Oeko!CG311,Oeko!ET311)</f>
        <v>1.25</v>
      </c>
      <c r="U311" s="1979">
        <f>IF(Construction!$F$31=Construction!$R$22,Oeko!CH311,Oeko!EU311)</f>
        <v>1.25</v>
      </c>
      <c r="V311" s="1979">
        <f>IF(Construction!$F$31=Construction!$R$22,Oeko!CI311,Oeko!EV311)</f>
        <v>1.25</v>
      </c>
      <c r="W311" s="1979">
        <f>IF(Construction!$F$31=Construction!$R$22,Oeko!CJ311,Oeko!EW311)</f>
        <v>1.25</v>
      </c>
      <c r="X311" s="1998">
        <f>IF(Construction!$F$31=Construction!$R$22,Oeko!CK311,Oeko!EX311)</f>
        <v>1</v>
      </c>
      <c r="Y311" s="1998">
        <f>IF(Construction!$F$31=Construction!$R$22,Oeko!CL311,Oeko!EY311)</f>
        <v>1</v>
      </c>
      <c r="Z311" s="1998">
        <f>IF(Construction!$F$31=Construction!$R$22,Oeko!CM311,Oeko!EZ311)</f>
        <v>1</v>
      </c>
      <c r="AA311" s="1998">
        <f>IF(Construction!$F$31=Construction!$R$22,Oeko!CN311,Oeko!FA311)</f>
        <v>1</v>
      </c>
      <c r="AB311" s="1998">
        <f>IF(Construction!$F$31=Construction!$R$22,Oeko!CO311,Oeko!FB311)</f>
        <v>1</v>
      </c>
      <c r="AC311" s="1979">
        <f>IF(Construction!$F$31=Construction!$R$22,Oeko!CP311,Oeko!FC311)</f>
        <v>1</v>
      </c>
      <c r="AD311" s="1979">
        <f>IF(Construction!$F$31=Construction!$R$22,Oeko!CQ311,Oeko!FD311)</f>
        <v>1</v>
      </c>
      <c r="AE311" s="1979">
        <f>IF(Construction!$F$31=Construction!$R$22,Oeko!CR311,Oeko!FE311)</f>
        <v>1</v>
      </c>
      <c r="AF311" s="1979">
        <f>IF(Construction!$F$31=Construction!$R$22,Oeko!CS311,Oeko!FF311)</f>
        <v>1</v>
      </c>
      <c r="AG311" s="1979">
        <f>IF(Construction!$F$31=Construction!$R$22,Oeko!CT311,Oeko!FG311)</f>
        <v>1</v>
      </c>
      <c r="AH311" s="1998">
        <f>IF(Construction!$F$31=Construction!$R$22,Oeko!CU311,Oeko!FH311)</f>
        <v>1.3333333333333333</v>
      </c>
      <c r="AI311" s="1998">
        <f>IF(Construction!$F$31=Construction!$R$22,Oeko!CV311,Oeko!FI311)</f>
        <v>1.3333333333333333</v>
      </c>
      <c r="AJ311" s="1998">
        <f>IF(Construction!$F$31=Construction!$R$22,Oeko!CW311,Oeko!FJ311)</f>
        <v>1.3333333333333333</v>
      </c>
      <c r="AK311" s="1998">
        <f>IF(Construction!$F$31=Construction!$R$22,Oeko!CX311,Oeko!FK311)</f>
        <v>1.3333333333333333</v>
      </c>
      <c r="AL311" s="1998">
        <f>IF(Construction!$F$31=Construction!$R$22,Oeko!CY311,Oeko!FL311)</f>
        <v>1.3333333333333333</v>
      </c>
      <c r="AM311" s="1979">
        <f>IF(Construction!$F$31=Construction!$R$22,Oeko!CZ311,Oeko!FM311)</f>
        <v>1.0666666666666667</v>
      </c>
      <c r="AN311" s="1979">
        <f>IF(Construction!$F$31=Construction!$R$22,Oeko!DA311,Oeko!FN311)</f>
        <v>1.0666666666666667</v>
      </c>
      <c r="AO311" s="1979">
        <f>IF(Construction!$F$31=Construction!$R$22,Oeko!DB311,Oeko!FO311)</f>
        <v>1.0666666666666667</v>
      </c>
      <c r="AP311" s="1979">
        <f>IF(Construction!$F$31=Construction!$R$22,Oeko!DC311,Oeko!FP311)</f>
        <v>1.0666666666666667</v>
      </c>
      <c r="AQ311" s="1979">
        <f>IF(Construction!$F$31=Construction!$R$22,Oeko!DD311,Oeko!FQ311)</f>
        <v>1.0666666666666667</v>
      </c>
      <c r="AR311" s="1998">
        <f>IF(Construction!$F$31=Construction!$R$22,Oeko!DE311,Oeko!FR311)</f>
        <v>12.073289648882321</v>
      </c>
      <c r="AS311" s="1998">
        <f>IF(Construction!$F$31=Construction!$R$22,Oeko!DF311,Oeko!FS311)</f>
        <v>12.073289648882321</v>
      </c>
      <c r="AT311" s="1998">
        <f>IF(Construction!$F$31=Construction!$R$22,Oeko!DG311,Oeko!FT311)</f>
        <v>12.073289648882321</v>
      </c>
      <c r="AU311" s="1998">
        <f>IF(Construction!$F$31=Construction!$R$22,Oeko!DH311,Oeko!FU311)</f>
        <v>12.073289648882321</v>
      </c>
      <c r="AV311" s="1998">
        <f>IF(Construction!$F$31=Construction!$R$22,Oeko!DI311,Oeko!FV311)</f>
        <v>12.073289648882321</v>
      </c>
      <c r="AW311" s="1979">
        <f>IF(Construction!$F$31=Construction!$R$22,Oeko!DJ311,Oeko!FW311)</f>
        <v>10.71054155578228</v>
      </c>
      <c r="AX311" s="1979">
        <f>IF(Construction!$F$31=Construction!$R$22,Oeko!DK311,Oeko!FX311)</f>
        <v>10.71054155578228</v>
      </c>
      <c r="AY311" s="1979">
        <f>IF(Construction!$F$31=Construction!$R$22,Oeko!DL311,Oeko!FY311)</f>
        <v>10.71054155578228</v>
      </c>
      <c r="AZ311" s="1979">
        <f>IF(Construction!$F$31=Construction!$R$22,Oeko!DM311,Oeko!FZ311)</f>
        <v>10.71054155578228</v>
      </c>
      <c r="BA311" s="1979">
        <f>IF(Construction!$F$31=Construction!$R$22,Oeko!DN311,Oeko!GA311)</f>
        <v>10.71054155578228</v>
      </c>
      <c r="BB311" s="1998">
        <f>IF(Construction!$F$31=Construction!$R$22,Oeko!DO311,Oeko!GB311)</f>
        <v>0.97975662301212196</v>
      </c>
      <c r="BC311" s="1998">
        <f>IF(Construction!$F$31=Construction!$R$22,Oeko!DP311,Oeko!GC311)</f>
        <v>0.97975662301212196</v>
      </c>
      <c r="BD311" s="1998">
        <f>IF(Construction!$F$31=Construction!$R$22,Oeko!DQ311,Oeko!GD311)</f>
        <v>0.97975662301212196</v>
      </c>
      <c r="BE311" s="1998">
        <f>IF(Construction!$F$31=Construction!$R$22,Oeko!DR311,Oeko!GE311)</f>
        <v>0.97975662301212196</v>
      </c>
      <c r="BF311" s="1998">
        <f>IF(Construction!$F$31=Construction!$R$22,Oeko!DS311,Oeko!GF311)</f>
        <v>0.97975662301212196</v>
      </c>
      <c r="BG311" s="1979">
        <f>IF(Construction!$F$31=Construction!$R$22,Oeko!DT311,Oeko!GG311)</f>
        <v>0.9761487634781606</v>
      </c>
      <c r="BH311" s="1979">
        <f>IF(Construction!$F$31=Construction!$R$22,Oeko!DU311,Oeko!GH311)</f>
        <v>0.9761487634781606</v>
      </c>
      <c r="BI311" s="1979">
        <f>IF(Construction!$F$31=Construction!$R$22,Oeko!DV311,Oeko!GI311)</f>
        <v>0.9761487634781606</v>
      </c>
      <c r="BJ311" s="1979">
        <f>IF(Construction!$F$31=Construction!$R$22,Oeko!DW311,Oeko!GJ311)</f>
        <v>0.9761487634781606</v>
      </c>
      <c r="BK311" s="2021">
        <f>IF(Construction!$F$31=Construction!$R$22,Oeko!DX311,Oeko!GK311)</f>
        <v>0.9761487634781606</v>
      </c>
      <c r="BN311" s="2022"/>
      <c r="BO311" s="2">
        <v>5</v>
      </c>
      <c r="BP311" s="2" t="s">
        <v>4331</v>
      </c>
      <c r="BQ311" s="1998">
        <v>1.09375</v>
      </c>
      <c r="BR311" s="1998">
        <v>1.0606060606060606</v>
      </c>
      <c r="BS311" s="1998">
        <v>1.0606060606060606</v>
      </c>
      <c r="BT311" s="1998">
        <v>1.0606060606060606</v>
      </c>
      <c r="BU311" s="1998">
        <v>1.0606060606060606</v>
      </c>
      <c r="BV311" s="1979">
        <v>1.4999999999999998</v>
      </c>
      <c r="BW311" s="1979">
        <v>1.4999999999999998</v>
      </c>
      <c r="BX311" s="1979">
        <v>1.4999999999999998</v>
      </c>
      <c r="BY311" s="1979">
        <v>1.4999999999999998</v>
      </c>
      <c r="BZ311" s="1979">
        <v>1.4999999999999998</v>
      </c>
      <c r="CA311" s="1998">
        <v>1.015873015873016</v>
      </c>
      <c r="CB311" s="1998">
        <v>1.015873015873016</v>
      </c>
      <c r="CC311" s="1998">
        <v>1.015873015873016</v>
      </c>
      <c r="CD311" s="1998">
        <v>1.015873015873016</v>
      </c>
      <c r="CE311" s="1998">
        <v>1.015873015873016</v>
      </c>
      <c r="CF311" s="1979">
        <v>1.25</v>
      </c>
      <c r="CG311" s="1979">
        <v>1.25</v>
      </c>
      <c r="CH311" s="1979">
        <v>1.25</v>
      </c>
      <c r="CI311" s="1979">
        <v>1.25</v>
      </c>
      <c r="CJ311" s="1979">
        <v>1.25</v>
      </c>
      <c r="CK311" s="1998">
        <v>1</v>
      </c>
      <c r="CL311" s="1998">
        <v>1</v>
      </c>
      <c r="CM311" s="1998">
        <v>1</v>
      </c>
      <c r="CN311" s="1998">
        <v>1</v>
      </c>
      <c r="CO311" s="1998">
        <v>1</v>
      </c>
      <c r="CP311" s="1979">
        <v>1</v>
      </c>
      <c r="CQ311" s="1979">
        <v>1</v>
      </c>
      <c r="CR311" s="1979">
        <v>1</v>
      </c>
      <c r="CS311" s="1979">
        <v>1</v>
      </c>
      <c r="CT311" s="1979">
        <v>1</v>
      </c>
      <c r="CU311" s="1998">
        <v>1.3333333333333333</v>
      </c>
      <c r="CV311" s="1998">
        <v>1.3333333333333333</v>
      </c>
      <c r="CW311" s="1998">
        <v>1.3333333333333333</v>
      </c>
      <c r="CX311" s="1998">
        <v>1.3333333333333333</v>
      </c>
      <c r="CY311" s="1998">
        <v>1.3333333333333333</v>
      </c>
      <c r="CZ311" s="1979">
        <v>1.0666666666666667</v>
      </c>
      <c r="DA311" s="1979">
        <v>1.0666666666666667</v>
      </c>
      <c r="DB311" s="1979">
        <v>1.0666666666666667</v>
      </c>
      <c r="DC311" s="1979">
        <v>1.0666666666666667</v>
      </c>
      <c r="DD311" s="1979">
        <v>1.0666666666666667</v>
      </c>
      <c r="DE311" s="1998">
        <v>12.073289648882321</v>
      </c>
      <c r="DF311" s="1998">
        <v>12.073289648882321</v>
      </c>
      <c r="DG311" s="1998">
        <v>12.073289648882321</v>
      </c>
      <c r="DH311" s="1998">
        <v>12.073289648882321</v>
      </c>
      <c r="DI311" s="1998">
        <v>12.073289648882321</v>
      </c>
      <c r="DJ311" s="1979">
        <v>10.71054155578228</v>
      </c>
      <c r="DK311" s="1979">
        <v>10.71054155578228</v>
      </c>
      <c r="DL311" s="1979">
        <v>10.71054155578228</v>
      </c>
      <c r="DM311" s="1979">
        <v>10.71054155578228</v>
      </c>
      <c r="DN311" s="1979">
        <v>10.71054155578228</v>
      </c>
      <c r="DO311" s="1998">
        <v>0.97975662301212196</v>
      </c>
      <c r="DP311" s="1998">
        <v>0.97975662301212196</v>
      </c>
      <c r="DQ311" s="1998">
        <v>0.97975662301212196</v>
      </c>
      <c r="DR311" s="1998">
        <v>0.97975662301212196</v>
      </c>
      <c r="DS311" s="1998">
        <v>0.97975662301212196</v>
      </c>
      <c r="DT311" s="1979">
        <v>0.9761487634781606</v>
      </c>
      <c r="DU311" s="1979">
        <v>0.9761487634781606</v>
      </c>
      <c r="DV311" s="1979">
        <v>0.9761487634781606</v>
      </c>
      <c r="DW311" s="1979">
        <v>0.9761487634781606</v>
      </c>
      <c r="DX311" s="1979">
        <v>0.9761487634781606</v>
      </c>
      <c r="EA311" s="1997"/>
      <c r="EB311" s="2">
        <v>5</v>
      </c>
      <c r="EC311" s="2" t="s">
        <v>4331</v>
      </c>
      <c r="ED311" s="1998">
        <v>1.4765287570396433</v>
      </c>
      <c r="EE311" s="1998">
        <v>1.4951379618816962</v>
      </c>
      <c r="EF311" s="1998">
        <v>1.5314682133201729</v>
      </c>
      <c r="EG311" s="1998">
        <v>1.5752964528100681</v>
      </c>
      <c r="EH311" s="1998">
        <v>1.6138761006639706</v>
      </c>
      <c r="EI311" s="1979">
        <v>2.4279702817843409</v>
      </c>
      <c r="EJ311" s="1979">
        <v>2.4793893415586732</v>
      </c>
      <c r="EK311" s="1979">
        <v>2.5457486780960332</v>
      </c>
      <c r="EL311" s="1979">
        <v>2.6227123120204006</v>
      </c>
      <c r="EM311" s="1979">
        <v>2.674932585375084</v>
      </c>
      <c r="EN311" s="1998">
        <v>1.4959099209950746</v>
      </c>
      <c r="EO311" s="1998">
        <v>1.5300232162929601</v>
      </c>
      <c r="EP311" s="1998">
        <v>1.5318186528875857</v>
      </c>
      <c r="EQ311" s="1998">
        <v>1.5336140894822112</v>
      </c>
      <c r="ER311" s="1998">
        <v>1.5354095260768368</v>
      </c>
      <c r="ES311" s="1979">
        <v>1.9356561952149021</v>
      </c>
      <c r="ET311" s="1979">
        <v>1.9763060018650964</v>
      </c>
      <c r="EU311" s="1979">
        <v>1.9798407676607654</v>
      </c>
      <c r="EV311" s="1979">
        <v>1.9833755334564347</v>
      </c>
      <c r="EW311" s="1979">
        <v>1.9869102992521037</v>
      </c>
      <c r="EX311" s="1998">
        <v>1.5162333557288585</v>
      </c>
      <c r="EY311" s="1998">
        <v>1.5487532010490137</v>
      </c>
      <c r="EZ311" s="1998">
        <v>1.5515810136855488</v>
      </c>
      <c r="FA311" s="1998">
        <v>1.5544088263220841</v>
      </c>
      <c r="FB311" s="1998">
        <v>1.5572366389586194</v>
      </c>
      <c r="FC311" s="1979">
        <v>1.444190964721322</v>
      </c>
      <c r="FD311" s="1979">
        <v>1.467166942393171</v>
      </c>
      <c r="FE311" s="1979">
        <v>1.4707017081888398</v>
      </c>
      <c r="FF311" s="1979">
        <v>1.4742364739845091</v>
      </c>
      <c r="FG311" s="1979">
        <v>1.4777712397801781</v>
      </c>
      <c r="FH311" s="1998">
        <v>2.6498372163425139</v>
      </c>
      <c r="FI311" s="1998">
        <v>2.6545502374034058</v>
      </c>
      <c r="FJ311" s="1998">
        <v>2.6592632584642981</v>
      </c>
      <c r="FK311" s="1998">
        <v>2.66397627952519</v>
      </c>
      <c r="FL311" s="1998">
        <v>2.6686893005860819</v>
      </c>
      <c r="FM311" s="1979">
        <v>1.5637961281695605</v>
      </c>
      <c r="FN311" s="1979">
        <v>1.5909431294802985</v>
      </c>
      <c r="FO311" s="1979">
        <v>1.6318521522888416</v>
      </c>
      <c r="FP311" s="1979">
        <v>1.6803020087948117</v>
      </c>
      <c r="FQ311" s="1979">
        <v>1.7155554063302845</v>
      </c>
      <c r="FR311" s="1998">
        <v>20.156171643601194</v>
      </c>
      <c r="FS311" s="1998">
        <v>20.184622477795912</v>
      </c>
      <c r="FT311" s="1998">
        <v>20.213073311990627</v>
      </c>
      <c r="FU311" s="1998">
        <v>20.241524146185345</v>
      </c>
      <c r="FV311" s="1998">
        <v>20.269974980380059</v>
      </c>
      <c r="FW311" s="1979">
        <v>19.456570525468585</v>
      </c>
      <c r="FX311" s="1979">
        <v>19.494429781413061</v>
      </c>
      <c r="FY311" s="1979">
        <v>19.532289037357526</v>
      </c>
      <c r="FZ311" s="1979">
        <v>19.570148293302001</v>
      </c>
      <c r="GA311" s="1979">
        <v>19.608007549246473</v>
      </c>
      <c r="GB311" s="1998">
        <v>1.4296853480456457</v>
      </c>
      <c r="GC311" s="1998">
        <v>1.4319941548450481</v>
      </c>
      <c r="GD311" s="1998">
        <v>1.4343029616444503</v>
      </c>
      <c r="GE311" s="1998">
        <v>1.4366117684438526</v>
      </c>
      <c r="GF311" s="1998">
        <v>1.4412293820426572</v>
      </c>
      <c r="GG311" s="1979">
        <v>1.5439646364301296</v>
      </c>
      <c r="GH311" s="1979">
        <v>1.5456898650604431</v>
      </c>
      <c r="GI311" s="1979">
        <v>1.5474150936907569</v>
      </c>
      <c r="GJ311" s="1979">
        <v>1.5491403223210705</v>
      </c>
      <c r="GK311" s="1979">
        <v>1.5525907795816978</v>
      </c>
    </row>
    <row r="312" spans="1:193">
      <c r="A312" s="2020"/>
      <c r="B312" s="2">
        <v>6</v>
      </c>
      <c r="C312" s="2" t="s">
        <v>4332</v>
      </c>
      <c r="D312" s="1998">
        <f>IF(Construction!$F$31=Construction!$R$22,Oeko!BQ312,Oeko!ED312)</f>
        <v>1.09375</v>
      </c>
      <c r="E312" s="1998">
        <f>IF(Construction!$F$31=Construction!$R$22,Oeko!BR312,Oeko!EE312)</f>
        <v>1</v>
      </c>
      <c r="F312" s="1998">
        <f>IF(Construction!$F$31=Construction!$R$22,Oeko!BS312,Oeko!EF312)</f>
        <v>1</v>
      </c>
      <c r="G312" s="1998">
        <f>IF(Construction!$F$31=Construction!$R$22,Oeko!BT312,Oeko!EG312)</f>
        <v>1</v>
      </c>
      <c r="H312" s="1998">
        <f>IF(Construction!$F$31=Construction!$R$22,Oeko!BU312,Oeko!EH312)</f>
        <v>1</v>
      </c>
      <c r="I312" s="1979">
        <f>IF(Construction!$F$31=Construction!$R$22,Oeko!BV312,Oeko!EI312)</f>
        <v>1.333333333333333</v>
      </c>
      <c r="J312" s="1979">
        <f>IF(Construction!$F$31=Construction!$R$22,Oeko!BW312,Oeko!EJ312)</f>
        <v>1.333333333333333</v>
      </c>
      <c r="K312" s="1979">
        <f>IF(Construction!$F$31=Construction!$R$22,Oeko!BX312,Oeko!EK312)</f>
        <v>1.333333333333333</v>
      </c>
      <c r="L312" s="1979">
        <f>IF(Construction!$F$31=Construction!$R$22,Oeko!BY312,Oeko!EL312)</f>
        <v>1.333333333333333</v>
      </c>
      <c r="M312" s="1979">
        <f>IF(Construction!$F$31=Construction!$R$22,Oeko!BZ312,Oeko!EM312)</f>
        <v>1.333333333333333</v>
      </c>
      <c r="N312" s="1998">
        <f>IF(Construction!$F$31=Construction!$R$22,Oeko!CA312,Oeko!EN312)</f>
        <v>1</v>
      </c>
      <c r="O312" s="1998">
        <f>IF(Construction!$F$31=Construction!$R$22,Oeko!CB312,Oeko!EO312)</f>
        <v>1</v>
      </c>
      <c r="P312" s="1998">
        <f>IF(Construction!$F$31=Construction!$R$22,Oeko!CC312,Oeko!EP312)</f>
        <v>1</v>
      </c>
      <c r="Q312" s="1998">
        <f>IF(Construction!$F$31=Construction!$R$22,Oeko!CD312,Oeko!EQ312)</f>
        <v>1</v>
      </c>
      <c r="R312" s="1998">
        <f>IF(Construction!$F$31=Construction!$R$22,Oeko!CE312,Oeko!ER312)</f>
        <v>1</v>
      </c>
      <c r="S312" s="1979">
        <f>IF(Construction!$F$31=Construction!$R$22,Oeko!CF312,Oeko!ES312)</f>
        <v>1.2000000000000002</v>
      </c>
      <c r="T312" s="1979">
        <f>IF(Construction!$F$31=Construction!$R$22,Oeko!CG312,Oeko!ET312)</f>
        <v>1.2000000000000002</v>
      </c>
      <c r="U312" s="1979">
        <f>IF(Construction!$F$31=Construction!$R$22,Oeko!CH312,Oeko!EU312)</f>
        <v>1.2000000000000002</v>
      </c>
      <c r="V312" s="1979">
        <f>IF(Construction!$F$31=Construction!$R$22,Oeko!CI312,Oeko!EV312)</f>
        <v>1.2000000000000002</v>
      </c>
      <c r="W312" s="1979">
        <f>IF(Construction!$F$31=Construction!$R$22,Oeko!CJ312,Oeko!EW312)</f>
        <v>1.2000000000000002</v>
      </c>
      <c r="X312" s="1998">
        <f>IF(Construction!$F$31=Construction!$R$22,Oeko!CK312,Oeko!EX312)</f>
        <v>0.96</v>
      </c>
      <c r="Y312" s="1998">
        <f>IF(Construction!$F$31=Construction!$R$22,Oeko!CL312,Oeko!EY312)</f>
        <v>0.96</v>
      </c>
      <c r="Z312" s="1998">
        <f>IF(Construction!$F$31=Construction!$R$22,Oeko!CM312,Oeko!EZ312)</f>
        <v>0.96</v>
      </c>
      <c r="AA312" s="1998">
        <f>IF(Construction!$F$31=Construction!$R$22,Oeko!CN312,Oeko!FA312)</f>
        <v>0.96</v>
      </c>
      <c r="AB312" s="1998">
        <f>IF(Construction!$F$31=Construction!$R$22,Oeko!CO312,Oeko!FB312)</f>
        <v>0.96</v>
      </c>
      <c r="AC312" s="1979">
        <f>IF(Construction!$F$31=Construction!$R$22,Oeko!CP312,Oeko!FC312)</f>
        <v>1.0000000000000002</v>
      </c>
      <c r="AD312" s="1979">
        <f>IF(Construction!$F$31=Construction!$R$22,Oeko!CQ312,Oeko!FD312)</f>
        <v>1.0000000000000002</v>
      </c>
      <c r="AE312" s="1979">
        <f>IF(Construction!$F$31=Construction!$R$22,Oeko!CR312,Oeko!FE312)</f>
        <v>1.0000000000000002</v>
      </c>
      <c r="AF312" s="1979">
        <f>IF(Construction!$F$31=Construction!$R$22,Oeko!CS312,Oeko!FF312)</f>
        <v>1.0000000000000002</v>
      </c>
      <c r="AG312" s="1979">
        <f>IF(Construction!$F$31=Construction!$R$22,Oeko!CT312,Oeko!FG312)</f>
        <v>1.0000000000000002</v>
      </c>
      <c r="AH312" s="1998">
        <f>IF(Construction!$F$31=Construction!$R$22,Oeko!CU312,Oeko!FH312)</f>
        <v>1.333333333333333</v>
      </c>
      <c r="AI312" s="1998">
        <f>IF(Construction!$F$31=Construction!$R$22,Oeko!CV312,Oeko!FI312)</f>
        <v>1.333333333333333</v>
      </c>
      <c r="AJ312" s="1998">
        <f>IF(Construction!$F$31=Construction!$R$22,Oeko!CW312,Oeko!FJ312)</f>
        <v>1.333333333333333</v>
      </c>
      <c r="AK312" s="1998">
        <f>IF(Construction!$F$31=Construction!$R$22,Oeko!CX312,Oeko!FK312)</f>
        <v>1.333333333333333</v>
      </c>
      <c r="AL312" s="1998">
        <f>IF(Construction!$F$31=Construction!$R$22,Oeko!CY312,Oeko!FL312)</f>
        <v>1.333333333333333</v>
      </c>
      <c r="AM312" s="1979">
        <f>IF(Construction!$F$31=Construction!$R$22,Oeko!CZ312,Oeko!FM312)</f>
        <v>1</v>
      </c>
      <c r="AN312" s="1979">
        <f>IF(Construction!$F$31=Construction!$R$22,Oeko!DA312,Oeko!FN312)</f>
        <v>1</v>
      </c>
      <c r="AO312" s="1979">
        <f>IF(Construction!$F$31=Construction!$R$22,Oeko!DB312,Oeko!FO312)</f>
        <v>1</v>
      </c>
      <c r="AP312" s="1979">
        <f>IF(Construction!$F$31=Construction!$R$22,Oeko!DC312,Oeko!FP312)</f>
        <v>1</v>
      </c>
      <c r="AQ312" s="1979">
        <f>IF(Construction!$F$31=Construction!$R$22,Oeko!DD312,Oeko!FQ312)</f>
        <v>1</v>
      </c>
      <c r="AR312" s="1998">
        <f>IF(Construction!$F$31=Construction!$R$22,Oeko!DE312,Oeko!FR312)</f>
        <v>10.73181302122873</v>
      </c>
      <c r="AS312" s="1998">
        <f>IF(Construction!$F$31=Construction!$R$22,Oeko!DF312,Oeko!FS312)</f>
        <v>10.73181302122873</v>
      </c>
      <c r="AT312" s="1998">
        <f>IF(Construction!$F$31=Construction!$R$22,Oeko!DG312,Oeko!FT312)</f>
        <v>10.73181302122873</v>
      </c>
      <c r="AU312" s="1998">
        <f>IF(Construction!$F$31=Construction!$R$22,Oeko!DH312,Oeko!FU312)</f>
        <v>10.73181302122873</v>
      </c>
      <c r="AV312" s="1998">
        <f>IF(Construction!$F$31=Construction!$R$22,Oeko!DI312,Oeko!FV312)</f>
        <v>10.73181302122873</v>
      </c>
      <c r="AW312" s="1979">
        <f>IF(Construction!$F$31=Construction!$R$22,Oeko!DJ312,Oeko!FW312)</f>
        <v>10.71054155578228</v>
      </c>
      <c r="AX312" s="1979">
        <f>IF(Construction!$F$31=Construction!$R$22,Oeko!DK312,Oeko!FX312)</f>
        <v>10.71054155578228</v>
      </c>
      <c r="AY312" s="1979">
        <f>IF(Construction!$F$31=Construction!$R$22,Oeko!DL312,Oeko!FY312)</f>
        <v>10.71054155578228</v>
      </c>
      <c r="AZ312" s="1979">
        <f>IF(Construction!$F$31=Construction!$R$22,Oeko!DM312,Oeko!FZ312)</f>
        <v>10.71054155578228</v>
      </c>
      <c r="BA312" s="1979">
        <f>IF(Construction!$F$31=Construction!$R$22,Oeko!DN312,Oeko!GA312)</f>
        <v>10.71054155578228</v>
      </c>
      <c r="BB312" s="1998">
        <f>IF(Construction!$F$31=Construction!$R$22,Oeko!DO312,Oeko!GB312)</f>
        <v>0.97975662301212196</v>
      </c>
      <c r="BC312" s="1998">
        <f>IF(Construction!$F$31=Construction!$R$22,Oeko!DP312,Oeko!GC312)</f>
        <v>0.97975662301212196</v>
      </c>
      <c r="BD312" s="1998">
        <f>IF(Construction!$F$31=Construction!$R$22,Oeko!DQ312,Oeko!GD312)</f>
        <v>0.97975662301212196</v>
      </c>
      <c r="BE312" s="1998">
        <f>IF(Construction!$F$31=Construction!$R$22,Oeko!DR312,Oeko!GE312)</f>
        <v>0.97975662301212196</v>
      </c>
      <c r="BF312" s="1998">
        <f>IF(Construction!$F$31=Construction!$R$22,Oeko!DS312,Oeko!GF312)</f>
        <v>0.97975662301212196</v>
      </c>
      <c r="BG312" s="1979">
        <f>IF(Construction!$F$31=Construction!$R$22,Oeko!DT312,Oeko!GG312)</f>
        <v>0.97614876347816082</v>
      </c>
      <c r="BH312" s="1979">
        <f>IF(Construction!$F$31=Construction!$R$22,Oeko!DU312,Oeko!GH312)</f>
        <v>0.97614876347816082</v>
      </c>
      <c r="BI312" s="1979">
        <f>IF(Construction!$F$31=Construction!$R$22,Oeko!DV312,Oeko!GI312)</f>
        <v>0.97614876347816082</v>
      </c>
      <c r="BJ312" s="1979">
        <f>IF(Construction!$F$31=Construction!$R$22,Oeko!DW312,Oeko!GJ312)</f>
        <v>0.97614876347816082</v>
      </c>
      <c r="BK312" s="2021">
        <f>IF(Construction!$F$31=Construction!$R$22,Oeko!DX312,Oeko!GK312)</f>
        <v>0.97614876347816082</v>
      </c>
      <c r="BN312" s="2022"/>
      <c r="BO312" s="2">
        <v>6</v>
      </c>
      <c r="BP312" s="2" t="s">
        <v>4332</v>
      </c>
      <c r="BQ312" s="1998">
        <v>1.09375</v>
      </c>
      <c r="BR312" s="1998">
        <v>1</v>
      </c>
      <c r="BS312" s="1998">
        <v>1</v>
      </c>
      <c r="BT312" s="1998">
        <v>1</v>
      </c>
      <c r="BU312" s="1998">
        <v>1</v>
      </c>
      <c r="BV312" s="1979">
        <v>1.333333333333333</v>
      </c>
      <c r="BW312" s="1979">
        <v>1.333333333333333</v>
      </c>
      <c r="BX312" s="1979">
        <v>1.333333333333333</v>
      </c>
      <c r="BY312" s="1979">
        <v>1.333333333333333</v>
      </c>
      <c r="BZ312" s="1979">
        <v>1.333333333333333</v>
      </c>
      <c r="CA312" s="1998">
        <v>1</v>
      </c>
      <c r="CB312" s="1998">
        <v>1</v>
      </c>
      <c r="CC312" s="1998">
        <v>1</v>
      </c>
      <c r="CD312" s="1998">
        <v>1</v>
      </c>
      <c r="CE312" s="1998">
        <v>1</v>
      </c>
      <c r="CF312" s="1979">
        <v>1.2000000000000002</v>
      </c>
      <c r="CG312" s="1979">
        <v>1.2000000000000002</v>
      </c>
      <c r="CH312" s="1979">
        <v>1.2000000000000002</v>
      </c>
      <c r="CI312" s="1979">
        <v>1.2000000000000002</v>
      </c>
      <c r="CJ312" s="1979">
        <v>1.2000000000000002</v>
      </c>
      <c r="CK312" s="1998">
        <v>0.96</v>
      </c>
      <c r="CL312" s="1998">
        <v>0.96</v>
      </c>
      <c r="CM312" s="1998">
        <v>0.96</v>
      </c>
      <c r="CN312" s="1998">
        <v>0.96</v>
      </c>
      <c r="CO312" s="1998">
        <v>0.96</v>
      </c>
      <c r="CP312" s="1979">
        <v>1.0000000000000002</v>
      </c>
      <c r="CQ312" s="1979">
        <v>1.0000000000000002</v>
      </c>
      <c r="CR312" s="1979">
        <v>1.0000000000000002</v>
      </c>
      <c r="CS312" s="1979">
        <v>1.0000000000000002</v>
      </c>
      <c r="CT312" s="1979">
        <v>1.0000000000000002</v>
      </c>
      <c r="CU312" s="1998">
        <v>1.333333333333333</v>
      </c>
      <c r="CV312" s="1998">
        <v>1.333333333333333</v>
      </c>
      <c r="CW312" s="1998">
        <v>1.333333333333333</v>
      </c>
      <c r="CX312" s="1998">
        <v>1.333333333333333</v>
      </c>
      <c r="CY312" s="1998">
        <v>1.333333333333333</v>
      </c>
      <c r="CZ312" s="1979">
        <v>1</v>
      </c>
      <c r="DA312" s="1979">
        <v>1</v>
      </c>
      <c r="DB312" s="1979">
        <v>1</v>
      </c>
      <c r="DC312" s="1979">
        <v>1</v>
      </c>
      <c r="DD312" s="1979">
        <v>1</v>
      </c>
      <c r="DE312" s="1998">
        <v>10.73181302122873</v>
      </c>
      <c r="DF312" s="1998">
        <v>10.73181302122873</v>
      </c>
      <c r="DG312" s="1998">
        <v>10.73181302122873</v>
      </c>
      <c r="DH312" s="1998">
        <v>10.73181302122873</v>
      </c>
      <c r="DI312" s="1998">
        <v>10.73181302122873</v>
      </c>
      <c r="DJ312" s="1979">
        <v>10.71054155578228</v>
      </c>
      <c r="DK312" s="1979">
        <v>10.71054155578228</v>
      </c>
      <c r="DL312" s="1979">
        <v>10.71054155578228</v>
      </c>
      <c r="DM312" s="1979">
        <v>10.71054155578228</v>
      </c>
      <c r="DN312" s="1979">
        <v>10.71054155578228</v>
      </c>
      <c r="DO312" s="1998">
        <v>0.97975662301212196</v>
      </c>
      <c r="DP312" s="1998">
        <v>0.97975662301212196</v>
      </c>
      <c r="DQ312" s="1998">
        <v>0.97975662301212196</v>
      </c>
      <c r="DR312" s="1998">
        <v>0.97975662301212196</v>
      </c>
      <c r="DS312" s="1998">
        <v>0.97975662301212196</v>
      </c>
      <c r="DT312" s="1979">
        <v>0.97614876347816082</v>
      </c>
      <c r="DU312" s="1979">
        <v>0.97614876347816082</v>
      </c>
      <c r="DV312" s="1979">
        <v>0.97614876347816082</v>
      </c>
      <c r="DW312" s="1979">
        <v>0.97614876347816082</v>
      </c>
      <c r="DX312" s="1979">
        <v>0.97614876347816082</v>
      </c>
      <c r="EA312" s="1997"/>
      <c r="EB312" s="2">
        <v>6</v>
      </c>
      <c r="EC312" s="2" t="s">
        <v>4332</v>
      </c>
      <c r="ED312" s="1998">
        <v>1.4765287570396433</v>
      </c>
      <c r="EE312" s="1998">
        <v>1.4583200895769781</v>
      </c>
      <c r="EF312" s="1998">
        <v>1.4949308371779877</v>
      </c>
      <c r="EG312" s="1998">
        <v>1.5386111163703351</v>
      </c>
      <c r="EH312" s="1998">
        <v>1.574043608706122</v>
      </c>
      <c r="EI312" s="1979">
        <v>2.3466366699269927</v>
      </c>
      <c r="EJ312" s="1979">
        <v>2.3997176647037053</v>
      </c>
      <c r="EK312" s="1979">
        <v>2.4663188411096448</v>
      </c>
      <c r="EL312" s="1979">
        <v>2.5423460596373681</v>
      </c>
      <c r="EM312" s="1979">
        <v>2.5853821307388474</v>
      </c>
      <c r="EN312" s="1998">
        <v>1.491394484344615</v>
      </c>
      <c r="EO312" s="1998">
        <v>1.5247222761323516</v>
      </c>
      <c r="EP312" s="1998">
        <v>1.5267421423013052</v>
      </c>
      <c r="EQ312" s="1998">
        <v>1.5287620084702591</v>
      </c>
      <c r="ER312" s="1998">
        <v>1.5307818746392126</v>
      </c>
      <c r="ES312" s="1979">
        <v>1.9212159391193329</v>
      </c>
      <c r="ET312" s="1979">
        <v>1.9593914097125587</v>
      </c>
      <c r="EU312" s="1979">
        <v>1.9636331286673614</v>
      </c>
      <c r="EV312" s="1979">
        <v>1.9678748476221644</v>
      </c>
      <c r="EW312" s="1979">
        <v>1.9721165665769673</v>
      </c>
      <c r="EX312" s="1998">
        <v>1.4935825518165293</v>
      </c>
      <c r="EY312" s="1998">
        <v>1.5241229282911097</v>
      </c>
      <c r="EZ312" s="1998">
        <v>1.5275163034549522</v>
      </c>
      <c r="FA312" s="1998">
        <v>1.5309096786187943</v>
      </c>
      <c r="FB312" s="1998">
        <v>1.5343030537826365</v>
      </c>
      <c r="FC312" s="1979">
        <v>1.4768135683651196</v>
      </c>
      <c r="FD312" s="1979">
        <v>1.495665652608688</v>
      </c>
      <c r="FE312" s="1979">
        <v>1.5003786736695799</v>
      </c>
      <c r="FF312" s="1979">
        <v>1.505091694730472</v>
      </c>
      <c r="FG312" s="1979">
        <v>1.5098047157913641</v>
      </c>
      <c r="FH312" s="1998">
        <v>2.6694748040962306</v>
      </c>
      <c r="FI312" s="1998">
        <v>2.6741878251571225</v>
      </c>
      <c r="FJ312" s="1998">
        <v>2.6789008462180148</v>
      </c>
      <c r="FK312" s="1998">
        <v>2.6836138672789067</v>
      </c>
      <c r="FL312" s="1998">
        <v>2.688326888339799</v>
      </c>
      <c r="FM312" s="1979">
        <v>1.5334982740227776</v>
      </c>
      <c r="FN312" s="1979">
        <v>1.5616192996861</v>
      </c>
      <c r="FO312" s="1979">
        <v>1.6027796836178907</v>
      </c>
      <c r="FP312" s="1979">
        <v>1.6510095991410192</v>
      </c>
      <c r="FQ312" s="1979">
        <v>1.6827439409510261</v>
      </c>
      <c r="FR312" s="1998">
        <v>19.359686550966391</v>
      </c>
      <c r="FS312" s="1998">
        <v>19.397620996559343</v>
      </c>
      <c r="FT312" s="1998">
        <v>19.4355554421523</v>
      </c>
      <c r="FU312" s="1998">
        <v>19.473489887745252</v>
      </c>
      <c r="FV312" s="1998">
        <v>19.511424333338208</v>
      </c>
      <c r="FW312" s="1979">
        <v>19.930757706173086</v>
      </c>
      <c r="FX312" s="1979">
        <v>19.968616962117558</v>
      </c>
      <c r="FY312" s="1979">
        <v>20.00647621806203</v>
      </c>
      <c r="FZ312" s="1979">
        <v>20.044335474006498</v>
      </c>
      <c r="GA312" s="1979">
        <v>20.082194729950974</v>
      </c>
      <c r="GB312" s="1998">
        <v>1.4516190126399675</v>
      </c>
      <c r="GC312" s="1998">
        <v>1.4539278194393699</v>
      </c>
      <c r="GD312" s="1998">
        <v>1.4562366262387723</v>
      </c>
      <c r="GE312" s="1998">
        <v>1.4585454330381744</v>
      </c>
      <c r="GF312" s="1998">
        <v>1.4631630466369792</v>
      </c>
      <c r="GG312" s="1979">
        <v>1.5605699619968982</v>
      </c>
      <c r="GH312" s="1979">
        <v>1.5622951906272118</v>
      </c>
      <c r="GI312" s="1979">
        <v>1.5640204192575253</v>
      </c>
      <c r="GJ312" s="1979">
        <v>1.5657456478878391</v>
      </c>
      <c r="GK312" s="1979">
        <v>1.5691961051484664</v>
      </c>
    </row>
    <row r="313" spans="1:193">
      <c r="A313" s="2020"/>
      <c r="B313" s="2">
        <v>7</v>
      </c>
      <c r="C313" s="2" t="s">
        <v>4333</v>
      </c>
      <c r="D313" s="1998">
        <f>IF(Construction!$F$31=Construction!$R$22,Oeko!BQ313,Oeko!ED313)</f>
        <v>1.09375</v>
      </c>
      <c r="E313" s="1998">
        <f>IF(Construction!$F$31=Construction!$R$22,Oeko!BR313,Oeko!EE313)</f>
        <v>1</v>
      </c>
      <c r="F313" s="1998">
        <f>IF(Construction!$F$31=Construction!$R$22,Oeko!BS313,Oeko!EF313)</f>
        <v>1</v>
      </c>
      <c r="G313" s="1998">
        <f>IF(Construction!$F$31=Construction!$R$22,Oeko!BT313,Oeko!EG313)</f>
        <v>1</v>
      </c>
      <c r="H313" s="1998">
        <f>IF(Construction!$F$31=Construction!$R$22,Oeko!BU313,Oeko!EH313)</f>
        <v>1</v>
      </c>
      <c r="I313" s="1979">
        <f>IF(Construction!$F$31=Construction!$R$22,Oeko!BV313,Oeko!EI313)</f>
        <v>1.3333333333333333</v>
      </c>
      <c r="J313" s="1979">
        <f>IF(Construction!$F$31=Construction!$R$22,Oeko!BW313,Oeko!EJ313)</f>
        <v>1.3333333333333333</v>
      </c>
      <c r="K313" s="1979">
        <f>IF(Construction!$F$31=Construction!$R$22,Oeko!BX313,Oeko!EK313)</f>
        <v>1.3333333333333333</v>
      </c>
      <c r="L313" s="1979">
        <f>IF(Construction!$F$31=Construction!$R$22,Oeko!BY313,Oeko!EL313)</f>
        <v>1.3333333333333333</v>
      </c>
      <c r="M313" s="1979">
        <f>IF(Construction!$F$31=Construction!$R$22,Oeko!BZ313,Oeko!EM313)</f>
        <v>1.3333333333333333</v>
      </c>
      <c r="N313" s="1998">
        <f>IF(Construction!$F$31=Construction!$R$22,Oeko!CA313,Oeko!EN313)</f>
        <v>0.95238095238095233</v>
      </c>
      <c r="O313" s="1998">
        <f>IF(Construction!$F$31=Construction!$R$22,Oeko!CB313,Oeko!EO313)</f>
        <v>0.95238095238095233</v>
      </c>
      <c r="P313" s="1998">
        <f>IF(Construction!$F$31=Construction!$R$22,Oeko!CC313,Oeko!EP313)</f>
        <v>0.95238095238095233</v>
      </c>
      <c r="Q313" s="1998">
        <f>IF(Construction!$F$31=Construction!$R$22,Oeko!CD313,Oeko!EQ313)</f>
        <v>0.95238095238095233</v>
      </c>
      <c r="R313" s="1998">
        <f>IF(Construction!$F$31=Construction!$R$22,Oeko!CE313,Oeko!ER313)</f>
        <v>0.95238095238095233</v>
      </c>
      <c r="S313" s="1979">
        <f>IF(Construction!$F$31=Construction!$R$22,Oeko!CF313,Oeko!ES313)</f>
        <v>1.125</v>
      </c>
      <c r="T313" s="1979">
        <f>IF(Construction!$F$31=Construction!$R$22,Oeko!CG313,Oeko!ET313)</f>
        <v>1.125</v>
      </c>
      <c r="U313" s="1979">
        <f>IF(Construction!$F$31=Construction!$R$22,Oeko!CH313,Oeko!EU313)</f>
        <v>1.125</v>
      </c>
      <c r="V313" s="1979">
        <f>IF(Construction!$F$31=Construction!$R$22,Oeko!CI313,Oeko!EV313)</f>
        <v>1.125</v>
      </c>
      <c r="W313" s="1979">
        <f>IF(Construction!$F$31=Construction!$R$22,Oeko!CJ313,Oeko!EW313)</f>
        <v>1.125</v>
      </c>
      <c r="X313" s="1998">
        <f>IF(Construction!$F$31=Construction!$R$22,Oeko!CK313,Oeko!EX313)</f>
        <v>0.9</v>
      </c>
      <c r="Y313" s="1998">
        <f>IF(Construction!$F$31=Construction!$R$22,Oeko!CL313,Oeko!EY313)</f>
        <v>0.9</v>
      </c>
      <c r="Z313" s="1998">
        <f>IF(Construction!$F$31=Construction!$R$22,Oeko!CM313,Oeko!EZ313)</f>
        <v>0.9</v>
      </c>
      <c r="AA313" s="1998">
        <f>IF(Construction!$F$31=Construction!$R$22,Oeko!CN313,Oeko!FA313)</f>
        <v>0.9</v>
      </c>
      <c r="AB313" s="1998">
        <f>IF(Construction!$F$31=Construction!$R$22,Oeko!CO313,Oeko!FB313)</f>
        <v>0.9</v>
      </c>
      <c r="AC313" s="1979">
        <f>IF(Construction!$F$31=Construction!$R$22,Oeko!CP313,Oeko!FC313)</f>
        <v>1.0000000000000002</v>
      </c>
      <c r="AD313" s="1979">
        <f>IF(Construction!$F$31=Construction!$R$22,Oeko!CQ313,Oeko!FD313)</f>
        <v>1.0000000000000002</v>
      </c>
      <c r="AE313" s="1979">
        <f>IF(Construction!$F$31=Construction!$R$22,Oeko!CR313,Oeko!FE313)</f>
        <v>1.0000000000000002</v>
      </c>
      <c r="AF313" s="1979">
        <f>IF(Construction!$F$31=Construction!$R$22,Oeko!CS313,Oeko!FF313)</f>
        <v>1.0000000000000002</v>
      </c>
      <c r="AG313" s="1979">
        <f>IF(Construction!$F$31=Construction!$R$22,Oeko!CT313,Oeko!FG313)</f>
        <v>1.0000000000000002</v>
      </c>
      <c r="AH313" s="1998">
        <f>IF(Construction!$F$31=Construction!$R$22,Oeko!CU313,Oeko!FH313)</f>
        <v>1.333333333333333</v>
      </c>
      <c r="AI313" s="1998">
        <f>IF(Construction!$F$31=Construction!$R$22,Oeko!CV313,Oeko!FI313)</f>
        <v>1.333333333333333</v>
      </c>
      <c r="AJ313" s="1998">
        <f>IF(Construction!$F$31=Construction!$R$22,Oeko!CW313,Oeko!FJ313)</f>
        <v>1.333333333333333</v>
      </c>
      <c r="AK313" s="1998">
        <f>IF(Construction!$F$31=Construction!$R$22,Oeko!CX313,Oeko!FK313)</f>
        <v>1.333333333333333</v>
      </c>
      <c r="AL313" s="1998">
        <f>IF(Construction!$F$31=Construction!$R$22,Oeko!CY313,Oeko!FL313)</f>
        <v>1.333333333333333</v>
      </c>
      <c r="AM313" s="1979">
        <f>IF(Construction!$F$31=Construction!$R$22,Oeko!CZ313,Oeko!FM313)</f>
        <v>0.99999999999999989</v>
      </c>
      <c r="AN313" s="1979">
        <f>IF(Construction!$F$31=Construction!$R$22,Oeko!DA313,Oeko!FN313)</f>
        <v>0.99999999999999989</v>
      </c>
      <c r="AO313" s="1979">
        <f>IF(Construction!$F$31=Construction!$R$22,Oeko!DB313,Oeko!FO313)</f>
        <v>0.99999999999999989</v>
      </c>
      <c r="AP313" s="1979">
        <f>IF(Construction!$F$31=Construction!$R$22,Oeko!DC313,Oeko!FP313)</f>
        <v>0.99999999999999989</v>
      </c>
      <c r="AQ313" s="1979">
        <f>IF(Construction!$F$31=Construction!$R$22,Oeko!DD313,Oeko!FQ313)</f>
        <v>0.99999999999999989</v>
      </c>
      <c r="AR313" s="1998">
        <f>IF(Construction!$F$31=Construction!$R$22,Oeko!DE313,Oeko!FR313)</f>
        <v>10.73181302122873</v>
      </c>
      <c r="AS313" s="1998">
        <f>IF(Construction!$F$31=Construction!$R$22,Oeko!DF313,Oeko!FS313)</f>
        <v>10.73181302122873</v>
      </c>
      <c r="AT313" s="1998">
        <f>IF(Construction!$F$31=Construction!$R$22,Oeko!DG313,Oeko!FT313)</f>
        <v>10.73181302122873</v>
      </c>
      <c r="AU313" s="1998">
        <f>IF(Construction!$F$31=Construction!$R$22,Oeko!DH313,Oeko!FU313)</f>
        <v>10.73181302122873</v>
      </c>
      <c r="AV313" s="1998">
        <f>IF(Construction!$F$31=Construction!$R$22,Oeko!DI313,Oeko!FV313)</f>
        <v>10.73181302122873</v>
      </c>
      <c r="AW313" s="1979">
        <f>IF(Construction!$F$31=Construction!$R$22,Oeko!DJ313,Oeko!FW313)</f>
        <v>8.0329061668367086</v>
      </c>
      <c r="AX313" s="1979">
        <f>IF(Construction!$F$31=Construction!$R$22,Oeko!DK313,Oeko!FX313)</f>
        <v>8.0329061668367086</v>
      </c>
      <c r="AY313" s="1979">
        <f>IF(Construction!$F$31=Construction!$R$22,Oeko!DL313,Oeko!FY313)</f>
        <v>8.0329061668367086</v>
      </c>
      <c r="AZ313" s="1979">
        <f>IF(Construction!$F$31=Construction!$R$22,Oeko!DM313,Oeko!FZ313)</f>
        <v>8.0329061668367086</v>
      </c>
      <c r="BA313" s="1979">
        <f>IF(Construction!$F$31=Construction!$R$22,Oeko!DN313,Oeko!GA313)</f>
        <v>8.0329061668367086</v>
      </c>
      <c r="BB313" s="1998">
        <f>IF(Construction!$F$31=Construction!$R$22,Oeko!DO313,Oeko!GB313)</f>
        <v>0.97975662301212196</v>
      </c>
      <c r="BC313" s="1998">
        <f>IF(Construction!$F$31=Construction!$R$22,Oeko!DP313,Oeko!GC313)</f>
        <v>0.97975662301212196</v>
      </c>
      <c r="BD313" s="1998">
        <f>IF(Construction!$F$31=Construction!$R$22,Oeko!DQ313,Oeko!GD313)</f>
        <v>0.97975662301212196</v>
      </c>
      <c r="BE313" s="1998">
        <f>IF(Construction!$F$31=Construction!$R$22,Oeko!DR313,Oeko!GE313)</f>
        <v>0.97975662301212196</v>
      </c>
      <c r="BF313" s="1998">
        <f>IF(Construction!$F$31=Construction!$R$22,Oeko!DS313,Oeko!GF313)</f>
        <v>0.97975662301212196</v>
      </c>
      <c r="BG313" s="1979">
        <f>IF(Construction!$F$31=Construction!$R$22,Oeko!DT313,Oeko!GG313)</f>
        <v>0.9761487634781606</v>
      </c>
      <c r="BH313" s="1979">
        <f>IF(Construction!$F$31=Construction!$R$22,Oeko!DU313,Oeko!GH313)</f>
        <v>0.9761487634781606</v>
      </c>
      <c r="BI313" s="1979">
        <f>IF(Construction!$F$31=Construction!$R$22,Oeko!DV313,Oeko!GI313)</f>
        <v>0.9761487634781606</v>
      </c>
      <c r="BJ313" s="1979">
        <f>IF(Construction!$F$31=Construction!$R$22,Oeko!DW313,Oeko!GJ313)</f>
        <v>0.9761487634781606</v>
      </c>
      <c r="BK313" s="2021">
        <f>IF(Construction!$F$31=Construction!$R$22,Oeko!DX313,Oeko!GK313)</f>
        <v>0.9761487634781606</v>
      </c>
      <c r="BN313" s="2022"/>
      <c r="BO313" s="2">
        <v>7</v>
      </c>
      <c r="BP313" s="2" t="s">
        <v>4333</v>
      </c>
      <c r="BQ313" s="1998">
        <v>1.09375</v>
      </c>
      <c r="BR313" s="1998">
        <v>1</v>
      </c>
      <c r="BS313" s="1998">
        <v>1</v>
      </c>
      <c r="BT313" s="1998">
        <v>1</v>
      </c>
      <c r="BU313" s="1998">
        <v>1</v>
      </c>
      <c r="BV313" s="1979">
        <v>1.3333333333333333</v>
      </c>
      <c r="BW313" s="1979">
        <v>1.3333333333333333</v>
      </c>
      <c r="BX313" s="1979">
        <v>1.3333333333333333</v>
      </c>
      <c r="BY313" s="1979">
        <v>1.3333333333333333</v>
      </c>
      <c r="BZ313" s="1979">
        <v>1.3333333333333333</v>
      </c>
      <c r="CA313" s="1998">
        <v>0.95238095238095233</v>
      </c>
      <c r="CB313" s="1998">
        <v>0.95238095238095233</v>
      </c>
      <c r="CC313" s="1998">
        <v>0.95238095238095233</v>
      </c>
      <c r="CD313" s="1998">
        <v>0.95238095238095233</v>
      </c>
      <c r="CE313" s="1998">
        <v>0.95238095238095233</v>
      </c>
      <c r="CF313" s="1979">
        <v>1.125</v>
      </c>
      <c r="CG313" s="1979">
        <v>1.125</v>
      </c>
      <c r="CH313" s="1979">
        <v>1.125</v>
      </c>
      <c r="CI313" s="1979">
        <v>1.125</v>
      </c>
      <c r="CJ313" s="1979">
        <v>1.125</v>
      </c>
      <c r="CK313" s="1998">
        <v>0.9</v>
      </c>
      <c r="CL313" s="1998">
        <v>0.9</v>
      </c>
      <c r="CM313" s="1998">
        <v>0.9</v>
      </c>
      <c r="CN313" s="1998">
        <v>0.9</v>
      </c>
      <c r="CO313" s="1998">
        <v>0.9</v>
      </c>
      <c r="CP313" s="1979">
        <v>1.0000000000000002</v>
      </c>
      <c r="CQ313" s="1979">
        <v>1.0000000000000002</v>
      </c>
      <c r="CR313" s="1979">
        <v>1.0000000000000002</v>
      </c>
      <c r="CS313" s="1979">
        <v>1.0000000000000002</v>
      </c>
      <c r="CT313" s="1979">
        <v>1.0000000000000002</v>
      </c>
      <c r="CU313" s="1998">
        <v>1.333333333333333</v>
      </c>
      <c r="CV313" s="1998">
        <v>1.333333333333333</v>
      </c>
      <c r="CW313" s="1998">
        <v>1.333333333333333</v>
      </c>
      <c r="CX313" s="1998">
        <v>1.333333333333333</v>
      </c>
      <c r="CY313" s="1998">
        <v>1.333333333333333</v>
      </c>
      <c r="CZ313" s="1979">
        <v>0.99999999999999989</v>
      </c>
      <c r="DA313" s="1979">
        <v>0.99999999999999989</v>
      </c>
      <c r="DB313" s="1979">
        <v>0.99999999999999989</v>
      </c>
      <c r="DC313" s="1979">
        <v>0.99999999999999989</v>
      </c>
      <c r="DD313" s="1979">
        <v>0.99999999999999989</v>
      </c>
      <c r="DE313" s="1998">
        <v>10.73181302122873</v>
      </c>
      <c r="DF313" s="1998">
        <v>10.73181302122873</v>
      </c>
      <c r="DG313" s="1998">
        <v>10.73181302122873</v>
      </c>
      <c r="DH313" s="1998">
        <v>10.73181302122873</v>
      </c>
      <c r="DI313" s="1998">
        <v>10.73181302122873</v>
      </c>
      <c r="DJ313" s="1979">
        <v>8.0329061668367086</v>
      </c>
      <c r="DK313" s="1979">
        <v>8.0329061668367086</v>
      </c>
      <c r="DL313" s="1979">
        <v>8.0329061668367086</v>
      </c>
      <c r="DM313" s="1979">
        <v>8.0329061668367086</v>
      </c>
      <c r="DN313" s="1979">
        <v>8.0329061668367086</v>
      </c>
      <c r="DO313" s="1998">
        <v>0.97975662301212196</v>
      </c>
      <c r="DP313" s="1998">
        <v>0.97975662301212196</v>
      </c>
      <c r="DQ313" s="1998">
        <v>0.97975662301212196</v>
      </c>
      <c r="DR313" s="1998">
        <v>0.97975662301212196</v>
      </c>
      <c r="DS313" s="1998">
        <v>0.97975662301212196</v>
      </c>
      <c r="DT313" s="1979">
        <v>0.9761487634781606</v>
      </c>
      <c r="DU313" s="1979">
        <v>0.9761487634781606</v>
      </c>
      <c r="DV313" s="1979">
        <v>0.9761487634781606</v>
      </c>
      <c r="DW313" s="1979">
        <v>0.9761487634781606</v>
      </c>
      <c r="DX313" s="2021">
        <v>0.9761487634781606</v>
      </c>
      <c r="EA313" s="2022"/>
      <c r="EB313" s="2">
        <v>7</v>
      </c>
      <c r="EC313" s="2" t="s">
        <v>4333</v>
      </c>
      <c r="ED313" s="1998">
        <v>1.4765287570396433</v>
      </c>
      <c r="EE313" s="1998">
        <v>1.4536308385353498</v>
      </c>
      <c r="EF313" s="1998">
        <v>1.4903104372266402</v>
      </c>
      <c r="EG313" s="1998">
        <v>1.5340595675092683</v>
      </c>
      <c r="EH313" s="1998">
        <v>1.5695609109353361</v>
      </c>
      <c r="EI313" s="1979">
        <v>2.383135209541734</v>
      </c>
      <c r="EJ313" s="1979">
        <v>2.4374292121632095</v>
      </c>
      <c r="EK313" s="1979">
        <v>2.5046368924915305</v>
      </c>
      <c r="EL313" s="1979">
        <v>2.5812706149416358</v>
      </c>
      <c r="EM313" s="1979">
        <v>2.6249131899654965</v>
      </c>
      <c r="EN313" s="1998">
        <v>1.4806586738911789</v>
      </c>
      <c r="EO313" s="1998">
        <v>1.5116299551484693</v>
      </c>
      <c r="EP313" s="1998">
        <v>1.514323110040408</v>
      </c>
      <c r="EQ313" s="1998">
        <v>1.5170162649323462</v>
      </c>
      <c r="ER313" s="1998">
        <v>1.5197094198242844</v>
      </c>
      <c r="ES313" s="1979">
        <v>1.8892715957392046</v>
      </c>
      <c r="ET313" s="1979">
        <v>1.9237355622469776</v>
      </c>
      <c r="EU313" s="1979">
        <v>1.9290377109404813</v>
      </c>
      <c r="EV313" s="1979">
        <v>1.9343398596339845</v>
      </c>
      <c r="EW313" s="1979">
        <v>1.9396420083274881</v>
      </c>
      <c r="EX313" s="1998">
        <v>1.4763435629838371</v>
      </c>
      <c r="EY313" s="1998">
        <v>1.5039147361900556</v>
      </c>
      <c r="EZ313" s="1998">
        <v>1.5081564551448585</v>
      </c>
      <c r="FA313" s="1998">
        <v>1.5123981740996615</v>
      </c>
      <c r="FB313" s="1998">
        <v>1.5166398930544644</v>
      </c>
      <c r="FC313" s="1979">
        <v>1.4884575027508526</v>
      </c>
      <c r="FD313" s="1979">
        <v>1.5073095869944211</v>
      </c>
      <c r="FE313" s="1979">
        <v>1.5120226080553132</v>
      </c>
      <c r="FF313" s="1979">
        <v>1.5167356291162053</v>
      </c>
      <c r="FG313" s="1979">
        <v>1.5214486501770972</v>
      </c>
      <c r="FH313" s="1998">
        <v>2.6902406383513258</v>
      </c>
      <c r="FI313" s="1998">
        <v>2.6949536594122181</v>
      </c>
      <c r="FJ313" s="1998">
        <v>2.6996666804731095</v>
      </c>
      <c r="FK313" s="1998">
        <v>2.7043797015340019</v>
      </c>
      <c r="FL313" s="1998">
        <v>2.7090927225948938</v>
      </c>
      <c r="FM313" s="1979">
        <v>1.5721254091343386</v>
      </c>
      <c r="FN313" s="1979">
        <v>1.601016228237607</v>
      </c>
      <c r="FO313" s="1979">
        <v>1.6425615088893706</v>
      </c>
      <c r="FP313" s="1979">
        <v>1.6911763211324722</v>
      </c>
      <c r="FQ313" s="1979">
        <v>1.7232955596624513</v>
      </c>
      <c r="FR313" s="1998">
        <v>19.894562233827056</v>
      </c>
      <c r="FS313" s="1998">
        <v>19.932496679420009</v>
      </c>
      <c r="FT313" s="1998">
        <v>19.970431125012965</v>
      </c>
      <c r="FU313" s="1998">
        <v>20.008365570605921</v>
      </c>
      <c r="FV313" s="1998">
        <v>20.046300016198877</v>
      </c>
      <c r="FW313" s="1979">
        <v>17.355612731534336</v>
      </c>
      <c r="FX313" s="1979">
        <v>17.412401615451039</v>
      </c>
      <c r="FY313" s="1979">
        <v>17.469190499367752</v>
      </c>
      <c r="FZ313" s="1979">
        <v>17.525979383284458</v>
      </c>
      <c r="GA313" s="1979">
        <v>17.582768267201164</v>
      </c>
      <c r="GB313" s="1998">
        <v>1.5174200064229333</v>
      </c>
      <c r="GC313" s="1998">
        <v>1.5197288132223354</v>
      </c>
      <c r="GD313" s="1998">
        <v>1.522037620021738</v>
      </c>
      <c r="GE313" s="1998">
        <v>1.5243464268211402</v>
      </c>
      <c r="GF313" s="1998">
        <v>1.5289640404199447</v>
      </c>
      <c r="GG313" s="1979">
        <v>1.5924866916576998</v>
      </c>
      <c r="GH313" s="1979">
        <v>1.5947869964981183</v>
      </c>
      <c r="GI313" s="1979">
        <v>1.5970873013385363</v>
      </c>
      <c r="GJ313" s="1979">
        <v>1.5993876061789543</v>
      </c>
      <c r="GK313" s="2021">
        <v>1.6039882158597909</v>
      </c>
    </row>
    <row r="314" spans="1:193">
      <c r="A314" s="2020"/>
      <c r="B314" s="2">
        <v>8</v>
      </c>
      <c r="C314" s="2" t="s">
        <v>4334</v>
      </c>
      <c r="D314" s="1998">
        <f>IF(Construction!$F$31=Construction!$R$22,Oeko!BQ314,Oeko!ED314)</f>
        <v>1.09375</v>
      </c>
      <c r="E314" s="1998">
        <f>IF(Construction!$F$31=Construction!$R$22,Oeko!BR314,Oeko!EE314)</f>
        <v>0.99999999999999989</v>
      </c>
      <c r="F314" s="1998">
        <f>IF(Construction!$F$31=Construction!$R$22,Oeko!BS314,Oeko!EF314)</f>
        <v>0.99999999999999989</v>
      </c>
      <c r="G314" s="1998">
        <f>IF(Construction!$F$31=Construction!$R$22,Oeko!BT314,Oeko!EG314)</f>
        <v>0.99999999999999989</v>
      </c>
      <c r="H314" s="1998">
        <f>IF(Construction!$F$31=Construction!$R$22,Oeko!BU314,Oeko!EH314)</f>
        <v>0.99999999999999989</v>
      </c>
      <c r="I314" s="1979">
        <f>IF(Construction!$F$31=Construction!$R$22,Oeko!BV314,Oeko!EI314)</f>
        <v>1.3333333333333333</v>
      </c>
      <c r="J314" s="1979">
        <f>IF(Construction!$F$31=Construction!$R$22,Oeko!BW314,Oeko!EJ314)</f>
        <v>1.3333333333333333</v>
      </c>
      <c r="K314" s="1979">
        <f>IF(Construction!$F$31=Construction!$R$22,Oeko!BX314,Oeko!EK314)</f>
        <v>1.3333333333333333</v>
      </c>
      <c r="L314" s="1979">
        <f>IF(Construction!$F$31=Construction!$R$22,Oeko!BY314,Oeko!EL314)</f>
        <v>1.3333333333333333</v>
      </c>
      <c r="M314" s="1979">
        <f>IF(Construction!$F$31=Construction!$R$22,Oeko!BZ314,Oeko!EM314)</f>
        <v>1.3333333333333333</v>
      </c>
      <c r="N314" s="1998">
        <f>IF(Construction!$F$31=Construction!$R$22,Oeko!CA314,Oeko!EN314)</f>
        <v>0.91428571428571437</v>
      </c>
      <c r="O314" s="1998">
        <f>IF(Construction!$F$31=Construction!$R$22,Oeko!CB314,Oeko!EO314)</f>
        <v>0.91428571428571437</v>
      </c>
      <c r="P314" s="1998">
        <f>IF(Construction!$F$31=Construction!$R$22,Oeko!CC314,Oeko!EP314)</f>
        <v>0.91428571428571437</v>
      </c>
      <c r="Q314" s="1998">
        <f>IF(Construction!$F$31=Construction!$R$22,Oeko!CD314,Oeko!EQ314)</f>
        <v>0.91428571428571437</v>
      </c>
      <c r="R314" s="1998">
        <f>IF(Construction!$F$31=Construction!$R$22,Oeko!CE314,Oeko!ER314)</f>
        <v>0.91428571428571437</v>
      </c>
      <c r="S314" s="1979">
        <f>IF(Construction!$F$31=Construction!$R$22,Oeko!CF314,Oeko!ES314)</f>
        <v>1.1250000000000002</v>
      </c>
      <c r="T314" s="1979">
        <f>IF(Construction!$F$31=Construction!$R$22,Oeko!CG314,Oeko!ET314)</f>
        <v>1.1250000000000002</v>
      </c>
      <c r="U314" s="1979">
        <f>IF(Construction!$F$31=Construction!$R$22,Oeko!CH314,Oeko!EU314)</f>
        <v>1.1250000000000002</v>
      </c>
      <c r="V314" s="1979">
        <f>IF(Construction!$F$31=Construction!$R$22,Oeko!CI314,Oeko!EV314)</f>
        <v>1.1250000000000002</v>
      </c>
      <c r="W314" s="1979">
        <f>IF(Construction!$F$31=Construction!$R$22,Oeko!CJ314,Oeko!EW314)</f>
        <v>1.1250000000000002</v>
      </c>
      <c r="X314" s="1998">
        <f>IF(Construction!$F$31=Construction!$R$22,Oeko!CK314,Oeko!EX314)</f>
        <v>0.89999999999999991</v>
      </c>
      <c r="Y314" s="1998">
        <f>IF(Construction!$F$31=Construction!$R$22,Oeko!CL314,Oeko!EY314)</f>
        <v>0.89999999999999991</v>
      </c>
      <c r="Z314" s="1998">
        <f>IF(Construction!$F$31=Construction!$R$22,Oeko!CM314,Oeko!EZ314)</f>
        <v>0.89999999999999991</v>
      </c>
      <c r="AA314" s="1998">
        <f>IF(Construction!$F$31=Construction!$R$22,Oeko!CN314,Oeko!FA314)</f>
        <v>0.89999999999999991</v>
      </c>
      <c r="AB314" s="1998">
        <f>IF(Construction!$F$31=Construction!$R$22,Oeko!CO314,Oeko!FB314)</f>
        <v>0.89999999999999991</v>
      </c>
      <c r="AC314" s="1979">
        <f>IF(Construction!$F$31=Construction!$R$22,Oeko!CP314,Oeko!FC314)</f>
        <v>1.0000000000000002</v>
      </c>
      <c r="AD314" s="1979">
        <f>IF(Construction!$F$31=Construction!$R$22,Oeko!CQ314,Oeko!FD314)</f>
        <v>1.0000000000000002</v>
      </c>
      <c r="AE314" s="1979">
        <f>IF(Construction!$F$31=Construction!$R$22,Oeko!CR314,Oeko!FE314)</f>
        <v>1.0000000000000002</v>
      </c>
      <c r="AF314" s="1979">
        <f>IF(Construction!$F$31=Construction!$R$22,Oeko!CS314,Oeko!FF314)</f>
        <v>1.0000000000000002</v>
      </c>
      <c r="AG314" s="1979">
        <f>IF(Construction!$F$31=Construction!$R$22,Oeko!CT314,Oeko!FG314)</f>
        <v>1.0000000000000002</v>
      </c>
      <c r="AH314" s="1998">
        <f>IF(Construction!$F$31=Construction!$R$22,Oeko!CU314,Oeko!FH314)</f>
        <v>1.333333333333333</v>
      </c>
      <c r="AI314" s="1998">
        <f>IF(Construction!$F$31=Construction!$R$22,Oeko!CV314,Oeko!FI314)</f>
        <v>1.333333333333333</v>
      </c>
      <c r="AJ314" s="1998">
        <f>IF(Construction!$F$31=Construction!$R$22,Oeko!CW314,Oeko!FJ314)</f>
        <v>1.333333333333333</v>
      </c>
      <c r="AK314" s="1998">
        <f>IF(Construction!$F$31=Construction!$R$22,Oeko!CX314,Oeko!FK314)</f>
        <v>1.333333333333333</v>
      </c>
      <c r="AL314" s="1998">
        <f>IF(Construction!$F$31=Construction!$R$22,Oeko!CY314,Oeko!FL314)</f>
        <v>1.333333333333333</v>
      </c>
      <c r="AM314" s="1979">
        <f>IF(Construction!$F$31=Construction!$R$22,Oeko!CZ314,Oeko!FM314)</f>
        <v>1</v>
      </c>
      <c r="AN314" s="1979">
        <f>IF(Construction!$F$31=Construction!$R$22,Oeko!DA314,Oeko!FN314)</f>
        <v>1</v>
      </c>
      <c r="AO314" s="1979">
        <f>IF(Construction!$F$31=Construction!$R$22,Oeko!DB314,Oeko!FO314)</f>
        <v>1</v>
      </c>
      <c r="AP314" s="1979">
        <f>IF(Construction!$F$31=Construction!$R$22,Oeko!DC314,Oeko!FP314)</f>
        <v>1</v>
      </c>
      <c r="AQ314" s="1979">
        <f>IF(Construction!$F$31=Construction!$R$22,Oeko!DD314,Oeko!FQ314)</f>
        <v>1</v>
      </c>
      <c r="AR314" s="1998">
        <f>IF(Construction!$F$31=Construction!$R$22,Oeko!DE314,Oeko!FR314)</f>
        <v>8.0488597659215451</v>
      </c>
      <c r="AS314" s="1998">
        <f>IF(Construction!$F$31=Construction!$R$22,Oeko!DF314,Oeko!FS314)</f>
        <v>8.0488597659215451</v>
      </c>
      <c r="AT314" s="1998">
        <f>IF(Construction!$F$31=Construction!$R$22,Oeko!DG314,Oeko!FT314)</f>
        <v>8.0488597659215451</v>
      </c>
      <c r="AU314" s="1998">
        <f>IF(Construction!$F$31=Construction!$R$22,Oeko!DH314,Oeko!FU314)</f>
        <v>8.0488597659215451</v>
      </c>
      <c r="AV314" s="1998">
        <f>IF(Construction!$F$31=Construction!$R$22,Oeko!DI314,Oeko!FV314)</f>
        <v>8.0488597659215451</v>
      </c>
      <c r="AW314" s="1979">
        <f>IF(Construction!$F$31=Construction!$R$22,Oeko!DJ314,Oeko!FW314)</f>
        <v>8.0329061668367086</v>
      </c>
      <c r="AX314" s="1979">
        <f>IF(Construction!$F$31=Construction!$R$22,Oeko!DK314,Oeko!FX314)</f>
        <v>8.0329061668367086</v>
      </c>
      <c r="AY314" s="1979">
        <f>IF(Construction!$F$31=Construction!$R$22,Oeko!DL314,Oeko!FY314)</f>
        <v>8.0329061668367086</v>
      </c>
      <c r="AZ314" s="1979">
        <f>IF(Construction!$F$31=Construction!$R$22,Oeko!DM314,Oeko!FZ314)</f>
        <v>8.0329061668367086</v>
      </c>
      <c r="BA314" s="1979">
        <f>IF(Construction!$F$31=Construction!$R$22,Oeko!DN314,Oeko!GA314)</f>
        <v>8.0329061668367086</v>
      </c>
      <c r="BB314" s="1998">
        <f>IF(Construction!$F$31=Construction!$R$22,Oeko!DO314,Oeko!GB314)</f>
        <v>0.97975662301212196</v>
      </c>
      <c r="BC314" s="1998">
        <f>IF(Construction!$F$31=Construction!$R$22,Oeko!DP314,Oeko!GC314)</f>
        <v>0.97975662301212196</v>
      </c>
      <c r="BD314" s="1998">
        <f>IF(Construction!$F$31=Construction!$R$22,Oeko!DQ314,Oeko!GD314)</f>
        <v>0.97975662301212196</v>
      </c>
      <c r="BE314" s="1998">
        <f>IF(Construction!$F$31=Construction!$R$22,Oeko!DR314,Oeko!GE314)</f>
        <v>0.97975662301212196</v>
      </c>
      <c r="BF314" s="1998">
        <f>IF(Construction!$F$31=Construction!$R$22,Oeko!DS314,Oeko!GF314)</f>
        <v>0.97975662301212196</v>
      </c>
      <c r="BG314" s="1979">
        <f>IF(Construction!$F$31=Construction!$R$22,Oeko!DT314,Oeko!GG314)</f>
        <v>0.97614876347816082</v>
      </c>
      <c r="BH314" s="1979">
        <f>IF(Construction!$F$31=Construction!$R$22,Oeko!DU314,Oeko!GH314)</f>
        <v>0.97614876347816082</v>
      </c>
      <c r="BI314" s="1979">
        <f>IF(Construction!$F$31=Construction!$R$22,Oeko!DV314,Oeko!GI314)</f>
        <v>0.97614876347816082</v>
      </c>
      <c r="BJ314" s="1979">
        <f>IF(Construction!$F$31=Construction!$R$22,Oeko!DW314,Oeko!GJ314)</f>
        <v>0.97614876347816082</v>
      </c>
      <c r="BK314" s="2021">
        <f>IF(Construction!$F$31=Construction!$R$22,Oeko!DX314,Oeko!GK314)</f>
        <v>0.97614876347816082</v>
      </c>
      <c r="BN314" s="2022"/>
      <c r="BO314" s="2">
        <v>8</v>
      </c>
      <c r="BP314" s="2" t="s">
        <v>4334</v>
      </c>
      <c r="BQ314" s="1998">
        <v>1.09375</v>
      </c>
      <c r="BR314" s="1998">
        <v>0.99999999999999989</v>
      </c>
      <c r="BS314" s="1998">
        <v>0.99999999999999989</v>
      </c>
      <c r="BT314" s="1998">
        <v>0.99999999999999989</v>
      </c>
      <c r="BU314" s="1998">
        <v>0.99999999999999989</v>
      </c>
      <c r="BV314" s="1979">
        <v>1.3333333333333333</v>
      </c>
      <c r="BW314" s="1979">
        <v>1.3333333333333333</v>
      </c>
      <c r="BX314" s="1979">
        <v>1.3333333333333333</v>
      </c>
      <c r="BY314" s="1979">
        <v>1.3333333333333333</v>
      </c>
      <c r="BZ314" s="1979">
        <v>1.3333333333333333</v>
      </c>
      <c r="CA314" s="1998">
        <v>0.91428571428571437</v>
      </c>
      <c r="CB314" s="1998">
        <v>0.91428571428571437</v>
      </c>
      <c r="CC314" s="1998">
        <v>0.91428571428571437</v>
      </c>
      <c r="CD314" s="1998">
        <v>0.91428571428571437</v>
      </c>
      <c r="CE314" s="1998">
        <v>0.91428571428571437</v>
      </c>
      <c r="CF314" s="1979">
        <v>1.1250000000000002</v>
      </c>
      <c r="CG314" s="1979">
        <v>1.1250000000000002</v>
      </c>
      <c r="CH314" s="1979">
        <v>1.1250000000000002</v>
      </c>
      <c r="CI314" s="1979">
        <v>1.1250000000000002</v>
      </c>
      <c r="CJ314" s="1979">
        <v>1.1250000000000002</v>
      </c>
      <c r="CK314" s="1998">
        <v>0.89999999999999991</v>
      </c>
      <c r="CL314" s="1998">
        <v>0.89999999999999991</v>
      </c>
      <c r="CM314" s="1998">
        <v>0.89999999999999991</v>
      </c>
      <c r="CN314" s="1998">
        <v>0.89999999999999991</v>
      </c>
      <c r="CO314" s="1998">
        <v>0.89999999999999991</v>
      </c>
      <c r="CP314" s="1979">
        <v>1.0000000000000002</v>
      </c>
      <c r="CQ314" s="1979">
        <v>1.0000000000000002</v>
      </c>
      <c r="CR314" s="1979">
        <v>1.0000000000000002</v>
      </c>
      <c r="CS314" s="1979">
        <v>1.0000000000000002</v>
      </c>
      <c r="CT314" s="1979">
        <v>1.0000000000000002</v>
      </c>
      <c r="CU314" s="1998">
        <v>1.333333333333333</v>
      </c>
      <c r="CV314" s="1998">
        <v>1.333333333333333</v>
      </c>
      <c r="CW314" s="1998">
        <v>1.333333333333333</v>
      </c>
      <c r="CX314" s="1998">
        <v>1.333333333333333</v>
      </c>
      <c r="CY314" s="1998">
        <v>1.333333333333333</v>
      </c>
      <c r="CZ314" s="1979">
        <v>1</v>
      </c>
      <c r="DA314" s="1979">
        <v>1</v>
      </c>
      <c r="DB314" s="1979">
        <v>1</v>
      </c>
      <c r="DC314" s="1979">
        <v>1</v>
      </c>
      <c r="DD314" s="1979">
        <v>1</v>
      </c>
      <c r="DE314" s="1998">
        <v>8.0488597659215451</v>
      </c>
      <c r="DF314" s="1998">
        <v>8.0488597659215451</v>
      </c>
      <c r="DG314" s="1998">
        <v>8.0488597659215451</v>
      </c>
      <c r="DH314" s="1998">
        <v>8.0488597659215451</v>
      </c>
      <c r="DI314" s="1998">
        <v>8.0488597659215451</v>
      </c>
      <c r="DJ314" s="1979">
        <v>8.0329061668367086</v>
      </c>
      <c r="DK314" s="1979">
        <v>8.0329061668367086</v>
      </c>
      <c r="DL314" s="1979">
        <v>8.0329061668367086</v>
      </c>
      <c r="DM314" s="1979">
        <v>8.0329061668367086</v>
      </c>
      <c r="DN314" s="1979">
        <v>8.0329061668367086</v>
      </c>
      <c r="DO314" s="1998">
        <v>0.97975662301212196</v>
      </c>
      <c r="DP314" s="1998">
        <v>0.97975662301212196</v>
      </c>
      <c r="DQ314" s="1998">
        <v>0.97975662301212196</v>
      </c>
      <c r="DR314" s="1998">
        <v>0.97975662301212196</v>
      </c>
      <c r="DS314" s="1998">
        <v>0.97975662301212196</v>
      </c>
      <c r="DT314" s="1979">
        <v>0.97614876347816082</v>
      </c>
      <c r="DU314" s="1979">
        <v>0.97614876347816082</v>
      </c>
      <c r="DV314" s="1979">
        <v>0.97614876347816082</v>
      </c>
      <c r="DW314" s="1979">
        <v>0.97614876347816082</v>
      </c>
      <c r="DX314" s="2021">
        <v>0.97614876347816082</v>
      </c>
      <c r="EA314" s="2022"/>
      <c r="EB314" s="2">
        <v>8</v>
      </c>
      <c r="EC314" s="2" t="s">
        <v>4334</v>
      </c>
      <c r="ED314" s="1998">
        <v>1.4765287570396433</v>
      </c>
      <c r="EE314" s="1998">
        <v>1.4598312019546265</v>
      </c>
      <c r="EF314" s="1998">
        <v>1.4968873300458905</v>
      </c>
      <c r="EG314" s="1998">
        <v>1.5410129897284921</v>
      </c>
      <c r="EH314" s="1998">
        <v>1.576890862554533</v>
      </c>
      <c r="EI314" s="1979">
        <v>2.3686962268370007</v>
      </c>
      <c r="EJ314" s="1979">
        <v>2.4225103582231862</v>
      </c>
      <c r="EK314" s="1979">
        <v>2.489478102933862</v>
      </c>
      <c r="EL314" s="1979">
        <v>2.5658718897663215</v>
      </c>
      <c r="EM314" s="1979">
        <v>2.6092745291725361</v>
      </c>
      <c r="EN314" s="1998">
        <v>1.4722050680094398</v>
      </c>
      <c r="EO314" s="1998">
        <v>1.5012911408423739</v>
      </c>
      <c r="EP314" s="1998">
        <v>1.5045229267126998</v>
      </c>
      <c r="EQ314" s="1998">
        <v>1.5077547125830257</v>
      </c>
      <c r="ER314" s="1998">
        <v>1.5109864984533519</v>
      </c>
      <c r="ES314" s="1979">
        <v>1.9380049699183688</v>
      </c>
      <c r="ET314" s="1979">
        <v>1.9724689364261419</v>
      </c>
      <c r="EU314" s="1979">
        <v>1.9777710851196455</v>
      </c>
      <c r="EV314" s="1979">
        <v>1.9830732338131491</v>
      </c>
      <c r="EW314" s="1979">
        <v>1.9883753825066526</v>
      </c>
      <c r="EX314" s="1998">
        <v>1.5141372788711303</v>
      </c>
      <c r="EY314" s="1998">
        <v>1.541708452077349</v>
      </c>
      <c r="EZ314" s="1998">
        <v>1.5459501710321515</v>
      </c>
      <c r="FA314" s="1998">
        <v>1.5501918899869547</v>
      </c>
      <c r="FB314" s="1998">
        <v>1.5544336089417574</v>
      </c>
      <c r="FC314" s="1979">
        <v>1.5042932535154498</v>
      </c>
      <c r="FD314" s="1979">
        <v>1.5231453377590181</v>
      </c>
      <c r="FE314" s="1979">
        <v>1.5278583588199102</v>
      </c>
      <c r="FF314" s="1979">
        <v>1.5325713798808023</v>
      </c>
      <c r="FG314" s="1979">
        <v>1.5372844009416942</v>
      </c>
      <c r="FH314" s="1998">
        <v>2.7094513220234409</v>
      </c>
      <c r="FI314" s="1998">
        <v>2.7141643430843323</v>
      </c>
      <c r="FJ314" s="1998">
        <v>2.7188773641452242</v>
      </c>
      <c r="FK314" s="1998">
        <v>2.7235903852061165</v>
      </c>
      <c r="FL314" s="1998">
        <v>2.7283034062670084</v>
      </c>
      <c r="FM314" s="1979">
        <v>1.6217888685634887</v>
      </c>
      <c r="FN314" s="1979">
        <v>1.6516694220895438</v>
      </c>
      <c r="FO314" s="1979">
        <v>1.6937095699527014</v>
      </c>
      <c r="FP314" s="1979">
        <v>1.7428192494071963</v>
      </c>
      <c r="FQ314" s="1979">
        <v>1.7754333551485697</v>
      </c>
      <c r="FR314" s="1998">
        <v>19.254220813510525</v>
      </c>
      <c r="FS314" s="1998">
        <v>19.311122481899957</v>
      </c>
      <c r="FT314" s="1998">
        <v>19.36802415028939</v>
      </c>
      <c r="FU314" s="1998">
        <v>19.424925818678819</v>
      </c>
      <c r="FV314" s="1998">
        <v>19.481827487068255</v>
      </c>
      <c r="FW314" s="1979">
        <v>19.612970867223424</v>
      </c>
      <c r="FX314" s="1979">
        <v>19.669759751140131</v>
      </c>
      <c r="FY314" s="1979">
        <v>19.726548635056837</v>
      </c>
      <c r="FZ314" s="1979">
        <v>19.783337518973546</v>
      </c>
      <c r="GA314" s="1979">
        <v>19.840126402890249</v>
      </c>
      <c r="GB314" s="1998">
        <v>1.534736057418451</v>
      </c>
      <c r="GC314" s="1998">
        <v>1.5370448642178531</v>
      </c>
      <c r="GD314" s="1998">
        <v>1.5393536710172555</v>
      </c>
      <c r="GE314" s="1998">
        <v>1.5416624778166577</v>
      </c>
      <c r="GF314" s="1998">
        <v>1.5462800914154624</v>
      </c>
      <c r="GG314" s="1979">
        <v>1.6075824421729441</v>
      </c>
      <c r="GH314" s="1979">
        <v>1.6098827470133621</v>
      </c>
      <c r="GI314" s="1979">
        <v>1.6121830518537803</v>
      </c>
      <c r="GJ314" s="1979">
        <v>1.6144833566941985</v>
      </c>
      <c r="GK314" s="2021">
        <v>1.6190839663750349</v>
      </c>
    </row>
    <row r="315" spans="1:193">
      <c r="A315" s="2020"/>
      <c r="B315" s="2">
        <v>9</v>
      </c>
      <c r="C315" s="2" t="s">
        <v>4335</v>
      </c>
      <c r="D315" s="1998">
        <f>IF(Construction!$F$31=Construction!$R$22,Oeko!BQ315,Oeko!ED315)</f>
        <v>1.09375</v>
      </c>
      <c r="E315" s="1998">
        <f>IF(Construction!$F$31=Construction!$R$22,Oeko!BR315,Oeko!EE315)</f>
        <v>0.99999999999999989</v>
      </c>
      <c r="F315" s="1998">
        <f>IF(Construction!$F$31=Construction!$R$22,Oeko!BS315,Oeko!EF315)</f>
        <v>0.99999999999999989</v>
      </c>
      <c r="G315" s="1998">
        <f>IF(Construction!$F$31=Construction!$R$22,Oeko!BT315,Oeko!EG315)</f>
        <v>0.99999999999999989</v>
      </c>
      <c r="H315" s="1998">
        <f>IF(Construction!$F$31=Construction!$R$22,Oeko!BU315,Oeko!EH315)</f>
        <v>0.99999999999999989</v>
      </c>
      <c r="I315" s="1979">
        <f>IF(Construction!$F$31=Construction!$R$22,Oeko!BV315,Oeko!EI315)</f>
        <v>1.333333333333333</v>
      </c>
      <c r="J315" s="1979">
        <f>IF(Construction!$F$31=Construction!$R$22,Oeko!BW315,Oeko!EJ315)</f>
        <v>1.333333333333333</v>
      </c>
      <c r="K315" s="1979">
        <f>IF(Construction!$F$31=Construction!$R$22,Oeko!BX315,Oeko!EK315)</f>
        <v>1.333333333333333</v>
      </c>
      <c r="L315" s="1979">
        <f>IF(Construction!$F$31=Construction!$R$22,Oeko!BY315,Oeko!EL315)</f>
        <v>1.333333333333333</v>
      </c>
      <c r="M315" s="1979">
        <f>IF(Construction!$F$31=Construction!$R$22,Oeko!BZ315,Oeko!EM315)</f>
        <v>1.333333333333333</v>
      </c>
      <c r="N315" s="1998">
        <f>IF(Construction!$F$31=Construction!$R$22,Oeko!CA315,Oeko!EN315)</f>
        <v>0.85714285714285721</v>
      </c>
      <c r="O315" s="1998">
        <f>IF(Construction!$F$31=Construction!$R$22,Oeko!CB315,Oeko!EO315)</f>
        <v>0.85714285714285721</v>
      </c>
      <c r="P315" s="1998">
        <f>IF(Construction!$F$31=Construction!$R$22,Oeko!CC315,Oeko!EP315)</f>
        <v>0.85714285714285721</v>
      </c>
      <c r="Q315" s="1998">
        <f>IF(Construction!$F$31=Construction!$R$22,Oeko!CD315,Oeko!EQ315)</f>
        <v>0.85714285714285721</v>
      </c>
      <c r="R315" s="1998">
        <f>IF(Construction!$F$31=Construction!$R$22,Oeko!CE315,Oeko!ER315)</f>
        <v>0.85714285714285721</v>
      </c>
      <c r="S315" s="1979">
        <f>IF(Construction!$F$31=Construction!$R$22,Oeko!CF315,Oeko!ES315)</f>
        <v>1.125</v>
      </c>
      <c r="T315" s="1979">
        <f>IF(Construction!$F$31=Construction!$R$22,Oeko!CG315,Oeko!ET315)</f>
        <v>1.125</v>
      </c>
      <c r="U315" s="1979">
        <f>IF(Construction!$F$31=Construction!$R$22,Oeko!CH315,Oeko!EU315)</f>
        <v>1.125</v>
      </c>
      <c r="V315" s="1979">
        <f>IF(Construction!$F$31=Construction!$R$22,Oeko!CI315,Oeko!EV315)</f>
        <v>1.125</v>
      </c>
      <c r="W315" s="1979">
        <f>IF(Construction!$F$31=Construction!$R$22,Oeko!CJ315,Oeko!EW315)</f>
        <v>1.125</v>
      </c>
      <c r="X315" s="1998">
        <f>IF(Construction!$F$31=Construction!$R$22,Oeko!CK315,Oeko!EX315)</f>
        <v>0.9</v>
      </c>
      <c r="Y315" s="1998">
        <f>IF(Construction!$F$31=Construction!$R$22,Oeko!CL315,Oeko!EY315)</f>
        <v>0.9</v>
      </c>
      <c r="Z315" s="1998">
        <f>IF(Construction!$F$31=Construction!$R$22,Oeko!CM315,Oeko!EZ315)</f>
        <v>0.9</v>
      </c>
      <c r="AA315" s="1998">
        <f>IF(Construction!$F$31=Construction!$R$22,Oeko!CN315,Oeko!FA315)</f>
        <v>0.9</v>
      </c>
      <c r="AB315" s="1998">
        <f>IF(Construction!$F$31=Construction!$R$22,Oeko!CO315,Oeko!FB315)</f>
        <v>0.9</v>
      </c>
      <c r="AC315" s="1979">
        <f>IF(Construction!$F$31=Construction!$R$22,Oeko!CP315,Oeko!FC315)</f>
        <v>1</v>
      </c>
      <c r="AD315" s="1979">
        <f>IF(Construction!$F$31=Construction!$R$22,Oeko!CQ315,Oeko!FD315)</f>
        <v>1</v>
      </c>
      <c r="AE315" s="1979">
        <f>IF(Construction!$F$31=Construction!$R$22,Oeko!CR315,Oeko!FE315)</f>
        <v>1</v>
      </c>
      <c r="AF315" s="1979">
        <f>IF(Construction!$F$31=Construction!$R$22,Oeko!CS315,Oeko!FF315)</f>
        <v>1</v>
      </c>
      <c r="AG315" s="1979">
        <f>IF(Construction!$F$31=Construction!$R$22,Oeko!CT315,Oeko!FG315)</f>
        <v>1</v>
      </c>
      <c r="AH315" s="1998">
        <f>IF(Construction!$F$31=Construction!$R$22,Oeko!CU315,Oeko!FH315)</f>
        <v>1.333333333333333</v>
      </c>
      <c r="AI315" s="1998">
        <f>IF(Construction!$F$31=Construction!$R$22,Oeko!CV315,Oeko!FI315)</f>
        <v>1.333333333333333</v>
      </c>
      <c r="AJ315" s="1998">
        <f>IF(Construction!$F$31=Construction!$R$22,Oeko!CW315,Oeko!FJ315)</f>
        <v>1.333333333333333</v>
      </c>
      <c r="AK315" s="1998">
        <f>IF(Construction!$F$31=Construction!$R$22,Oeko!CX315,Oeko!FK315)</f>
        <v>1.333333333333333</v>
      </c>
      <c r="AL315" s="1998">
        <f>IF(Construction!$F$31=Construction!$R$22,Oeko!CY315,Oeko!FL315)</f>
        <v>1.333333333333333</v>
      </c>
      <c r="AM315" s="1979">
        <f>IF(Construction!$F$31=Construction!$R$22,Oeko!CZ315,Oeko!FM315)</f>
        <v>1</v>
      </c>
      <c r="AN315" s="1979">
        <f>IF(Construction!$F$31=Construction!$R$22,Oeko!DA315,Oeko!FN315)</f>
        <v>1</v>
      </c>
      <c r="AO315" s="1979">
        <f>IF(Construction!$F$31=Construction!$R$22,Oeko!DB315,Oeko!FO315)</f>
        <v>1</v>
      </c>
      <c r="AP315" s="1979">
        <f>IF(Construction!$F$31=Construction!$R$22,Oeko!DC315,Oeko!FP315)</f>
        <v>1</v>
      </c>
      <c r="AQ315" s="1979">
        <f>IF(Construction!$F$31=Construction!$R$22,Oeko!DD315,Oeko!FQ315)</f>
        <v>1</v>
      </c>
      <c r="AR315" s="1998">
        <f>IF(Construction!$F$31=Construction!$R$22,Oeko!DE315,Oeko!FR315)</f>
        <v>8.0488597659215468</v>
      </c>
      <c r="AS315" s="1998">
        <f>IF(Construction!$F$31=Construction!$R$22,Oeko!DF315,Oeko!FS315)</f>
        <v>8.0488597659215468</v>
      </c>
      <c r="AT315" s="1998">
        <f>IF(Construction!$F$31=Construction!$R$22,Oeko!DG315,Oeko!FT315)</f>
        <v>8.0488597659215468</v>
      </c>
      <c r="AU315" s="1998">
        <f>IF(Construction!$F$31=Construction!$R$22,Oeko!DH315,Oeko!FU315)</f>
        <v>8.0488597659215468</v>
      </c>
      <c r="AV315" s="1998">
        <f>IF(Construction!$F$31=Construction!$R$22,Oeko!DI315,Oeko!FV315)</f>
        <v>8.0488597659215468</v>
      </c>
      <c r="AW315" s="1979">
        <f>IF(Construction!$F$31=Construction!$R$22,Oeko!DJ315,Oeko!FW315)</f>
        <v>8.0329061668367086</v>
      </c>
      <c r="AX315" s="1979">
        <f>IF(Construction!$F$31=Construction!$R$22,Oeko!DK315,Oeko!FX315)</f>
        <v>8.0329061668367086</v>
      </c>
      <c r="AY315" s="1979">
        <f>IF(Construction!$F$31=Construction!$R$22,Oeko!DL315,Oeko!FY315)</f>
        <v>8.0329061668367086</v>
      </c>
      <c r="AZ315" s="1979">
        <f>IF(Construction!$F$31=Construction!$R$22,Oeko!DM315,Oeko!FZ315)</f>
        <v>8.0329061668367086</v>
      </c>
      <c r="BA315" s="1979">
        <f>IF(Construction!$F$31=Construction!$R$22,Oeko!DN315,Oeko!GA315)</f>
        <v>8.0329061668367086</v>
      </c>
      <c r="BB315" s="1998">
        <f>IF(Construction!$F$31=Construction!$R$22,Oeko!DO315,Oeko!GB315)</f>
        <v>0.97975662301212196</v>
      </c>
      <c r="BC315" s="1998">
        <f>IF(Construction!$F$31=Construction!$R$22,Oeko!DP315,Oeko!GC315)</f>
        <v>0.97975662301212196</v>
      </c>
      <c r="BD315" s="1998">
        <f>IF(Construction!$F$31=Construction!$R$22,Oeko!DQ315,Oeko!GD315)</f>
        <v>0.97975662301212196</v>
      </c>
      <c r="BE315" s="1998">
        <f>IF(Construction!$F$31=Construction!$R$22,Oeko!DR315,Oeko!GE315)</f>
        <v>0.97975662301212196</v>
      </c>
      <c r="BF315" s="1998">
        <f>IF(Construction!$F$31=Construction!$R$22,Oeko!DS315,Oeko!GF315)</f>
        <v>0.97975662301212196</v>
      </c>
      <c r="BG315" s="1979">
        <f>IF(Construction!$F$31=Construction!$R$22,Oeko!DT315,Oeko!GG315)</f>
        <v>0.97614876347816082</v>
      </c>
      <c r="BH315" s="1979">
        <f>IF(Construction!$F$31=Construction!$R$22,Oeko!DU315,Oeko!GH315)</f>
        <v>0.97614876347816082</v>
      </c>
      <c r="BI315" s="1979">
        <f>IF(Construction!$F$31=Construction!$R$22,Oeko!DV315,Oeko!GI315)</f>
        <v>0.97614876347816082</v>
      </c>
      <c r="BJ315" s="1979">
        <f>IF(Construction!$F$31=Construction!$R$22,Oeko!DW315,Oeko!GJ315)</f>
        <v>0.97614876347816082</v>
      </c>
      <c r="BK315" s="2021">
        <f>IF(Construction!$F$31=Construction!$R$22,Oeko!DX315,Oeko!GK315)</f>
        <v>0.97614876347816082</v>
      </c>
      <c r="BN315" s="2022"/>
      <c r="BO315" s="2">
        <v>9</v>
      </c>
      <c r="BP315" s="2" t="s">
        <v>4335</v>
      </c>
      <c r="BQ315" s="1998">
        <v>1.09375</v>
      </c>
      <c r="BR315" s="1998">
        <v>0.99999999999999989</v>
      </c>
      <c r="BS315" s="1998">
        <v>0.99999999999999989</v>
      </c>
      <c r="BT315" s="1998">
        <v>0.99999999999999989</v>
      </c>
      <c r="BU315" s="1998">
        <v>0.99999999999999989</v>
      </c>
      <c r="BV315" s="1979">
        <v>1.333333333333333</v>
      </c>
      <c r="BW315" s="1979">
        <v>1.333333333333333</v>
      </c>
      <c r="BX315" s="1979">
        <v>1.333333333333333</v>
      </c>
      <c r="BY315" s="1979">
        <v>1.333333333333333</v>
      </c>
      <c r="BZ315" s="1979">
        <v>1.333333333333333</v>
      </c>
      <c r="CA315" s="1998">
        <v>0.85714285714285721</v>
      </c>
      <c r="CB315" s="1998">
        <v>0.85714285714285721</v>
      </c>
      <c r="CC315" s="1998">
        <v>0.85714285714285721</v>
      </c>
      <c r="CD315" s="1998">
        <v>0.85714285714285721</v>
      </c>
      <c r="CE315" s="1998">
        <v>0.85714285714285721</v>
      </c>
      <c r="CF315" s="1979">
        <v>1.125</v>
      </c>
      <c r="CG315" s="1979">
        <v>1.125</v>
      </c>
      <c r="CH315" s="1979">
        <v>1.125</v>
      </c>
      <c r="CI315" s="1979">
        <v>1.125</v>
      </c>
      <c r="CJ315" s="1979">
        <v>1.125</v>
      </c>
      <c r="CK315" s="1998">
        <v>0.9</v>
      </c>
      <c r="CL315" s="1998">
        <v>0.9</v>
      </c>
      <c r="CM315" s="1998">
        <v>0.9</v>
      </c>
      <c r="CN315" s="1998">
        <v>0.9</v>
      </c>
      <c r="CO315" s="1998">
        <v>0.9</v>
      </c>
      <c r="CP315" s="1979">
        <v>1</v>
      </c>
      <c r="CQ315" s="1979">
        <v>1</v>
      </c>
      <c r="CR315" s="1979">
        <v>1</v>
      </c>
      <c r="CS315" s="1979">
        <v>1</v>
      </c>
      <c r="CT315" s="1979">
        <v>1</v>
      </c>
      <c r="CU315" s="1998">
        <v>1.333333333333333</v>
      </c>
      <c r="CV315" s="1998">
        <v>1.333333333333333</v>
      </c>
      <c r="CW315" s="1998">
        <v>1.333333333333333</v>
      </c>
      <c r="CX315" s="1998">
        <v>1.333333333333333</v>
      </c>
      <c r="CY315" s="1998">
        <v>1.333333333333333</v>
      </c>
      <c r="CZ315" s="1979">
        <v>1</v>
      </c>
      <c r="DA315" s="1979">
        <v>1</v>
      </c>
      <c r="DB315" s="1979">
        <v>1</v>
      </c>
      <c r="DC315" s="1979">
        <v>1</v>
      </c>
      <c r="DD315" s="1979">
        <v>1</v>
      </c>
      <c r="DE315" s="1998">
        <v>8.0488597659215468</v>
      </c>
      <c r="DF315" s="1998">
        <v>8.0488597659215468</v>
      </c>
      <c r="DG315" s="1998">
        <v>8.0488597659215468</v>
      </c>
      <c r="DH315" s="1998">
        <v>8.0488597659215468</v>
      </c>
      <c r="DI315" s="1998">
        <v>8.0488597659215468</v>
      </c>
      <c r="DJ315" s="1979">
        <v>8.0329061668367086</v>
      </c>
      <c r="DK315" s="1979">
        <v>8.0329061668367086</v>
      </c>
      <c r="DL315" s="1979">
        <v>8.0329061668367086</v>
      </c>
      <c r="DM315" s="1979">
        <v>8.0329061668367086</v>
      </c>
      <c r="DN315" s="1979">
        <v>8.0329061668367086</v>
      </c>
      <c r="DO315" s="1998">
        <v>0.97975662301212196</v>
      </c>
      <c r="DP315" s="1998">
        <v>0.97975662301212196</v>
      </c>
      <c r="DQ315" s="1998">
        <v>0.97975662301212196</v>
      </c>
      <c r="DR315" s="1998">
        <v>0.97975662301212196</v>
      </c>
      <c r="DS315" s="1998">
        <v>0.97975662301212196</v>
      </c>
      <c r="DT315" s="1979">
        <v>0.97614876347816082</v>
      </c>
      <c r="DU315" s="1979">
        <v>0.97614876347816082</v>
      </c>
      <c r="DV315" s="1979">
        <v>0.97614876347816082</v>
      </c>
      <c r="DW315" s="1979">
        <v>0.97614876347816082</v>
      </c>
      <c r="DX315" s="2021">
        <v>0.97614876347816082</v>
      </c>
      <c r="EA315" s="2022"/>
      <c r="EB315" s="2">
        <v>9</v>
      </c>
      <c r="EC315" s="2" t="s">
        <v>4335</v>
      </c>
      <c r="ED315" s="1998">
        <v>1.4765287570396433</v>
      </c>
      <c r="EE315" s="1998">
        <v>1.4589603871525363</v>
      </c>
      <c r="EF315" s="1998">
        <v>1.4961932535335836</v>
      </c>
      <c r="EG315" s="1998">
        <v>1.5404956515059689</v>
      </c>
      <c r="EH315" s="1998">
        <v>1.5765502626217933</v>
      </c>
      <c r="EI315" s="1979">
        <v>2.4007828550697412</v>
      </c>
      <c r="EJ315" s="1979">
        <v>2.4556633669787948</v>
      </c>
      <c r="EK315" s="1979">
        <v>2.5231643019509047</v>
      </c>
      <c r="EL315" s="1979">
        <v>2.6000912790447983</v>
      </c>
      <c r="EM315" s="1979">
        <v>2.6440271087124474</v>
      </c>
      <c r="EN315" s="1998">
        <v>1.4603960871625805</v>
      </c>
      <c r="EO315" s="1998">
        <v>1.4866543473589793</v>
      </c>
      <c r="EP315" s="1998">
        <v>1.4906940796968866</v>
      </c>
      <c r="EQ315" s="1998">
        <v>1.4947338120347942</v>
      </c>
      <c r="ER315" s="1998">
        <v>1.4987735443727015</v>
      </c>
      <c r="ES315" s="1979">
        <v>1.9742716669819329</v>
      </c>
      <c r="ET315" s="1979">
        <v>2.0087356334897062</v>
      </c>
      <c r="EU315" s="1979">
        <v>2.0140377821832098</v>
      </c>
      <c r="EV315" s="1979">
        <v>2.019339930876713</v>
      </c>
      <c r="EW315" s="1979">
        <v>2.0246420795702171</v>
      </c>
      <c r="EX315" s="1998">
        <v>1.5330341368147773</v>
      </c>
      <c r="EY315" s="1998">
        <v>1.5606053100209956</v>
      </c>
      <c r="EZ315" s="1998">
        <v>1.5648470289757985</v>
      </c>
      <c r="FA315" s="1998">
        <v>1.5690887479306013</v>
      </c>
      <c r="FB315" s="1998">
        <v>1.5733304668854042</v>
      </c>
      <c r="FC315" s="1979">
        <v>1.5122111288977489</v>
      </c>
      <c r="FD315" s="1979">
        <v>1.5310632131413171</v>
      </c>
      <c r="FE315" s="1979">
        <v>1.535776234202209</v>
      </c>
      <c r="FF315" s="1979">
        <v>1.5404892552631009</v>
      </c>
      <c r="FG315" s="1979">
        <v>1.545202276323993</v>
      </c>
      <c r="FH315" s="1998">
        <v>2.7431157581726691</v>
      </c>
      <c r="FI315" s="1998">
        <v>2.7478287792335614</v>
      </c>
      <c r="FJ315" s="1998">
        <v>2.7525418002944533</v>
      </c>
      <c r="FK315" s="1998">
        <v>2.7572548213553456</v>
      </c>
      <c r="FL315" s="1998">
        <v>2.7619678424162371</v>
      </c>
      <c r="FM315" s="1979">
        <v>1.6659341658338442</v>
      </c>
      <c r="FN315" s="1979">
        <v>1.6966944832912663</v>
      </c>
      <c r="FO315" s="1979">
        <v>1.7391745131201068</v>
      </c>
      <c r="FP315" s="1979">
        <v>1.7887240745402853</v>
      </c>
      <c r="FQ315" s="1979">
        <v>1.8217780622473414</v>
      </c>
      <c r="FR315" s="1998">
        <v>19.685250951560473</v>
      </c>
      <c r="FS315" s="1998">
        <v>19.742152619949906</v>
      </c>
      <c r="FT315" s="1998">
        <v>19.799054288339338</v>
      </c>
      <c r="FU315" s="1998">
        <v>19.855955956728771</v>
      </c>
      <c r="FV315" s="1998">
        <v>19.912857625118203</v>
      </c>
      <c r="FW315" s="1979">
        <v>20.178155473823029</v>
      </c>
      <c r="FX315" s="1979">
        <v>20.234944357739739</v>
      </c>
      <c r="FY315" s="1979">
        <v>20.291733241656441</v>
      </c>
      <c r="FZ315" s="1979">
        <v>20.348522125573147</v>
      </c>
      <c r="GA315" s="1979">
        <v>20.405311009489857</v>
      </c>
      <c r="GB315" s="1998">
        <v>1.569368159409485</v>
      </c>
      <c r="GC315" s="1998">
        <v>1.5728313696085885</v>
      </c>
      <c r="GD315" s="1998">
        <v>1.5762945798076922</v>
      </c>
      <c r="GE315" s="1998">
        <v>1.5797577900067954</v>
      </c>
      <c r="GF315" s="1998">
        <v>1.5866842104050023</v>
      </c>
      <c r="GG315" s="1979">
        <v>1.6507131579307843</v>
      </c>
      <c r="GH315" s="1979">
        <v>1.6541636151914119</v>
      </c>
      <c r="GI315" s="1979">
        <v>1.6576140724520387</v>
      </c>
      <c r="GJ315" s="1979">
        <v>1.6610645297126663</v>
      </c>
      <c r="GK315" s="2021">
        <v>1.6679654442339207</v>
      </c>
    </row>
    <row r="316" spans="1:193">
      <c r="A316" s="2020"/>
      <c r="B316" s="2">
        <v>10</v>
      </c>
      <c r="C316" s="2" t="s">
        <v>4336</v>
      </c>
      <c r="D316" s="1998">
        <f>IF(Construction!$F$31=Construction!$R$22,Oeko!BQ316,Oeko!ED316)</f>
        <v>1.09375</v>
      </c>
      <c r="E316" s="1998">
        <f>IF(Construction!$F$31=Construction!$R$22,Oeko!BR316,Oeko!EE316)</f>
        <v>0.99999999999999989</v>
      </c>
      <c r="F316" s="1998">
        <f>IF(Construction!$F$31=Construction!$R$22,Oeko!BS316,Oeko!EF316)</f>
        <v>0.99999999999999989</v>
      </c>
      <c r="G316" s="1998">
        <f>IF(Construction!$F$31=Construction!$R$22,Oeko!BT316,Oeko!EG316)</f>
        <v>0.99999999999999989</v>
      </c>
      <c r="H316" s="1998">
        <f>IF(Construction!$F$31=Construction!$R$22,Oeko!BU316,Oeko!EH316)</f>
        <v>0.99999999999999989</v>
      </c>
      <c r="I316" s="1979">
        <f>IF(Construction!$F$31=Construction!$R$22,Oeko!BV316,Oeko!EI316)</f>
        <v>1</v>
      </c>
      <c r="J316" s="1979">
        <f>IF(Construction!$F$31=Construction!$R$22,Oeko!BW316,Oeko!EJ316)</f>
        <v>1</v>
      </c>
      <c r="K316" s="1979">
        <f>IF(Construction!$F$31=Construction!$R$22,Oeko!BX316,Oeko!EK316)</f>
        <v>1</v>
      </c>
      <c r="L316" s="1979">
        <f>IF(Construction!$F$31=Construction!$R$22,Oeko!BY316,Oeko!EL316)</f>
        <v>1</v>
      </c>
      <c r="M316" s="1979">
        <f>IF(Construction!$F$31=Construction!$R$22,Oeko!BZ316,Oeko!EM316)</f>
        <v>1</v>
      </c>
      <c r="N316" s="1998">
        <f>IF(Construction!$F$31=Construction!$R$22,Oeko!CA316,Oeko!EN316)</f>
        <v>0.76190476190476186</v>
      </c>
      <c r="O316" s="1998">
        <f>IF(Construction!$F$31=Construction!$R$22,Oeko!CB316,Oeko!EO316)</f>
        <v>0.76190476190476186</v>
      </c>
      <c r="P316" s="1998">
        <f>IF(Construction!$F$31=Construction!$R$22,Oeko!CC316,Oeko!EP316)</f>
        <v>0.76190476190476186</v>
      </c>
      <c r="Q316" s="1998">
        <f>IF(Construction!$F$31=Construction!$R$22,Oeko!CD316,Oeko!EQ316)</f>
        <v>0.76190476190476186</v>
      </c>
      <c r="R316" s="1998">
        <f>IF(Construction!$F$31=Construction!$R$22,Oeko!CE316,Oeko!ER316)</f>
        <v>0.76190476190476186</v>
      </c>
      <c r="S316" s="1979">
        <f>IF(Construction!$F$31=Construction!$R$22,Oeko!CF316,Oeko!ES316)</f>
        <v>1.1250000000000002</v>
      </c>
      <c r="T316" s="1979">
        <f>IF(Construction!$F$31=Construction!$R$22,Oeko!CG316,Oeko!ET316)</f>
        <v>1.1250000000000002</v>
      </c>
      <c r="U316" s="1979">
        <f>IF(Construction!$F$31=Construction!$R$22,Oeko!CH316,Oeko!EU316)</f>
        <v>1.1250000000000002</v>
      </c>
      <c r="V316" s="1979">
        <f>IF(Construction!$F$31=Construction!$R$22,Oeko!CI316,Oeko!EV316)</f>
        <v>1.1250000000000002</v>
      </c>
      <c r="W316" s="1979">
        <f>IF(Construction!$F$31=Construction!$R$22,Oeko!CJ316,Oeko!EW316)</f>
        <v>1.1250000000000002</v>
      </c>
      <c r="X316" s="1998">
        <f>IF(Construction!$F$31=Construction!$R$22,Oeko!CK316,Oeko!EX316)</f>
        <v>0.8</v>
      </c>
      <c r="Y316" s="1998">
        <f>IF(Construction!$F$31=Construction!$R$22,Oeko!CL316,Oeko!EY316)</f>
        <v>0.8</v>
      </c>
      <c r="Z316" s="1998">
        <f>IF(Construction!$F$31=Construction!$R$22,Oeko!CM316,Oeko!EZ316)</f>
        <v>0.8</v>
      </c>
      <c r="AA316" s="1998">
        <f>IF(Construction!$F$31=Construction!$R$22,Oeko!CN316,Oeko!FA316)</f>
        <v>0.8</v>
      </c>
      <c r="AB316" s="1998">
        <f>IF(Construction!$F$31=Construction!$R$22,Oeko!CO316,Oeko!FB316)</f>
        <v>0.8</v>
      </c>
      <c r="AC316" s="1979">
        <f>IF(Construction!$F$31=Construction!$R$22,Oeko!CP316,Oeko!FC316)</f>
        <v>1.0000000000000002</v>
      </c>
      <c r="AD316" s="1979">
        <f>IF(Construction!$F$31=Construction!$R$22,Oeko!CQ316,Oeko!FD316)</f>
        <v>1.0000000000000002</v>
      </c>
      <c r="AE316" s="1979">
        <f>IF(Construction!$F$31=Construction!$R$22,Oeko!CR316,Oeko!FE316)</f>
        <v>1.0000000000000002</v>
      </c>
      <c r="AF316" s="1979">
        <f>IF(Construction!$F$31=Construction!$R$22,Oeko!CS316,Oeko!FF316)</f>
        <v>1.0000000000000002</v>
      </c>
      <c r="AG316" s="1979">
        <f>IF(Construction!$F$31=Construction!$R$22,Oeko!CT316,Oeko!FG316)</f>
        <v>1.0000000000000002</v>
      </c>
      <c r="AH316" s="1998">
        <f>IF(Construction!$F$31=Construction!$R$22,Oeko!CU316,Oeko!FH316)</f>
        <v>1</v>
      </c>
      <c r="AI316" s="1998">
        <f>IF(Construction!$F$31=Construction!$R$22,Oeko!CV316,Oeko!FI316)</f>
        <v>1</v>
      </c>
      <c r="AJ316" s="1998">
        <f>IF(Construction!$F$31=Construction!$R$22,Oeko!CW316,Oeko!FJ316)</f>
        <v>1</v>
      </c>
      <c r="AK316" s="1998">
        <f>IF(Construction!$F$31=Construction!$R$22,Oeko!CX316,Oeko!FK316)</f>
        <v>1</v>
      </c>
      <c r="AL316" s="1998">
        <f>IF(Construction!$F$31=Construction!$R$22,Oeko!CY316,Oeko!FL316)</f>
        <v>1</v>
      </c>
      <c r="AM316" s="1979">
        <f>IF(Construction!$F$31=Construction!$R$22,Oeko!CZ316,Oeko!FM316)</f>
        <v>0.88888888888888884</v>
      </c>
      <c r="AN316" s="1979">
        <f>IF(Construction!$F$31=Construction!$R$22,Oeko!DA316,Oeko!FN316)</f>
        <v>0.88888888888888884</v>
      </c>
      <c r="AO316" s="1979">
        <f>IF(Construction!$F$31=Construction!$R$22,Oeko!DB316,Oeko!FO316)</f>
        <v>0.88888888888888884</v>
      </c>
      <c r="AP316" s="1979">
        <f>IF(Construction!$F$31=Construction!$R$22,Oeko!DC316,Oeko!FP316)</f>
        <v>0.88888888888888884</v>
      </c>
      <c r="AQ316" s="1979">
        <f>IF(Construction!$F$31=Construction!$R$22,Oeko!DD316,Oeko!FQ316)</f>
        <v>0.88888888888888884</v>
      </c>
      <c r="AR316" s="1998">
        <f>IF(Construction!$F$31=Construction!$R$22,Oeko!DE316,Oeko!FR316)</f>
        <v>8.0488597659215468</v>
      </c>
      <c r="AS316" s="1998">
        <f>IF(Construction!$F$31=Construction!$R$22,Oeko!DF316,Oeko!FS316)</f>
        <v>8.0488597659215468</v>
      </c>
      <c r="AT316" s="1998">
        <f>IF(Construction!$F$31=Construction!$R$22,Oeko!DG316,Oeko!FT316)</f>
        <v>8.0488597659215468</v>
      </c>
      <c r="AU316" s="1998">
        <f>IF(Construction!$F$31=Construction!$R$22,Oeko!DH316,Oeko!FU316)</f>
        <v>8.0488597659215468</v>
      </c>
      <c r="AV316" s="1998">
        <f>IF(Construction!$F$31=Construction!$R$22,Oeko!DI316,Oeko!FV316)</f>
        <v>8.0488597659215468</v>
      </c>
      <c r="AW316" s="1979">
        <f>IF(Construction!$F$31=Construction!$R$22,Oeko!DJ316,Oeko!FW316)</f>
        <v>8.0329061668367068</v>
      </c>
      <c r="AX316" s="1979">
        <f>IF(Construction!$F$31=Construction!$R$22,Oeko!DK316,Oeko!FX316)</f>
        <v>8.0329061668367068</v>
      </c>
      <c r="AY316" s="1979">
        <f>IF(Construction!$F$31=Construction!$R$22,Oeko!DL316,Oeko!FY316)</f>
        <v>8.0329061668367068</v>
      </c>
      <c r="AZ316" s="1979">
        <f>IF(Construction!$F$31=Construction!$R$22,Oeko!DM316,Oeko!FZ316)</f>
        <v>8.0329061668367068</v>
      </c>
      <c r="BA316" s="1979">
        <f>IF(Construction!$F$31=Construction!$R$22,Oeko!DN316,Oeko!GA316)</f>
        <v>8.0329061668367068</v>
      </c>
      <c r="BB316" s="1998">
        <f>IF(Construction!$F$31=Construction!$R$22,Oeko!DO316,Oeko!GB316)</f>
        <v>0.97975662301212196</v>
      </c>
      <c r="BC316" s="1998">
        <f>IF(Construction!$F$31=Construction!$R$22,Oeko!DP316,Oeko!GC316)</f>
        <v>0.97975662301212196</v>
      </c>
      <c r="BD316" s="1998">
        <f>IF(Construction!$F$31=Construction!$R$22,Oeko!DQ316,Oeko!GD316)</f>
        <v>0.97975662301212196</v>
      </c>
      <c r="BE316" s="1998">
        <f>IF(Construction!$F$31=Construction!$R$22,Oeko!DR316,Oeko!GE316)</f>
        <v>0.97975662301212196</v>
      </c>
      <c r="BF316" s="1998">
        <f>IF(Construction!$F$31=Construction!$R$22,Oeko!DS316,Oeko!GF316)</f>
        <v>0.97975662301212196</v>
      </c>
      <c r="BG316" s="1979">
        <f>IF(Construction!$F$31=Construction!$R$22,Oeko!DT316,Oeko!GG316)</f>
        <v>0.9761487634781606</v>
      </c>
      <c r="BH316" s="1979">
        <f>IF(Construction!$F$31=Construction!$R$22,Oeko!DU316,Oeko!GH316)</f>
        <v>0.9761487634781606</v>
      </c>
      <c r="BI316" s="1979">
        <f>IF(Construction!$F$31=Construction!$R$22,Oeko!DV316,Oeko!GI316)</f>
        <v>0.9761487634781606</v>
      </c>
      <c r="BJ316" s="1979">
        <f>IF(Construction!$F$31=Construction!$R$22,Oeko!DW316,Oeko!GJ316)</f>
        <v>0.9761487634781606</v>
      </c>
      <c r="BK316" s="2021">
        <f>IF(Construction!$F$31=Construction!$R$22,Oeko!DX316,Oeko!GK316)</f>
        <v>0.9761487634781606</v>
      </c>
      <c r="BN316" s="2022"/>
      <c r="BO316" s="2">
        <v>10</v>
      </c>
      <c r="BP316" s="2" t="s">
        <v>4336</v>
      </c>
      <c r="BQ316" s="1998">
        <v>1.09375</v>
      </c>
      <c r="BR316" s="1998">
        <v>0.99999999999999989</v>
      </c>
      <c r="BS316" s="1998">
        <v>0.99999999999999989</v>
      </c>
      <c r="BT316" s="1998">
        <v>0.99999999999999989</v>
      </c>
      <c r="BU316" s="1998">
        <v>0.99999999999999989</v>
      </c>
      <c r="BV316" s="1979">
        <v>1</v>
      </c>
      <c r="BW316" s="1979">
        <v>1</v>
      </c>
      <c r="BX316" s="1979">
        <v>1</v>
      </c>
      <c r="BY316" s="1979">
        <v>1</v>
      </c>
      <c r="BZ316" s="1979">
        <v>1</v>
      </c>
      <c r="CA316" s="1998">
        <v>0.76190476190476186</v>
      </c>
      <c r="CB316" s="1998">
        <v>0.76190476190476186</v>
      </c>
      <c r="CC316" s="1998">
        <v>0.76190476190476186</v>
      </c>
      <c r="CD316" s="1998">
        <v>0.76190476190476186</v>
      </c>
      <c r="CE316" s="1998">
        <v>0.76190476190476186</v>
      </c>
      <c r="CF316" s="1979">
        <v>1.1250000000000002</v>
      </c>
      <c r="CG316" s="1979">
        <v>1.1250000000000002</v>
      </c>
      <c r="CH316" s="1979">
        <v>1.1250000000000002</v>
      </c>
      <c r="CI316" s="1979">
        <v>1.1250000000000002</v>
      </c>
      <c r="CJ316" s="1979">
        <v>1.1250000000000002</v>
      </c>
      <c r="CK316" s="1998">
        <v>0.8</v>
      </c>
      <c r="CL316" s="1998">
        <v>0.8</v>
      </c>
      <c r="CM316" s="1998">
        <v>0.8</v>
      </c>
      <c r="CN316" s="1998">
        <v>0.8</v>
      </c>
      <c r="CO316" s="1998">
        <v>0.8</v>
      </c>
      <c r="CP316" s="1979">
        <v>1.0000000000000002</v>
      </c>
      <c r="CQ316" s="1979">
        <v>1.0000000000000002</v>
      </c>
      <c r="CR316" s="1979">
        <v>1.0000000000000002</v>
      </c>
      <c r="CS316" s="1979">
        <v>1.0000000000000002</v>
      </c>
      <c r="CT316" s="1979">
        <v>1.0000000000000002</v>
      </c>
      <c r="CU316" s="1998">
        <v>1</v>
      </c>
      <c r="CV316" s="1998">
        <v>1</v>
      </c>
      <c r="CW316" s="1998">
        <v>1</v>
      </c>
      <c r="CX316" s="1998">
        <v>1</v>
      </c>
      <c r="CY316" s="1998">
        <v>1</v>
      </c>
      <c r="CZ316" s="1979">
        <v>0.88888888888888884</v>
      </c>
      <c r="DA316" s="1979">
        <v>0.88888888888888884</v>
      </c>
      <c r="DB316" s="1979">
        <v>0.88888888888888884</v>
      </c>
      <c r="DC316" s="1979">
        <v>0.88888888888888884</v>
      </c>
      <c r="DD316" s="1979">
        <v>0.88888888888888884</v>
      </c>
      <c r="DE316" s="1998">
        <v>8.0488597659215468</v>
      </c>
      <c r="DF316" s="1998">
        <v>8.0488597659215468</v>
      </c>
      <c r="DG316" s="1998">
        <v>8.0488597659215468</v>
      </c>
      <c r="DH316" s="1998">
        <v>8.0488597659215468</v>
      </c>
      <c r="DI316" s="1998">
        <v>8.0488597659215468</v>
      </c>
      <c r="DJ316" s="1979">
        <v>8.0329061668367068</v>
      </c>
      <c r="DK316" s="1979">
        <v>8.0329061668367068</v>
      </c>
      <c r="DL316" s="1979">
        <v>8.0329061668367068</v>
      </c>
      <c r="DM316" s="1979">
        <v>8.0329061668367068</v>
      </c>
      <c r="DN316" s="1979">
        <v>8.0329061668367068</v>
      </c>
      <c r="DO316" s="1998">
        <v>0.97975662301212196</v>
      </c>
      <c r="DP316" s="1998">
        <v>0.97975662301212196</v>
      </c>
      <c r="DQ316" s="1998">
        <v>0.97975662301212196</v>
      </c>
      <c r="DR316" s="1998">
        <v>0.97975662301212196</v>
      </c>
      <c r="DS316" s="1998">
        <v>0.97975662301212196</v>
      </c>
      <c r="DT316" s="1979">
        <v>0.9761487634781606</v>
      </c>
      <c r="DU316" s="1979">
        <v>0.9761487634781606</v>
      </c>
      <c r="DV316" s="1979">
        <v>0.9761487634781606</v>
      </c>
      <c r="DW316" s="1979">
        <v>0.9761487634781606</v>
      </c>
      <c r="DX316" s="2021">
        <v>0.9761487634781606</v>
      </c>
      <c r="EA316" s="2022"/>
      <c r="EB316" s="2">
        <v>10</v>
      </c>
      <c r="EC316" s="2" t="s">
        <v>4336</v>
      </c>
      <c r="ED316" s="1998">
        <v>1.4765287570396433</v>
      </c>
      <c r="EE316" s="1998">
        <v>1.4654821677636938</v>
      </c>
      <c r="EF316" s="1998">
        <v>1.5031006449588142</v>
      </c>
      <c r="EG316" s="1998">
        <v>1.5477886537452721</v>
      </c>
      <c r="EH316" s="1998">
        <v>1.5842288756751692</v>
      </c>
      <c r="EI316" s="1979">
        <v>2.1389957997857825</v>
      </c>
      <c r="EJ316" s="1979">
        <v>2.1950807504103982</v>
      </c>
      <c r="EK316" s="1979">
        <v>2.2620056494750655</v>
      </c>
      <c r="EL316" s="1979">
        <v>2.3360000801310705</v>
      </c>
      <c r="EM316" s="1979">
        <v>2.3605077896477096</v>
      </c>
      <c r="EN316" s="1998">
        <v>1.4185497876571622</v>
      </c>
      <c r="EO316" s="1998">
        <v>1.4400950267926691</v>
      </c>
      <c r="EP316" s="1998">
        <v>1.4454813365765455</v>
      </c>
      <c r="EQ316" s="1998">
        <v>1.4508676463604224</v>
      </c>
      <c r="ER316" s="1998">
        <v>1.4562539561442989</v>
      </c>
      <c r="ES316" s="1979">
        <v>1.9969383526466613</v>
      </c>
      <c r="ET316" s="1979">
        <v>2.0314023191544339</v>
      </c>
      <c r="EU316" s="1979">
        <v>2.0367044678479376</v>
      </c>
      <c r="EV316" s="1979">
        <v>2.0420066165414412</v>
      </c>
      <c r="EW316" s="1979">
        <v>2.0473087652349449</v>
      </c>
      <c r="EX316" s="1998">
        <v>1.4972325531957182</v>
      </c>
      <c r="EY316" s="1998">
        <v>1.5198550542880001</v>
      </c>
      <c r="EZ316" s="1998">
        <v>1.5255106795610707</v>
      </c>
      <c r="FA316" s="1998">
        <v>1.5311663048341413</v>
      </c>
      <c r="FB316" s="1998">
        <v>1.5368219301072117</v>
      </c>
      <c r="FC316" s="1979">
        <v>1.5320058173534954</v>
      </c>
      <c r="FD316" s="1979">
        <v>1.5508579015970636</v>
      </c>
      <c r="FE316" s="1979">
        <v>1.5555709226579555</v>
      </c>
      <c r="FF316" s="1979">
        <v>1.5602839437188478</v>
      </c>
      <c r="FG316" s="1979">
        <v>1.5649969647797397</v>
      </c>
      <c r="FH316" s="1998">
        <v>2.5032853962438191</v>
      </c>
      <c r="FI316" s="1998">
        <v>2.5103549278351571</v>
      </c>
      <c r="FJ316" s="1998">
        <v>2.5174244594264952</v>
      </c>
      <c r="FK316" s="1998">
        <v>2.5244939910178332</v>
      </c>
      <c r="FL316" s="1998">
        <v>2.5315635226091717</v>
      </c>
      <c r="FM316" s="1979">
        <v>1.6684854126412465</v>
      </c>
      <c r="FN316" s="1979">
        <v>1.7002825947320648</v>
      </c>
      <c r="FO316" s="1979">
        <v>1.742888305122529</v>
      </c>
      <c r="FP316" s="1979">
        <v>1.7917780435941824</v>
      </c>
      <c r="FQ316" s="1979">
        <v>1.8186736837816733</v>
      </c>
      <c r="FR316" s="1998">
        <v>20.355742277415953</v>
      </c>
      <c r="FS316" s="1998">
        <v>20.412643945805385</v>
      </c>
      <c r="FT316" s="1998">
        <v>20.469545614194818</v>
      </c>
      <c r="FU316" s="1998">
        <v>20.52644728258425</v>
      </c>
      <c r="FV316" s="1998">
        <v>20.583348950973683</v>
      </c>
      <c r="FW316" s="1979">
        <v>20.672692004597685</v>
      </c>
      <c r="FX316" s="1979">
        <v>20.729480888514388</v>
      </c>
      <c r="FY316" s="1979">
        <v>20.786269772431098</v>
      </c>
      <c r="FZ316" s="1979">
        <v>20.843058656347804</v>
      </c>
      <c r="GA316" s="1979">
        <v>20.899847540264513</v>
      </c>
      <c r="GB316" s="1998">
        <v>1.5866842104050025</v>
      </c>
      <c r="GC316" s="1998">
        <v>1.5901474206041062</v>
      </c>
      <c r="GD316" s="1998">
        <v>1.5936106308032094</v>
      </c>
      <c r="GE316" s="1998">
        <v>1.5970738410023129</v>
      </c>
      <c r="GF316" s="1998">
        <v>1.60400026140052</v>
      </c>
      <c r="GG316" s="1979">
        <v>1.6662402156036071</v>
      </c>
      <c r="GH316" s="1979">
        <v>1.6696906728642342</v>
      </c>
      <c r="GI316" s="1979">
        <v>1.6731411301248618</v>
      </c>
      <c r="GJ316" s="1979">
        <v>1.6765915873854889</v>
      </c>
      <c r="GK316" s="2021">
        <v>1.683492501906743</v>
      </c>
    </row>
    <row r="317" spans="1:193">
      <c r="A317" s="2020"/>
      <c r="B317" s="2">
        <v>11</v>
      </c>
      <c r="C317" s="2" t="s">
        <v>4337</v>
      </c>
      <c r="D317" s="1998">
        <f>IF(Construction!$F$31=Construction!$R$22,Oeko!BQ317,Oeko!ED317)</f>
        <v>1.09375</v>
      </c>
      <c r="E317" s="1998">
        <f>IF(Construction!$F$31=Construction!$R$22,Oeko!BR317,Oeko!EE317)</f>
        <v>0.9722222222222221</v>
      </c>
      <c r="F317" s="1998">
        <f>IF(Construction!$F$31=Construction!$R$22,Oeko!BS317,Oeko!EF317)</f>
        <v>0.9722222222222221</v>
      </c>
      <c r="G317" s="1998">
        <f>IF(Construction!$F$31=Construction!$R$22,Oeko!BT317,Oeko!EG317)</f>
        <v>0.9722222222222221</v>
      </c>
      <c r="H317" s="1998">
        <f>IF(Construction!$F$31=Construction!$R$22,Oeko!BU317,Oeko!EH317)</f>
        <v>0.9722222222222221</v>
      </c>
      <c r="I317" s="1979">
        <f>IF(Construction!$F$31=Construction!$R$22,Oeko!BV317,Oeko!EI317)</f>
        <v>1</v>
      </c>
      <c r="J317" s="1979">
        <f>IF(Construction!$F$31=Construction!$R$22,Oeko!BW317,Oeko!EJ317)</f>
        <v>1</v>
      </c>
      <c r="K317" s="1979">
        <f>IF(Construction!$F$31=Construction!$R$22,Oeko!BX317,Oeko!EK317)</f>
        <v>1</v>
      </c>
      <c r="L317" s="1979">
        <f>IF(Construction!$F$31=Construction!$R$22,Oeko!BY317,Oeko!EL317)</f>
        <v>1</v>
      </c>
      <c r="M317" s="1979">
        <f>IF(Construction!$F$31=Construction!$R$22,Oeko!BZ317,Oeko!EM317)</f>
        <v>1</v>
      </c>
      <c r="N317" s="1998">
        <f>IF(Construction!$F$31=Construction!$R$22,Oeko!CA317,Oeko!EN317)</f>
        <v>0.76190476190476186</v>
      </c>
      <c r="O317" s="1998">
        <f>IF(Construction!$F$31=Construction!$R$22,Oeko!CB317,Oeko!EO317)</f>
        <v>0.76190476190476186</v>
      </c>
      <c r="P317" s="1998">
        <f>IF(Construction!$F$31=Construction!$R$22,Oeko!CC317,Oeko!EP317)</f>
        <v>0.76190476190476186</v>
      </c>
      <c r="Q317" s="1998">
        <f>IF(Construction!$F$31=Construction!$R$22,Oeko!CD317,Oeko!EQ317)</f>
        <v>0.76190476190476186</v>
      </c>
      <c r="R317" s="1998">
        <f>IF(Construction!$F$31=Construction!$R$22,Oeko!CE317,Oeko!ER317)</f>
        <v>0.76190476190476186</v>
      </c>
      <c r="S317" s="1979">
        <f>IF(Construction!$F$31=Construction!$R$22,Oeko!CF317,Oeko!ES317)</f>
        <v>1</v>
      </c>
      <c r="T317" s="1979">
        <f>IF(Construction!$F$31=Construction!$R$22,Oeko!CG317,Oeko!ET317)</f>
        <v>1</v>
      </c>
      <c r="U317" s="1979">
        <f>IF(Construction!$F$31=Construction!$R$22,Oeko!CH317,Oeko!EU317)</f>
        <v>1</v>
      </c>
      <c r="V317" s="1979">
        <f>IF(Construction!$F$31=Construction!$R$22,Oeko!CI317,Oeko!EV317)</f>
        <v>1</v>
      </c>
      <c r="W317" s="1979">
        <f>IF(Construction!$F$31=Construction!$R$22,Oeko!CJ317,Oeko!EW317)</f>
        <v>1</v>
      </c>
      <c r="X317" s="1998">
        <f>IF(Construction!$F$31=Construction!$R$22,Oeko!CK317,Oeko!EX317)</f>
        <v>0.79999999999999982</v>
      </c>
      <c r="Y317" s="1998">
        <f>IF(Construction!$F$31=Construction!$R$22,Oeko!CL317,Oeko!EY317)</f>
        <v>0.79999999999999982</v>
      </c>
      <c r="Z317" s="1998">
        <f>IF(Construction!$F$31=Construction!$R$22,Oeko!CM317,Oeko!EZ317)</f>
        <v>0.79999999999999982</v>
      </c>
      <c r="AA317" s="1998">
        <f>IF(Construction!$F$31=Construction!$R$22,Oeko!CN317,Oeko!FA317)</f>
        <v>0.79999999999999982</v>
      </c>
      <c r="AB317" s="1998">
        <f>IF(Construction!$F$31=Construction!$R$22,Oeko!CO317,Oeko!FB317)</f>
        <v>0.79999999999999982</v>
      </c>
      <c r="AC317" s="1979">
        <f>IF(Construction!$F$31=Construction!$R$22,Oeko!CP317,Oeko!FC317)</f>
        <v>1.0000000000000002</v>
      </c>
      <c r="AD317" s="1979">
        <f>IF(Construction!$F$31=Construction!$R$22,Oeko!CQ317,Oeko!FD317)</f>
        <v>1.0000000000000002</v>
      </c>
      <c r="AE317" s="1979">
        <f>IF(Construction!$F$31=Construction!$R$22,Oeko!CR317,Oeko!FE317)</f>
        <v>1.0000000000000002</v>
      </c>
      <c r="AF317" s="1979">
        <f>IF(Construction!$F$31=Construction!$R$22,Oeko!CS317,Oeko!FF317)</f>
        <v>1.0000000000000002</v>
      </c>
      <c r="AG317" s="1979">
        <f>IF(Construction!$F$31=Construction!$R$22,Oeko!CT317,Oeko!FG317)</f>
        <v>1.0000000000000002</v>
      </c>
      <c r="AH317" s="1998">
        <f>IF(Construction!$F$31=Construction!$R$22,Oeko!CU317,Oeko!FH317)</f>
        <v>0.99999999999999978</v>
      </c>
      <c r="AI317" s="1998">
        <f>IF(Construction!$F$31=Construction!$R$22,Oeko!CV317,Oeko!FI317)</f>
        <v>0.99999999999999978</v>
      </c>
      <c r="AJ317" s="1998">
        <f>IF(Construction!$F$31=Construction!$R$22,Oeko!CW317,Oeko!FJ317)</f>
        <v>0.99999999999999978</v>
      </c>
      <c r="AK317" s="1998">
        <f>IF(Construction!$F$31=Construction!$R$22,Oeko!CX317,Oeko!FK317)</f>
        <v>0.99999999999999978</v>
      </c>
      <c r="AL317" s="1998">
        <f>IF(Construction!$F$31=Construction!$R$22,Oeko!CY317,Oeko!FL317)</f>
        <v>0.99999999999999978</v>
      </c>
      <c r="AM317" s="1979">
        <f>IF(Construction!$F$31=Construction!$R$22,Oeko!CZ317,Oeko!FM317)</f>
        <v>0.88888888888888884</v>
      </c>
      <c r="AN317" s="1979">
        <f>IF(Construction!$F$31=Construction!$R$22,Oeko!DA317,Oeko!FN317)</f>
        <v>0.88888888888888884</v>
      </c>
      <c r="AO317" s="1979">
        <f>IF(Construction!$F$31=Construction!$R$22,Oeko!DB317,Oeko!FO317)</f>
        <v>0.88888888888888884</v>
      </c>
      <c r="AP317" s="1979">
        <f>IF(Construction!$F$31=Construction!$R$22,Oeko!DC317,Oeko!FP317)</f>
        <v>0.88888888888888884</v>
      </c>
      <c r="AQ317" s="1979">
        <f>IF(Construction!$F$31=Construction!$R$22,Oeko!DD317,Oeko!FQ317)</f>
        <v>0.88888888888888884</v>
      </c>
      <c r="AR317" s="1998">
        <f>IF(Construction!$F$31=Construction!$R$22,Oeko!DE317,Oeko!FR317)</f>
        <v>8.0488597659215451</v>
      </c>
      <c r="AS317" s="1998">
        <f>IF(Construction!$F$31=Construction!$R$22,Oeko!DF317,Oeko!FS317)</f>
        <v>8.0488597659215451</v>
      </c>
      <c r="AT317" s="1998">
        <f>IF(Construction!$F$31=Construction!$R$22,Oeko!DG317,Oeko!FT317)</f>
        <v>8.0488597659215451</v>
      </c>
      <c r="AU317" s="1998">
        <f>IF(Construction!$F$31=Construction!$R$22,Oeko!DH317,Oeko!FU317)</f>
        <v>8.0488597659215451</v>
      </c>
      <c r="AV317" s="1998">
        <f>IF(Construction!$F$31=Construction!$R$22,Oeko!DI317,Oeko!FV317)</f>
        <v>8.0488597659215451</v>
      </c>
      <c r="AW317" s="1979">
        <f>IF(Construction!$F$31=Construction!$R$22,Oeko!DJ317,Oeko!FW317)</f>
        <v>8.0329061668367086</v>
      </c>
      <c r="AX317" s="1979">
        <f>IF(Construction!$F$31=Construction!$R$22,Oeko!DK317,Oeko!FX317)</f>
        <v>8.0329061668367086</v>
      </c>
      <c r="AY317" s="1979">
        <f>IF(Construction!$F$31=Construction!$R$22,Oeko!DL317,Oeko!FY317)</f>
        <v>8.0329061668367086</v>
      </c>
      <c r="AZ317" s="1979">
        <f>IF(Construction!$F$31=Construction!$R$22,Oeko!DM317,Oeko!FZ317)</f>
        <v>8.0329061668367086</v>
      </c>
      <c r="BA317" s="1979">
        <f>IF(Construction!$F$31=Construction!$R$22,Oeko!DN317,Oeko!GA317)</f>
        <v>8.0329061668367086</v>
      </c>
      <c r="BB317" s="1998">
        <f>IF(Construction!$F$31=Construction!$R$22,Oeko!DO317,Oeko!GB317)</f>
        <v>0.97975662301212196</v>
      </c>
      <c r="BC317" s="1998">
        <f>IF(Construction!$F$31=Construction!$R$22,Oeko!DP317,Oeko!GC317)</f>
        <v>0.97975662301212196</v>
      </c>
      <c r="BD317" s="1998">
        <f>IF(Construction!$F$31=Construction!$R$22,Oeko!DQ317,Oeko!GD317)</f>
        <v>0.97975662301212196</v>
      </c>
      <c r="BE317" s="1998">
        <f>IF(Construction!$F$31=Construction!$R$22,Oeko!DR317,Oeko!GE317)</f>
        <v>0.97975662301212196</v>
      </c>
      <c r="BF317" s="1998">
        <f>IF(Construction!$F$31=Construction!$R$22,Oeko!DS317,Oeko!GF317)</f>
        <v>0.97975662301212196</v>
      </c>
      <c r="BG317" s="1979">
        <f>IF(Construction!$F$31=Construction!$R$22,Oeko!DT317,Oeko!GG317)</f>
        <v>0.9761487634781606</v>
      </c>
      <c r="BH317" s="1979">
        <f>IF(Construction!$F$31=Construction!$R$22,Oeko!DU317,Oeko!GH317)</f>
        <v>0.9761487634781606</v>
      </c>
      <c r="BI317" s="1979">
        <f>IF(Construction!$F$31=Construction!$R$22,Oeko!DV317,Oeko!GI317)</f>
        <v>0.9761487634781606</v>
      </c>
      <c r="BJ317" s="1979">
        <f>IF(Construction!$F$31=Construction!$R$22,Oeko!DW317,Oeko!GJ317)</f>
        <v>0.9761487634781606</v>
      </c>
      <c r="BK317" s="2021">
        <f>IF(Construction!$F$31=Construction!$R$22,Oeko!DX317,Oeko!GK317)</f>
        <v>0.9761487634781606</v>
      </c>
      <c r="BN317" s="2022"/>
      <c r="BO317" s="2">
        <v>11</v>
      </c>
      <c r="BP317" s="2" t="s">
        <v>4337</v>
      </c>
      <c r="BQ317" s="1998">
        <v>1.09375</v>
      </c>
      <c r="BR317" s="1998">
        <v>0.9722222222222221</v>
      </c>
      <c r="BS317" s="1998">
        <v>0.9722222222222221</v>
      </c>
      <c r="BT317" s="1998">
        <v>0.9722222222222221</v>
      </c>
      <c r="BU317" s="1998">
        <v>0.9722222222222221</v>
      </c>
      <c r="BV317" s="1979">
        <v>1</v>
      </c>
      <c r="BW317" s="1979">
        <v>1</v>
      </c>
      <c r="BX317" s="1979">
        <v>1</v>
      </c>
      <c r="BY317" s="1979">
        <v>1</v>
      </c>
      <c r="BZ317" s="1979">
        <v>1</v>
      </c>
      <c r="CA317" s="1998">
        <v>0.76190476190476186</v>
      </c>
      <c r="CB317" s="1998">
        <v>0.76190476190476186</v>
      </c>
      <c r="CC317" s="1998">
        <v>0.76190476190476186</v>
      </c>
      <c r="CD317" s="1998">
        <v>0.76190476190476186</v>
      </c>
      <c r="CE317" s="1998">
        <v>0.76190476190476186</v>
      </c>
      <c r="CF317" s="1979">
        <v>1</v>
      </c>
      <c r="CG317" s="1979">
        <v>1</v>
      </c>
      <c r="CH317" s="1979">
        <v>1</v>
      </c>
      <c r="CI317" s="1979">
        <v>1</v>
      </c>
      <c r="CJ317" s="1979">
        <v>1</v>
      </c>
      <c r="CK317" s="1998">
        <v>0.79999999999999982</v>
      </c>
      <c r="CL317" s="1998">
        <v>0.79999999999999982</v>
      </c>
      <c r="CM317" s="1998">
        <v>0.79999999999999982</v>
      </c>
      <c r="CN317" s="1998">
        <v>0.79999999999999982</v>
      </c>
      <c r="CO317" s="1998">
        <v>0.79999999999999982</v>
      </c>
      <c r="CP317" s="1979">
        <v>1.0000000000000002</v>
      </c>
      <c r="CQ317" s="1979">
        <v>1.0000000000000002</v>
      </c>
      <c r="CR317" s="1979">
        <v>1.0000000000000002</v>
      </c>
      <c r="CS317" s="1979">
        <v>1.0000000000000002</v>
      </c>
      <c r="CT317" s="1979">
        <v>1.0000000000000002</v>
      </c>
      <c r="CU317" s="1998">
        <v>0.99999999999999978</v>
      </c>
      <c r="CV317" s="1998">
        <v>0.99999999999999978</v>
      </c>
      <c r="CW317" s="1998">
        <v>0.99999999999999978</v>
      </c>
      <c r="CX317" s="1998">
        <v>0.99999999999999978</v>
      </c>
      <c r="CY317" s="1998">
        <v>0.99999999999999978</v>
      </c>
      <c r="CZ317" s="1979">
        <v>0.88888888888888884</v>
      </c>
      <c r="DA317" s="1979">
        <v>0.88888888888888884</v>
      </c>
      <c r="DB317" s="1979">
        <v>0.88888888888888884</v>
      </c>
      <c r="DC317" s="1979">
        <v>0.88888888888888884</v>
      </c>
      <c r="DD317" s="1979">
        <v>0.88888888888888884</v>
      </c>
      <c r="DE317" s="1998">
        <v>8.0488597659215451</v>
      </c>
      <c r="DF317" s="1998">
        <v>8.0488597659215451</v>
      </c>
      <c r="DG317" s="1998">
        <v>8.0488597659215451</v>
      </c>
      <c r="DH317" s="1998">
        <v>8.0488597659215451</v>
      </c>
      <c r="DI317" s="1998">
        <v>8.0488597659215451</v>
      </c>
      <c r="DJ317" s="1979">
        <v>8.0329061668367086</v>
      </c>
      <c r="DK317" s="1979">
        <v>8.0329061668367086</v>
      </c>
      <c r="DL317" s="1979">
        <v>8.0329061668367086</v>
      </c>
      <c r="DM317" s="1979">
        <v>8.0329061668367086</v>
      </c>
      <c r="DN317" s="1979">
        <v>8.0329061668367086</v>
      </c>
      <c r="DO317" s="1998">
        <v>0.97975662301212196</v>
      </c>
      <c r="DP317" s="1998">
        <v>0.97975662301212196</v>
      </c>
      <c r="DQ317" s="1998">
        <v>0.97975662301212196</v>
      </c>
      <c r="DR317" s="1998">
        <v>0.97975662301212196</v>
      </c>
      <c r="DS317" s="1998">
        <v>0.97975662301212196</v>
      </c>
      <c r="DT317" s="1979">
        <v>0.9761487634781606</v>
      </c>
      <c r="DU317" s="1979">
        <v>0.9761487634781606</v>
      </c>
      <c r="DV317" s="1979">
        <v>0.9761487634781606</v>
      </c>
      <c r="DW317" s="1979">
        <v>0.9761487634781606</v>
      </c>
      <c r="DX317" s="2021">
        <v>0.9761487634781606</v>
      </c>
      <c r="EA317" s="2022"/>
      <c r="EB317" s="2">
        <v>11</v>
      </c>
      <c r="EC317" s="2" t="s">
        <v>4337</v>
      </c>
      <c r="ED317" s="1998">
        <v>1.4765287570396433</v>
      </c>
      <c r="EE317" s="1998">
        <v>1.4463809070386298</v>
      </c>
      <c r="EF317" s="1998">
        <v>1.484099952486186</v>
      </c>
      <c r="EG317" s="1998">
        <v>1.5286921536475426</v>
      </c>
      <c r="EH317" s="1998">
        <v>1.5636619368095781</v>
      </c>
      <c r="EI317" s="1979">
        <v>2.1770035602789193</v>
      </c>
      <c r="EJ317" s="1979">
        <v>2.2345238400448064</v>
      </c>
      <c r="EK317" s="1979">
        <v>2.3021664036801099</v>
      </c>
      <c r="EL317" s="1979">
        <v>2.3768784989067506</v>
      </c>
      <c r="EM317" s="1979">
        <v>2.4021038729940254</v>
      </c>
      <c r="EN317" s="1998">
        <v>1.434681785459873</v>
      </c>
      <c r="EO317" s="1998">
        <v>1.4562270245953797</v>
      </c>
      <c r="EP317" s="1998">
        <v>1.4616133343792561</v>
      </c>
      <c r="EQ317" s="1998">
        <v>1.4669996441631328</v>
      </c>
      <c r="ER317" s="1998">
        <v>1.4723859539470094</v>
      </c>
      <c r="ES317" s="1979">
        <v>1.9623399878708967</v>
      </c>
      <c r="ET317" s="1979">
        <v>1.9906181142362489</v>
      </c>
      <c r="EU317" s="1979">
        <v>1.997687645827587</v>
      </c>
      <c r="EV317" s="1979">
        <v>2.004757177418925</v>
      </c>
      <c r="EW317" s="1979">
        <v>2.0118267090102631</v>
      </c>
      <c r="EX317" s="1998">
        <v>1.5226475192665787</v>
      </c>
      <c r="EY317" s="1998">
        <v>1.545270020358861</v>
      </c>
      <c r="EZ317" s="1998">
        <v>1.5509256456319307</v>
      </c>
      <c r="FA317" s="1998">
        <v>1.5565812709050018</v>
      </c>
      <c r="FB317" s="1998">
        <v>1.5622368961780724</v>
      </c>
      <c r="FC317" s="1979">
        <v>1.5707939806846369</v>
      </c>
      <c r="FD317" s="1979">
        <v>1.5813982780716442</v>
      </c>
      <c r="FE317" s="1979">
        <v>1.5884678096629823</v>
      </c>
      <c r="FF317" s="1979">
        <v>1.5955373412543201</v>
      </c>
      <c r="FG317" s="1979">
        <v>1.6026068728456586</v>
      </c>
      <c r="FH317" s="1998">
        <v>2.5376231211160327</v>
      </c>
      <c r="FI317" s="1998">
        <v>2.5446926527073708</v>
      </c>
      <c r="FJ317" s="1998">
        <v>2.5517621842987088</v>
      </c>
      <c r="FK317" s="1998">
        <v>2.5588317158900469</v>
      </c>
      <c r="FL317" s="1998">
        <v>2.5659012474813849</v>
      </c>
      <c r="FM317" s="1979">
        <v>1.6976433029379652</v>
      </c>
      <c r="FN317" s="1979">
        <v>1.7303202489601497</v>
      </c>
      <c r="FO317" s="1979">
        <v>1.7733658413162976</v>
      </c>
      <c r="FP317" s="1979">
        <v>1.8226954617536342</v>
      </c>
      <c r="FQ317" s="1979">
        <v>1.8500309839068083</v>
      </c>
      <c r="FR317" s="1998">
        <v>20.834664653027009</v>
      </c>
      <c r="FS317" s="1998">
        <v>20.891566321416441</v>
      </c>
      <c r="FT317" s="1998">
        <v>20.948467989805877</v>
      </c>
      <c r="FU317" s="1998">
        <v>21.00536965819531</v>
      </c>
      <c r="FV317" s="1998">
        <v>21.062271326584739</v>
      </c>
      <c r="FW317" s="1979">
        <v>21.068321229217407</v>
      </c>
      <c r="FX317" s="1979">
        <v>21.125110113134113</v>
      </c>
      <c r="FY317" s="1979">
        <v>21.181898997050816</v>
      </c>
      <c r="FZ317" s="1979">
        <v>21.238687880967525</v>
      </c>
      <c r="GA317" s="1979">
        <v>21.295476764884231</v>
      </c>
      <c r="GB317" s="1998">
        <v>1.6083292741493993</v>
      </c>
      <c r="GC317" s="1998">
        <v>1.6117924843485028</v>
      </c>
      <c r="GD317" s="1998">
        <v>1.6152556945476062</v>
      </c>
      <c r="GE317" s="1998">
        <v>1.6187189047467094</v>
      </c>
      <c r="GF317" s="1998">
        <v>1.6256453251449166</v>
      </c>
      <c r="GG317" s="1979">
        <v>1.6804733518036945</v>
      </c>
      <c r="GH317" s="1979">
        <v>1.6839238090643216</v>
      </c>
      <c r="GI317" s="1979">
        <v>1.6873742663249489</v>
      </c>
      <c r="GJ317" s="1979">
        <v>1.690824723585576</v>
      </c>
      <c r="GK317" s="2021">
        <v>1.6977256381068306</v>
      </c>
    </row>
    <row r="318" spans="1:193">
      <c r="A318" s="2020"/>
      <c r="B318" s="2">
        <v>12</v>
      </c>
      <c r="C318" s="2" t="s">
        <v>4338</v>
      </c>
      <c r="D318" s="1998">
        <f>IF(Construction!$F$31=Construction!$R$22,Oeko!BQ318,Oeko!ED318)</f>
        <v>1.09375</v>
      </c>
      <c r="E318" s="1998">
        <f>IF(Construction!$F$31=Construction!$R$22,Oeko!BR318,Oeko!EE318)</f>
        <v>0.93333333333333335</v>
      </c>
      <c r="F318" s="1998">
        <f>IF(Construction!$F$31=Construction!$R$22,Oeko!BS318,Oeko!EF318)</f>
        <v>0.93333333333333335</v>
      </c>
      <c r="G318" s="1998">
        <f>IF(Construction!$F$31=Construction!$R$22,Oeko!BT318,Oeko!EG318)</f>
        <v>0.93333333333333335</v>
      </c>
      <c r="H318" s="1998">
        <f>IF(Construction!$F$31=Construction!$R$22,Oeko!BU318,Oeko!EH318)</f>
        <v>0.93333333333333335</v>
      </c>
      <c r="I318" s="1979">
        <f>IF(Construction!$F$31=Construction!$R$22,Oeko!BV318,Oeko!EI318)</f>
        <v>0.99999999999999978</v>
      </c>
      <c r="J318" s="1979">
        <f>IF(Construction!$F$31=Construction!$R$22,Oeko!BW318,Oeko!EJ318)</f>
        <v>0.99999999999999978</v>
      </c>
      <c r="K318" s="1979">
        <f>IF(Construction!$F$31=Construction!$R$22,Oeko!BX318,Oeko!EK318)</f>
        <v>0.99999999999999978</v>
      </c>
      <c r="L318" s="1979">
        <f>IF(Construction!$F$31=Construction!$R$22,Oeko!BY318,Oeko!EL318)</f>
        <v>0.99999999999999978</v>
      </c>
      <c r="M318" s="1979">
        <f>IF(Construction!$F$31=Construction!$R$22,Oeko!BZ318,Oeko!EM318)</f>
        <v>0.99999999999999978</v>
      </c>
      <c r="N318" s="1998">
        <f>IF(Construction!$F$31=Construction!$R$22,Oeko!CA318,Oeko!EN318)</f>
        <v>0.5714285714285714</v>
      </c>
      <c r="O318" s="1998">
        <f>IF(Construction!$F$31=Construction!$R$22,Oeko!CB318,Oeko!EO318)</f>
        <v>0.5714285714285714</v>
      </c>
      <c r="P318" s="1998">
        <f>IF(Construction!$F$31=Construction!$R$22,Oeko!CC318,Oeko!EP318)</f>
        <v>0.5714285714285714</v>
      </c>
      <c r="Q318" s="1998">
        <f>IF(Construction!$F$31=Construction!$R$22,Oeko!CD318,Oeko!EQ318)</f>
        <v>0.5714285714285714</v>
      </c>
      <c r="R318" s="1998">
        <f>IF(Construction!$F$31=Construction!$R$22,Oeko!CE318,Oeko!ER318)</f>
        <v>0.5714285714285714</v>
      </c>
      <c r="S318" s="1979">
        <f>IF(Construction!$F$31=Construction!$R$22,Oeko!CF318,Oeko!ES318)</f>
        <v>0.75000000000000011</v>
      </c>
      <c r="T318" s="1979">
        <f>IF(Construction!$F$31=Construction!$R$22,Oeko!CG318,Oeko!ET318)</f>
        <v>0.75000000000000011</v>
      </c>
      <c r="U318" s="1979">
        <f>IF(Construction!$F$31=Construction!$R$22,Oeko!CH318,Oeko!EU318)</f>
        <v>0.75000000000000011</v>
      </c>
      <c r="V318" s="1979">
        <f>IF(Construction!$F$31=Construction!$R$22,Oeko!CI318,Oeko!EV318)</f>
        <v>0.75000000000000011</v>
      </c>
      <c r="W318" s="1979">
        <f>IF(Construction!$F$31=Construction!$R$22,Oeko!CJ318,Oeko!EW318)</f>
        <v>0.75000000000000011</v>
      </c>
      <c r="X318" s="1998">
        <f>IF(Construction!$F$31=Construction!$R$22,Oeko!CK318,Oeko!EX318)</f>
        <v>0.6</v>
      </c>
      <c r="Y318" s="1998">
        <f>IF(Construction!$F$31=Construction!$R$22,Oeko!CL318,Oeko!EY318)</f>
        <v>0.6</v>
      </c>
      <c r="Z318" s="1998">
        <f>IF(Construction!$F$31=Construction!$R$22,Oeko!CM318,Oeko!EZ318)</f>
        <v>0.6</v>
      </c>
      <c r="AA318" s="1998">
        <f>IF(Construction!$F$31=Construction!$R$22,Oeko!CN318,Oeko!FA318)</f>
        <v>0.6</v>
      </c>
      <c r="AB318" s="1998">
        <f>IF(Construction!$F$31=Construction!$R$22,Oeko!CO318,Oeko!FB318)</f>
        <v>0.6</v>
      </c>
      <c r="AC318" s="1979">
        <f>IF(Construction!$F$31=Construction!$R$22,Oeko!CP318,Oeko!FC318)</f>
        <v>1</v>
      </c>
      <c r="AD318" s="1979">
        <f>IF(Construction!$F$31=Construction!$R$22,Oeko!CQ318,Oeko!FD318)</f>
        <v>1</v>
      </c>
      <c r="AE318" s="1979">
        <f>IF(Construction!$F$31=Construction!$R$22,Oeko!CR318,Oeko!FE318)</f>
        <v>1</v>
      </c>
      <c r="AF318" s="1979">
        <f>IF(Construction!$F$31=Construction!$R$22,Oeko!CS318,Oeko!FF318)</f>
        <v>1</v>
      </c>
      <c r="AG318" s="1979">
        <f>IF(Construction!$F$31=Construction!$R$22,Oeko!CT318,Oeko!FG318)</f>
        <v>1</v>
      </c>
      <c r="AH318" s="1998">
        <f>IF(Construction!$F$31=Construction!$R$22,Oeko!CU318,Oeko!FH318)</f>
        <v>0.99999999999999978</v>
      </c>
      <c r="AI318" s="1998">
        <f>IF(Construction!$F$31=Construction!$R$22,Oeko!CV318,Oeko!FI318)</f>
        <v>0.99999999999999978</v>
      </c>
      <c r="AJ318" s="1998">
        <f>IF(Construction!$F$31=Construction!$R$22,Oeko!CW318,Oeko!FJ318)</f>
        <v>0.99999999999999978</v>
      </c>
      <c r="AK318" s="1998">
        <f>IF(Construction!$F$31=Construction!$R$22,Oeko!CX318,Oeko!FK318)</f>
        <v>0.99999999999999978</v>
      </c>
      <c r="AL318" s="1998">
        <f>IF(Construction!$F$31=Construction!$R$22,Oeko!CY318,Oeko!FL318)</f>
        <v>0.99999999999999978</v>
      </c>
      <c r="AM318" s="1979">
        <f>IF(Construction!$F$31=Construction!$R$22,Oeko!CZ318,Oeko!FM318)</f>
        <v>0.88888888888888884</v>
      </c>
      <c r="AN318" s="1979">
        <f>IF(Construction!$F$31=Construction!$R$22,Oeko!DA318,Oeko!FN318)</f>
        <v>0.88888888888888884</v>
      </c>
      <c r="AO318" s="1979">
        <f>IF(Construction!$F$31=Construction!$R$22,Oeko!DB318,Oeko!FO318)</f>
        <v>0.88888888888888884</v>
      </c>
      <c r="AP318" s="1979">
        <f>IF(Construction!$F$31=Construction!$R$22,Oeko!DC318,Oeko!FP318)</f>
        <v>0.88888888888888884</v>
      </c>
      <c r="AQ318" s="1979">
        <f>IF(Construction!$F$31=Construction!$R$22,Oeko!DD318,Oeko!FQ318)</f>
        <v>0.88888888888888884</v>
      </c>
      <c r="AR318" s="1998">
        <f>IF(Construction!$F$31=Construction!$R$22,Oeko!DE318,Oeko!FR318)</f>
        <v>8.0488597659215451</v>
      </c>
      <c r="AS318" s="1998">
        <f>IF(Construction!$F$31=Construction!$R$22,Oeko!DF318,Oeko!FS318)</f>
        <v>8.0488597659215451</v>
      </c>
      <c r="AT318" s="1998">
        <f>IF(Construction!$F$31=Construction!$R$22,Oeko!DG318,Oeko!FT318)</f>
        <v>8.0488597659215451</v>
      </c>
      <c r="AU318" s="1998">
        <f>IF(Construction!$F$31=Construction!$R$22,Oeko!DH318,Oeko!FU318)</f>
        <v>8.0488597659215451</v>
      </c>
      <c r="AV318" s="1998">
        <f>IF(Construction!$F$31=Construction!$R$22,Oeko!DI318,Oeko!FV318)</f>
        <v>8.0488597659215451</v>
      </c>
      <c r="AW318" s="1979">
        <f>IF(Construction!$F$31=Construction!$R$22,Oeko!DJ318,Oeko!FW318)</f>
        <v>8.0329061668367068</v>
      </c>
      <c r="AX318" s="1979">
        <f>IF(Construction!$F$31=Construction!$R$22,Oeko!DK318,Oeko!FX318)</f>
        <v>8.0329061668367068</v>
      </c>
      <c r="AY318" s="1979">
        <f>IF(Construction!$F$31=Construction!$R$22,Oeko!DL318,Oeko!FY318)</f>
        <v>8.0329061668367068</v>
      </c>
      <c r="AZ318" s="1979">
        <f>IF(Construction!$F$31=Construction!$R$22,Oeko!DM318,Oeko!FZ318)</f>
        <v>8.0329061668367068</v>
      </c>
      <c r="BA318" s="1979">
        <f>IF(Construction!$F$31=Construction!$R$22,Oeko!DN318,Oeko!GA318)</f>
        <v>8.0329061668367068</v>
      </c>
      <c r="BB318" s="1998">
        <f>IF(Construction!$F$31=Construction!$R$22,Oeko!DO318,Oeko!GB318)</f>
        <v>0.97975662301212196</v>
      </c>
      <c r="BC318" s="1998">
        <f>IF(Construction!$F$31=Construction!$R$22,Oeko!DP318,Oeko!GC318)</f>
        <v>0.97975662301212196</v>
      </c>
      <c r="BD318" s="1998">
        <f>IF(Construction!$F$31=Construction!$R$22,Oeko!DQ318,Oeko!GD318)</f>
        <v>0.97975662301212196</v>
      </c>
      <c r="BE318" s="1998">
        <f>IF(Construction!$F$31=Construction!$R$22,Oeko!DR318,Oeko!GE318)</f>
        <v>0.97975662301212196</v>
      </c>
      <c r="BF318" s="1998">
        <f>IF(Construction!$F$31=Construction!$R$22,Oeko!DS318,Oeko!GF318)</f>
        <v>0.97975662301212196</v>
      </c>
      <c r="BG318" s="1979">
        <f>IF(Construction!$F$31=Construction!$R$22,Oeko!DT318,Oeko!GG318)</f>
        <v>0.97614876347816082</v>
      </c>
      <c r="BH318" s="1979">
        <f>IF(Construction!$F$31=Construction!$R$22,Oeko!DU318,Oeko!GH318)</f>
        <v>0.97614876347816082</v>
      </c>
      <c r="BI318" s="1979">
        <f>IF(Construction!$F$31=Construction!$R$22,Oeko!DV318,Oeko!GI318)</f>
        <v>0.97614876347816082</v>
      </c>
      <c r="BJ318" s="1979">
        <f>IF(Construction!$F$31=Construction!$R$22,Oeko!DW318,Oeko!GJ318)</f>
        <v>0.97614876347816082</v>
      </c>
      <c r="BK318" s="2021">
        <f>IF(Construction!$F$31=Construction!$R$22,Oeko!DX318,Oeko!GK318)</f>
        <v>0.97614876347816082</v>
      </c>
      <c r="BN318" s="2022"/>
      <c r="BO318" s="2">
        <v>12</v>
      </c>
      <c r="BP318" s="2" t="s">
        <v>4338</v>
      </c>
      <c r="BQ318" s="1998">
        <v>1.09375</v>
      </c>
      <c r="BR318" s="1998">
        <v>0.93333333333333335</v>
      </c>
      <c r="BS318" s="1998">
        <v>0.93333333333333335</v>
      </c>
      <c r="BT318" s="1998">
        <v>0.93333333333333335</v>
      </c>
      <c r="BU318" s="1998">
        <v>0.93333333333333335</v>
      </c>
      <c r="BV318" s="1979">
        <v>0.99999999999999978</v>
      </c>
      <c r="BW318" s="1979">
        <v>0.99999999999999978</v>
      </c>
      <c r="BX318" s="1979">
        <v>0.99999999999999978</v>
      </c>
      <c r="BY318" s="1979">
        <v>0.99999999999999978</v>
      </c>
      <c r="BZ318" s="1979">
        <v>0.99999999999999978</v>
      </c>
      <c r="CA318" s="1998">
        <v>0.5714285714285714</v>
      </c>
      <c r="CB318" s="1998">
        <v>0.5714285714285714</v>
      </c>
      <c r="CC318" s="1998">
        <v>0.5714285714285714</v>
      </c>
      <c r="CD318" s="1998">
        <v>0.5714285714285714</v>
      </c>
      <c r="CE318" s="1998">
        <v>0.5714285714285714</v>
      </c>
      <c r="CF318" s="1979">
        <v>0.75000000000000011</v>
      </c>
      <c r="CG318" s="1979">
        <v>0.75000000000000011</v>
      </c>
      <c r="CH318" s="1979">
        <v>0.75000000000000011</v>
      </c>
      <c r="CI318" s="1979">
        <v>0.75000000000000011</v>
      </c>
      <c r="CJ318" s="1979">
        <v>0.75000000000000011</v>
      </c>
      <c r="CK318" s="1998">
        <v>0.6</v>
      </c>
      <c r="CL318" s="1998">
        <v>0.6</v>
      </c>
      <c r="CM318" s="1998">
        <v>0.6</v>
      </c>
      <c r="CN318" s="1998">
        <v>0.6</v>
      </c>
      <c r="CO318" s="1998">
        <v>0.6</v>
      </c>
      <c r="CP318" s="1979">
        <v>1</v>
      </c>
      <c r="CQ318" s="1979">
        <v>1</v>
      </c>
      <c r="CR318" s="1979">
        <v>1</v>
      </c>
      <c r="CS318" s="1979">
        <v>1</v>
      </c>
      <c r="CT318" s="1979">
        <v>1</v>
      </c>
      <c r="CU318" s="1998">
        <v>0.99999999999999978</v>
      </c>
      <c r="CV318" s="1998">
        <v>0.99999999999999978</v>
      </c>
      <c r="CW318" s="1998">
        <v>0.99999999999999978</v>
      </c>
      <c r="CX318" s="1998">
        <v>0.99999999999999978</v>
      </c>
      <c r="CY318" s="1998">
        <v>0.99999999999999978</v>
      </c>
      <c r="CZ318" s="1979">
        <v>0.88888888888888884</v>
      </c>
      <c r="DA318" s="1979">
        <v>0.88888888888888884</v>
      </c>
      <c r="DB318" s="1979">
        <v>0.88888888888888884</v>
      </c>
      <c r="DC318" s="1979">
        <v>0.88888888888888884</v>
      </c>
      <c r="DD318" s="1979">
        <v>0.88888888888888884</v>
      </c>
      <c r="DE318" s="1998">
        <v>8.0488597659215451</v>
      </c>
      <c r="DF318" s="1998">
        <v>8.0488597659215451</v>
      </c>
      <c r="DG318" s="1998">
        <v>8.0488597659215451</v>
      </c>
      <c r="DH318" s="1998">
        <v>8.0488597659215451</v>
      </c>
      <c r="DI318" s="1998">
        <v>8.0488597659215451</v>
      </c>
      <c r="DJ318" s="1979">
        <v>8.0329061668367068</v>
      </c>
      <c r="DK318" s="1979">
        <v>8.0329061668367068</v>
      </c>
      <c r="DL318" s="1979">
        <v>8.0329061668367068</v>
      </c>
      <c r="DM318" s="1979">
        <v>8.0329061668367068</v>
      </c>
      <c r="DN318" s="1979">
        <v>8.0329061668367068</v>
      </c>
      <c r="DO318" s="1998">
        <v>0.97975662301212196</v>
      </c>
      <c r="DP318" s="1998">
        <v>0.97975662301212196</v>
      </c>
      <c r="DQ318" s="1998">
        <v>0.97975662301212196</v>
      </c>
      <c r="DR318" s="1998">
        <v>0.97975662301212196</v>
      </c>
      <c r="DS318" s="1998">
        <v>0.97975662301212196</v>
      </c>
      <c r="DT318" s="1979">
        <v>0.97614876347816082</v>
      </c>
      <c r="DU318" s="1979">
        <v>0.97614876347816082</v>
      </c>
      <c r="DV318" s="1979">
        <v>0.97614876347816082</v>
      </c>
      <c r="DW318" s="1979">
        <v>0.97614876347816082</v>
      </c>
      <c r="DX318" s="2021">
        <v>0.97614876347816082</v>
      </c>
      <c r="EA318" s="2022"/>
      <c r="EB318" s="2">
        <v>12</v>
      </c>
      <c r="EC318" s="2" t="s">
        <v>4338</v>
      </c>
      <c r="ED318" s="1998">
        <v>1.4765287570396433</v>
      </c>
      <c r="EE318" s="1998">
        <v>1.4425187027099891</v>
      </c>
      <c r="EF318" s="1998">
        <v>1.4808544160192851</v>
      </c>
      <c r="EG318" s="1998">
        <v>1.5257883588138297</v>
      </c>
      <c r="EH318" s="1998">
        <v>1.5591754000091895</v>
      </c>
      <c r="EI318" s="1979">
        <v>2.207421614788303</v>
      </c>
      <c r="EJ318" s="1979">
        <v>2.2656636788984805</v>
      </c>
      <c r="EK318" s="1979">
        <v>2.3336671347059288</v>
      </c>
      <c r="EL318" s="1979">
        <v>2.4087401221047151</v>
      </c>
      <c r="EM318" s="1979">
        <v>2.4343263883641346</v>
      </c>
      <c r="EN318" s="1998">
        <v>1.3545306851319359</v>
      </c>
      <c r="EO318" s="1998">
        <v>1.3666498821456583</v>
      </c>
      <c r="EP318" s="1998">
        <v>1.3747293468214734</v>
      </c>
      <c r="EQ318" s="1998">
        <v>1.3828088114972883</v>
      </c>
      <c r="ER318" s="1998">
        <v>1.390888276173103</v>
      </c>
      <c r="ES318" s="1979">
        <v>1.907989274661178</v>
      </c>
      <c r="ET318" s="1979">
        <v>1.9238957207416889</v>
      </c>
      <c r="EU318" s="1979">
        <v>1.9345000181286958</v>
      </c>
      <c r="EV318" s="1979">
        <v>1.9451043155157028</v>
      </c>
      <c r="EW318" s="1979">
        <v>1.9557086129027104</v>
      </c>
      <c r="EX318" s="1998">
        <v>1.472691257761138</v>
      </c>
      <c r="EY318" s="1998">
        <v>1.4854164146255469</v>
      </c>
      <c r="EZ318" s="1998">
        <v>1.4938998525351526</v>
      </c>
      <c r="FA318" s="1998">
        <v>1.502383290444758</v>
      </c>
      <c r="FB318" s="1998">
        <v>1.510866728354364</v>
      </c>
      <c r="FC318" s="1979">
        <v>1.7659773210745806</v>
      </c>
      <c r="FD318" s="1979">
        <v>1.7518382578919043</v>
      </c>
      <c r="FE318" s="1979">
        <v>1.7659773210745806</v>
      </c>
      <c r="FF318" s="1979">
        <v>1.7801163842572567</v>
      </c>
      <c r="FG318" s="1979">
        <v>1.7942554474399326</v>
      </c>
      <c r="FH318" s="1998">
        <v>2.6878506674319671</v>
      </c>
      <c r="FI318" s="1998">
        <v>2.6949201990233052</v>
      </c>
      <c r="FJ318" s="1998">
        <v>2.7019897306146436</v>
      </c>
      <c r="FK318" s="1998">
        <v>2.7090592622059813</v>
      </c>
      <c r="FL318" s="1998">
        <v>2.7161287937973193</v>
      </c>
      <c r="FM318" s="1979">
        <v>1.7625258928762462</v>
      </c>
      <c r="FN318" s="1979">
        <v>1.796459644514669</v>
      </c>
      <c r="FO318" s="1979">
        <v>1.8401336396789352</v>
      </c>
      <c r="FP318" s="1979">
        <v>1.8900916629243909</v>
      </c>
      <c r="FQ318" s="1979">
        <v>1.918055587885684</v>
      </c>
      <c r="FR318" s="1998">
        <v>22.079862829615756</v>
      </c>
      <c r="FS318" s="1998">
        <v>22.136764498005185</v>
      </c>
      <c r="FT318" s="1998">
        <v>22.193666166394621</v>
      </c>
      <c r="FU318" s="1998">
        <v>22.250567834784054</v>
      </c>
      <c r="FV318" s="1998">
        <v>22.307469503173483</v>
      </c>
      <c r="FW318" s="1979">
        <v>22.551930821541369</v>
      </c>
      <c r="FX318" s="1979">
        <v>22.608719705458071</v>
      </c>
      <c r="FY318" s="1979">
        <v>22.665508589374781</v>
      </c>
      <c r="FZ318" s="1979">
        <v>22.722297473291487</v>
      </c>
      <c r="GA318" s="1979">
        <v>22.779086357208193</v>
      </c>
      <c r="GB318" s="1998">
        <v>1.6556598135371465</v>
      </c>
      <c r="GC318" s="1998">
        <v>1.6625862339353534</v>
      </c>
      <c r="GD318" s="1998">
        <v>1.6695126543335603</v>
      </c>
      <c r="GE318" s="1998">
        <v>1.6764390747317672</v>
      </c>
      <c r="GF318" s="1998">
        <v>1.690291915528181</v>
      </c>
      <c r="GG318" s="1979">
        <v>1.80598373465901</v>
      </c>
      <c r="GH318" s="1979">
        <v>1.8128846491802644</v>
      </c>
      <c r="GI318" s="1979">
        <v>1.8197855637015188</v>
      </c>
      <c r="GJ318" s="1979">
        <v>1.8266864782227732</v>
      </c>
      <c r="GK318" s="2021">
        <v>1.8404883072652825</v>
      </c>
    </row>
    <row r="319" spans="1:193">
      <c r="A319" s="2020"/>
      <c r="B319" s="2">
        <v>13</v>
      </c>
      <c r="C319" s="2" t="str">
        <f>CONCATENATE($U$8," ",$V$10)</f>
        <v>Proportion de fenêtres 0</v>
      </c>
      <c r="D319" s="1998">
        <f>IF(Construction!$F$31=Construction!$R$22,Oeko!BQ319,Oeko!ED319)</f>
        <v>0</v>
      </c>
      <c r="E319" s="1998">
        <f>IF(Construction!$F$31=Construction!$R$22,Oeko!BR319,Oeko!EE319)</f>
        <v>0</v>
      </c>
      <c r="F319" s="1998">
        <f>IF(Construction!$F$31=Construction!$R$22,Oeko!BS319,Oeko!EF319)</f>
        <v>0</v>
      </c>
      <c r="G319" s="1998">
        <f>IF(Construction!$F$31=Construction!$R$22,Oeko!BT319,Oeko!EG319)</f>
        <v>0</v>
      </c>
      <c r="H319" s="1998">
        <f>IF(Construction!$F$31=Construction!$R$22,Oeko!BU319,Oeko!EH319)</f>
        <v>0</v>
      </c>
      <c r="I319" s="1979">
        <f>IF(Construction!$F$31=Construction!$R$22,Oeko!BV319,Oeko!EI319)</f>
        <v>0</v>
      </c>
      <c r="J319" s="1979">
        <f>IF(Construction!$F$31=Construction!$R$22,Oeko!BW319,Oeko!EJ319)</f>
        <v>0</v>
      </c>
      <c r="K319" s="1979">
        <f>IF(Construction!$F$31=Construction!$R$22,Oeko!BX319,Oeko!EK319)</f>
        <v>0</v>
      </c>
      <c r="L319" s="1979">
        <f>IF(Construction!$F$31=Construction!$R$22,Oeko!BY319,Oeko!EL319)</f>
        <v>0</v>
      </c>
      <c r="M319" s="1979">
        <f>IF(Construction!$F$31=Construction!$R$22,Oeko!BZ319,Oeko!EM319)</f>
        <v>0</v>
      </c>
      <c r="N319" s="1998">
        <f>IF(Construction!$F$31=Construction!$R$22,Oeko!CA319,Oeko!EN319)</f>
        <v>0</v>
      </c>
      <c r="O319" s="1998">
        <f>IF(Construction!$F$31=Construction!$R$22,Oeko!CB319,Oeko!EO319)</f>
        <v>0</v>
      </c>
      <c r="P319" s="1998">
        <f>IF(Construction!$F$31=Construction!$R$22,Oeko!CC319,Oeko!EP319)</f>
        <v>0</v>
      </c>
      <c r="Q319" s="1998">
        <f>IF(Construction!$F$31=Construction!$R$22,Oeko!CD319,Oeko!EQ319)</f>
        <v>0</v>
      </c>
      <c r="R319" s="1998">
        <f>IF(Construction!$F$31=Construction!$R$22,Oeko!CE319,Oeko!ER319)</f>
        <v>0</v>
      </c>
      <c r="S319" s="1979">
        <f>IF(Construction!$F$31=Construction!$R$22,Oeko!CF319,Oeko!ES319)</f>
        <v>0</v>
      </c>
      <c r="T319" s="1979">
        <f>IF(Construction!$F$31=Construction!$R$22,Oeko!CG319,Oeko!ET319)</f>
        <v>0</v>
      </c>
      <c r="U319" s="1979">
        <f>IF(Construction!$F$31=Construction!$R$22,Oeko!CH319,Oeko!EU319)</f>
        <v>0</v>
      </c>
      <c r="V319" s="1979">
        <f>IF(Construction!$F$31=Construction!$R$22,Oeko!CI319,Oeko!EV319)</f>
        <v>0</v>
      </c>
      <c r="W319" s="1979">
        <f>IF(Construction!$F$31=Construction!$R$22,Oeko!CJ319,Oeko!EW319)</f>
        <v>0</v>
      </c>
      <c r="X319" s="1998">
        <f>IF(Construction!$F$31=Construction!$R$22,Oeko!CK319,Oeko!EX319)</f>
        <v>1</v>
      </c>
      <c r="Y319" s="1998">
        <f>IF(Construction!$F$31=Construction!$R$22,Oeko!CL319,Oeko!EY319)</f>
        <v>1</v>
      </c>
      <c r="Z319" s="1998">
        <f>IF(Construction!$F$31=Construction!$R$22,Oeko!CM319,Oeko!EZ319)</f>
        <v>1</v>
      </c>
      <c r="AA319" s="1998">
        <f>IF(Construction!$F$31=Construction!$R$22,Oeko!CN319,Oeko!FA319)</f>
        <v>1</v>
      </c>
      <c r="AB319" s="1998">
        <f>IF(Construction!$F$31=Construction!$R$22,Oeko!CO319,Oeko!FB319)</f>
        <v>1</v>
      </c>
      <c r="AC319" s="1979">
        <f>IF(Construction!$F$31=Construction!$R$22,Oeko!CP319,Oeko!FC319)</f>
        <v>0</v>
      </c>
      <c r="AD319" s="1979">
        <f>IF(Construction!$F$31=Construction!$R$22,Oeko!CQ319,Oeko!FD319)</f>
        <v>0</v>
      </c>
      <c r="AE319" s="1979">
        <f>IF(Construction!$F$31=Construction!$R$22,Oeko!CR319,Oeko!FE319)</f>
        <v>0</v>
      </c>
      <c r="AF319" s="1979">
        <f>IF(Construction!$F$31=Construction!$R$22,Oeko!CS319,Oeko!FF319)</f>
        <v>0</v>
      </c>
      <c r="AG319" s="1979">
        <f>IF(Construction!$F$31=Construction!$R$22,Oeko!CT319,Oeko!FG319)</f>
        <v>0</v>
      </c>
      <c r="AH319" s="1998">
        <f>IF(Construction!$F$31=Construction!$R$22,Oeko!CU319,Oeko!FH319)</f>
        <v>1</v>
      </c>
      <c r="AI319" s="1998">
        <f>IF(Construction!$F$31=Construction!$R$22,Oeko!CV319,Oeko!FI319)</f>
        <v>1</v>
      </c>
      <c r="AJ319" s="1998">
        <f>IF(Construction!$F$31=Construction!$R$22,Oeko!CW319,Oeko!FJ319)</f>
        <v>1</v>
      </c>
      <c r="AK319" s="1998">
        <f>IF(Construction!$F$31=Construction!$R$22,Oeko!CX319,Oeko!FK319)</f>
        <v>1</v>
      </c>
      <c r="AL319" s="1998">
        <f>IF(Construction!$F$31=Construction!$R$22,Oeko!CY319,Oeko!FL319)</f>
        <v>1</v>
      </c>
      <c r="AM319" s="1979">
        <f>IF(Construction!$F$31=Construction!$R$22,Oeko!CZ319,Oeko!FM319)</f>
        <v>1</v>
      </c>
      <c r="AN319" s="1979">
        <f>IF(Construction!$F$31=Construction!$R$22,Oeko!DA319,Oeko!FN319)</f>
        <v>1</v>
      </c>
      <c r="AO319" s="1979">
        <f>IF(Construction!$F$31=Construction!$R$22,Oeko!DB319,Oeko!FO319)</f>
        <v>1</v>
      </c>
      <c r="AP319" s="1979">
        <f>IF(Construction!$F$31=Construction!$R$22,Oeko!DC319,Oeko!FP319)</f>
        <v>1</v>
      </c>
      <c r="AQ319" s="1979">
        <f>IF(Construction!$F$31=Construction!$R$22,Oeko!DD319,Oeko!FQ319)</f>
        <v>1</v>
      </c>
      <c r="AR319" s="1998">
        <f>IF(Construction!$F$31=Construction!$R$22,Oeko!DE319,Oeko!FR319)</f>
        <v>8.0488597659215451</v>
      </c>
      <c r="AS319" s="1998">
        <f>IF(Construction!$F$31=Construction!$R$22,Oeko!DF319,Oeko!FS319)</f>
        <v>8.0488597659215451</v>
      </c>
      <c r="AT319" s="1998">
        <f>IF(Construction!$F$31=Construction!$R$22,Oeko!DG319,Oeko!FT319)</f>
        <v>8.0488597659215451</v>
      </c>
      <c r="AU319" s="1998">
        <f>IF(Construction!$F$31=Construction!$R$22,Oeko!DH319,Oeko!FU319)</f>
        <v>8.0488597659215451</v>
      </c>
      <c r="AV319" s="1998">
        <f>IF(Construction!$F$31=Construction!$R$22,Oeko!DI319,Oeko!FV319)</f>
        <v>8.0488597659215451</v>
      </c>
      <c r="AW319" s="1979">
        <f>IF(Construction!$F$31=Construction!$R$22,Oeko!DJ319,Oeko!FW319)</f>
        <v>8.0329061668367086</v>
      </c>
      <c r="AX319" s="1979">
        <f>IF(Construction!$F$31=Construction!$R$22,Oeko!DK319,Oeko!FX319)</f>
        <v>8.0329061668367086</v>
      </c>
      <c r="AY319" s="1979">
        <f>IF(Construction!$F$31=Construction!$R$22,Oeko!DL319,Oeko!FY319)</f>
        <v>8.0329061668367086</v>
      </c>
      <c r="AZ319" s="1979">
        <f>IF(Construction!$F$31=Construction!$R$22,Oeko!DM319,Oeko!FZ319)</f>
        <v>8.0329061668367086</v>
      </c>
      <c r="BA319" s="1979">
        <f>IF(Construction!$F$31=Construction!$R$22,Oeko!DN319,Oeko!GA319)</f>
        <v>8.0329061668367086</v>
      </c>
      <c r="BB319" s="1998">
        <f>IF(Construction!$F$31=Construction!$R$22,Oeko!DO319,Oeko!GB319)</f>
        <v>0.97975662301212196</v>
      </c>
      <c r="BC319" s="1998">
        <f>IF(Construction!$F$31=Construction!$R$22,Oeko!DP319,Oeko!GC319)</f>
        <v>0.97975662301212196</v>
      </c>
      <c r="BD319" s="1998">
        <f>IF(Construction!$F$31=Construction!$R$22,Oeko!DQ319,Oeko!GD319)</f>
        <v>0.97975662301212196</v>
      </c>
      <c r="BE319" s="1998">
        <f>IF(Construction!$F$31=Construction!$R$22,Oeko!DR319,Oeko!GE319)</f>
        <v>0.97975662301212196</v>
      </c>
      <c r="BF319" s="1998">
        <f>IF(Construction!$F$31=Construction!$R$22,Oeko!DS319,Oeko!GF319)</f>
        <v>0.97975662301212196</v>
      </c>
      <c r="BG319" s="1979">
        <f>IF(Construction!$F$31=Construction!$R$22,Oeko!DT319,Oeko!GG319)</f>
        <v>0.97614876347816082</v>
      </c>
      <c r="BH319" s="1979">
        <f>IF(Construction!$F$31=Construction!$R$22,Oeko!DU319,Oeko!GH319)</f>
        <v>0.97614876347816082</v>
      </c>
      <c r="BI319" s="1979">
        <f>IF(Construction!$F$31=Construction!$R$22,Oeko!DV319,Oeko!GI319)</f>
        <v>0.97614876347816082</v>
      </c>
      <c r="BJ319" s="1979">
        <f>IF(Construction!$F$31=Construction!$R$22,Oeko!DW319,Oeko!GJ319)</f>
        <v>0.97614876347816082</v>
      </c>
      <c r="BK319" s="2021">
        <f>IF(Construction!$F$31=Construction!$R$22,Oeko!DX319,Oeko!GK319)</f>
        <v>0.97614876347816082</v>
      </c>
      <c r="BN319" s="2022"/>
      <c r="BO319" s="2">
        <v>13</v>
      </c>
      <c r="BP319" s="2" t="str">
        <f>CONCATENATE($U$8," ",$V$10)</f>
        <v>Proportion de fenêtres 0</v>
      </c>
      <c r="BQ319" s="1998">
        <v>0</v>
      </c>
      <c r="BR319" s="1998">
        <v>0</v>
      </c>
      <c r="BS319" s="1998">
        <v>0</v>
      </c>
      <c r="BT319" s="1998">
        <v>0</v>
      </c>
      <c r="BU319" s="1998">
        <v>0</v>
      </c>
      <c r="BV319" s="1979">
        <v>0</v>
      </c>
      <c r="BW319" s="1979">
        <v>0</v>
      </c>
      <c r="BX319" s="1979">
        <v>0</v>
      </c>
      <c r="BY319" s="1979">
        <v>0</v>
      </c>
      <c r="BZ319" s="1979">
        <v>0</v>
      </c>
      <c r="CA319" s="1998">
        <v>0</v>
      </c>
      <c r="CB319" s="1998">
        <v>0</v>
      </c>
      <c r="CC319" s="1998">
        <v>0</v>
      </c>
      <c r="CD319" s="1998">
        <v>0</v>
      </c>
      <c r="CE319" s="1998">
        <v>0</v>
      </c>
      <c r="CF319" s="1979">
        <v>0</v>
      </c>
      <c r="CG319" s="1979">
        <v>0</v>
      </c>
      <c r="CH319" s="1979">
        <v>0</v>
      </c>
      <c r="CI319" s="1979">
        <v>0</v>
      </c>
      <c r="CJ319" s="1979">
        <v>0</v>
      </c>
      <c r="CK319" s="1998">
        <v>1</v>
      </c>
      <c r="CL319" s="1998">
        <v>1</v>
      </c>
      <c r="CM319" s="1998">
        <v>1</v>
      </c>
      <c r="CN319" s="1998">
        <v>1</v>
      </c>
      <c r="CO319" s="1998">
        <v>1</v>
      </c>
      <c r="CP319" s="1979">
        <v>0</v>
      </c>
      <c r="CQ319" s="1979">
        <v>0</v>
      </c>
      <c r="CR319" s="1979">
        <v>0</v>
      </c>
      <c r="CS319" s="1979">
        <v>0</v>
      </c>
      <c r="CT319" s="1979">
        <v>0</v>
      </c>
      <c r="CU319" s="1998">
        <v>1</v>
      </c>
      <c r="CV319" s="1998">
        <v>1</v>
      </c>
      <c r="CW319" s="1998">
        <v>1</v>
      </c>
      <c r="CX319" s="1998">
        <v>1</v>
      </c>
      <c r="CY319" s="1998">
        <v>1</v>
      </c>
      <c r="CZ319" s="1979">
        <v>1</v>
      </c>
      <c r="DA319" s="1979">
        <v>1</v>
      </c>
      <c r="DB319" s="1979">
        <v>1</v>
      </c>
      <c r="DC319" s="1979">
        <v>1</v>
      </c>
      <c r="DD319" s="1979">
        <v>1</v>
      </c>
      <c r="DE319" s="1998">
        <v>8.0488597659215451</v>
      </c>
      <c r="DF319" s="1998">
        <v>8.0488597659215451</v>
      </c>
      <c r="DG319" s="1998">
        <v>8.0488597659215451</v>
      </c>
      <c r="DH319" s="1998">
        <v>8.0488597659215451</v>
      </c>
      <c r="DI319" s="1998">
        <v>8.0488597659215451</v>
      </c>
      <c r="DJ319" s="1979">
        <v>8.0329061668367086</v>
      </c>
      <c r="DK319" s="1979">
        <v>8.0329061668367086</v>
      </c>
      <c r="DL319" s="1979">
        <v>8.0329061668367086</v>
      </c>
      <c r="DM319" s="1979">
        <v>8.0329061668367086</v>
      </c>
      <c r="DN319" s="1979">
        <v>8.0329061668367086</v>
      </c>
      <c r="DO319" s="1998">
        <v>0.97975662301212196</v>
      </c>
      <c r="DP319" s="1998">
        <v>0.97975662301212196</v>
      </c>
      <c r="DQ319" s="1998">
        <v>0.97975662301212196</v>
      </c>
      <c r="DR319" s="1998">
        <v>0.97975662301212196</v>
      </c>
      <c r="DS319" s="1998">
        <v>0.97975662301212196</v>
      </c>
      <c r="DT319" s="1979">
        <v>0.97614876347816082</v>
      </c>
      <c r="DU319" s="1979">
        <v>0.97614876347816082</v>
      </c>
      <c r="DV319" s="1979">
        <v>0.97614876347816082</v>
      </c>
      <c r="DW319" s="1979">
        <v>0.97614876347816082</v>
      </c>
      <c r="DX319" s="2021">
        <v>0.97614876347816082</v>
      </c>
      <c r="EA319" s="2022"/>
      <c r="EB319" s="2">
        <v>13</v>
      </c>
      <c r="EC319" s="2" t="str">
        <f>CONCATENATE($U$8," ",$V$10)</f>
        <v>Proportion de fenêtres 0</v>
      </c>
      <c r="ED319" s="1998">
        <v>0</v>
      </c>
      <c r="EE319" s="1998">
        <v>0</v>
      </c>
      <c r="EF319" s="1998">
        <v>0</v>
      </c>
      <c r="EG319" s="1998">
        <v>0</v>
      </c>
      <c r="EH319" s="1998">
        <v>0</v>
      </c>
      <c r="EI319" s="1979">
        <v>0</v>
      </c>
      <c r="EJ319" s="1979">
        <v>0</v>
      </c>
      <c r="EK319" s="1979">
        <v>0</v>
      </c>
      <c r="EL319" s="1979">
        <v>0</v>
      </c>
      <c r="EM319" s="1979">
        <v>0</v>
      </c>
      <c r="EN319" s="1998">
        <v>0</v>
      </c>
      <c r="EO319" s="1998">
        <v>0</v>
      </c>
      <c r="EP319" s="1998">
        <v>0</v>
      </c>
      <c r="EQ319" s="1998">
        <v>0</v>
      </c>
      <c r="ER319" s="1998">
        <v>0</v>
      </c>
      <c r="ES319" s="1979">
        <v>0</v>
      </c>
      <c r="ET319" s="1979">
        <v>0</v>
      </c>
      <c r="EU319" s="1979">
        <v>0</v>
      </c>
      <c r="EV319" s="1979">
        <v>0</v>
      </c>
      <c r="EW319" s="1979">
        <v>0</v>
      </c>
      <c r="EX319" s="1998">
        <v>1.5662614010015043</v>
      </c>
      <c r="EY319" s="1998">
        <v>1.5987812463216597</v>
      </c>
      <c r="EZ319" s="1998">
        <v>1.6016090589581951</v>
      </c>
      <c r="FA319" s="1998">
        <v>1.6044368715947301</v>
      </c>
      <c r="FB319" s="1998">
        <v>1.6072646842312657</v>
      </c>
      <c r="FC319" s="1979">
        <v>0</v>
      </c>
      <c r="FD319" s="1979">
        <v>0</v>
      </c>
      <c r="FE319" s="1979">
        <v>0</v>
      </c>
      <c r="FF319" s="1979">
        <v>0</v>
      </c>
      <c r="FG319" s="1979">
        <v>0</v>
      </c>
      <c r="FH319" s="1998">
        <v>2.6143780355362747</v>
      </c>
      <c r="FI319" s="1998">
        <v>2.6214475671276127</v>
      </c>
      <c r="FJ319" s="1998">
        <v>2.6285170987189508</v>
      </c>
      <c r="FK319" s="1998">
        <v>2.6355866303102888</v>
      </c>
      <c r="FL319" s="1998">
        <v>2.6426561619016269</v>
      </c>
      <c r="FM319" s="1979">
        <v>1.5554923723069403</v>
      </c>
      <c r="FN319" s="1979">
        <v>1.5858128077986793</v>
      </c>
      <c r="FO319" s="1979">
        <v>1.6280728966446782</v>
      </c>
      <c r="FP319" s="1979">
        <v>1.677402517082015</v>
      </c>
      <c r="FQ319" s="1979">
        <v>1.7102365638062298</v>
      </c>
      <c r="FR319" s="1998">
        <v>19.493207820746139</v>
      </c>
      <c r="FS319" s="1998">
        <v>19.550109489135572</v>
      </c>
      <c r="FT319" s="1998">
        <v>19.607011157525008</v>
      </c>
      <c r="FU319" s="1998">
        <v>19.663912825914437</v>
      </c>
      <c r="FV319" s="1998">
        <v>19.72081449430387</v>
      </c>
      <c r="FW319" s="1979">
        <v>19.861219416916455</v>
      </c>
      <c r="FX319" s="1979">
        <v>19.918008300833161</v>
      </c>
      <c r="FY319" s="1979">
        <v>19.974797184749868</v>
      </c>
      <c r="FZ319" s="1979">
        <v>20.031586068666577</v>
      </c>
      <c r="GA319" s="1979">
        <v>20.08837495258328</v>
      </c>
      <c r="GB319" s="1998">
        <v>1.7695017487999831</v>
      </c>
      <c r="GC319" s="1998">
        <v>1.77642816919819</v>
      </c>
      <c r="GD319" s="1998">
        <v>1.7833545895963967</v>
      </c>
      <c r="GE319" s="1998">
        <v>1.7902810099946038</v>
      </c>
      <c r="GF319" s="1998">
        <v>1.8041338507910176</v>
      </c>
      <c r="GG319" s="1979">
        <v>1.8939703948050042</v>
      </c>
      <c r="GH319" s="1979">
        <v>1.9008713093262588</v>
      </c>
      <c r="GI319" s="1979">
        <v>1.9077722238475134</v>
      </c>
      <c r="GJ319" s="1979">
        <v>1.9146731383687676</v>
      </c>
      <c r="GK319" s="2021">
        <v>1.9284749674112767</v>
      </c>
    </row>
    <row r="320" spans="1:193">
      <c r="A320" s="2020"/>
      <c r="B320" s="2">
        <v>14</v>
      </c>
      <c r="C320" s="2" t="str">
        <f>CONCATENATE($U$8," ",$V$11)</f>
        <v>Proportion de fenêtres 10</v>
      </c>
      <c r="D320" s="1998">
        <f>IF(Construction!$F$31=Construction!$R$22,Oeko!BQ320,Oeko!ED320)</f>
        <v>0</v>
      </c>
      <c r="E320" s="1998">
        <f>IF(Construction!$F$31=Construction!$R$22,Oeko!BR320,Oeko!EE320)</f>
        <v>0</v>
      </c>
      <c r="F320" s="1998">
        <f>IF(Construction!$F$31=Construction!$R$22,Oeko!BS320,Oeko!EF320)</f>
        <v>0</v>
      </c>
      <c r="G320" s="1998">
        <f>IF(Construction!$F$31=Construction!$R$22,Oeko!BT320,Oeko!EG320)</f>
        <v>0</v>
      </c>
      <c r="H320" s="1998">
        <f>IF(Construction!$F$31=Construction!$R$22,Oeko!BU320,Oeko!EH320)</f>
        <v>0</v>
      </c>
      <c r="I320" s="1979">
        <f>IF(Construction!$F$31=Construction!$R$22,Oeko!BV320,Oeko!EI320)</f>
        <v>0</v>
      </c>
      <c r="J320" s="1979">
        <f>IF(Construction!$F$31=Construction!$R$22,Oeko!BW320,Oeko!EJ320)</f>
        <v>0</v>
      </c>
      <c r="K320" s="1979">
        <f>IF(Construction!$F$31=Construction!$R$22,Oeko!BX320,Oeko!EK320)</f>
        <v>0</v>
      </c>
      <c r="L320" s="1979">
        <f>IF(Construction!$F$31=Construction!$R$22,Oeko!BY320,Oeko!EL320)</f>
        <v>0</v>
      </c>
      <c r="M320" s="1979">
        <f>IF(Construction!$F$31=Construction!$R$22,Oeko!BZ320,Oeko!EM320)</f>
        <v>0</v>
      </c>
      <c r="N320" s="1998">
        <f>IF(Construction!$F$31=Construction!$R$22,Oeko!CA320,Oeko!EN320)</f>
        <v>0</v>
      </c>
      <c r="O320" s="1998">
        <f>IF(Construction!$F$31=Construction!$R$22,Oeko!CB320,Oeko!EO320)</f>
        <v>0</v>
      </c>
      <c r="P320" s="1998">
        <f>IF(Construction!$F$31=Construction!$R$22,Oeko!CC320,Oeko!EP320)</f>
        <v>0</v>
      </c>
      <c r="Q320" s="1998">
        <f>IF(Construction!$F$31=Construction!$R$22,Oeko!CD320,Oeko!EQ320)</f>
        <v>0</v>
      </c>
      <c r="R320" s="1998">
        <f>IF(Construction!$F$31=Construction!$R$22,Oeko!CE320,Oeko!ER320)</f>
        <v>0</v>
      </c>
      <c r="S320" s="1979">
        <f>IF(Construction!$F$31=Construction!$R$22,Oeko!CF320,Oeko!ES320)</f>
        <v>0</v>
      </c>
      <c r="T320" s="1979">
        <f>IF(Construction!$F$31=Construction!$R$22,Oeko!CG320,Oeko!ET320)</f>
        <v>0</v>
      </c>
      <c r="U320" s="1979">
        <f>IF(Construction!$F$31=Construction!$R$22,Oeko!CH320,Oeko!EU320)</f>
        <v>0</v>
      </c>
      <c r="V320" s="1979">
        <f>IF(Construction!$F$31=Construction!$R$22,Oeko!CI320,Oeko!EV320)</f>
        <v>0</v>
      </c>
      <c r="W320" s="1979">
        <f>IF(Construction!$F$31=Construction!$R$22,Oeko!CJ320,Oeko!EW320)</f>
        <v>0</v>
      </c>
      <c r="X320" s="1998">
        <f>IF(Construction!$F$31=Construction!$R$22,Oeko!CK320,Oeko!EX320)</f>
        <v>1</v>
      </c>
      <c r="Y320" s="1998">
        <f>IF(Construction!$F$31=Construction!$R$22,Oeko!CL320,Oeko!EY320)</f>
        <v>1</v>
      </c>
      <c r="Z320" s="1998">
        <f>IF(Construction!$F$31=Construction!$R$22,Oeko!CM320,Oeko!EZ320)</f>
        <v>1</v>
      </c>
      <c r="AA320" s="1998">
        <f>IF(Construction!$F$31=Construction!$R$22,Oeko!CN320,Oeko!FA320)</f>
        <v>1</v>
      </c>
      <c r="AB320" s="1998">
        <f>IF(Construction!$F$31=Construction!$R$22,Oeko!CO320,Oeko!FB320)</f>
        <v>1</v>
      </c>
      <c r="AC320" s="1979">
        <f>IF(Construction!$F$31=Construction!$R$22,Oeko!CP320,Oeko!FC320)</f>
        <v>0</v>
      </c>
      <c r="AD320" s="1979">
        <f>IF(Construction!$F$31=Construction!$R$22,Oeko!CQ320,Oeko!FD320)</f>
        <v>0</v>
      </c>
      <c r="AE320" s="1979">
        <f>IF(Construction!$F$31=Construction!$R$22,Oeko!CR320,Oeko!FE320)</f>
        <v>0</v>
      </c>
      <c r="AF320" s="1979">
        <f>IF(Construction!$F$31=Construction!$R$22,Oeko!CS320,Oeko!FF320)</f>
        <v>0</v>
      </c>
      <c r="AG320" s="1979">
        <f>IF(Construction!$F$31=Construction!$R$22,Oeko!CT320,Oeko!FG320)</f>
        <v>0</v>
      </c>
      <c r="AH320" s="1998">
        <f>IF(Construction!$F$31=Construction!$R$22,Oeko!CU320,Oeko!FH320)</f>
        <v>1</v>
      </c>
      <c r="AI320" s="1998">
        <f>IF(Construction!$F$31=Construction!$R$22,Oeko!CV320,Oeko!FI320)</f>
        <v>1</v>
      </c>
      <c r="AJ320" s="1998">
        <f>IF(Construction!$F$31=Construction!$R$22,Oeko!CW320,Oeko!FJ320)</f>
        <v>1</v>
      </c>
      <c r="AK320" s="1998">
        <f>IF(Construction!$F$31=Construction!$R$22,Oeko!CX320,Oeko!FK320)</f>
        <v>1</v>
      </c>
      <c r="AL320" s="1998">
        <f>IF(Construction!$F$31=Construction!$R$22,Oeko!CY320,Oeko!FL320)</f>
        <v>1</v>
      </c>
      <c r="AM320" s="1979">
        <f>IF(Construction!$F$31=Construction!$R$22,Oeko!CZ320,Oeko!FM320)</f>
        <v>1</v>
      </c>
      <c r="AN320" s="1979">
        <f>IF(Construction!$F$31=Construction!$R$22,Oeko!DA320,Oeko!FN320)</f>
        <v>1</v>
      </c>
      <c r="AO320" s="1979">
        <f>IF(Construction!$F$31=Construction!$R$22,Oeko!DB320,Oeko!FO320)</f>
        <v>1</v>
      </c>
      <c r="AP320" s="1979">
        <f>IF(Construction!$F$31=Construction!$R$22,Oeko!DC320,Oeko!FP320)</f>
        <v>1</v>
      </c>
      <c r="AQ320" s="1979">
        <f>IF(Construction!$F$31=Construction!$R$22,Oeko!DD320,Oeko!FQ320)</f>
        <v>1</v>
      </c>
      <c r="AR320" s="1998">
        <f>IF(Construction!$F$31=Construction!$R$22,Oeko!DE320,Oeko!FR320)</f>
        <v>8.0488597659215451</v>
      </c>
      <c r="AS320" s="1998">
        <f>IF(Construction!$F$31=Construction!$R$22,Oeko!DF320,Oeko!FS320)</f>
        <v>8.0488597659215451</v>
      </c>
      <c r="AT320" s="1998">
        <f>IF(Construction!$F$31=Construction!$R$22,Oeko!DG320,Oeko!FT320)</f>
        <v>8.0488597659215451</v>
      </c>
      <c r="AU320" s="1998">
        <f>IF(Construction!$F$31=Construction!$R$22,Oeko!DH320,Oeko!FU320)</f>
        <v>8.0488597659215451</v>
      </c>
      <c r="AV320" s="1998">
        <f>IF(Construction!$F$31=Construction!$R$22,Oeko!DI320,Oeko!FV320)</f>
        <v>8.0488597659215451</v>
      </c>
      <c r="AW320" s="1979">
        <f>IF(Construction!$F$31=Construction!$R$22,Oeko!DJ320,Oeko!FW320)</f>
        <v>8.0329061668367086</v>
      </c>
      <c r="AX320" s="1979">
        <f>IF(Construction!$F$31=Construction!$R$22,Oeko!DK320,Oeko!FX320)</f>
        <v>8.0329061668367086</v>
      </c>
      <c r="AY320" s="1979">
        <f>IF(Construction!$F$31=Construction!$R$22,Oeko!DL320,Oeko!FY320)</f>
        <v>8.0329061668367086</v>
      </c>
      <c r="AZ320" s="1979">
        <f>IF(Construction!$F$31=Construction!$R$22,Oeko!DM320,Oeko!FZ320)</f>
        <v>8.0329061668367086</v>
      </c>
      <c r="BA320" s="1979">
        <f>IF(Construction!$F$31=Construction!$R$22,Oeko!DN320,Oeko!GA320)</f>
        <v>8.0329061668367086</v>
      </c>
      <c r="BB320" s="1998">
        <f>IF(Construction!$F$31=Construction!$R$22,Oeko!DO320,Oeko!GB320)</f>
        <v>0.97975662301212196</v>
      </c>
      <c r="BC320" s="1998">
        <f>IF(Construction!$F$31=Construction!$R$22,Oeko!DP320,Oeko!GC320)</f>
        <v>0.97975662301212196</v>
      </c>
      <c r="BD320" s="1998">
        <f>IF(Construction!$F$31=Construction!$R$22,Oeko!DQ320,Oeko!GD320)</f>
        <v>0.97975662301212196</v>
      </c>
      <c r="BE320" s="1998">
        <f>IF(Construction!$F$31=Construction!$R$22,Oeko!DR320,Oeko!GE320)</f>
        <v>0.97975662301212196</v>
      </c>
      <c r="BF320" s="1998">
        <f>IF(Construction!$F$31=Construction!$R$22,Oeko!DS320,Oeko!GF320)</f>
        <v>0.97975662301212196</v>
      </c>
      <c r="BG320" s="1979">
        <f>IF(Construction!$F$31=Construction!$R$22,Oeko!DT320,Oeko!GG320)</f>
        <v>0.97614876347816082</v>
      </c>
      <c r="BH320" s="1979">
        <f>IF(Construction!$F$31=Construction!$R$22,Oeko!DU320,Oeko!GH320)</f>
        <v>0.97614876347816082</v>
      </c>
      <c r="BI320" s="1979">
        <f>IF(Construction!$F$31=Construction!$R$22,Oeko!DV320,Oeko!GI320)</f>
        <v>0.97614876347816082</v>
      </c>
      <c r="BJ320" s="1979">
        <f>IF(Construction!$F$31=Construction!$R$22,Oeko!DW320,Oeko!GJ320)</f>
        <v>0.97614876347816082</v>
      </c>
      <c r="BK320" s="2021">
        <f>IF(Construction!$F$31=Construction!$R$22,Oeko!DX320,Oeko!GK320)</f>
        <v>0.97614876347816082</v>
      </c>
      <c r="BN320" s="2022"/>
      <c r="BO320" s="2">
        <v>14</v>
      </c>
      <c r="BP320" s="2" t="str">
        <f>CONCATENATE($U$8," ",$V$11)</f>
        <v>Proportion de fenêtres 10</v>
      </c>
      <c r="BQ320" s="1998">
        <v>0</v>
      </c>
      <c r="BR320" s="1998">
        <v>0</v>
      </c>
      <c r="BS320" s="1998">
        <v>0</v>
      </c>
      <c r="BT320" s="1998">
        <v>0</v>
      </c>
      <c r="BU320" s="1998">
        <v>0</v>
      </c>
      <c r="BV320" s="1979">
        <v>0</v>
      </c>
      <c r="BW320" s="1979">
        <v>0</v>
      </c>
      <c r="BX320" s="1979">
        <v>0</v>
      </c>
      <c r="BY320" s="1979">
        <v>0</v>
      </c>
      <c r="BZ320" s="1979">
        <v>0</v>
      </c>
      <c r="CA320" s="1998">
        <v>0</v>
      </c>
      <c r="CB320" s="1998">
        <v>0</v>
      </c>
      <c r="CC320" s="1998">
        <v>0</v>
      </c>
      <c r="CD320" s="1998">
        <v>0</v>
      </c>
      <c r="CE320" s="1998">
        <v>0</v>
      </c>
      <c r="CF320" s="1979">
        <v>0</v>
      </c>
      <c r="CG320" s="1979">
        <v>0</v>
      </c>
      <c r="CH320" s="1979">
        <v>0</v>
      </c>
      <c r="CI320" s="1979">
        <v>0</v>
      </c>
      <c r="CJ320" s="1979">
        <v>0</v>
      </c>
      <c r="CK320" s="1998">
        <v>1</v>
      </c>
      <c r="CL320" s="1998">
        <v>1</v>
      </c>
      <c r="CM320" s="1998">
        <v>1</v>
      </c>
      <c r="CN320" s="1998">
        <v>1</v>
      </c>
      <c r="CO320" s="1998">
        <v>1</v>
      </c>
      <c r="CP320" s="1979">
        <v>0</v>
      </c>
      <c r="CQ320" s="1979">
        <v>0</v>
      </c>
      <c r="CR320" s="1979">
        <v>0</v>
      </c>
      <c r="CS320" s="1979">
        <v>0</v>
      </c>
      <c r="CT320" s="1979">
        <v>0</v>
      </c>
      <c r="CU320" s="1998">
        <v>1</v>
      </c>
      <c r="CV320" s="1998">
        <v>1</v>
      </c>
      <c r="CW320" s="1998">
        <v>1</v>
      </c>
      <c r="CX320" s="1998">
        <v>1</v>
      </c>
      <c r="CY320" s="1998">
        <v>1</v>
      </c>
      <c r="CZ320" s="1979">
        <v>1</v>
      </c>
      <c r="DA320" s="1979">
        <v>1</v>
      </c>
      <c r="DB320" s="1979">
        <v>1</v>
      </c>
      <c r="DC320" s="1979">
        <v>1</v>
      </c>
      <c r="DD320" s="1979">
        <v>1</v>
      </c>
      <c r="DE320" s="1998">
        <v>8.0488597659215451</v>
      </c>
      <c r="DF320" s="1998">
        <v>8.0488597659215451</v>
      </c>
      <c r="DG320" s="1998">
        <v>8.0488597659215451</v>
      </c>
      <c r="DH320" s="1998">
        <v>8.0488597659215451</v>
      </c>
      <c r="DI320" s="1998">
        <v>8.0488597659215451</v>
      </c>
      <c r="DJ320" s="1979">
        <v>8.0329061668367086</v>
      </c>
      <c r="DK320" s="1979">
        <v>8.0329061668367086</v>
      </c>
      <c r="DL320" s="1979">
        <v>8.0329061668367086</v>
      </c>
      <c r="DM320" s="1979">
        <v>8.0329061668367086</v>
      </c>
      <c r="DN320" s="1979">
        <v>8.0329061668367086</v>
      </c>
      <c r="DO320" s="1998">
        <v>0.97975662301212196</v>
      </c>
      <c r="DP320" s="1998">
        <v>0.97975662301212196</v>
      </c>
      <c r="DQ320" s="1998">
        <v>0.97975662301212196</v>
      </c>
      <c r="DR320" s="1998">
        <v>0.97975662301212196</v>
      </c>
      <c r="DS320" s="1998">
        <v>0.97975662301212196</v>
      </c>
      <c r="DT320" s="1979">
        <v>0.97614876347816082</v>
      </c>
      <c r="DU320" s="1979">
        <v>0.97614876347816082</v>
      </c>
      <c r="DV320" s="1979">
        <v>0.97614876347816082</v>
      </c>
      <c r="DW320" s="1979">
        <v>0.97614876347816082</v>
      </c>
      <c r="DX320" s="2021">
        <v>0.97614876347816082</v>
      </c>
      <c r="EA320" s="2022"/>
      <c r="EB320" s="2">
        <v>14</v>
      </c>
      <c r="EC320" s="2" t="str">
        <f>CONCATENATE($U$8," ",$V$11)</f>
        <v>Proportion de fenêtres 10</v>
      </c>
      <c r="ED320" s="1998">
        <v>0</v>
      </c>
      <c r="EE320" s="1998">
        <v>0</v>
      </c>
      <c r="EF320" s="1998">
        <v>0</v>
      </c>
      <c r="EG320" s="1998">
        <v>0</v>
      </c>
      <c r="EH320" s="1998">
        <v>0</v>
      </c>
      <c r="EI320" s="1979">
        <v>0</v>
      </c>
      <c r="EJ320" s="1979">
        <v>0</v>
      </c>
      <c r="EK320" s="1979">
        <v>0</v>
      </c>
      <c r="EL320" s="1979">
        <v>0</v>
      </c>
      <c r="EM320" s="1979">
        <v>0</v>
      </c>
      <c r="EN320" s="1998">
        <v>0</v>
      </c>
      <c r="EO320" s="1998">
        <v>0</v>
      </c>
      <c r="EP320" s="1998">
        <v>0</v>
      </c>
      <c r="EQ320" s="1998">
        <v>0</v>
      </c>
      <c r="ER320" s="1998">
        <v>0</v>
      </c>
      <c r="ES320" s="1979">
        <v>0</v>
      </c>
      <c r="ET320" s="1979">
        <v>0</v>
      </c>
      <c r="EU320" s="1979">
        <v>0</v>
      </c>
      <c r="EV320" s="1979">
        <v>0</v>
      </c>
      <c r="EW320" s="1979">
        <v>0</v>
      </c>
      <c r="EX320" s="1998">
        <v>1.5562557919469753</v>
      </c>
      <c r="EY320" s="1998">
        <v>1.5887756372671304</v>
      </c>
      <c r="EZ320" s="1998">
        <v>1.5916034499036658</v>
      </c>
      <c r="FA320" s="1998">
        <v>1.5944312625402011</v>
      </c>
      <c r="FB320" s="1998">
        <v>1.5972590751767362</v>
      </c>
      <c r="FC320" s="1979">
        <v>0</v>
      </c>
      <c r="FD320" s="1979">
        <v>0</v>
      </c>
      <c r="FE320" s="1979">
        <v>0</v>
      </c>
      <c r="FF320" s="1979">
        <v>0</v>
      </c>
      <c r="FG320" s="1979">
        <v>0</v>
      </c>
      <c r="FH320" s="1998">
        <v>2.5921595076777835</v>
      </c>
      <c r="FI320" s="1998">
        <v>2.5992290392691215</v>
      </c>
      <c r="FJ320" s="1998">
        <v>2.60629857086046</v>
      </c>
      <c r="FK320" s="1998">
        <v>2.6133681024517976</v>
      </c>
      <c r="FL320" s="1998">
        <v>2.6204376340431357</v>
      </c>
      <c r="FM320" s="1979">
        <v>1.5510935526501077</v>
      </c>
      <c r="FN320" s="1979">
        <v>1.5809741061761633</v>
      </c>
      <c r="FO320" s="1979">
        <v>1.6230142540393206</v>
      </c>
      <c r="FP320" s="1979">
        <v>1.6721239334938158</v>
      </c>
      <c r="FQ320" s="1979">
        <v>1.7047380392351892</v>
      </c>
      <c r="FR320" s="1998">
        <v>19.413545485000938</v>
      </c>
      <c r="FS320" s="1998">
        <v>19.470447153390367</v>
      </c>
      <c r="FT320" s="1998">
        <v>19.527348821779796</v>
      </c>
      <c r="FU320" s="1998">
        <v>19.584250490169236</v>
      </c>
      <c r="FV320" s="1998">
        <v>19.641152158558665</v>
      </c>
      <c r="FW320" s="1979">
        <v>19.778469900352114</v>
      </c>
      <c r="FX320" s="1979">
        <v>19.835258784268817</v>
      </c>
      <c r="FY320" s="1979">
        <v>19.892047668185526</v>
      </c>
      <c r="FZ320" s="1979">
        <v>19.948836552102232</v>
      </c>
      <c r="GA320" s="1979">
        <v>20.005625436018939</v>
      </c>
      <c r="GB320" s="1998">
        <v>1.7603109217331316</v>
      </c>
      <c r="GC320" s="1998">
        <v>1.7672373421313388</v>
      </c>
      <c r="GD320" s="1998">
        <v>1.7741637625295452</v>
      </c>
      <c r="GE320" s="1998">
        <v>1.7810901829277523</v>
      </c>
      <c r="GF320" s="1998">
        <v>1.7949430237241659</v>
      </c>
      <c r="GG320" s="1979">
        <v>1.8763730627758055</v>
      </c>
      <c r="GH320" s="1979">
        <v>1.8832739772970597</v>
      </c>
      <c r="GI320" s="1979">
        <v>1.8901748918183146</v>
      </c>
      <c r="GJ320" s="1979">
        <v>1.8970758063395687</v>
      </c>
      <c r="GK320" s="2021">
        <v>1.910877635382078</v>
      </c>
    </row>
    <row r="321" spans="1:193">
      <c r="A321" s="2020"/>
      <c r="B321" s="2">
        <v>15</v>
      </c>
      <c r="C321" s="2" t="str">
        <f>CONCATENATE($U$8," ",$V$12)</f>
        <v>Proportion de fenêtres 20</v>
      </c>
      <c r="D321" s="1998">
        <f>IF(Construction!$F$31=Construction!$R$22,Oeko!BQ321,Oeko!ED321)</f>
        <v>0</v>
      </c>
      <c r="E321" s="1998">
        <f>IF(Construction!$F$31=Construction!$R$22,Oeko!BR321,Oeko!EE321)</f>
        <v>0</v>
      </c>
      <c r="F321" s="1998">
        <f>IF(Construction!$F$31=Construction!$R$22,Oeko!BS321,Oeko!EF321)</f>
        <v>0</v>
      </c>
      <c r="G321" s="1998">
        <f>IF(Construction!$F$31=Construction!$R$22,Oeko!BT321,Oeko!EG321)</f>
        <v>0</v>
      </c>
      <c r="H321" s="1998">
        <f>IF(Construction!$F$31=Construction!$R$22,Oeko!BU321,Oeko!EH321)</f>
        <v>0</v>
      </c>
      <c r="I321" s="1979">
        <f>IF(Construction!$F$31=Construction!$R$22,Oeko!BV321,Oeko!EI321)</f>
        <v>0</v>
      </c>
      <c r="J321" s="1979">
        <f>IF(Construction!$F$31=Construction!$R$22,Oeko!BW321,Oeko!EJ321)</f>
        <v>0</v>
      </c>
      <c r="K321" s="1979">
        <f>IF(Construction!$F$31=Construction!$R$22,Oeko!BX321,Oeko!EK321)</f>
        <v>0</v>
      </c>
      <c r="L321" s="1979">
        <f>IF(Construction!$F$31=Construction!$R$22,Oeko!BY321,Oeko!EL321)</f>
        <v>0</v>
      </c>
      <c r="M321" s="1979">
        <f>IF(Construction!$F$31=Construction!$R$22,Oeko!BZ321,Oeko!EM321)</f>
        <v>0</v>
      </c>
      <c r="N321" s="1998">
        <f>IF(Construction!$F$31=Construction!$R$22,Oeko!CA321,Oeko!EN321)</f>
        <v>0</v>
      </c>
      <c r="O321" s="1998">
        <f>IF(Construction!$F$31=Construction!$R$22,Oeko!CB321,Oeko!EO321)</f>
        <v>0</v>
      </c>
      <c r="P321" s="1998">
        <f>IF(Construction!$F$31=Construction!$R$22,Oeko!CC321,Oeko!EP321)</f>
        <v>0</v>
      </c>
      <c r="Q321" s="1998">
        <f>IF(Construction!$F$31=Construction!$R$22,Oeko!CD321,Oeko!EQ321)</f>
        <v>0</v>
      </c>
      <c r="R321" s="1998">
        <f>IF(Construction!$F$31=Construction!$R$22,Oeko!CE321,Oeko!ER321)</f>
        <v>0</v>
      </c>
      <c r="S321" s="1979">
        <f>IF(Construction!$F$31=Construction!$R$22,Oeko!CF321,Oeko!ES321)</f>
        <v>0</v>
      </c>
      <c r="T321" s="1979">
        <f>IF(Construction!$F$31=Construction!$R$22,Oeko!CG321,Oeko!ET321)</f>
        <v>0</v>
      </c>
      <c r="U321" s="1979">
        <f>IF(Construction!$F$31=Construction!$R$22,Oeko!CH321,Oeko!EU321)</f>
        <v>0</v>
      </c>
      <c r="V321" s="1979">
        <f>IF(Construction!$F$31=Construction!$R$22,Oeko!CI321,Oeko!EV321)</f>
        <v>0</v>
      </c>
      <c r="W321" s="1979">
        <f>IF(Construction!$F$31=Construction!$R$22,Oeko!CJ321,Oeko!EW321)</f>
        <v>0</v>
      </c>
      <c r="X321" s="1998">
        <f>IF(Construction!$F$31=Construction!$R$22,Oeko!CK321,Oeko!EX321)</f>
        <v>1</v>
      </c>
      <c r="Y321" s="1998">
        <f>IF(Construction!$F$31=Construction!$R$22,Oeko!CL321,Oeko!EY321)</f>
        <v>1</v>
      </c>
      <c r="Z321" s="1998">
        <f>IF(Construction!$F$31=Construction!$R$22,Oeko!CM321,Oeko!EZ321)</f>
        <v>1</v>
      </c>
      <c r="AA321" s="1998">
        <f>IF(Construction!$F$31=Construction!$R$22,Oeko!CN321,Oeko!FA321)</f>
        <v>1</v>
      </c>
      <c r="AB321" s="1998">
        <f>IF(Construction!$F$31=Construction!$R$22,Oeko!CO321,Oeko!FB321)</f>
        <v>1</v>
      </c>
      <c r="AC321" s="1979">
        <f>IF(Construction!$F$31=Construction!$R$22,Oeko!CP321,Oeko!FC321)</f>
        <v>0</v>
      </c>
      <c r="AD321" s="1979">
        <f>IF(Construction!$F$31=Construction!$R$22,Oeko!CQ321,Oeko!FD321)</f>
        <v>0</v>
      </c>
      <c r="AE321" s="1979">
        <f>IF(Construction!$F$31=Construction!$R$22,Oeko!CR321,Oeko!FE321)</f>
        <v>0</v>
      </c>
      <c r="AF321" s="1979">
        <f>IF(Construction!$F$31=Construction!$R$22,Oeko!CS321,Oeko!FF321)</f>
        <v>0</v>
      </c>
      <c r="AG321" s="1979">
        <f>IF(Construction!$F$31=Construction!$R$22,Oeko!CT321,Oeko!FG321)</f>
        <v>0</v>
      </c>
      <c r="AH321" s="1998">
        <f>IF(Construction!$F$31=Construction!$R$22,Oeko!CU321,Oeko!FH321)</f>
        <v>1</v>
      </c>
      <c r="AI321" s="1998">
        <f>IF(Construction!$F$31=Construction!$R$22,Oeko!CV321,Oeko!FI321)</f>
        <v>1</v>
      </c>
      <c r="AJ321" s="1998">
        <f>IF(Construction!$F$31=Construction!$R$22,Oeko!CW321,Oeko!FJ321)</f>
        <v>1</v>
      </c>
      <c r="AK321" s="1998">
        <f>IF(Construction!$F$31=Construction!$R$22,Oeko!CX321,Oeko!FK321)</f>
        <v>1</v>
      </c>
      <c r="AL321" s="1998">
        <f>IF(Construction!$F$31=Construction!$R$22,Oeko!CY321,Oeko!FL321)</f>
        <v>1</v>
      </c>
      <c r="AM321" s="1979">
        <f>IF(Construction!$F$31=Construction!$R$22,Oeko!CZ321,Oeko!FM321)</f>
        <v>1</v>
      </c>
      <c r="AN321" s="1979">
        <f>IF(Construction!$F$31=Construction!$R$22,Oeko!DA321,Oeko!FN321)</f>
        <v>1</v>
      </c>
      <c r="AO321" s="1979">
        <f>IF(Construction!$F$31=Construction!$R$22,Oeko!DB321,Oeko!FO321)</f>
        <v>1</v>
      </c>
      <c r="AP321" s="1979">
        <f>IF(Construction!$F$31=Construction!$R$22,Oeko!DC321,Oeko!FP321)</f>
        <v>1</v>
      </c>
      <c r="AQ321" s="1979">
        <f>IF(Construction!$F$31=Construction!$R$22,Oeko!DD321,Oeko!FQ321)</f>
        <v>1</v>
      </c>
      <c r="AR321" s="1998">
        <f>IF(Construction!$F$31=Construction!$R$22,Oeko!DE321,Oeko!FR321)</f>
        <v>8.0488597659215451</v>
      </c>
      <c r="AS321" s="1998">
        <f>IF(Construction!$F$31=Construction!$R$22,Oeko!DF321,Oeko!FS321)</f>
        <v>8.0488597659215451</v>
      </c>
      <c r="AT321" s="1998">
        <f>IF(Construction!$F$31=Construction!$R$22,Oeko!DG321,Oeko!FT321)</f>
        <v>8.0488597659215451</v>
      </c>
      <c r="AU321" s="1998">
        <f>IF(Construction!$F$31=Construction!$R$22,Oeko!DH321,Oeko!FU321)</f>
        <v>8.0488597659215451</v>
      </c>
      <c r="AV321" s="1998">
        <f>IF(Construction!$F$31=Construction!$R$22,Oeko!DI321,Oeko!FV321)</f>
        <v>8.0488597659215451</v>
      </c>
      <c r="AW321" s="1979">
        <f>IF(Construction!$F$31=Construction!$R$22,Oeko!DJ321,Oeko!FW321)</f>
        <v>8.0329061668367086</v>
      </c>
      <c r="AX321" s="1979">
        <f>IF(Construction!$F$31=Construction!$R$22,Oeko!DK321,Oeko!FX321)</f>
        <v>8.0329061668367086</v>
      </c>
      <c r="AY321" s="1979">
        <f>IF(Construction!$F$31=Construction!$R$22,Oeko!DL321,Oeko!FY321)</f>
        <v>8.0329061668367086</v>
      </c>
      <c r="AZ321" s="1979">
        <f>IF(Construction!$F$31=Construction!$R$22,Oeko!DM321,Oeko!FZ321)</f>
        <v>8.0329061668367086</v>
      </c>
      <c r="BA321" s="1979">
        <f>IF(Construction!$F$31=Construction!$R$22,Oeko!DN321,Oeko!GA321)</f>
        <v>8.0329061668367086</v>
      </c>
      <c r="BB321" s="1998">
        <f>IF(Construction!$F$31=Construction!$R$22,Oeko!DO321,Oeko!GB321)</f>
        <v>0.97975662301212196</v>
      </c>
      <c r="BC321" s="1998">
        <f>IF(Construction!$F$31=Construction!$R$22,Oeko!DP321,Oeko!GC321)</f>
        <v>0.97975662301212196</v>
      </c>
      <c r="BD321" s="1998">
        <f>IF(Construction!$F$31=Construction!$R$22,Oeko!DQ321,Oeko!GD321)</f>
        <v>0.97975662301212196</v>
      </c>
      <c r="BE321" s="1998">
        <f>IF(Construction!$F$31=Construction!$R$22,Oeko!DR321,Oeko!GE321)</f>
        <v>0.97975662301212196</v>
      </c>
      <c r="BF321" s="1998">
        <f>IF(Construction!$F$31=Construction!$R$22,Oeko!DS321,Oeko!GF321)</f>
        <v>0.97975662301212196</v>
      </c>
      <c r="BG321" s="1979">
        <f>IF(Construction!$F$31=Construction!$R$22,Oeko!DT321,Oeko!GG321)</f>
        <v>0.97614876347816082</v>
      </c>
      <c r="BH321" s="1979">
        <f>IF(Construction!$F$31=Construction!$R$22,Oeko!DU321,Oeko!GH321)</f>
        <v>0.97614876347816082</v>
      </c>
      <c r="BI321" s="1979">
        <f>IF(Construction!$F$31=Construction!$R$22,Oeko!DV321,Oeko!GI321)</f>
        <v>0.97614876347816082</v>
      </c>
      <c r="BJ321" s="1979">
        <f>IF(Construction!$F$31=Construction!$R$22,Oeko!DW321,Oeko!GJ321)</f>
        <v>0.97614876347816082</v>
      </c>
      <c r="BK321" s="2021">
        <f>IF(Construction!$F$31=Construction!$R$22,Oeko!DX321,Oeko!GK321)</f>
        <v>0.97614876347816082</v>
      </c>
      <c r="BN321" s="2022"/>
      <c r="BO321" s="2">
        <v>15</v>
      </c>
      <c r="BP321" s="2" t="str">
        <f>CONCATENATE($U$8," ",$V$12)</f>
        <v>Proportion de fenêtres 20</v>
      </c>
      <c r="BQ321" s="1998">
        <v>0</v>
      </c>
      <c r="BR321" s="1998">
        <v>0</v>
      </c>
      <c r="BS321" s="1998">
        <v>0</v>
      </c>
      <c r="BT321" s="1998">
        <v>0</v>
      </c>
      <c r="BU321" s="1998">
        <v>0</v>
      </c>
      <c r="BV321" s="1979">
        <v>0</v>
      </c>
      <c r="BW321" s="1979">
        <v>0</v>
      </c>
      <c r="BX321" s="1979">
        <v>0</v>
      </c>
      <c r="BY321" s="1979">
        <v>0</v>
      </c>
      <c r="BZ321" s="1979">
        <v>0</v>
      </c>
      <c r="CA321" s="1998">
        <v>0</v>
      </c>
      <c r="CB321" s="1998">
        <v>0</v>
      </c>
      <c r="CC321" s="1998">
        <v>0</v>
      </c>
      <c r="CD321" s="1998">
        <v>0</v>
      </c>
      <c r="CE321" s="1998">
        <v>0</v>
      </c>
      <c r="CF321" s="1979">
        <v>0</v>
      </c>
      <c r="CG321" s="1979">
        <v>0</v>
      </c>
      <c r="CH321" s="1979">
        <v>0</v>
      </c>
      <c r="CI321" s="1979">
        <v>0</v>
      </c>
      <c r="CJ321" s="1979">
        <v>0</v>
      </c>
      <c r="CK321" s="1998">
        <v>1</v>
      </c>
      <c r="CL321" s="1998">
        <v>1</v>
      </c>
      <c r="CM321" s="1998">
        <v>1</v>
      </c>
      <c r="CN321" s="1998">
        <v>1</v>
      </c>
      <c r="CO321" s="1998">
        <v>1</v>
      </c>
      <c r="CP321" s="1979">
        <v>0</v>
      </c>
      <c r="CQ321" s="1979">
        <v>0</v>
      </c>
      <c r="CR321" s="1979">
        <v>0</v>
      </c>
      <c r="CS321" s="1979">
        <v>0</v>
      </c>
      <c r="CT321" s="1979">
        <v>0</v>
      </c>
      <c r="CU321" s="1998">
        <v>1</v>
      </c>
      <c r="CV321" s="1998">
        <v>1</v>
      </c>
      <c r="CW321" s="1998">
        <v>1</v>
      </c>
      <c r="CX321" s="1998">
        <v>1</v>
      </c>
      <c r="CY321" s="1998">
        <v>1</v>
      </c>
      <c r="CZ321" s="1979">
        <v>1</v>
      </c>
      <c r="DA321" s="1979">
        <v>1</v>
      </c>
      <c r="DB321" s="1979">
        <v>1</v>
      </c>
      <c r="DC321" s="1979">
        <v>1</v>
      </c>
      <c r="DD321" s="1979">
        <v>1</v>
      </c>
      <c r="DE321" s="1998">
        <v>8.0488597659215451</v>
      </c>
      <c r="DF321" s="1998">
        <v>8.0488597659215451</v>
      </c>
      <c r="DG321" s="1998">
        <v>8.0488597659215451</v>
      </c>
      <c r="DH321" s="1998">
        <v>8.0488597659215451</v>
      </c>
      <c r="DI321" s="1998">
        <v>8.0488597659215451</v>
      </c>
      <c r="DJ321" s="1979">
        <v>8.0329061668367086</v>
      </c>
      <c r="DK321" s="1979">
        <v>8.0329061668367086</v>
      </c>
      <c r="DL321" s="1979">
        <v>8.0329061668367086</v>
      </c>
      <c r="DM321" s="1979">
        <v>8.0329061668367086</v>
      </c>
      <c r="DN321" s="1979">
        <v>8.0329061668367086</v>
      </c>
      <c r="DO321" s="1998">
        <v>0.97975662301212196</v>
      </c>
      <c r="DP321" s="1998">
        <v>0.97975662301212196</v>
      </c>
      <c r="DQ321" s="1998">
        <v>0.97975662301212196</v>
      </c>
      <c r="DR321" s="1998">
        <v>0.97975662301212196</v>
      </c>
      <c r="DS321" s="1998">
        <v>0.97975662301212196</v>
      </c>
      <c r="DT321" s="1979">
        <v>0.97614876347816082</v>
      </c>
      <c r="DU321" s="1979">
        <v>0.97614876347816082</v>
      </c>
      <c r="DV321" s="1979">
        <v>0.97614876347816082</v>
      </c>
      <c r="DW321" s="1979">
        <v>0.97614876347816082</v>
      </c>
      <c r="DX321" s="2021">
        <v>0.97614876347816082</v>
      </c>
      <c r="EA321" s="2022"/>
      <c r="EB321" s="2">
        <v>15</v>
      </c>
      <c r="EC321" s="2" t="str">
        <f>CONCATENATE($U$8," ",$V$12)</f>
        <v>Proportion de fenêtres 20</v>
      </c>
      <c r="ED321" s="1998">
        <v>0</v>
      </c>
      <c r="EE321" s="1998">
        <v>0</v>
      </c>
      <c r="EF321" s="1998">
        <v>0</v>
      </c>
      <c r="EG321" s="1998">
        <v>0</v>
      </c>
      <c r="EH321" s="1998">
        <v>0</v>
      </c>
      <c r="EI321" s="1979">
        <v>0</v>
      </c>
      <c r="EJ321" s="1979">
        <v>0</v>
      </c>
      <c r="EK321" s="1979">
        <v>0</v>
      </c>
      <c r="EL321" s="1979">
        <v>0</v>
      </c>
      <c r="EM321" s="1979">
        <v>0</v>
      </c>
      <c r="EN321" s="1998">
        <v>0</v>
      </c>
      <c r="EO321" s="1998">
        <v>0</v>
      </c>
      <c r="EP321" s="1998">
        <v>0</v>
      </c>
      <c r="EQ321" s="1998">
        <v>0</v>
      </c>
      <c r="ER321" s="1998">
        <v>0</v>
      </c>
      <c r="ES321" s="1979">
        <v>0</v>
      </c>
      <c r="ET321" s="1979">
        <v>0</v>
      </c>
      <c r="EU321" s="1979">
        <v>0</v>
      </c>
      <c r="EV321" s="1979">
        <v>0</v>
      </c>
      <c r="EW321" s="1979">
        <v>0</v>
      </c>
      <c r="EX321" s="1998">
        <v>1.546250182892446</v>
      </c>
      <c r="EY321" s="1998">
        <v>1.5787700282126014</v>
      </c>
      <c r="EZ321" s="1998">
        <v>1.5815978408491365</v>
      </c>
      <c r="FA321" s="1998">
        <v>1.584425653485672</v>
      </c>
      <c r="FB321" s="1998">
        <v>1.5872534661222069</v>
      </c>
      <c r="FC321" s="1979">
        <v>0</v>
      </c>
      <c r="FD321" s="1979">
        <v>0</v>
      </c>
      <c r="FE321" s="1979">
        <v>0</v>
      </c>
      <c r="FF321" s="1979">
        <v>0</v>
      </c>
      <c r="FG321" s="1979">
        <v>0</v>
      </c>
      <c r="FH321" s="1998">
        <v>2.5699409798192927</v>
      </c>
      <c r="FI321" s="1998">
        <v>2.5770105114106303</v>
      </c>
      <c r="FJ321" s="1998">
        <v>2.5840800430019688</v>
      </c>
      <c r="FK321" s="1998">
        <v>2.5911495745933064</v>
      </c>
      <c r="FL321" s="1998">
        <v>2.5982191061846445</v>
      </c>
      <c r="FM321" s="1979">
        <v>1.5466947329932752</v>
      </c>
      <c r="FN321" s="1979">
        <v>1.5761354045536473</v>
      </c>
      <c r="FO321" s="1979">
        <v>1.6179556114339633</v>
      </c>
      <c r="FP321" s="1979">
        <v>1.6668453499056166</v>
      </c>
      <c r="FQ321" s="1979">
        <v>1.6992395146641481</v>
      </c>
      <c r="FR321" s="1998">
        <v>19.33388314925573</v>
      </c>
      <c r="FS321" s="1998">
        <v>19.390784817645166</v>
      </c>
      <c r="FT321" s="1998">
        <v>19.447686486034595</v>
      </c>
      <c r="FU321" s="1998">
        <v>19.504588154424027</v>
      </c>
      <c r="FV321" s="1998">
        <v>19.56148982281346</v>
      </c>
      <c r="FW321" s="1979">
        <v>19.695720383787769</v>
      </c>
      <c r="FX321" s="1979">
        <v>19.752509267704472</v>
      </c>
      <c r="FY321" s="1979">
        <v>19.809298151621181</v>
      </c>
      <c r="FZ321" s="1979">
        <v>19.866087035537891</v>
      </c>
      <c r="GA321" s="1979">
        <v>19.92287591945459</v>
      </c>
      <c r="GB321" s="1998">
        <v>1.7511200946662802</v>
      </c>
      <c r="GC321" s="1998">
        <v>1.7580465150644871</v>
      </c>
      <c r="GD321" s="1998">
        <v>1.7649729354626937</v>
      </c>
      <c r="GE321" s="1998">
        <v>1.7718993558609009</v>
      </c>
      <c r="GF321" s="1998">
        <v>1.7857521966573144</v>
      </c>
      <c r="GG321" s="1979">
        <v>1.8587757307466066</v>
      </c>
      <c r="GH321" s="1979">
        <v>1.8656766452678608</v>
      </c>
      <c r="GI321" s="1979">
        <v>1.8725775597891154</v>
      </c>
      <c r="GJ321" s="1979">
        <v>1.8794784743103701</v>
      </c>
      <c r="GK321" s="2021">
        <v>1.8932803033528789</v>
      </c>
    </row>
    <row r="322" spans="1:193">
      <c r="A322" s="2020"/>
      <c r="B322" s="2">
        <v>16</v>
      </c>
      <c r="C322" s="2" t="str">
        <f>CONCATENATE($U$8," ",$V$13)</f>
        <v>Proportion de fenêtres 30</v>
      </c>
      <c r="D322" s="1998">
        <f>IF(Construction!$F$31=Construction!$R$22,Oeko!BQ322,Oeko!ED322)</f>
        <v>1.09375</v>
      </c>
      <c r="E322" s="1998">
        <f>IF(Construction!$F$31=Construction!$R$22,Oeko!BR322,Oeko!EE322)</f>
        <v>1</v>
      </c>
      <c r="F322" s="1998">
        <f>IF(Construction!$F$31=Construction!$R$22,Oeko!BS322,Oeko!EF322)</f>
        <v>1</v>
      </c>
      <c r="G322" s="1998">
        <f>IF(Construction!$F$31=Construction!$R$22,Oeko!BT322,Oeko!EG322)</f>
        <v>1</v>
      </c>
      <c r="H322" s="1998">
        <f>IF(Construction!$F$31=Construction!$R$22,Oeko!BU322,Oeko!EH322)</f>
        <v>1</v>
      </c>
      <c r="I322" s="1979">
        <f>IF(Construction!$F$31=Construction!$R$22,Oeko!BV322,Oeko!EI322)</f>
        <v>1</v>
      </c>
      <c r="J322" s="1979">
        <f>IF(Construction!$F$31=Construction!$R$22,Oeko!BW322,Oeko!EJ322)</f>
        <v>1</v>
      </c>
      <c r="K322" s="1979">
        <f>IF(Construction!$F$31=Construction!$R$22,Oeko!BX322,Oeko!EK322)</f>
        <v>1</v>
      </c>
      <c r="L322" s="1979">
        <f>IF(Construction!$F$31=Construction!$R$22,Oeko!BY322,Oeko!EL322)</f>
        <v>1</v>
      </c>
      <c r="M322" s="1979">
        <f>IF(Construction!$F$31=Construction!$R$22,Oeko!BZ322,Oeko!EM322)</f>
        <v>1</v>
      </c>
      <c r="N322" s="1998">
        <f>IF(Construction!$F$31=Construction!$R$22,Oeko!CA322,Oeko!EN322)</f>
        <v>1</v>
      </c>
      <c r="O322" s="1998">
        <f>IF(Construction!$F$31=Construction!$R$22,Oeko!CB322,Oeko!EO322)</f>
        <v>1</v>
      </c>
      <c r="P322" s="1998">
        <f>IF(Construction!$F$31=Construction!$R$22,Oeko!CC322,Oeko!EP322)</f>
        <v>1</v>
      </c>
      <c r="Q322" s="1998">
        <f>IF(Construction!$F$31=Construction!$R$22,Oeko!CD322,Oeko!EQ322)</f>
        <v>1</v>
      </c>
      <c r="R322" s="1998">
        <f>IF(Construction!$F$31=Construction!$R$22,Oeko!CE322,Oeko!ER322)</f>
        <v>1</v>
      </c>
      <c r="S322" s="1979">
        <f>IF(Construction!$F$31=Construction!$R$22,Oeko!CF322,Oeko!ES322)</f>
        <v>1</v>
      </c>
      <c r="T322" s="1979">
        <f>IF(Construction!$F$31=Construction!$R$22,Oeko!CG322,Oeko!ET322)</f>
        <v>1</v>
      </c>
      <c r="U322" s="1979">
        <f>IF(Construction!$F$31=Construction!$R$22,Oeko!CH322,Oeko!EU322)</f>
        <v>1</v>
      </c>
      <c r="V322" s="1979">
        <f>IF(Construction!$F$31=Construction!$R$22,Oeko!CI322,Oeko!EV322)</f>
        <v>1</v>
      </c>
      <c r="W322" s="1979">
        <f>IF(Construction!$F$31=Construction!$R$22,Oeko!CJ322,Oeko!EW322)</f>
        <v>1</v>
      </c>
      <c r="X322" s="1998">
        <f>IF(Construction!$F$31=Construction!$R$22,Oeko!CK322,Oeko!EX322)</f>
        <v>1</v>
      </c>
      <c r="Y322" s="1998">
        <f>IF(Construction!$F$31=Construction!$R$22,Oeko!CL322,Oeko!EY322)</f>
        <v>1</v>
      </c>
      <c r="Z322" s="1998">
        <f>IF(Construction!$F$31=Construction!$R$22,Oeko!CM322,Oeko!EZ322)</f>
        <v>1</v>
      </c>
      <c r="AA322" s="1998">
        <f>IF(Construction!$F$31=Construction!$R$22,Oeko!CN322,Oeko!FA322)</f>
        <v>1</v>
      </c>
      <c r="AB322" s="1998">
        <f>IF(Construction!$F$31=Construction!$R$22,Oeko!CO322,Oeko!FB322)</f>
        <v>1</v>
      </c>
      <c r="AC322" s="1979">
        <f>IF(Construction!$F$31=Construction!$R$22,Oeko!CP322,Oeko!FC322)</f>
        <v>1</v>
      </c>
      <c r="AD322" s="1979">
        <f>IF(Construction!$F$31=Construction!$R$22,Oeko!CQ322,Oeko!FD322)</f>
        <v>1</v>
      </c>
      <c r="AE322" s="1979">
        <f>IF(Construction!$F$31=Construction!$R$22,Oeko!CR322,Oeko!FE322)</f>
        <v>1</v>
      </c>
      <c r="AF322" s="1979">
        <f>IF(Construction!$F$31=Construction!$R$22,Oeko!CS322,Oeko!FF322)</f>
        <v>1</v>
      </c>
      <c r="AG322" s="1979">
        <f>IF(Construction!$F$31=Construction!$R$22,Oeko!CT322,Oeko!FG322)</f>
        <v>1</v>
      </c>
      <c r="AH322" s="1998">
        <f>IF(Construction!$F$31=Construction!$R$22,Oeko!CU322,Oeko!FH322)</f>
        <v>1</v>
      </c>
      <c r="AI322" s="1998">
        <f>IF(Construction!$F$31=Construction!$R$22,Oeko!CV322,Oeko!FI322)</f>
        <v>1</v>
      </c>
      <c r="AJ322" s="1998">
        <f>IF(Construction!$F$31=Construction!$R$22,Oeko!CW322,Oeko!FJ322)</f>
        <v>1</v>
      </c>
      <c r="AK322" s="1998">
        <f>IF(Construction!$F$31=Construction!$R$22,Oeko!CX322,Oeko!FK322)</f>
        <v>1</v>
      </c>
      <c r="AL322" s="1998">
        <f>IF(Construction!$F$31=Construction!$R$22,Oeko!CY322,Oeko!FL322)</f>
        <v>1</v>
      </c>
      <c r="AM322" s="1979">
        <f>IF(Construction!$F$31=Construction!$R$22,Oeko!CZ322,Oeko!FM322)</f>
        <v>1</v>
      </c>
      <c r="AN322" s="1979">
        <f>IF(Construction!$F$31=Construction!$R$22,Oeko!DA322,Oeko!FN322)</f>
        <v>1</v>
      </c>
      <c r="AO322" s="1979">
        <f>IF(Construction!$F$31=Construction!$R$22,Oeko!DB322,Oeko!FO322)</f>
        <v>1</v>
      </c>
      <c r="AP322" s="1979">
        <f>IF(Construction!$F$31=Construction!$R$22,Oeko!DC322,Oeko!FP322)</f>
        <v>1</v>
      </c>
      <c r="AQ322" s="1979">
        <f>IF(Construction!$F$31=Construction!$R$22,Oeko!DD322,Oeko!FQ322)</f>
        <v>1</v>
      </c>
      <c r="AR322" s="1998">
        <f>IF(Construction!$F$31=Construction!$R$22,Oeko!DE322,Oeko!FR322)</f>
        <v>8.0488597659215451</v>
      </c>
      <c r="AS322" s="1998">
        <f>IF(Construction!$F$31=Construction!$R$22,Oeko!DF322,Oeko!FS322)</f>
        <v>8.0488597659215451</v>
      </c>
      <c r="AT322" s="1998">
        <f>IF(Construction!$F$31=Construction!$R$22,Oeko!DG322,Oeko!FT322)</f>
        <v>8.0488597659215451</v>
      </c>
      <c r="AU322" s="1998">
        <f>IF(Construction!$F$31=Construction!$R$22,Oeko!DH322,Oeko!FU322)</f>
        <v>8.0488597659215451</v>
      </c>
      <c r="AV322" s="1998">
        <f>IF(Construction!$F$31=Construction!$R$22,Oeko!DI322,Oeko!FV322)</f>
        <v>8.0488597659215451</v>
      </c>
      <c r="AW322" s="1979">
        <f>IF(Construction!$F$31=Construction!$R$22,Oeko!DJ322,Oeko!FW322)</f>
        <v>8.0329061668367086</v>
      </c>
      <c r="AX322" s="1979">
        <f>IF(Construction!$F$31=Construction!$R$22,Oeko!DK322,Oeko!FX322)</f>
        <v>8.0329061668367086</v>
      </c>
      <c r="AY322" s="1979">
        <f>IF(Construction!$F$31=Construction!$R$22,Oeko!DL322,Oeko!FY322)</f>
        <v>8.0329061668367086</v>
      </c>
      <c r="AZ322" s="1979">
        <f>IF(Construction!$F$31=Construction!$R$22,Oeko!DM322,Oeko!FZ322)</f>
        <v>8.0329061668367086</v>
      </c>
      <c r="BA322" s="1979">
        <f>IF(Construction!$F$31=Construction!$R$22,Oeko!DN322,Oeko!GA322)</f>
        <v>8.0329061668367086</v>
      </c>
      <c r="BB322" s="1998">
        <f>IF(Construction!$F$31=Construction!$R$22,Oeko!DO322,Oeko!GB322)</f>
        <v>0.97975662301212196</v>
      </c>
      <c r="BC322" s="1998">
        <f>IF(Construction!$F$31=Construction!$R$22,Oeko!DP322,Oeko!GC322)</f>
        <v>0.97975662301212196</v>
      </c>
      <c r="BD322" s="1998">
        <f>IF(Construction!$F$31=Construction!$R$22,Oeko!DQ322,Oeko!GD322)</f>
        <v>0.97975662301212196</v>
      </c>
      <c r="BE322" s="1998">
        <f>IF(Construction!$F$31=Construction!$R$22,Oeko!DR322,Oeko!GE322)</f>
        <v>0.97975662301212196</v>
      </c>
      <c r="BF322" s="1998">
        <f>IF(Construction!$F$31=Construction!$R$22,Oeko!DS322,Oeko!GF322)</f>
        <v>0.97975662301212196</v>
      </c>
      <c r="BG322" s="1979">
        <f>IF(Construction!$F$31=Construction!$R$22,Oeko!DT322,Oeko!GG322)</f>
        <v>0.97614876347816082</v>
      </c>
      <c r="BH322" s="1979">
        <f>IF(Construction!$F$31=Construction!$R$22,Oeko!DU322,Oeko!GH322)</f>
        <v>0.97614876347816082</v>
      </c>
      <c r="BI322" s="1979">
        <f>IF(Construction!$F$31=Construction!$R$22,Oeko!DV322,Oeko!GI322)</f>
        <v>0.97614876347816082</v>
      </c>
      <c r="BJ322" s="1979">
        <f>IF(Construction!$F$31=Construction!$R$22,Oeko!DW322,Oeko!GJ322)</f>
        <v>0.97614876347816082</v>
      </c>
      <c r="BK322" s="2021">
        <f>IF(Construction!$F$31=Construction!$R$22,Oeko!DX322,Oeko!GK322)</f>
        <v>0.97614876347816082</v>
      </c>
      <c r="BN322" s="2022"/>
      <c r="BO322" s="2">
        <v>16</v>
      </c>
      <c r="BP322" s="2" t="str">
        <f>CONCATENATE($U$8," ",$V$13)</f>
        <v>Proportion de fenêtres 30</v>
      </c>
      <c r="BQ322" s="1998">
        <v>1.09375</v>
      </c>
      <c r="BR322" s="1998">
        <v>1</v>
      </c>
      <c r="BS322" s="1998">
        <v>1</v>
      </c>
      <c r="BT322" s="1998">
        <v>1</v>
      </c>
      <c r="BU322" s="1998">
        <v>1</v>
      </c>
      <c r="BV322" s="1979">
        <v>1</v>
      </c>
      <c r="BW322" s="1979">
        <v>1</v>
      </c>
      <c r="BX322" s="1979">
        <v>1</v>
      </c>
      <c r="BY322" s="1979">
        <v>1</v>
      </c>
      <c r="BZ322" s="1979">
        <v>1</v>
      </c>
      <c r="CA322" s="1998">
        <v>1</v>
      </c>
      <c r="CB322" s="1998">
        <v>1</v>
      </c>
      <c r="CC322" s="1998">
        <v>1</v>
      </c>
      <c r="CD322" s="1998">
        <v>1</v>
      </c>
      <c r="CE322" s="1998">
        <v>1</v>
      </c>
      <c r="CF322" s="1979">
        <v>1</v>
      </c>
      <c r="CG322" s="1979">
        <v>1</v>
      </c>
      <c r="CH322" s="1979">
        <v>1</v>
      </c>
      <c r="CI322" s="1979">
        <v>1</v>
      </c>
      <c r="CJ322" s="1979">
        <v>1</v>
      </c>
      <c r="CK322" s="1998">
        <v>1</v>
      </c>
      <c r="CL322" s="1998">
        <v>1</v>
      </c>
      <c r="CM322" s="1998">
        <v>1</v>
      </c>
      <c r="CN322" s="1998">
        <v>1</v>
      </c>
      <c r="CO322" s="1998">
        <v>1</v>
      </c>
      <c r="CP322" s="1979">
        <v>1</v>
      </c>
      <c r="CQ322" s="1979">
        <v>1</v>
      </c>
      <c r="CR322" s="1979">
        <v>1</v>
      </c>
      <c r="CS322" s="1979">
        <v>1</v>
      </c>
      <c r="CT322" s="1979">
        <v>1</v>
      </c>
      <c r="CU322" s="1998">
        <v>1</v>
      </c>
      <c r="CV322" s="1998">
        <v>1</v>
      </c>
      <c r="CW322" s="1998">
        <v>1</v>
      </c>
      <c r="CX322" s="1998">
        <v>1</v>
      </c>
      <c r="CY322" s="1998">
        <v>1</v>
      </c>
      <c r="CZ322" s="1979">
        <v>1</v>
      </c>
      <c r="DA322" s="1979">
        <v>1</v>
      </c>
      <c r="DB322" s="1979">
        <v>1</v>
      </c>
      <c r="DC322" s="1979">
        <v>1</v>
      </c>
      <c r="DD322" s="1979">
        <v>1</v>
      </c>
      <c r="DE322" s="1998">
        <v>8.0488597659215451</v>
      </c>
      <c r="DF322" s="1998">
        <v>8.0488597659215451</v>
      </c>
      <c r="DG322" s="1998">
        <v>8.0488597659215451</v>
      </c>
      <c r="DH322" s="1998">
        <v>8.0488597659215451</v>
      </c>
      <c r="DI322" s="1998">
        <v>8.0488597659215451</v>
      </c>
      <c r="DJ322" s="1979">
        <v>8.0329061668367086</v>
      </c>
      <c r="DK322" s="1979">
        <v>8.0329061668367086</v>
      </c>
      <c r="DL322" s="1979">
        <v>8.0329061668367086</v>
      </c>
      <c r="DM322" s="1979">
        <v>8.0329061668367086</v>
      </c>
      <c r="DN322" s="1979">
        <v>8.0329061668367086</v>
      </c>
      <c r="DO322" s="1998">
        <v>0.97975662301212196</v>
      </c>
      <c r="DP322" s="1998">
        <v>0.97975662301212196</v>
      </c>
      <c r="DQ322" s="1998">
        <v>0.97975662301212196</v>
      </c>
      <c r="DR322" s="1998">
        <v>0.97975662301212196</v>
      </c>
      <c r="DS322" s="1998">
        <v>0.97975662301212196</v>
      </c>
      <c r="DT322" s="1979">
        <v>0.97614876347816082</v>
      </c>
      <c r="DU322" s="1979">
        <v>0.97614876347816082</v>
      </c>
      <c r="DV322" s="1979">
        <v>0.97614876347816082</v>
      </c>
      <c r="DW322" s="1979">
        <v>0.97614876347816082</v>
      </c>
      <c r="DX322" s="2021">
        <v>0.97614876347816082</v>
      </c>
      <c r="EA322" s="2022"/>
      <c r="EB322" s="2">
        <v>16</v>
      </c>
      <c r="EC322" s="2" t="str">
        <f>CONCATENATE($U$8," ",$V$13)</f>
        <v>Proportion de fenêtres 30</v>
      </c>
      <c r="ED322" s="1998">
        <v>1.4765287570396433</v>
      </c>
      <c r="EE322" s="1998">
        <v>1.4579053437236196</v>
      </c>
      <c r="EF322" s="1998">
        <v>1.495589020814839</v>
      </c>
      <c r="EG322" s="1998">
        <v>1.5403422294973967</v>
      </c>
      <c r="EH322" s="1998">
        <v>1.5768476513233933</v>
      </c>
      <c r="EI322" s="1979">
        <v>2.2091377947850015</v>
      </c>
      <c r="EJ322" s="1979">
        <v>2.2698714980014971</v>
      </c>
      <c r="EK322" s="1979">
        <v>2.3391207733621044</v>
      </c>
      <c r="EL322" s="1979">
        <v>2.4154395803140489</v>
      </c>
      <c r="EM322" s="1979">
        <v>2.4422716661266279</v>
      </c>
      <c r="EN322" s="1998">
        <v>1.5144694354587422</v>
      </c>
      <c r="EO322" s="1998">
        <v>1.5477972272464791</v>
      </c>
      <c r="EP322" s="1998">
        <v>1.5498170934154327</v>
      </c>
      <c r="EQ322" s="1998">
        <v>1.5518369595843866</v>
      </c>
      <c r="ER322" s="1998">
        <v>1.5538568257533403</v>
      </c>
      <c r="ES322" s="1979">
        <v>2.0121094902739167</v>
      </c>
      <c r="ET322" s="1979">
        <v>2.0403876166392689</v>
      </c>
      <c r="EU322" s="1979">
        <v>2.047457148230607</v>
      </c>
      <c r="EV322" s="1979">
        <v>2.0545266798219455</v>
      </c>
      <c r="EW322" s="1979">
        <v>2.0615962114132831</v>
      </c>
      <c r="EX322" s="1998">
        <v>1.5362445738379169</v>
      </c>
      <c r="EY322" s="1998">
        <v>1.5687644191580721</v>
      </c>
      <c r="EZ322" s="1998">
        <v>1.5715922317946074</v>
      </c>
      <c r="FA322" s="1998">
        <v>1.5744200444311425</v>
      </c>
      <c r="FB322" s="1998">
        <v>1.5772478570676778</v>
      </c>
      <c r="FC322" s="1979">
        <v>1.7025983276735444</v>
      </c>
      <c r="FD322" s="1979">
        <v>1.6884592644908678</v>
      </c>
      <c r="FE322" s="1979">
        <v>1.7025983276735444</v>
      </c>
      <c r="FF322" s="1979">
        <v>1.7167373908562205</v>
      </c>
      <c r="FG322" s="1979">
        <v>1.7308764540388966</v>
      </c>
      <c r="FH322" s="1998">
        <v>2.5477224519608015</v>
      </c>
      <c r="FI322" s="1998">
        <v>2.55479198355214</v>
      </c>
      <c r="FJ322" s="1998">
        <v>2.5618615151434776</v>
      </c>
      <c r="FK322" s="1998">
        <v>2.5689310467348152</v>
      </c>
      <c r="FL322" s="1998">
        <v>2.5760005783261537</v>
      </c>
      <c r="FM322" s="1979">
        <v>1.5422959133364429</v>
      </c>
      <c r="FN322" s="1979">
        <v>1.5712967029311318</v>
      </c>
      <c r="FO322" s="1979">
        <v>1.6128969688286059</v>
      </c>
      <c r="FP322" s="1979">
        <v>1.6615667663174176</v>
      </c>
      <c r="FQ322" s="1979">
        <v>1.6937409900931073</v>
      </c>
      <c r="FR322" s="1998">
        <v>19.254220813510525</v>
      </c>
      <c r="FS322" s="1998">
        <v>19.311122481899957</v>
      </c>
      <c r="FT322" s="1998">
        <v>19.36802415028939</v>
      </c>
      <c r="FU322" s="1998">
        <v>19.424925818678819</v>
      </c>
      <c r="FV322" s="1998">
        <v>19.481827487068255</v>
      </c>
      <c r="FW322" s="1979">
        <v>19.612970867223424</v>
      </c>
      <c r="FX322" s="1979">
        <v>19.669759751140131</v>
      </c>
      <c r="FY322" s="1979">
        <v>19.726548635056837</v>
      </c>
      <c r="FZ322" s="1979">
        <v>19.783337518973546</v>
      </c>
      <c r="GA322" s="1979">
        <v>19.840126402890249</v>
      </c>
      <c r="GB322" s="1998">
        <v>1.7419292675994285</v>
      </c>
      <c r="GC322" s="1998">
        <v>1.7488556879976356</v>
      </c>
      <c r="GD322" s="1998">
        <v>1.7557821083958425</v>
      </c>
      <c r="GE322" s="1998">
        <v>1.7627085287940494</v>
      </c>
      <c r="GF322" s="1998">
        <v>1.776561369590463</v>
      </c>
      <c r="GG322" s="1979">
        <v>1.8411783987174075</v>
      </c>
      <c r="GH322" s="1979">
        <v>1.8480793132386619</v>
      </c>
      <c r="GI322" s="1979">
        <v>1.8549802277599168</v>
      </c>
      <c r="GJ322" s="1979">
        <v>1.8618811422811712</v>
      </c>
      <c r="GK322" s="2021">
        <v>1.87568297132368</v>
      </c>
    </row>
    <row r="323" spans="1:193">
      <c r="A323" s="2020"/>
      <c r="B323" s="2">
        <v>17</v>
      </c>
      <c r="C323" s="2" t="str">
        <f>CONCATENATE($U$8," ",$V$14)</f>
        <v>Proportion de fenêtres 40</v>
      </c>
      <c r="D323" s="1998">
        <f>IF(Construction!$F$31=Construction!$R$22,Oeko!BQ323,Oeko!ED323)</f>
        <v>1.09375</v>
      </c>
      <c r="E323" s="1998">
        <f>IF(Construction!$F$31=Construction!$R$22,Oeko!BR323,Oeko!EE323)</f>
        <v>1</v>
      </c>
      <c r="F323" s="1998">
        <f>IF(Construction!$F$31=Construction!$R$22,Oeko!BS323,Oeko!EF323)</f>
        <v>1</v>
      </c>
      <c r="G323" s="1998">
        <f>IF(Construction!$F$31=Construction!$R$22,Oeko!BT323,Oeko!EG323)</f>
        <v>1</v>
      </c>
      <c r="H323" s="1998">
        <f>IF(Construction!$F$31=Construction!$R$22,Oeko!BU323,Oeko!EH323)</f>
        <v>1</v>
      </c>
      <c r="I323" s="1979">
        <f>IF(Construction!$F$31=Construction!$R$22,Oeko!BV323,Oeko!EI323)</f>
        <v>1</v>
      </c>
      <c r="J323" s="1979">
        <f>IF(Construction!$F$31=Construction!$R$22,Oeko!BW323,Oeko!EJ323)</f>
        <v>1</v>
      </c>
      <c r="K323" s="1979">
        <f>IF(Construction!$F$31=Construction!$R$22,Oeko!BX323,Oeko!EK323)</f>
        <v>1</v>
      </c>
      <c r="L323" s="1979">
        <f>IF(Construction!$F$31=Construction!$R$22,Oeko!BY323,Oeko!EL323)</f>
        <v>1</v>
      </c>
      <c r="M323" s="1979">
        <f>IF(Construction!$F$31=Construction!$R$22,Oeko!BZ323,Oeko!EM323)</f>
        <v>1</v>
      </c>
      <c r="N323" s="1998">
        <f>IF(Construction!$F$31=Construction!$R$22,Oeko!CA323,Oeko!EN323)</f>
        <v>1</v>
      </c>
      <c r="O323" s="1998">
        <f>IF(Construction!$F$31=Construction!$R$22,Oeko!CB323,Oeko!EO323)</f>
        <v>1</v>
      </c>
      <c r="P323" s="1998">
        <f>IF(Construction!$F$31=Construction!$R$22,Oeko!CC323,Oeko!EP323)</f>
        <v>1</v>
      </c>
      <c r="Q323" s="1998">
        <f>IF(Construction!$F$31=Construction!$R$22,Oeko!CD323,Oeko!EQ323)</f>
        <v>1</v>
      </c>
      <c r="R323" s="1998">
        <f>IF(Construction!$F$31=Construction!$R$22,Oeko!CE323,Oeko!ER323)</f>
        <v>1</v>
      </c>
      <c r="S323" s="1979">
        <f>IF(Construction!$F$31=Construction!$R$22,Oeko!CF323,Oeko!ES323)</f>
        <v>1</v>
      </c>
      <c r="T323" s="1979">
        <f>IF(Construction!$F$31=Construction!$R$22,Oeko!CG323,Oeko!ET323)</f>
        <v>1</v>
      </c>
      <c r="U323" s="1979">
        <f>IF(Construction!$F$31=Construction!$R$22,Oeko!CH323,Oeko!EU323)</f>
        <v>1</v>
      </c>
      <c r="V323" s="1979">
        <f>IF(Construction!$F$31=Construction!$R$22,Oeko!CI323,Oeko!EV323)</f>
        <v>1</v>
      </c>
      <c r="W323" s="1979">
        <f>IF(Construction!$F$31=Construction!$R$22,Oeko!CJ323,Oeko!EW323)</f>
        <v>1</v>
      </c>
      <c r="X323" s="1998">
        <f>IF(Construction!$F$31=Construction!$R$22,Oeko!CK323,Oeko!EX323)</f>
        <v>1</v>
      </c>
      <c r="Y323" s="1998">
        <f>IF(Construction!$F$31=Construction!$R$22,Oeko!CL323,Oeko!EY323)</f>
        <v>1</v>
      </c>
      <c r="Z323" s="1998">
        <f>IF(Construction!$F$31=Construction!$R$22,Oeko!CM323,Oeko!EZ323)</f>
        <v>1</v>
      </c>
      <c r="AA323" s="1998">
        <f>IF(Construction!$F$31=Construction!$R$22,Oeko!CN323,Oeko!FA323)</f>
        <v>1</v>
      </c>
      <c r="AB323" s="1998">
        <f>IF(Construction!$F$31=Construction!$R$22,Oeko!CO323,Oeko!FB323)</f>
        <v>1</v>
      </c>
      <c r="AC323" s="1979">
        <f>IF(Construction!$F$31=Construction!$R$22,Oeko!CP323,Oeko!FC323)</f>
        <v>1</v>
      </c>
      <c r="AD323" s="1979">
        <f>IF(Construction!$F$31=Construction!$R$22,Oeko!CQ323,Oeko!FD323)</f>
        <v>1</v>
      </c>
      <c r="AE323" s="1979">
        <f>IF(Construction!$F$31=Construction!$R$22,Oeko!CR323,Oeko!FE323)</f>
        <v>1</v>
      </c>
      <c r="AF323" s="1979">
        <f>IF(Construction!$F$31=Construction!$R$22,Oeko!CS323,Oeko!FF323)</f>
        <v>1</v>
      </c>
      <c r="AG323" s="1979">
        <f>IF(Construction!$F$31=Construction!$R$22,Oeko!CT323,Oeko!FG323)</f>
        <v>1</v>
      </c>
      <c r="AH323" s="1998">
        <f>IF(Construction!$F$31=Construction!$R$22,Oeko!CU323,Oeko!FH323)</f>
        <v>1</v>
      </c>
      <c r="AI323" s="1998">
        <f>IF(Construction!$F$31=Construction!$R$22,Oeko!CV323,Oeko!FI323)</f>
        <v>1</v>
      </c>
      <c r="AJ323" s="1998">
        <f>IF(Construction!$F$31=Construction!$R$22,Oeko!CW323,Oeko!FJ323)</f>
        <v>1</v>
      </c>
      <c r="AK323" s="1998">
        <f>IF(Construction!$F$31=Construction!$R$22,Oeko!CX323,Oeko!FK323)</f>
        <v>1</v>
      </c>
      <c r="AL323" s="1998">
        <f>IF(Construction!$F$31=Construction!$R$22,Oeko!CY323,Oeko!FL323)</f>
        <v>1</v>
      </c>
      <c r="AM323" s="1979">
        <f>IF(Construction!$F$31=Construction!$R$22,Oeko!CZ323,Oeko!FM323)</f>
        <v>1</v>
      </c>
      <c r="AN323" s="1979">
        <f>IF(Construction!$F$31=Construction!$R$22,Oeko!DA323,Oeko!FN323)</f>
        <v>1</v>
      </c>
      <c r="AO323" s="1979">
        <f>IF(Construction!$F$31=Construction!$R$22,Oeko!DB323,Oeko!FO323)</f>
        <v>1</v>
      </c>
      <c r="AP323" s="1979">
        <f>IF(Construction!$F$31=Construction!$R$22,Oeko!DC323,Oeko!FP323)</f>
        <v>1</v>
      </c>
      <c r="AQ323" s="1979">
        <f>IF(Construction!$F$31=Construction!$R$22,Oeko!DD323,Oeko!FQ323)</f>
        <v>1</v>
      </c>
      <c r="AR323" s="1998">
        <f>IF(Construction!$F$31=Construction!$R$22,Oeko!DE323,Oeko!FR323)</f>
        <v>8.0488597659215451</v>
      </c>
      <c r="AS323" s="1998">
        <f>IF(Construction!$F$31=Construction!$R$22,Oeko!DF323,Oeko!FS323)</f>
        <v>8.0488597659215451</v>
      </c>
      <c r="AT323" s="1998">
        <f>IF(Construction!$F$31=Construction!$R$22,Oeko!DG323,Oeko!FT323)</f>
        <v>8.0488597659215451</v>
      </c>
      <c r="AU323" s="1998">
        <f>IF(Construction!$F$31=Construction!$R$22,Oeko!DH323,Oeko!FU323)</f>
        <v>8.0488597659215451</v>
      </c>
      <c r="AV323" s="1998">
        <f>IF(Construction!$F$31=Construction!$R$22,Oeko!DI323,Oeko!FV323)</f>
        <v>8.0488597659215451</v>
      </c>
      <c r="AW323" s="1979">
        <f>IF(Construction!$F$31=Construction!$R$22,Oeko!DJ323,Oeko!FW323)</f>
        <v>8.0329061668367086</v>
      </c>
      <c r="AX323" s="1979">
        <f>IF(Construction!$F$31=Construction!$R$22,Oeko!DK323,Oeko!FX323)</f>
        <v>8.0329061668367086</v>
      </c>
      <c r="AY323" s="1979">
        <f>IF(Construction!$F$31=Construction!$R$22,Oeko!DL323,Oeko!FY323)</f>
        <v>8.0329061668367086</v>
      </c>
      <c r="AZ323" s="1979">
        <f>IF(Construction!$F$31=Construction!$R$22,Oeko!DM323,Oeko!FZ323)</f>
        <v>8.0329061668367086</v>
      </c>
      <c r="BA323" s="1979">
        <f>IF(Construction!$F$31=Construction!$R$22,Oeko!DN323,Oeko!GA323)</f>
        <v>8.0329061668367086</v>
      </c>
      <c r="BB323" s="1998">
        <f>IF(Construction!$F$31=Construction!$R$22,Oeko!DO323,Oeko!GB323)</f>
        <v>0.97975662301212196</v>
      </c>
      <c r="BC323" s="1998">
        <f>IF(Construction!$F$31=Construction!$R$22,Oeko!DP323,Oeko!GC323)</f>
        <v>0.97975662301212196</v>
      </c>
      <c r="BD323" s="1998">
        <f>IF(Construction!$F$31=Construction!$R$22,Oeko!DQ323,Oeko!GD323)</f>
        <v>0.97975662301212196</v>
      </c>
      <c r="BE323" s="1998">
        <f>IF(Construction!$F$31=Construction!$R$22,Oeko!DR323,Oeko!GE323)</f>
        <v>0.97975662301212196</v>
      </c>
      <c r="BF323" s="1998">
        <f>IF(Construction!$F$31=Construction!$R$22,Oeko!DS323,Oeko!GF323)</f>
        <v>0.97975662301212196</v>
      </c>
      <c r="BG323" s="1979">
        <f>IF(Construction!$F$31=Construction!$R$22,Oeko!DT323,Oeko!GG323)</f>
        <v>0.97614876347816082</v>
      </c>
      <c r="BH323" s="1979">
        <f>IF(Construction!$F$31=Construction!$R$22,Oeko!DU323,Oeko!GH323)</f>
        <v>0.97614876347816082</v>
      </c>
      <c r="BI323" s="1979">
        <f>IF(Construction!$F$31=Construction!$R$22,Oeko!DV323,Oeko!GI323)</f>
        <v>0.97614876347816082</v>
      </c>
      <c r="BJ323" s="1979">
        <f>IF(Construction!$F$31=Construction!$R$22,Oeko!DW323,Oeko!GJ323)</f>
        <v>0.97614876347816082</v>
      </c>
      <c r="BK323" s="2021">
        <f>IF(Construction!$F$31=Construction!$R$22,Oeko!DX323,Oeko!GK323)</f>
        <v>0.97614876347816082</v>
      </c>
      <c r="BN323" s="2022"/>
      <c r="BO323" s="2">
        <v>17</v>
      </c>
      <c r="BP323" s="2" t="str">
        <f>CONCATENATE($U$8," ",$V$14)</f>
        <v>Proportion de fenêtres 40</v>
      </c>
      <c r="BQ323" s="1998">
        <v>1.09375</v>
      </c>
      <c r="BR323" s="1998">
        <v>1</v>
      </c>
      <c r="BS323" s="1998">
        <v>1</v>
      </c>
      <c r="BT323" s="1998">
        <v>1</v>
      </c>
      <c r="BU323" s="1998">
        <v>1</v>
      </c>
      <c r="BV323" s="1979">
        <v>1</v>
      </c>
      <c r="BW323" s="1979">
        <v>1</v>
      </c>
      <c r="BX323" s="1979">
        <v>1</v>
      </c>
      <c r="BY323" s="1979">
        <v>1</v>
      </c>
      <c r="BZ323" s="1979">
        <v>1</v>
      </c>
      <c r="CA323" s="1998">
        <v>1</v>
      </c>
      <c r="CB323" s="1998">
        <v>1</v>
      </c>
      <c r="CC323" s="1998">
        <v>1</v>
      </c>
      <c r="CD323" s="1998">
        <v>1</v>
      </c>
      <c r="CE323" s="1998">
        <v>1</v>
      </c>
      <c r="CF323" s="1979">
        <v>1</v>
      </c>
      <c r="CG323" s="1979">
        <v>1</v>
      </c>
      <c r="CH323" s="1979">
        <v>1</v>
      </c>
      <c r="CI323" s="1979">
        <v>1</v>
      </c>
      <c r="CJ323" s="1979">
        <v>1</v>
      </c>
      <c r="CK323" s="1998">
        <v>1</v>
      </c>
      <c r="CL323" s="1998">
        <v>1</v>
      </c>
      <c r="CM323" s="1998">
        <v>1</v>
      </c>
      <c r="CN323" s="1998">
        <v>1</v>
      </c>
      <c r="CO323" s="1998">
        <v>1</v>
      </c>
      <c r="CP323" s="1979">
        <v>1</v>
      </c>
      <c r="CQ323" s="1979">
        <v>1</v>
      </c>
      <c r="CR323" s="1979">
        <v>1</v>
      </c>
      <c r="CS323" s="1979">
        <v>1</v>
      </c>
      <c r="CT323" s="1979">
        <v>1</v>
      </c>
      <c r="CU323" s="1998">
        <v>1</v>
      </c>
      <c r="CV323" s="1998">
        <v>1</v>
      </c>
      <c r="CW323" s="1998">
        <v>1</v>
      </c>
      <c r="CX323" s="1998">
        <v>1</v>
      </c>
      <c r="CY323" s="1998">
        <v>1</v>
      </c>
      <c r="CZ323" s="1979">
        <v>1</v>
      </c>
      <c r="DA323" s="1979">
        <v>1</v>
      </c>
      <c r="DB323" s="1979">
        <v>1</v>
      </c>
      <c r="DC323" s="1979">
        <v>1</v>
      </c>
      <c r="DD323" s="1979">
        <v>1</v>
      </c>
      <c r="DE323" s="1998">
        <v>8.0488597659215451</v>
      </c>
      <c r="DF323" s="1998">
        <v>8.0488597659215451</v>
      </c>
      <c r="DG323" s="1998">
        <v>8.0488597659215451</v>
      </c>
      <c r="DH323" s="1998">
        <v>8.0488597659215451</v>
      </c>
      <c r="DI323" s="1998">
        <v>8.0488597659215451</v>
      </c>
      <c r="DJ323" s="1979">
        <v>8.0329061668367086</v>
      </c>
      <c r="DK323" s="1979">
        <v>8.0329061668367086</v>
      </c>
      <c r="DL323" s="1979">
        <v>8.0329061668367086</v>
      </c>
      <c r="DM323" s="1979">
        <v>8.0329061668367086</v>
      </c>
      <c r="DN323" s="1979">
        <v>8.0329061668367086</v>
      </c>
      <c r="DO323" s="1998">
        <v>0.97975662301212196</v>
      </c>
      <c r="DP323" s="1998">
        <v>0.97975662301212196</v>
      </c>
      <c r="DQ323" s="1998">
        <v>0.97975662301212196</v>
      </c>
      <c r="DR323" s="1998">
        <v>0.97975662301212196</v>
      </c>
      <c r="DS323" s="1998">
        <v>0.97975662301212196</v>
      </c>
      <c r="DT323" s="1979">
        <v>0.97614876347816082</v>
      </c>
      <c r="DU323" s="1979">
        <v>0.97614876347816082</v>
      </c>
      <c r="DV323" s="1979">
        <v>0.97614876347816082</v>
      </c>
      <c r="DW323" s="1979">
        <v>0.97614876347816082</v>
      </c>
      <c r="DX323" s="2021">
        <v>0.97614876347816082</v>
      </c>
      <c r="EA323" s="2022"/>
      <c r="EB323" s="2">
        <v>17</v>
      </c>
      <c r="EC323" s="2" t="str">
        <f>CONCATENATE($U$8," ",$V$14)</f>
        <v>Proportion de fenêtres 40</v>
      </c>
      <c r="ED323" s="1998">
        <v>1.4765287570396433</v>
      </c>
      <c r="EE323" s="1998">
        <v>1.4468604813243986</v>
      </c>
      <c r="EF323" s="1998">
        <v>1.4840421192156539</v>
      </c>
      <c r="EG323" s="1998">
        <v>1.5282932886982468</v>
      </c>
      <c r="EH323" s="1998">
        <v>1.5642966713242787</v>
      </c>
      <c r="EI323" s="1979">
        <v>2.1930706775319608</v>
      </c>
      <c r="EJ323" s="1979">
        <v>2.2521976690231518</v>
      </c>
      <c r="EK323" s="1979">
        <v>2.3206435885211065</v>
      </c>
      <c r="EL323" s="1979">
        <v>2.3961590396104002</v>
      </c>
      <c r="EM323" s="1979">
        <v>2.4221877695603267</v>
      </c>
      <c r="EN323" s="1998">
        <v>1.5029319599016784</v>
      </c>
      <c r="EO323" s="1998">
        <v>1.536259751689415</v>
      </c>
      <c r="EP323" s="1998">
        <v>1.5382796178583689</v>
      </c>
      <c r="EQ323" s="1998">
        <v>1.5402994840273225</v>
      </c>
      <c r="ER323" s="1998">
        <v>1.5423193501962764</v>
      </c>
      <c r="ES323" s="1979">
        <v>1.9872247390724067</v>
      </c>
      <c r="ET323" s="1979">
        <v>2.0155028654377589</v>
      </c>
      <c r="EU323" s="1979">
        <v>2.0225723970290974</v>
      </c>
      <c r="EV323" s="1979">
        <v>2.029641928620435</v>
      </c>
      <c r="EW323" s="1979">
        <v>2.0367114602117731</v>
      </c>
      <c r="EX323" s="1998">
        <v>1.5262389647833876</v>
      </c>
      <c r="EY323" s="1998">
        <v>1.558758810103543</v>
      </c>
      <c r="EZ323" s="1998">
        <v>1.5615866227400781</v>
      </c>
      <c r="FA323" s="1998">
        <v>1.5644144353766134</v>
      </c>
      <c r="FB323" s="1998">
        <v>1.5672422480131487</v>
      </c>
      <c r="FC323" s="1979">
        <v>1.691909195907441</v>
      </c>
      <c r="FD323" s="1979">
        <v>1.6777701327247649</v>
      </c>
      <c r="FE323" s="1979">
        <v>1.691909195907441</v>
      </c>
      <c r="FF323" s="1979">
        <v>1.7060482590901171</v>
      </c>
      <c r="FG323" s="1979">
        <v>1.7201873222727935</v>
      </c>
      <c r="FH323" s="1998">
        <v>2.5255039241023103</v>
      </c>
      <c r="FI323" s="1998">
        <v>2.5325734556936488</v>
      </c>
      <c r="FJ323" s="1998">
        <v>2.5396429872849868</v>
      </c>
      <c r="FK323" s="1998">
        <v>2.5467125188763244</v>
      </c>
      <c r="FL323" s="1998">
        <v>2.5537820504676625</v>
      </c>
      <c r="FM323" s="1979">
        <v>1.5378970936796104</v>
      </c>
      <c r="FN323" s="1979">
        <v>1.566458001308616</v>
      </c>
      <c r="FO323" s="1979">
        <v>1.6078383262232483</v>
      </c>
      <c r="FP323" s="1979">
        <v>1.6562881827292184</v>
      </c>
      <c r="FQ323" s="1979">
        <v>1.6882424655220667</v>
      </c>
      <c r="FR323" s="1998">
        <v>19.17455847776532</v>
      </c>
      <c r="FS323" s="1998">
        <v>19.231460146154753</v>
      </c>
      <c r="FT323" s="1998">
        <v>19.288361814544182</v>
      </c>
      <c r="FU323" s="1998">
        <v>19.345263482933618</v>
      </c>
      <c r="FV323" s="1998">
        <v>19.40216515132305</v>
      </c>
      <c r="FW323" s="1979">
        <v>19.53022135065908</v>
      </c>
      <c r="FX323" s="1979">
        <v>19.587010234575786</v>
      </c>
      <c r="FY323" s="1979">
        <v>19.643799118492492</v>
      </c>
      <c r="FZ323" s="1979">
        <v>19.700588002409201</v>
      </c>
      <c r="GA323" s="1979">
        <v>19.757376886325904</v>
      </c>
      <c r="GB323" s="1998">
        <v>1.732738440532577</v>
      </c>
      <c r="GC323" s="1998">
        <v>1.7396648609307841</v>
      </c>
      <c r="GD323" s="1998">
        <v>1.746591281328991</v>
      </c>
      <c r="GE323" s="1998">
        <v>1.7535177017271979</v>
      </c>
      <c r="GF323" s="1998">
        <v>1.7673705425236115</v>
      </c>
      <c r="GG323" s="1979">
        <v>1.8235810666882089</v>
      </c>
      <c r="GH323" s="1979">
        <v>1.8304819812094633</v>
      </c>
      <c r="GI323" s="1979">
        <v>1.8373828957307179</v>
      </c>
      <c r="GJ323" s="1979">
        <v>1.8442838102519721</v>
      </c>
      <c r="GK323" s="2021">
        <v>1.8580856392944811</v>
      </c>
    </row>
    <row r="324" spans="1:193">
      <c r="A324" s="2020"/>
      <c r="B324" s="2">
        <v>18</v>
      </c>
      <c r="C324" s="2" t="str">
        <f>CONCATENATE($U$8," ",$V$15)</f>
        <v>Proportion de fenêtres 50</v>
      </c>
      <c r="D324" s="1998">
        <f>IF(Construction!$F$31=Construction!$R$22,Oeko!BQ324,Oeko!ED324)</f>
        <v>1.09375</v>
      </c>
      <c r="E324" s="1998">
        <f>IF(Construction!$F$31=Construction!$R$22,Oeko!BR324,Oeko!EE324)</f>
        <v>1</v>
      </c>
      <c r="F324" s="1998">
        <f>IF(Construction!$F$31=Construction!$R$22,Oeko!BS324,Oeko!EF324)</f>
        <v>1</v>
      </c>
      <c r="G324" s="1998">
        <f>IF(Construction!$F$31=Construction!$R$22,Oeko!BT324,Oeko!EG324)</f>
        <v>1</v>
      </c>
      <c r="H324" s="1998">
        <f>IF(Construction!$F$31=Construction!$R$22,Oeko!BU324,Oeko!EH324)</f>
        <v>1</v>
      </c>
      <c r="I324" s="1979">
        <f>IF(Construction!$F$31=Construction!$R$22,Oeko!BV324,Oeko!EI324)</f>
        <v>1</v>
      </c>
      <c r="J324" s="1979">
        <f>IF(Construction!$F$31=Construction!$R$22,Oeko!BW324,Oeko!EJ324)</f>
        <v>1</v>
      </c>
      <c r="K324" s="1979">
        <f>IF(Construction!$F$31=Construction!$R$22,Oeko!BX324,Oeko!EK324)</f>
        <v>1</v>
      </c>
      <c r="L324" s="1979">
        <f>IF(Construction!$F$31=Construction!$R$22,Oeko!BY324,Oeko!EL324)</f>
        <v>1</v>
      </c>
      <c r="M324" s="1979">
        <f>IF(Construction!$F$31=Construction!$R$22,Oeko!BZ324,Oeko!EM324)</f>
        <v>1</v>
      </c>
      <c r="N324" s="1998">
        <f>IF(Construction!$F$31=Construction!$R$22,Oeko!CA324,Oeko!EN324)</f>
        <v>1</v>
      </c>
      <c r="O324" s="1998">
        <f>IF(Construction!$F$31=Construction!$R$22,Oeko!CB324,Oeko!EO324)</f>
        <v>1</v>
      </c>
      <c r="P324" s="1998">
        <f>IF(Construction!$F$31=Construction!$R$22,Oeko!CC324,Oeko!EP324)</f>
        <v>1</v>
      </c>
      <c r="Q324" s="1998">
        <f>IF(Construction!$F$31=Construction!$R$22,Oeko!CD324,Oeko!EQ324)</f>
        <v>1</v>
      </c>
      <c r="R324" s="1998">
        <f>IF(Construction!$F$31=Construction!$R$22,Oeko!CE324,Oeko!ER324)</f>
        <v>1</v>
      </c>
      <c r="S324" s="1979">
        <f>IF(Construction!$F$31=Construction!$R$22,Oeko!CF324,Oeko!ES324)</f>
        <v>1</v>
      </c>
      <c r="T324" s="1979">
        <f>IF(Construction!$F$31=Construction!$R$22,Oeko!CG324,Oeko!ET324)</f>
        <v>1</v>
      </c>
      <c r="U324" s="1979">
        <f>IF(Construction!$F$31=Construction!$R$22,Oeko!CH324,Oeko!EU324)</f>
        <v>1</v>
      </c>
      <c r="V324" s="1979">
        <f>IF(Construction!$F$31=Construction!$R$22,Oeko!CI324,Oeko!EV324)</f>
        <v>1</v>
      </c>
      <c r="W324" s="1979">
        <f>IF(Construction!$F$31=Construction!$R$22,Oeko!CJ324,Oeko!EW324)</f>
        <v>1</v>
      </c>
      <c r="X324" s="1998">
        <f>IF(Construction!$F$31=Construction!$R$22,Oeko!CK324,Oeko!EX324)</f>
        <v>1</v>
      </c>
      <c r="Y324" s="1998">
        <f>IF(Construction!$F$31=Construction!$R$22,Oeko!CL324,Oeko!EY324)</f>
        <v>1</v>
      </c>
      <c r="Z324" s="1998">
        <f>IF(Construction!$F$31=Construction!$R$22,Oeko!CM324,Oeko!EZ324)</f>
        <v>1</v>
      </c>
      <c r="AA324" s="1998">
        <f>IF(Construction!$F$31=Construction!$R$22,Oeko!CN324,Oeko!FA324)</f>
        <v>1</v>
      </c>
      <c r="AB324" s="1998">
        <f>IF(Construction!$F$31=Construction!$R$22,Oeko!CO324,Oeko!FB324)</f>
        <v>1</v>
      </c>
      <c r="AC324" s="1979">
        <f>IF(Construction!$F$31=Construction!$R$22,Oeko!CP324,Oeko!FC324)</f>
        <v>1</v>
      </c>
      <c r="AD324" s="1979">
        <f>IF(Construction!$F$31=Construction!$R$22,Oeko!CQ324,Oeko!FD324)</f>
        <v>1</v>
      </c>
      <c r="AE324" s="1979">
        <f>IF(Construction!$F$31=Construction!$R$22,Oeko!CR324,Oeko!FE324)</f>
        <v>1</v>
      </c>
      <c r="AF324" s="1979">
        <f>IF(Construction!$F$31=Construction!$R$22,Oeko!CS324,Oeko!FF324)</f>
        <v>1</v>
      </c>
      <c r="AG324" s="1979">
        <f>IF(Construction!$F$31=Construction!$R$22,Oeko!CT324,Oeko!FG324)</f>
        <v>1</v>
      </c>
      <c r="AH324" s="1998">
        <f>IF(Construction!$F$31=Construction!$R$22,Oeko!CU324,Oeko!FH324)</f>
        <v>1</v>
      </c>
      <c r="AI324" s="1998">
        <f>IF(Construction!$F$31=Construction!$R$22,Oeko!CV324,Oeko!FI324)</f>
        <v>1</v>
      </c>
      <c r="AJ324" s="1998">
        <f>IF(Construction!$F$31=Construction!$R$22,Oeko!CW324,Oeko!FJ324)</f>
        <v>1</v>
      </c>
      <c r="AK324" s="1998">
        <f>IF(Construction!$F$31=Construction!$R$22,Oeko!CX324,Oeko!FK324)</f>
        <v>1</v>
      </c>
      <c r="AL324" s="1998">
        <f>IF(Construction!$F$31=Construction!$R$22,Oeko!CY324,Oeko!FL324)</f>
        <v>1</v>
      </c>
      <c r="AM324" s="1979">
        <f>IF(Construction!$F$31=Construction!$R$22,Oeko!CZ324,Oeko!FM324)</f>
        <v>1</v>
      </c>
      <c r="AN324" s="1979">
        <f>IF(Construction!$F$31=Construction!$R$22,Oeko!DA324,Oeko!FN324)</f>
        <v>1</v>
      </c>
      <c r="AO324" s="1979">
        <f>IF(Construction!$F$31=Construction!$R$22,Oeko!DB324,Oeko!FO324)</f>
        <v>1</v>
      </c>
      <c r="AP324" s="1979">
        <f>IF(Construction!$F$31=Construction!$R$22,Oeko!DC324,Oeko!FP324)</f>
        <v>1</v>
      </c>
      <c r="AQ324" s="1979">
        <f>IF(Construction!$F$31=Construction!$R$22,Oeko!DD324,Oeko!FQ324)</f>
        <v>1</v>
      </c>
      <c r="AR324" s="1998">
        <f>IF(Construction!$F$31=Construction!$R$22,Oeko!DE324,Oeko!FR324)</f>
        <v>8.0488597659215451</v>
      </c>
      <c r="AS324" s="1998">
        <f>IF(Construction!$F$31=Construction!$R$22,Oeko!DF324,Oeko!FS324)</f>
        <v>8.0488597659215451</v>
      </c>
      <c r="AT324" s="1998">
        <f>IF(Construction!$F$31=Construction!$R$22,Oeko!DG324,Oeko!FT324)</f>
        <v>8.0488597659215451</v>
      </c>
      <c r="AU324" s="1998">
        <f>IF(Construction!$F$31=Construction!$R$22,Oeko!DH324,Oeko!FU324)</f>
        <v>8.0488597659215451</v>
      </c>
      <c r="AV324" s="1998">
        <f>IF(Construction!$F$31=Construction!$R$22,Oeko!DI324,Oeko!FV324)</f>
        <v>8.0488597659215451</v>
      </c>
      <c r="AW324" s="1979">
        <f>IF(Construction!$F$31=Construction!$R$22,Oeko!DJ324,Oeko!FW324)</f>
        <v>8.0329061668367086</v>
      </c>
      <c r="AX324" s="1979">
        <f>IF(Construction!$F$31=Construction!$R$22,Oeko!DK324,Oeko!FX324)</f>
        <v>8.0329061668367086</v>
      </c>
      <c r="AY324" s="1979">
        <f>IF(Construction!$F$31=Construction!$R$22,Oeko!DL324,Oeko!FY324)</f>
        <v>8.0329061668367086</v>
      </c>
      <c r="AZ324" s="1979">
        <f>IF(Construction!$F$31=Construction!$R$22,Oeko!DM324,Oeko!FZ324)</f>
        <v>8.0329061668367086</v>
      </c>
      <c r="BA324" s="1979">
        <f>IF(Construction!$F$31=Construction!$R$22,Oeko!DN324,Oeko!GA324)</f>
        <v>8.0329061668367086</v>
      </c>
      <c r="BB324" s="1998">
        <f>IF(Construction!$F$31=Construction!$R$22,Oeko!DO324,Oeko!GB324)</f>
        <v>0.97975662301212196</v>
      </c>
      <c r="BC324" s="1998">
        <f>IF(Construction!$F$31=Construction!$R$22,Oeko!DP324,Oeko!GC324)</f>
        <v>0.97975662301212196</v>
      </c>
      <c r="BD324" s="1998">
        <f>IF(Construction!$F$31=Construction!$R$22,Oeko!DQ324,Oeko!GD324)</f>
        <v>0.97975662301212196</v>
      </c>
      <c r="BE324" s="1998">
        <f>IF(Construction!$F$31=Construction!$R$22,Oeko!DR324,Oeko!GE324)</f>
        <v>0.97975662301212196</v>
      </c>
      <c r="BF324" s="1998">
        <f>IF(Construction!$F$31=Construction!$R$22,Oeko!DS324,Oeko!GF324)</f>
        <v>0.97975662301212196</v>
      </c>
      <c r="BG324" s="1979">
        <f>IF(Construction!$F$31=Construction!$R$22,Oeko!DT324,Oeko!GG324)</f>
        <v>0.97614876347816082</v>
      </c>
      <c r="BH324" s="1979">
        <f>IF(Construction!$F$31=Construction!$R$22,Oeko!DU324,Oeko!GH324)</f>
        <v>0.97614876347816082</v>
      </c>
      <c r="BI324" s="1979">
        <f>IF(Construction!$F$31=Construction!$R$22,Oeko!DV324,Oeko!GI324)</f>
        <v>0.97614876347816082</v>
      </c>
      <c r="BJ324" s="1979">
        <f>IF(Construction!$F$31=Construction!$R$22,Oeko!DW324,Oeko!GJ324)</f>
        <v>0.97614876347816082</v>
      </c>
      <c r="BK324" s="2021">
        <f>IF(Construction!$F$31=Construction!$R$22,Oeko!DX324,Oeko!GK324)</f>
        <v>0.97614876347816082</v>
      </c>
      <c r="BN324" s="2022"/>
      <c r="BO324" s="2">
        <v>18</v>
      </c>
      <c r="BP324" s="2" t="str">
        <f>CONCATENATE($U$8," ",$V$15)</f>
        <v>Proportion de fenêtres 50</v>
      </c>
      <c r="BQ324" s="1998">
        <v>1.09375</v>
      </c>
      <c r="BR324" s="1998">
        <v>1</v>
      </c>
      <c r="BS324" s="1998">
        <v>1</v>
      </c>
      <c r="BT324" s="1998">
        <v>1</v>
      </c>
      <c r="BU324" s="1998">
        <v>1</v>
      </c>
      <c r="BV324" s="1979">
        <v>1</v>
      </c>
      <c r="BW324" s="1979">
        <v>1</v>
      </c>
      <c r="BX324" s="1979">
        <v>1</v>
      </c>
      <c r="BY324" s="1979">
        <v>1</v>
      </c>
      <c r="BZ324" s="1979">
        <v>1</v>
      </c>
      <c r="CA324" s="1998">
        <v>1</v>
      </c>
      <c r="CB324" s="1998">
        <v>1</v>
      </c>
      <c r="CC324" s="1998">
        <v>1</v>
      </c>
      <c r="CD324" s="1998">
        <v>1</v>
      </c>
      <c r="CE324" s="1998">
        <v>1</v>
      </c>
      <c r="CF324" s="1979">
        <v>1</v>
      </c>
      <c r="CG324" s="1979">
        <v>1</v>
      </c>
      <c r="CH324" s="1979">
        <v>1</v>
      </c>
      <c r="CI324" s="1979">
        <v>1</v>
      </c>
      <c r="CJ324" s="1979">
        <v>1</v>
      </c>
      <c r="CK324" s="1998">
        <v>1</v>
      </c>
      <c r="CL324" s="1998">
        <v>1</v>
      </c>
      <c r="CM324" s="1998">
        <v>1</v>
      </c>
      <c r="CN324" s="1998">
        <v>1</v>
      </c>
      <c r="CO324" s="1998">
        <v>1</v>
      </c>
      <c r="CP324" s="1979">
        <v>1</v>
      </c>
      <c r="CQ324" s="1979">
        <v>1</v>
      </c>
      <c r="CR324" s="1979">
        <v>1</v>
      </c>
      <c r="CS324" s="1979">
        <v>1</v>
      </c>
      <c r="CT324" s="1979">
        <v>1</v>
      </c>
      <c r="CU324" s="1998">
        <v>1</v>
      </c>
      <c r="CV324" s="1998">
        <v>1</v>
      </c>
      <c r="CW324" s="1998">
        <v>1</v>
      </c>
      <c r="CX324" s="1998">
        <v>1</v>
      </c>
      <c r="CY324" s="1998">
        <v>1</v>
      </c>
      <c r="CZ324" s="1979">
        <v>1</v>
      </c>
      <c r="DA324" s="1979">
        <v>1</v>
      </c>
      <c r="DB324" s="1979">
        <v>1</v>
      </c>
      <c r="DC324" s="1979">
        <v>1</v>
      </c>
      <c r="DD324" s="1979">
        <v>1</v>
      </c>
      <c r="DE324" s="1998">
        <v>8.0488597659215451</v>
      </c>
      <c r="DF324" s="1998">
        <v>8.0488597659215451</v>
      </c>
      <c r="DG324" s="1998">
        <v>8.0488597659215451</v>
      </c>
      <c r="DH324" s="1998">
        <v>8.0488597659215451</v>
      </c>
      <c r="DI324" s="1998">
        <v>8.0488597659215451</v>
      </c>
      <c r="DJ324" s="1979">
        <v>8.0329061668367086</v>
      </c>
      <c r="DK324" s="1979">
        <v>8.0329061668367086</v>
      </c>
      <c r="DL324" s="1979">
        <v>8.0329061668367086</v>
      </c>
      <c r="DM324" s="1979">
        <v>8.0329061668367086</v>
      </c>
      <c r="DN324" s="1979">
        <v>8.0329061668367086</v>
      </c>
      <c r="DO324" s="1998">
        <v>0.97975662301212196</v>
      </c>
      <c r="DP324" s="1998">
        <v>0.97975662301212196</v>
      </c>
      <c r="DQ324" s="1998">
        <v>0.97975662301212196</v>
      </c>
      <c r="DR324" s="1998">
        <v>0.97975662301212196</v>
      </c>
      <c r="DS324" s="1998">
        <v>0.97975662301212196</v>
      </c>
      <c r="DT324" s="1979">
        <v>0.97614876347816082</v>
      </c>
      <c r="DU324" s="1979">
        <v>0.97614876347816082</v>
      </c>
      <c r="DV324" s="1979">
        <v>0.97614876347816082</v>
      </c>
      <c r="DW324" s="1979">
        <v>0.97614876347816082</v>
      </c>
      <c r="DX324" s="2021">
        <v>0.97614876347816082</v>
      </c>
      <c r="EA324" s="2022"/>
      <c r="EB324" s="2">
        <v>18</v>
      </c>
      <c r="EC324" s="2" t="str">
        <f>CONCATENATE($U$8," ",$V$15)</f>
        <v>Proportion de fenêtres 50</v>
      </c>
      <c r="ED324" s="1998">
        <v>1.4765287570396433</v>
      </c>
      <c r="EE324" s="1998">
        <v>1.4358156189251778</v>
      </c>
      <c r="EF324" s="1998">
        <v>1.4724952176164683</v>
      </c>
      <c r="EG324" s="1998">
        <v>1.5162443478990966</v>
      </c>
      <c r="EH324" s="1998">
        <v>1.5517456913251639</v>
      </c>
      <c r="EI324" s="1979">
        <v>2.1770035602789193</v>
      </c>
      <c r="EJ324" s="1979">
        <v>2.2345238400448064</v>
      </c>
      <c r="EK324" s="1979">
        <v>2.3021664036801099</v>
      </c>
      <c r="EL324" s="1979">
        <v>2.3768784989067506</v>
      </c>
      <c r="EM324" s="1979">
        <v>2.4021038729940254</v>
      </c>
      <c r="EN324" s="1998">
        <v>1.491394484344615</v>
      </c>
      <c r="EO324" s="1998">
        <v>1.5247222761323516</v>
      </c>
      <c r="EP324" s="1998">
        <v>1.5267421423013052</v>
      </c>
      <c r="EQ324" s="1998">
        <v>1.5287620084702591</v>
      </c>
      <c r="ER324" s="1998">
        <v>1.5307818746392126</v>
      </c>
      <c r="ES324" s="1979">
        <v>1.9623399878708967</v>
      </c>
      <c r="ET324" s="1979">
        <v>1.9906181142362489</v>
      </c>
      <c r="EU324" s="1979">
        <v>1.997687645827587</v>
      </c>
      <c r="EV324" s="1979">
        <v>2.004757177418925</v>
      </c>
      <c r="EW324" s="1979">
        <v>2.0118267090102631</v>
      </c>
      <c r="EX324" s="1998">
        <v>1.5162333557288585</v>
      </c>
      <c r="EY324" s="1998">
        <v>1.5487532010490137</v>
      </c>
      <c r="EZ324" s="1998">
        <v>1.5515810136855488</v>
      </c>
      <c r="FA324" s="1998">
        <v>1.5544088263220841</v>
      </c>
      <c r="FB324" s="1998">
        <v>1.5572366389586194</v>
      </c>
      <c r="FC324" s="1979">
        <v>1.681220064141338</v>
      </c>
      <c r="FD324" s="1979">
        <v>1.6670810009586619</v>
      </c>
      <c r="FE324" s="1979">
        <v>1.681220064141338</v>
      </c>
      <c r="FF324" s="1979">
        <v>1.6953591273240138</v>
      </c>
      <c r="FG324" s="1979">
        <v>1.7094981905066904</v>
      </c>
      <c r="FH324" s="1998">
        <v>2.5032853962438191</v>
      </c>
      <c r="FI324" s="1998">
        <v>2.5103549278351571</v>
      </c>
      <c r="FJ324" s="1998">
        <v>2.5174244594264952</v>
      </c>
      <c r="FK324" s="1998">
        <v>2.5244939910178332</v>
      </c>
      <c r="FL324" s="1998">
        <v>2.5315635226091717</v>
      </c>
      <c r="FM324" s="1979">
        <v>1.5334982740227776</v>
      </c>
      <c r="FN324" s="1979">
        <v>1.5616192996861</v>
      </c>
      <c r="FO324" s="1979">
        <v>1.6027796836178907</v>
      </c>
      <c r="FP324" s="1979">
        <v>1.6510095991410192</v>
      </c>
      <c r="FQ324" s="1979">
        <v>1.6827439409510261</v>
      </c>
      <c r="FR324" s="1998">
        <v>19.094896142020112</v>
      </c>
      <c r="FS324" s="1998">
        <v>19.151797810409551</v>
      </c>
      <c r="FT324" s="1998">
        <v>19.20869947879898</v>
      </c>
      <c r="FU324" s="1998">
        <v>19.265601147188409</v>
      </c>
      <c r="FV324" s="1998">
        <v>19.322502815577842</v>
      </c>
      <c r="FW324" s="1979">
        <v>19.447471834094738</v>
      </c>
      <c r="FX324" s="1979">
        <v>19.504260718011441</v>
      </c>
      <c r="FY324" s="1979">
        <v>19.561049601928151</v>
      </c>
      <c r="FZ324" s="1979">
        <v>19.617838485844857</v>
      </c>
      <c r="GA324" s="1979">
        <v>19.674627369761563</v>
      </c>
      <c r="GB324" s="1998">
        <v>1.7235476134657257</v>
      </c>
      <c r="GC324" s="1998">
        <v>1.7304740338639326</v>
      </c>
      <c r="GD324" s="1998">
        <v>1.7374004542621393</v>
      </c>
      <c r="GE324" s="1998">
        <v>1.7443268746603462</v>
      </c>
      <c r="GF324" s="1998">
        <v>1.7581797154567602</v>
      </c>
      <c r="GG324" s="1979">
        <v>1.80598373465901</v>
      </c>
      <c r="GH324" s="1979">
        <v>1.8128846491802644</v>
      </c>
      <c r="GI324" s="1979">
        <v>1.8197855637015188</v>
      </c>
      <c r="GJ324" s="1979">
        <v>1.8266864782227732</v>
      </c>
      <c r="GK324" s="2021">
        <v>1.8404883072652825</v>
      </c>
    </row>
    <row r="325" spans="1:193">
      <c r="A325" s="2020"/>
      <c r="B325" s="2">
        <v>19</v>
      </c>
      <c r="C325" s="2" t="str">
        <f>CONCATENATE($U$8," ",$V$16)</f>
        <v>Proportion de fenêtres 60</v>
      </c>
      <c r="D325" s="1998">
        <f>IF(Construction!$F$31=Construction!$R$22,Oeko!BQ325,Oeko!ED325)</f>
        <v>1.09375</v>
      </c>
      <c r="E325" s="1998">
        <f>IF(Construction!$F$31=Construction!$R$22,Oeko!BR325,Oeko!EE325)</f>
        <v>1</v>
      </c>
      <c r="F325" s="1998">
        <f>IF(Construction!$F$31=Construction!$R$22,Oeko!BS325,Oeko!EF325)</f>
        <v>1</v>
      </c>
      <c r="G325" s="1998">
        <f>IF(Construction!$F$31=Construction!$R$22,Oeko!BT325,Oeko!EG325)</f>
        <v>1</v>
      </c>
      <c r="H325" s="1998">
        <f>IF(Construction!$F$31=Construction!$R$22,Oeko!BU325,Oeko!EH325)</f>
        <v>1</v>
      </c>
      <c r="I325" s="1979">
        <f>IF(Construction!$F$31=Construction!$R$22,Oeko!BV325,Oeko!EI325)</f>
        <v>1</v>
      </c>
      <c r="J325" s="1979">
        <f>IF(Construction!$F$31=Construction!$R$22,Oeko!BW325,Oeko!EJ325)</f>
        <v>1</v>
      </c>
      <c r="K325" s="1979">
        <f>IF(Construction!$F$31=Construction!$R$22,Oeko!BX325,Oeko!EK325)</f>
        <v>1</v>
      </c>
      <c r="L325" s="1979">
        <f>IF(Construction!$F$31=Construction!$R$22,Oeko!BY325,Oeko!EL325)</f>
        <v>1</v>
      </c>
      <c r="M325" s="1979">
        <f>IF(Construction!$F$31=Construction!$R$22,Oeko!BZ325,Oeko!EM325)</f>
        <v>1</v>
      </c>
      <c r="N325" s="1998">
        <f>IF(Construction!$F$31=Construction!$R$22,Oeko!CA325,Oeko!EN325)</f>
        <v>1</v>
      </c>
      <c r="O325" s="1998">
        <f>IF(Construction!$F$31=Construction!$R$22,Oeko!CB325,Oeko!EO325)</f>
        <v>1</v>
      </c>
      <c r="P325" s="1998">
        <f>IF(Construction!$F$31=Construction!$R$22,Oeko!CC325,Oeko!EP325)</f>
        <v>1</v>
      </c>
      <c r="Q325" s="1998">
        <f>IF(Construction!$F$31=Construction!$R$22,Oeko!CD325,Oeko!EQ325)</f>
        <v>1</v>
      </c>
      <c r="R325" s="1998">
        <f>IF(Construction!$F$31=Construction!$R$22,Oeko!CE325,Oeko!ER325)</f>
        <v>1</v>
      </c>
      <c r="S325" s="1979">
        <f>IF(Construction!$F$31=Construction!$R$22,Oeko!CF325,Oeko!ES325)</f>
        <v>1</v>
      </c>
      <c r="T325" s="1979">
        <f>IF(Construction!$F$31=Construction!$R$22,Oeko!CG325,Oeko!ET325)</f>
        <v>1</v>
      </c>
      <c r="U325" s="1979">
        <f>IF(Construction!$F$31=Construction!$R$22,Oeko!CH325,Oeko!EU325)</f>
        <v>1</v>
      </c>
      <c r="V325" s="1979">
        <f>IF(Construction!$F$31=Construction!$R$22,Oeko!CI325,Oeko!EV325)</f>
        <v>1</v>
      </c>
      <c r="W325" s="1979">
        <f>IF(Construction!$F$31=Construction!$R$22,Oeko!CJ325,Oeko!EW325)</f>
        <v>1</v>
      </c>
      <c r="X325" s="1998">
        <f>IF(Construction!$F$31=Construction!$R$22,Oeko!CK325,Oeko!EX325)</f>
        <v>1</v>
      </c>
      <c r="Y325" s="1998">
        <f>IF(Construction!$F$31=Construction!$R$22,Oeko!CL325,Oeko!EY325)</f>
        <v>1</v>
      </c>
      <c r="Z325" s="1998">
        <f>IF(Construction!$F$31=Construction!$R$22,Oeko!CM325,Oeko!EZ325)</f>
        <v>1</v>
      </c>
      <c r="AA325" s="1998">
        <f>IF(Construction!$F$31=Construction!$R$22,Oeko!CN325,Oeko!FA325)</f>
        <v>1</v>
      </c>
      <c r="AB325" s="1998">
        <f>IF(Construction!$F$31=Construction!$R$22,Oeko!CO325,Oeko!FB325)</f>
        <v>1</v>
      </c>
      <c r="AC325" s="1979">
        <f>IF(Construction!$F$31=Construction!$R$22,Oeko!CP325,Oeko!FC325)</f>
        <v>1</v>
      </c>
      <c r="AD325" s="1979">
        <f>IF(Construction!$F$31=Construction!$R$22,Oeko!CQ325,Oeko!FD325)</f>
        <v>1</v>
      </c>
      <c r="AE325" s="1979">
        <f>IF(Construction!$F$31=Construction!$R$22,Oeko!CR325,Oeko!FE325)</f>
        <v>1</v>
      </c>
      <c r="AF325" s="1979">
        <f>IF(Construction!$F$31=Construction!$R$22,Oeko!CS325,Oeko!FF325)</f>
        <v>1</v>
      </c>
      <c r="AG325" s="1979">
        <f>IF(Construction!$F$31=Construction!$R$22,Oeko!CT325,Oeko!FG325)</f>
        <v>1</v>
      </c>
      <c r="AH325" s="1998">
        <f>IF(Construction!$F$31=Construction!$R$22,Oeko!CU325,Oeko!FH325)</f>
        <v>1</v>
      </c>
      <c r="AI325" s="1998">
        <f>IF(Construction!$F$31=Construction!$R$22,Oeko!CV325,Oeko!FI325)</f>
        <v>1</v>
      </c>
      <c r="AJ325" s="1998">
        <f>IF(Construction!$F$31=Construction!$R$22,Oeko!CW325,Oeko!FJ325)</f>
        <v>1</v>
      </c>
      <c r="AK325" s="1998">
        <f>IF(Construction!$F$31=Construction!$R$22,Oeko!CX325,Oeko!FK325)</f>
        <v>1</v>
      </c>
      <c r="AL325" s="1998">
        <f>IF(Construction!$F$31=Construction!$R$22,Oeko!CY325,Oeko!FL325)</f>
        <v>1</v>
      </c>
      <c r="AM325" s="1979">
        <f>IF(Construction!$F$31=Construction!$R$22,Oeko!CZ325,Oeko!FM325)</f>
        <v>1</v>
      </c>
      <c r="AN325" s="1979">
        <f>IF(Construction!$F$31=Construction!$R$22,Oeko!DA325,Oeko!FN325)</f>
        <v>1</v>
      </c>
      <c r="AO325" s="1979">
        <f>IF(Construction!$F$31=Construction!$R$22,Oeko!DB325,Oeko!FO325)</f>
        <v>1</v>
      </c>
      <c r="AP325" s="1979">
        <f>IF(Construction!$F$31=Construction!$R$22,Oeko!DC325,Oeko!FP325)</f>
        <v>1</v>
      </c>
      <c r="AQ325" s="1979">
        <f>IF(Construction!$F$31=Construction!$R$22,Oeko!DD325,Oeko!FQ325)</f>
        <v>1</v>
      </c>
      <c r="AR325" s="1998">
        <f>IF(Construction!$F$31=Construction!$R$22,Oeko!DE325,Oeko!FR325)</f>
        <v>8.0488597659215451</v>
      </c>
      <c r="AS325" s="1998">
        <f>IF(Construction!$F$31=Construction!$R$22,Oeko!DF325,Oeko!FS325)</f>
        <v>8.0488597659215451</v>
      </c>
      <c r="AT325" s="1998">
        <f>IF(Construction!$F$31=Construction!$R$22,Oeko!DG325,Oeko!FT325)</f>
        <v>8.0488597659215451</v>
      </c>
      <c r="AU325" s="1998">
        <f>IF(Construction!$F$31=Construction!$R$22,Oeko!DH325,Oeko!FU325)</f>
        <v>8.0488597659215451</v>
      </c>
      <c r="AV325" s="1998">
        <f>IF(Construction!$F$31=Construction!$R$22,Oeko!DI325,Oeko!FV325)</f>
        <v>8.0488597659215451</v>
      </c>
      <c r="AW325" s="1979">
        <f>IF(Construction!$F$31=Construction!$R$22,Oeko!DJ325,Oeko!FW325)</f>
        <v>8.0329061668367086</v>
      </c>
      <c r="AX325" s="1979">
        <f>IF(Construction!$F$31=Construction!$R$22,Oeko!DK325,Oeko!FX325)</f>
        <v>8.0329061668367086</v>
      </c>
      <c r="AY325" s="1979">
        <f>IF(Construction!$F$31=Construction!$R$22,Oeko!DL325,Oeko!FY325)</f>
        <v>8.0329061668367086</v>
      </c>
      <c r="AZ325" s="1979">
        <f>IF(Construction!$F$31=Construction!$R$22,Oeko!DM325,Oeko!FZ325)</f>
        <v>8.0329061668367086</v>
      </c>
      <c r="BA325" s="1979">
        <f>IF(Construction!$F$31=Construction!$R$22,Oeko!DN325,Oeko!GA325)</f>
        <v>8.0329061668367086</v>
      </c>
      <c r="BB325" s="1998">
        <f>IF(Construction!$F$31=Construction!$R$22,Oeko!DO325,Oeko!GB325)</f>
        <v>0.97975662301212196</v>
      </c>
      <c r="BC325" s="1998">
        <f>IF(Construction!$F$31=Construction!$R$22,Oeko!DP325,Oeko!GC325)</f>
        <v>0.97975662301212196</v>
      </c>
      <c r="BD325" s="1998">
        <f>IF(Construction!$F$31=Construction!$R$22,Oeko!DQ325,Oeko!GD325)</f>
        <v>0.97975662301212196</v>
      </c>
      <c r="BE325" s="1998">
        <f>IF(Construction!$F$31=Construction!$R$22,Oeko!DR325,Oeko!GE325)</f>
        <v>0.97975662301212196</v>
      </c>
      <c r="BF325" s="1998">
        <f>IF(Construction!$F$31=Construction!$R$22,Oeko!DS325,Oeko!GF325)</f>
        <v>0.97975662301212196</v>
      </c>
      <c r="BG325" s="1979">
        <f>IF(Construction!$F$31=Construction!$R$22,Oeko!DT325,Oeko!GG325)</f>
        <v>0.97614876347816082</v>
      </c>
      <c r="BH325" s="1979">
        <f>IF(Construction!$F$31=Construction!$R$22,Oeko!DU325,Oeko!GH325)</f>
        <v>0.97614876347816082</v>
      </c>
      <c r="BI325" s="1979">
        <f>IF(Construction!$F$31=Construction!$R$22,Oeko!DV325,Oeko!GI325)</f>
        <v>0.97614876347816082</v>
      </c>
      <c r="BJ325" s="1979">
        <f>IF(Construction!$F$31=Construction!$R$22,Oeko!DW325,Oeko!GJ325)</f>
        <v>0.97614876347816082</v>
      </c>
      <c r="BK325" s="2021">
        <f>IF(Construction!$F$31=Construction!$R$22,Oeko!DX325,Oeko!GK325)</f>
        <v>0.97614876347816082</v>
      </c>
      <c r="BN325" s="2022"/>
      <c r="BO325" s="2">
        <v>19</v>
      </c>
      <c r="BP325" s="2" t="str">
        <f>CONCATENATE($U$8," ",$V$16)</f>
        <v>Proportion de fenêtres 60</v>
      </c>
      <c r="BQ325" s="1998">
        <v>1.09375</v>
      </c>
      <c r="BR325" s="1998">
        <v>1</v>
      </c>
      <c r="BS325" s="1998">
        <v>1</v>
      </c>
      <c r="BT325" s="1998">
        <v>1</v>
      </c>
      <c r="BU325" s="1998">
        <v>1</v>
      </c>
      <c r="BV325" s="1979">
        <v>1</v>
      </c>
      <c r="BW325" s="1979">
        <v>1</v>
      </c>
      <c r="BX325" s="1979">
        <v>1</v>
      </c>
      <c r="BY325" s="1979">
        <v>1</v>
      </c>
      <c r="BZ325" s="1979">
        <v>1</v>
      </c>
      <c r="CA325" s="1998">
        <v>1</v>
      </c>
      <c r="CB325" s="1998">
        <v>1</v>
      </c>
      <c r="CC325" s="1998">
        <v>1</v>
      </c>
      <c r="CD325" s="1998">
        <v>1</v>
      </c>
      <c r="CE325" s="1998">
        <v>1</v>
      </c>
      <c r="CF325" s="1979">
        <v>1</v>
      </c>
      <c r="CG325" s="1979">
        <v>1</v>
      </c>
      <c r="CH325" s="1979">
        <v>1</v>
      </c>
      <c r="CI325" s="1979">
        <v>1</v>
      </c>
      <c r="CJ325" s="1979">
        <v>1</v>
      </c>
      <c r="CK325" s="1998">
        <v>1</v>
      </c>
      <c r="CL325" s="1998">
        <v>1</v>
      </c>
      <c r="CM325" s="1998">
        <v>1</v>
      </c>
      <c r="CN325" s="1998">
        <v>1</v>
      </c>
      <c r="CO325" s="1998">
        <v>1</v>
      </c>
      <c r="CP325" s="1979">
        <v>1</v>
      </c>
      <c r="CQ325" s="1979">
        <v>1</v>
      </c>
      <c r="CR325" s="1979">
        <v>1</v>
      </c>
      <c r="CS325" s="1979">
        <v>1</v>
      </c>
      <c r="CT325" s="1979">
        <v>1</v>
      </c>
      <c r="CU325" s="1998">
        <v>1</v>
      </c>
      <c r="CV325" s="1998">
        <v>1</v>
      </c>
      <c r="CW325" s="1998">
        <v>1</v>
      </c>
      <c r="CX325" s="1998">
        <v>1</v>
      </c>
      <c r="CY325" s="1998">
        <v>1</v>
      </c>
      <c r="CZ325" s="1979">
        <v>1</v>
      </c>
      <c r="DA325" s="1979">
        <v>1</v>
      </c>
      <c r="DB325" s="1979">
        <v>1</v>
      </c>
      <c r="DC325" s="1979">
        <v>1</v>
      </c>
      <c r="DD325" s="1979">
        <v>1</v>
      </c>
      <c r="DE325" s="1998">
        <v>8.0488597659215451</v>
      </c>
      <c r="DF325" s="1998">
        <v>8.0488597659215451</v>
      </c>
      <c r="DG325" s="1998">
        <v>8.0488597659215451</v>
      </c>
      <c r="DH325" s="1998">
        <v>8.0488597659215451</v>
      </c>
      <c r="DI325" s="1998">
        <v>8.0488597659215451</v>
      </c>
      <c r="DJ325" s="1979">
        <v>8.0329061668367086</v>
      </c>
      <c r="DK325" s="1979">
        <v>8.0329061668367086</v>
      </c>
      <c r="DL325" s="1979">
        <v>8.0329061668367086</v>
      </c>
      <c r="DM325" s="1979">
        <v>8.0329061668367086</v>
      </c>
      <c r="DN325" s="1979">
        <v>8.0329061668367086</v>
      </c>
      <c r="DO325" s="1998">
        <v>0.97975662301212196</v>
      </c>
      <c r="DP325" s="1998">
        <v>0.97975662301212196</v>
      </c>
      <c r="DQ325" s="1998">
        <v>0.97975662301212196</v>
      </c>
      <c r="DR325" s="1998">
        <v>0.97975662301212196</v>
      </c>
      <c r="DS325" s="1998">
        <v>0.97975662301212196</v>
      </c>
      <c r="DT325" s="1979">
        <v>0.97614876347816082</v>
      </c>
      <c r="DU325" s="1979">
        <v>0.97614876347816082</v>
      </c>
      <c r="DV325" s="1979">
        <v>0.97614876347816082</v>
      </c>
      <c r="DW325" s="1979">
        <v>0.97614876347816082</v>
      </c>
      <c r="DX325" s="2021">
        <v>0.97614876347816082</v>
      </c>
      <c r="EA325" s="2022"/>
      <c r="EB325" s="2">
        <v>19</v>
      </c>
      <c r="EC325" s="2" t="str">
        <f>CONCATENATE($U$8," ",$V$16)</f>
        <v>Proportion de fenêtres 60</v>
      </c>
      <c r="ED325" s="1998">
        <v>1.4765287570396433</v>
      </c>
      <c r="EE325" s="1998">
        <v>1.4247707565259566</v>
      </c>
      <c r="EF325" s="1998">
        <v>1.4609483160172825</v>
      </c>
      <c r="EG325" s="1998">
        <v>1.5041954070999464</v>
      </c>
      <c r="EH325" s="1998">
        <v>1.5391947113260496</v>
      </c>
      <c r="EI325" s="1979">
        <v>2.1609364430258791</v>
      </c>
      <c r="EJ325" s="1979">
        <v>2.2168500110664611</v>
      </c>
      <c r="EK325" s="1979">
        <v>2.283689218839112</v>
      </c>
      <c r="EL325" s="1979">
        <v>2.3575979582031015</v>
      </c>
      <c r="EM325" s="1979">
        <v>2.3820199764277237</v>
      </c>
      <c r="EN325" s="1998">
        <v>1.4798570087875509</v>
      </c>
      <c r="EO325" s="1998">
        <v>1.5131848005752877</v>
      </c>
      <c r="EP325" s="1998">
        <v>1.5152046667442414</v>
      </c>
      <c r="EQ325" s="1998">
        <v>1.5172245329131953</v>
      </c>
      <c r="ER325" s="1998">
        <v>1.5192443990821489</v>
      </c>
      <c r="ES325" s="1979">
        <v>1.9374552366693867</v>
      </c>
      <c r="ET325" s="1979">
        <v>1.9657333630347389</v>
      </c>
      <c r="EU325" s="1979">
        <v>1.9728028946260769</v>
      </c>
      <c r="EV325" s="1979">
        <v>1.9798724262174152</v>
      </c>
      <c r="EW325" s="1979">
        <v>1.9869419578087533</v>
      </c>
      <c r="EX325" s="1998">
        <v>1.506227746674329</v>
      </c>
      <c r="EY325" s="1998">
        <v>1.5387475919944844</v>
      </c>
      <c r="EZ325" s="1998">
        <v>1.5415754046310197</v>
      </c>
      <c r="FA325" s="1998">
        <v>1.544403217267555</v>
      </c>
      <c r="FB325" s="1998">
        <v>1.5472310299040901</v>
      </c>
      <c r="FC325" s="1979">
        <v>1.6705309323752346</v>
      </c>
      <c r="FD325" s="1979">
        <v>1.6563918691925588</v>
      </c>
      <c r="FE325" s="1979">
        <v>1.6705309323752346</v>
      </c>
      <c r="FF325" s="1979">
        <v>1.684669995557911</v>
      </c>
      <c r="FG325" s="1979">
        <v>1.6988090587405869</v>
      </c>
      <c r="FH325" s="1998">
        <v>2.4810668683853279</v>
      </c>
      <c r="FI325" s="1998">
        <v>2.4881363999766664</v>
      </c>
      <c r="FJ325" s="1998">
        <v>2.495205931568004</v>
      </c>
      <c r="FK325" s="1998">
        <v>2.502275463159342</v>
      </c>
      <c r="FL325" s="1998">
        <v>2.5093449947506805</v>
      </c>
      <c r="FM325" s="1979">
        <v>1.5290994543659451</v>
      </c>
      <c r="FN325" s="1979">
        <v>1.556780598063584</v>
      </c>
      <c r="FO325" s="1979">
        <v>1.5977210410125335</v>
      </c>
      <c r="FP325" s="1979">
        <v>1.64573101555282</v>
      </c>
      <c r="FQ325" s="1979">
        <v>1.6772454163799853</v>
      </c>
      <c r="FR325" s="1998">
        <v>19.015233806274907</v>
      </c>
      <c r="FS325" s="1998">
        <v>19.072135474664343</v>
      </c>
      <c r="FT325" s="1998">
        <v>19.129037143053775</v>
      </c>
      <c r="FU325" s="1998">
        <v>19.185938811443204</v>
      </c>
      <c r="FV325" s="1998">
        <v>19.242840479832637</v>
      </c>
      <c r="FW325" s="1979">
        <v>19.364722317530394</v>
      </c>
      <c r="FX325" s="1979">
        <v>19.421511201447096</v>
      </c>
      <c r="FY325" s="1979">
        <v>19.478300085363806</v>
      </c>
      <c r="FZ325" s="1979">
        <v>19.535088969280515</v>
      </c>
      <c r="GA325" s="1979">
        <v>19.591877853197214</v>
      </c>
      <c r="GB325" s="1998">
        <v>1.7143567863988742</v>
      </c>
      <c r="GC325" s="1998">
        <v>1.7212832067970811</v>
      </c>
      <c r="GD325" s="1998">
        <v>1.7282096271952878</v>
      </c>
      <c r="GE325" s="1998">
        <v>1.7351360475934949</v>
      </c>
      <c r="GF325" s="1998">
        <v>1.7489888883899087</v>
      </c>
      <c r="GG325" s="1979">
        <v>1.7883864026298111</v>
      </c>
      <c r="GH325" s="1979">
        <v>1.7952873171510653</v>
      </c>
      <c r="GI325" s="1979">
        <v>1.8021882316723201</v>
      </c>
      <c r="GJ325" s="1979">
        <v>1.8090891461935745</v>
      </c>
      <c r="GK325" s="2021">
        <v>1.8228909752360833</v>
      </c>
    </row>
    <row r="326" spans="1:193">
      <c r="A326" s="2020"/>
      <c r="B326" s="2">
        <v>20</v>
      </c>
      <c r="C326" s="2" t="str">
        <f>CONCATENATE($U$8," ",$V$17)</f>
        <v>Proportion de fenêtres 70</v>
      </c>
      <c r="D326" s="1998">
        <f>IF(Construction!$F$31=Construction!$R$22,Oeko!BQ326,Oeko!ED326)</f>
        <v>1.09375</v>
      </c>
      <c r="E326" s="1998">
        <f>IF(Construction!$F$31=Construction!$R$22,Oeko!BR326,Oeko!EE326)</f>
        <v>1</v>
      </c>
      <c r="F326" s="1998">
        <f>IF(Construction!$F$31=Construction!$R$22,Oeko!BS326,Oeko!EF326)</f>
        <v>1</v>
      </c>
      <c r="G326" s="1998">
        <f>IF(Construction!$F$31=Construction!$R$22,Oeko!BT326,Oeko!EG326)</f>
        <v>1</v>
      </c>
      <c r="H326" s="1998">
        <f>IF(Construction!$F$31=Construction!$R$22,Oeko!BU326,Oeko!EH326)</f>
        <v>1</v>
      </c>
      <c r="I326" s="1979">
        <f>IF(Construction!$F$31=Construction!$R$22,Oeko!BV326,Oeko!EI326)</f>
        <v>1</v>
      </c>
      <c r="J326" s="1979">
        <f>IF(Construction!$F$31=Construction!$R$22,Oeko!BW326,Oeko!EJ326)</f>
        <v>1</v>
      </c>
      <c r="K326" s="1979">
        <f>IF(Construction!$F$31=Construction!$R$22,Oeko!BX326,Oeko!EK326)</f>
        <v>1</v>
      </c>
      <c r="L326" s="1979">
        <f>IF(Construction!$F$31=Construction!$R$22,Oeko!BY326,Oeko!EL326)</f>
        <v>1</v>
      </c>
      <c r="M326" s="1979">
        <f>IF(Construction!$F$31=Construction!$R$22,Oeko!BZ326,Oeko!EM326)</f>
        <v>1</v>
      </c>
      <c r="N326" s="1998">
        <f>IF(Construction!$F$31=Construction!$R$22,Oeko!CA326,Oeko!EN326)</f>
        <v>1</v>
      </c>
      <c r="O326" s="1998">
        <f>IF(Construction!$F$31=Construction!$R$22,Oeko!CB326,Oeko!EO326)</f>
        <v>1</v>
      </c>
      <c r="P326" s="1998">
        <f>IF(Construction!$F$31=Construction!$R$22,Oeko!CC326,Oeko!EP326)</f>
        <v>1</v>
      </c>
      <c r="Q326" s="1998">
        <f>IF(Construction!$F$31=Construction!$R$22,Oeko!CD326,Oeko!EQ326)</f>
        <v>1</v>
      </c>
      <c r="R326" s="1998">
        <f>IF(Construction!$F$31=Construction!$R$22,Oeko!CE326,Oeko!ER326)</f>
        <v>1</v>
      </c>
      <c r="S326" s="1979">
        <f>IF(Construction!$F$31=Construction!$R$22,Oeko!CF326,Oeko!ES326)</f>
        <v>1</v>
      </c>
      <c r="T326" s="1979">
        <f>IF(Construction!$F$31=Construction!$R$22,Oeko!CG326,Oeko!ET326)</f>
        <v>1</v>
      </c>
      <c r="U326" s="1979">
        <f>IF(Construction!$F$31=Construction!$R$22,Oeko!CH326,Oeko!EU326)</f>
        <v>1</v>
      </c>
      <c r="V326" s="1979">
        <f>IF(Construction!$F$31=Construction!$R$22,Oeko!CI326,Oeko!EV326)</f>
        <v>1</v>
      </c>
      <c r="W326" s="1979">
        <f>IF(Construction!$F$31=Construction!$R$22,Oeko!CJ326,Oeko!EW326)</f>
        <v>1</v>
      </c>
      <c r="X326" s="1998">
        <f>IF(Construction!$F$31=Construction!$R$22,Oeko!CK326,Oeko!EX326)</f>
        <v>1</v>
      </c>
      <c r="Y326" s="1998">
        <f>IF(Construction!$F$31=Construction!$R$22,Oeko!CL326,Oeko!EY326)</f>
        <v>1</v>
      </c>
      <c r="Z326" s="1998">
        <f>IF(Construction!$F$31=Construction!$R$22,Oeko!CM326,Oeko!EZ326)</f>
        <v>1</v>
      </c>
      <c r="AA326" s="1998">
        <f>IF(Construction!$F$31=Construction!$R$22,Oeko!CN326,Oeko!FA326)</f>
        <v>1</v>
      </c>
      <c r="AB326" s="1998">
        <f>IF(Construction!$F$31=Construction!$R$22,Oeko!CO326,Oeko!FB326)</f>
        <v>1</v>
      </c>
      <c r="AC326" s="1979">
        <f>IF(Construction!$F$31=Construction!$R$22,Oeko!CP326,Oeko!FC326)</f>
        <v>1</v>
      </c>
      <c r="AD326" s="1979">
        <f>IF(Construction!$F$31=Construction!$R$22,Oeko!CQ326,Oeko!FD326)</f>
        <v>1</v>
      </c>
      <c r="AE326" s="1979">
        <f>IF(Construction!$F$31=Construction!$R$22,Oeko!CR326,Oeko!FE326)</f>
        <v>1</v>
      </c>
      <c r="AF326" s="1979">
        <f>IF(Construction!$F$31=Construction!$R$22,Oeko!CS326,Oeko!FF326)</f>
        <v>1</v>
      </c>
      <c r="AG326" s="1979">
        <f>IF(Construction!$F$31=Construction!$R$22,Oeko!CT326,Oeko!FG326)</f>
        <v>1</v>
      </c>
      <c r="AH326" s="1998">
        <f>IF(Construction!$F$31=Construction!$R$22,Oeko!CU326,Oeko!FH326)</f>
        <v>1</v>
      </c>
      <c r="AI326" s="1998">
        <f>IF(Construction!$F$31=Construction!$R$22,Oeko!CV326,Oeko!FI326)</f>
        <v>1</v>
      </c>
      <c r="AJ326" s="1998">
        <f>IF(Construction!$F$31=Construction!$R$22,Oeko!CW326,Oeko!FJ326)</f>
        <v>1</v>
      </c>
      <c r="AK326" s="1998">
        <f>IF(Construction!$F$31=Construction!$R$22,Oeko!CX326,Oeko!FK326)</f>
        <v>1</v>
      </c>
      <c r="AL326" s="1998">
        <f>IF(Construction!$F$31=Construction!$R$22,Oeko!CY326,Oeko!FL326)</f>
        <v>1</v>
      </c>
      <c r="AM326" s="1979">
        <f>IF(Construction!$F$31=Construction!$R$22,Oeko!CZ326,Oeko!FM326)</f>
        <v>1</v>
      </c>
      <c r="AN326" s="1979">
        <f>IF(Construction!$F$31=Construction!$R$22,Oeko!DA326,Oeko!FN326)</f>
        <v>1</v>
      </c>
      <c r="AO326" s="1979">
        <f>IF(Construction!$F$31=Construction!$R$22,Oeko!DB326,Oeko!FO326)</f>
        <v>1</v>
      </c>
      <c r="AP326" s="1979">
        <f>IF(Construction!$F$31=Construction!$R$22,Oeko!DC326,Oeko!FP326)</f>
        <v>1</v>
      </c>
      <c r="AQ326" s="1979">
        <f>IF(Construction!$F$31=Construction!$R$22,Oeko!DD326,Oeko!FQ326)</f>
        <v>1</v>
      </c>
      <c r="AR326" s="1998">
        <f>IF(Construction!$F$31=Construction!$R$22,Oeko!DE326,Oeko!FR326)</f>
        <v>8.0488597659215451</v>
      </c>
      <c r="AS326" s="1998">
        <f>IF(Construction!$F$31=Construction!$R$22,Oeko!DF326,Oeko!FS326)</f>
        <v>8.0488597659215451</v>
      </c>
      <c r="AT326" s="1998">
        <f>IF(Construction!$F$31=Construction!$R$22,Oeko!DG326,Oeko!FT326)</f>
        <v>8.0488597659215451</v>
      </c>
      <c r="AU326" s="1998">
        <f>IF(Construction!$F$31=Construction!$R$22,Oeko!DH326,Oeko!FU326)</f>
        <v>8.0488597659215451</v>
      </c>
      <c r="AV326" s="1998">
        <f>IF(Construction!$F$31=Construction!$R$22,Oeko!DI326,Oeko!FV326)</f>
        <v>8.0488597659215451</v>
      </c>
      <c r="AW326" s="1979">
        <f>IF(Construction!$F$31=Construction!$R$22,Oeko!DJ326,Oeko!FW326)</f>
        <v>8.0329061668367086</v>
      </c>
      <c r="AX326" s="1979">
        <f>IF(Construction!$F$31=Construction!$R$22,Oeko!DK326,Oeko!FX326)</f>
        <v>8.0329061668367086</v>
      </c>
      <c r="AY326" s="1979">
        <f>IF(Construction!$F$31=Construction!$R$22,Oeko!DL326,Oeko!FY326)</f>
        <v>8.0329061668367086</v>
      </c>
      <c r="AZ326" s="1979">
        <f>IF(Construction!$F$31=Construction!$R$22,Oeko!DM326,Oeko!FZ326)</f>
        <v>8.0329061668367086</v>
      </c>
      <c r="BA326" s="1979">
        <f>IF(Construction!$F$31=Construction!$R$22,Oeko!DN326,Oeko!GA326)</f>
        <v>8.0329061668367086</v>
      </c>
      <c r="BB326" s="1998">
        <f>IF(Construction!$F$31=Construction!$R$22,Oeko!DO326,Oeko!GB326)</f>
        <v>0.97975662301212196</v>
      </c>
      <c r="BC326" s="1998">
        <f>IF(Construction!$F$31=Construction!$R$22,Oeko!DP326,Oeko!GC326)</f>
        <v>0.97975662301212196</v>
      </c>
      <c r="BD326" s="1998">
        <f>IF(Construction!$F$31=Construction!$R$22,Oeko!DQ326,Oeko!GD326)</f>
        <v>0.97975662301212196</v>
      </c>
      <c r="BE326" s="1998">
        <f>IF(Construction!$F$31=Construction!$R$22,Oeko!DR326,Oeko!GE326)</f>
        <v>0.97975662301212196</v>
      </c>
      <c r="BF326" s="1998">
        <f>IF(Construction!$F$31=Construction!$R$22,Oeko!DS326,Oeko!GF326)</f>
        <v>0.97975662301212196</v>
      </c>
      <c r="BG326" s="1979">
        <f>IF(Construction!$F$31=Construction!$R$22,Oeko!DT326,Oeko!GG326)</f>
        <v>0.97614876347816082</v>
      </c>
      <c r="BH326" s="1979">
        <f>IF(Construction!$F$31=Construction!$R$22,Oeko!DU326,Oeko!GH326)</f>
        <v>0.97614876347816082</v>
      </c>
      <c r="BI326" s="1979">
        <f>IF(Construction!$F$31=Construction!$R$22,Oeko!DV326,Oeko!GI326)</f>
        <v>0.97614876347816082</v>
      </c>
      <c r="BJ326" s="1979">
        <f>IF(Construction!$F$31=Construction!$R$22,Oeko!DW326,Oeko!GJ326)</f>
        <v>0.97614876347816082</v>
      </c>
      <c r="BK326" s="2021">
        <f>IF(Construction!$F$31=Construction!$R$22,Oeko!DX326,Oeko!GK326)</f>
        <v>0.97614876347816082</v>
      </c>
      <c r="BN326" s="2022"/>
      <c r="BO326" s="2">
        <v>20</v>
      </c>
      <c r="BP326" s="2" t="str">
        <f>CONCATENATE($U$8," ",$V$17)</f>
        <v>Proportion de fenêtres 70</v>
      </c>
      <c r="BQ326" s="1998">
        <v>1.09375</v>
      </c>
      <c r="BR326" s="1998">
        <v>1</v>
      </c>
      <c r="BS326" s="1998">
        <v>1</v>
      </c>
      <c r="BT326" s="1998">
        <v>1</v>
      </c>
      <c r="BU326" s="1998">
        <v>1</v>
      </c>
      <c r="BV326" s="1979">
        <v>1</v>
      </c>
      <c r="BW326" s="1979">
        <v>1</v>
      </c>
      <c r="BX326" s="1979">
        <v>1</v>
      </c>
      <c r="BY326" s="1979">
        <v>1</v>
      </c>
      <c r="BZ326" s="1979">
        <v>1</v>
      </c>
      <c r="CA326" s="1998">
        <v>1</v>
      </c>
      <c r="CB326" s="1998">
        <v>1</v>
      </c>
      <c r="CC326" s="1998">
        <v>1</v>
      </c>
      <c r="CD326" s="1998">
        <v>1</v>
      </c>
      <c r="CE326" s="1998">
        <v>1</v>
      </c>
      <c r="CF326" s="1979">
        <v>1</v>
      </c>
      <c r="CG326" s="1979">
        <v>1</v>
      </c>
      <c r="CH326" s="1979">
        <v>1</v>
      </c>
      <c r="CI326" s="1979">
        <v>1</v>
      </c>
      <c r="CJ326" s="1979">
        <v>1</v>
      </c>
      <c r="CK326" s="1998">
        <v>1</v>
      </c>
      <c r="CL326" s="1998">
        <v>1</v>
      </c>
      <c r="CM326" s="1998">
        <v>1</v>
      </c>
      <c r="CN326" s="1998">
        <v>1</v>
      </c>
      <c r="CO326" s="1998">
        <v>1</v>
      </c>
      <c r="CP326" s="1979">
        <v>1</v>
      </c>
      <c r="CQ326" s="1979">
        <v>1</v>
      </c>
      <c r="CR326" s="1979">
        <v>1</v>
      </c>
      <c r="CS326" s="1979">
        <v>1</v>
      </c>
      <c r="CT326" s="1979">
        <v>1</v>
      </c>
      <c r="CU326" s="1998">
        <v>1</v>
      </c>
      <c r="CV326" s="1998">
        <v>1</v>
      </c>
      <c r="CW326" s="1998">
        <v>1</v>
      </c>
      <c r="CX326" s="1998">
        <v>1</v>
      </c>
      <c r="CY326" s="1998">
        <v>1</v>
      </c>
      <c r="CZ326" s="1979">
        <v>1</v>
      </c>
      <c r="DA326" s="1979">
        <v>1</v>
      </c>
      <c r="DB326" s="1979">
        <v>1</v>
      </c>
      <c r="DC326" s="1979">
        <v>1</v>
      </c>
      <c r="DD326" s="1979">
        <v>1</v>
      </c>
      <c r="DE326" s="1998">
        <v>8.0488597659215451</v>
      </c>
      <c r="DF326" s="1998">
        <v>8.0488597659215451</v>
      </c>
      <c r="DG326" s="1998">
        <v>8.0488597659215451</v>
      </c>
      <c r="DH326" s="1998">
        <v>8.0488597659215451</v>
      </c>
      <c r="DI326" s="1998">
        <v>8.0488597659215451</v>
      </c>
      <c r="DJ326" s="1979">
        <v>8.0329061668367086</v>
      </c>
      <c r="DK326" s="1979">
        <v>8.0329061668367086</v>
      </c>
      <c r="DL326" s="1979">
        <v>8.0329061668367086</v>
      </c>
      <c r="DM326" s="1979">
        <v>8.0329061668367086</v>
      </c>
      <c r="DN326" s="1979">
        <v>8.0329061668367086</v>
      </c>
      <c r="DO326" s="1998">
        <v>0.97975662301212196</v>
      </c>
      <c r="DP326" s="1998">
        <v>0.97975662301212196</v>
      </c>
      <c r="DQ326" s="1998">
        <v>0.97975662301212196</v>
      </c>
      <c r="DR326" s="1998">
        <v>0.97975662301212196</v>
      </c>
      <c r="DS326" s="1998">
        <v>0.97975662301212196</v>
      </c>
      <c r="DT326" s="1979">
        <v>0.97614876347816082</v>
      </c>
      <c r="DU326" s="1979">
        <v>0.97614876347816082</v>
      </c>
      <c r="DV326" s="1979">
        <v>0.97614876347816082</v>
      </c>
      <c r="DW326" s="1979">
        <v>0.97614876347816082</v>
      </c>
      <c r="DX326" s="2021">
        <v>0.97614876347816082</v>
      </c>
      <c r="EA326" s="2022"/>
      <c r="EB326" s="2">
        <v>20</v>
      </c>
      <c r="EC326" s="2" t="str">
        <f>CONCATENATE($U$8," ",$V$17)</f>
        <v>Proportion de fenêtres 70</v>
      </c>
      <c r="ED326" s="1998">
        <v>1.4765287570396433</v>
      </c>
      <c r="EE326" s="1998">
        <v>1.4137258941267359</v>
      </c>
      <c r="EF326" s="1998">
        <v>1.4494014144180971</v>
      </c>
      <c r="EG326" s="1998">
        <v>1.4921464663007962</v>
      </c>
      <c r="EH326" s="1998">
        <v>1.5266437313269345</v>
      </c>
      <c r="EI326" s="1979">
        <v>2.1448693257728375</v>
      </c>
      <c r="EJ326" s="1979">
        <v>2.1991761820881162</v>
      </c>
      <c r="EK326" s="1979">
        <v>2.2652120339981154</v>
      </c>
      <c r="EL326" s="1979">
        <v>2.3383174174994523</v>
      </c>
      <c r="EM326" s="1979">
        <v>2.3619360798614224</v>
      </c>
      <c r="EN326" s="1998">
        <v>1.468319533230487</v>
      </c>
      <c r="EO326" s="1998">
        <v>1.5016473250182238</v>
      </c>
      <c r="EP326" s="1998">
        <v>1.5036671911871775</v>
      </c>
      <c r="EQ326" s="1998">
        <v>1.5056870573561314</v>
      </c>
      <c r="ER326" s="1998">
        <v>1.5077069235250851</v>
      </c>
      <c r="ES326" s="1979">
        <v>1.9125704854678764</v>
      </c>
      <c r="ET326" s="1979">
        <v>1.9408486118332291</v>
      </c>
      <c r="EU326" s="1979">
        <v>1.9479181434245669</v>
      </c>
      <c r="EV326" s="1979">
        <v>1.954987675015905</v>
      </c>
      <c r="EW326" s="1979">
        <v>1.962057206607243</v>
      </c>
      <c r="EX326" s="1998">
        <v>1.4962221376197999</v>
      </c>
      <c r="EY326" s="1998">
        <v>1.5287419829399551</v>
      </c>
      <c r="EZ326" s="1998">
        <v>1.5315697955764906</v>
      </c>
      <c r="FA326" s="1998">
        <v>1.5343976082130255</v>
      </c>
      <c r="FB326" s="1998">
        <v>1.5372254208495608</v>
      </c>
      <c r="FC326" s="1979">
        <v>1.6598418006091313</v>
      </c>
      <c r="FD326" s="1979">
        <v>1.6457027374264555</v>
      </c>
      <c r="FE326" s="1979">
        <v>1.6598418006091313</v>
      </c>
      <c r="FF326" s="1979">
        <v>1.6739808637918079</v>
      </c>
      <c r="FG326" s="1979">
        <v>1.6881199269744838</v>
      </c>
      <c r="FH326" s="1998">
        <v>2.4588483405268367</v>
      </c>
      <c r="FI326" s="1998">
        <v>2.4659178721181751</v>
      </c>
      <c r="FJ326" s="1998">
        <v>2.4729874037095132</v>
      </c>
      <c r="FK326" s="1998">
        <v>2.4800569353008513</v>
      </c>
      <c r="FL326" s="1998">
        <v>2.4871264668921889</v>
      </c>
      <c r="FM326" s="1979">
        <v>1.5247006347091123</v>
      </c>
      <c r="FN326" s="1979">
        <v>1.5519418964410683</v>
      </c>
      <c r="FO326" s="1979">
        <v>1.5926623984071759</v>
      </c>
      <c r="FP326" s="1979">
        <v>1.640452431964621</v>
      </c>
      <c r="FQ326" s="1979">
        <v>1.6717468918089446</v>
      </c>
      <c r="FR326" s="1998">
        <v>18.935571470529702</v>
      </c>
      <c r="FS326" s="1998">
        <v>18.992473138919134</v>
      </c>
      <c r="FT326" s="1998">
        <v>19.049374807308567</v>
      </c>
      <c r="FU326" s="1998">
        <v>19.106276475698003</v>
      </c>
      <c r="FV326" s="1998">
        <v>19.163178144087432</v>
      </c>
      <c r="FW326" s="1979">
        <v>19.281972800966049</v>
      </c>
      <c r="FX326" s="1979">
        <v>19.338761684882755</v>
      </c>
      <c r="FY326" s="1979">
        <v>19.395550568799461</v>
      </c>
      <c r="FZ326" s="1979">
        <v>19.452339452716171</v>
      </c>
      <c r="GA326" s="1979">
        <v>19.509128336632873</v>
      </c>
      <c r="GB326" s="1998">
        <v>1.7051659593320228</v>
      </c>
      <c r="GC326" s="1998">
        <v>1.7120923797302299</v>
      </c>
      <c r="GD326" s="1998">
        <v>1.7190188001284363</v>
      </c>
      <c r="GE326" s="1998">
        <v>1.7259452205266435</v>
      </c>
      <c r="GF326" s="1998">
        <v>1.7397980613230573</v>
      </c>
      <c r="GG326" s="1979">
        <v>1.7707890706006122</v>
      </c>
      <c r="GH326" s="1979">
        <v>1.7776899851218666</v>
      </c>
      <c r="GI326" s="1979">
        <v>1.7845908996431212</v>
      </c>
      <c r="GJ326" s="1979">
        <v>1.7914918141643756</v>
      </c>
      <c r="GK326" s="2021">
        <v>1.8052936432068845</v>
      </c>
    </row>
    <row r="327" spans="1:193">
      <c r="A327" s="2020"/>
      <c r="B327" s="2">
        <v>21</v>
      </c>
      <c r="C327" s="2" t="str">
        <f>CONCATENATE($U$8," ",$V$18)</f>
        <v>Proportion de fenêtres 80</v>
      </c>
      <c r="D327" s="1998">
        <f>IF(Construction!$F$31=Construction!$R$22,Oeko!BQ327,Oeko!ED327)</f>
        <v>1.09375</v>
      </c>
      <c r="E327" s="1998">
        <f>IF(Construction!$F$31=Construction!$R$22,Oeko!BR327,Oeko!EE327)</f>
        <v>1</v>
      </c>
      <c r="F327" s="1998">
        <f>IF(Construction!$F$31=Construction!$R$22,Oeko!BS327,Oeko!EF327)</f>
        <v>1</v>
      </c>
      <c r="G327" s="1998">
        <f>IF(Construction!$F$31=Construction!$R$22,Oeko!BT327,Oeko!EG327)</f>
        <v>1</v>
      </c>
      <c r="H327" s="1998">
        <f>IF(Construction!$F$31=Construction!$R$22,Oeko!BU327,Oeko!EH327)</f>
        <v>1</v>
      </c>
      <c r="I327" s="1979">
        <f>IF(Construction!$F$31=Construction!$R$22,Oeko!BV327,Oeko!EI327)</f>
        <v>1</v>
      </c>
      <c r="J327" s="1979">
        <f>IF(Construction!$F$31=Construction!$R$22,Oeko!BW327,Oeko!EJ327)</f>
        <v>1</v>
      </c>
      <c r="K327" s="1979">
        <f>IF(Construction!$F$31=Construction!$R$22,Oeko!BX327,Oeko!EK327)</f>
        <v>1</v>
      </c>
      <c r="L327" s="1979">
        <f>IF(Construction!$F$31=Construction!$R$22,Oeko!BY327,Oeko!EL327)</f>
        <v>1</v>
      </c>
      <c r="M327" s="1979">
        <f>IF(Construction!$F$31=Construction!$R$22,Oeko!BZ327,Oeko!EM327)</f>
        <v>1</v>
      </c>
      <c r="N327" s="1998">
        <f>IF(Construction!$F$31=Construction!$R$22,Oeko!CA327,Oeko!EN327)</f>
        <v>1</v>
      </c>
      <c r="O327" s="1998">
        <f>IF(Construction!$F$31=Construction!$R$22,Oeko!CB327,Oeko!EO327)</f>
        <v>1</v>
      </c>
      <c r="P327" s="1998">
        <f>IF(Construction!$F$31=Construction!$R$22,Oeko!CC327,Oeko!EP327)</f>
        <v>1</v>
      </c>
      <c r="Q327" s="1998">
        <f>IF(Construction!$F$31=Construction!$R$22,Oeko!CD327,Oeko!EQ327)</f>
        <v>1</v>
      </c>
      <c r="R327" s="1998">
        <f>IF(Construction!$F$31=Construction!$R$22,Oeko!CE327,Oeko!ER327)</f>
        <v>1</v>
      </c>
      <c r="S327" s="1979">
        <f>IF(Construction!$F$31=Construction!$R$22,Oeko!CF327,Oeko!ES327)</f>
        <v>1</v>
      </c>
      <c r="T327" s="1979">
        <f>IF(Construction!$F$31=Construction!$R$22,Oeko!CG327,Oeko!ET327)</f>
        <v>1</v>
      </c>
      <c r="U327" s="1979">
        <f>IF(Construction!$F$31=Construction!$R$22,Oeko!CH327,Oeko!EU327)</f>
        <v>1</v>
      </c>
      <c r="V327" s="1979">
        <f>IF(Construction!$F$31=Construction!$R$22,Oeko!CI327,Oeko!EV327)</f>
        <v>1</v>
      </c>
      <c r="W327" s="1979">
        <f>IF(Construction!$F$31=Construction!$R$22,Oeko!CJ327,Oeko!EW327)</f>
        <v>1</v>
      </c>
      <c r="X327" s="1998">
        <f>IF(Construction!$F$31=Construction!$R$22,Oeko!CK327,Oeko!EX327)</f>
        <v>1</v>
      </c>
      <c r="Y327" s="1998">
        <f>IF(Construction!$F$31=Construction!$R$22,Oeko!CL327,Oeko!EY327)</f>
        <v>1</v>
      </c>
      <c r="Z327" s="1998">
        <f>IF(Construction!$F$31=Construction!$R$22,Oeko!CM327,Oeko!EZ327)</f>
        <v>1</v>
      </c>
      <c r="AA327" s="1998">
        <f>IF(Construction!$F$31=Construction!$R$22,Oeko!CN327,Oeko!FA327)</f>
        <v>1</v>
      </c>
      <c r="AB327" s="1998">
        <f>IF(Construction!$F$31=Construction!$R$22,Oeko!CO327,Oeko!FB327)</f>
        <v>1</v>
      </c>
      <c r="AC327" s="1979">
        <f>IF(Construction!$F$31=Construction!$R$22,Oeko!CP327,Oeko!FC327)</f>
        <v>1</v>
      </c>
      <c r="AD327" s="1979">
        <f>IF(Construction!$F$31=Construction!$R$22,Oeko!CQ327,Oeko!FD327)</f>
        <v>1</v>
      </c>
      <c r="AE327" s="1979">
        <f>IF(Construction!$F$31=Construction!$R$22,Oeko!CR327,Oeko!FE327)</f>
        <v>1</v>
      </c>
      <c r="AF327" s="1979">
        <f>IF(Construction!$F$31=Construction!$R$22,Oeko!CS327,Oeko!FF327)</f>
        <v>1</v>
      </c>
      <c r="AG327" s="1979">
        <f>IF(Construction!$F$31=Construction!$R$22,Oeko!CT327,Oeko!FG327)</f>
        <v>1</v>
      </c>
      <c r="AH327" s="1998">
        <f>IF(Construction!$F$31=Construction!$R$22,Oeko!CU327,Oeko!FH327)</f>
        <v>1</v>
      </c>
      <c r="AI327" s="1998">
        <f>IF(Construction!$F$31=Construction!$R$22,Oeko!CV327,Oeko!FI327)</f>
        <v>1</v>
      </c>
      <c r="AJ327" s="1998">
        <f>IF(Construction!$F$31=Construction!$R$22,Oeko!CW327,Oeko!FJ327)</f>
        <v>1</v>
      </c>
      <c r="AK327" s="1998">
        <f>IF(Construction!$F$31=Construction!$R$22,Oeko!CX327,Oeko!FK327)</f>
        <v>1</v>
      </c>
      <c r="AL327" s="1998">
        <f>IF(Construction!$F$31=Construction!$R$22,Oeko!CY327,Oeko!FL327)</f>
        <v>1</v>
      </c>
      <c r="AM327" s="1979">
        <f>IF(Construction!$F$31=Construction!$R$22,Oeko!CZ327,Oeko!FM327)</f>
        <v>1</v>
      </c>
      <c r="AN327" s="1979">
        <f>IF(Construction!$F$31=Construction!$R$22,Oeko!DA327,Oeko!FN327)</f>
        <v>1</v>
      </c>
      <c r="AO327" s="1979">
        <f>IF(Construction!$F$31=Construction!$R$22,Oeko!DB327,Oeko!FO327)</f>
        <v>1</v>
      </c>
      <c r="AP327" s="1979">
        <f>IF(Construction!$F$31=Construction!$R$22,Oeko!DC327,Oeko!FP327)</f>
        <v>1</v>
      </c>
      <c r="AQ327" s="1979">
        <f>IF(Construction!$F$31=Construction!$R$22,Oeko!DD327,Oeko!FQ327)</f>
        <v>1</v>
      </c>
      <c r="AR327" s="1998">
        <f>IF(Construction!$F$31=Construction!$R$22,Oeko!DE327,Oeko!FR327)</f>
        <v>8.0488597659215451</v>
      </c>
      <c r="AS327" s="1998">
        <f>IF(Construction!$F$31=Construction!$R$22,Oeko!DF327,Oeko!FS327)</f>
        <v>8.0488597659215451</v>
      </c>
      <c r="AT327" s="1998">
        <f>IF(Construction!$F$31=Construction!$R$22,Oeko!DG327,Oeko!FT327)</f>
        <v>8.0488597659215451</v>
      </c>
      <c r="AU327" s="1998">
        <f>IF(Construction!$F$31=Construction!$R$22,Oeko!DH327,Oeko!FU327)</f>
        <v>8.0488597659215451</v>
      </c>
      <c r="AV327" s="1998">
        <f>IF(Construction!$F$31=Construction!$R$22,Oeko!DI327,Oeko!FV327)</f>
        <v>8.0488597659215451</v>
      </c>
      <c r="AW327" s="1979">
        <f>IF(Construction!$F$31=Construction!$R$22,Oeko!DJ327,Oeko!FW327)</f>
        <v>8.0329061668367086</v>
      </c>
      <c r="AX327" s="1979">
        <f>IF(Construction!$F$31=Construction!$R$22,Oeko!DK327,Oeko!FX327)</f>
        <v>8.0329061668367086</v>
      </c>
      <c r="AY327" s="1979">
        <f>IF(Construction!$F$31=Construction!$R$22,Oeko!DL327,Oeko!FY327)</f>
        <v>8.0329061668367086</v>
      </c>
      <c r="AZ327" s="1979">
        <f>IF(Construction!$F$31=Construction!$R$22,Oeko!DM327,Oeko!FZ327)</f>
        <v>8.0329061668367086</v>
      </c>
      <c r="BA327" s="1979">
        <f>IF(Construction!$F$31=Construction!$R$22,Oeko!DN327,Oeko!GA327)</f>
        <v>8.0329061668367086</v>
      </c>
      <c r="BB327" s="1998">
        <f>IF(Construction!$F$31=Construction!$R$22,Oeko!DO327,Oeko!GB327)</f>
        <v>0.97975662301212196</v>
      </c>
      <c r="BC327" s="1998">
        <f>IF(Construction!$F$31=Construction!$R$22,Oeko!DP327,Oeko!GC327)</f>
        <v>0.97975662301212196</v>
      </c>
      <c r="BD327" s="1998">
        <f>IF(Construction!$F$31=Construction!$R$22,Oeko!DQ327,Oeko!GD327)</f>
        <v>0.97975662301212196</v>
      </c>
      <c r="BE327" s="1998">
        <f>IF(Construction!$F$31=Construction!$R$22,Oeko!DR327,Oeko!GE327)</f>
        <v>0.97975662301212196</v>
      </c>
      <c r="BF327" s="1998">
        <f>IF(Construction!$F$31=Construction!$R$22,Oeko!DS327,Oeko!GF327)</f>
        <v>0.97975662301212196</v>
      </c>
      <c r="BG327" s="1979">
        <f>IF(Construction!$F$31=Construction!$R$22,Oeko!DT327,Oeko!GG327)</f>
        <v>0.97614876347816082</v>
      </c>
      <c r="BH327" s="1979">
        <f>IF(Construction!$F$31=Construction!$R$22,Oeko!DU327,Oeko!GH327)</f>
        <v>0.97614876347816082</v>
      </c>
      <c r="BI327" s="1979">
        <f>IF(Construction!$F$31=Construction!$R$22,Oeko!DV327,Oeko!GI327)</f>
        <v>0.97614876347816082</v>
      </c>
      <c r="BJ327" s="1979">
        <f>IF(Construction!$F$31=Construction!$R$22,Oeko!DW327,Oeko!GJ327)</f>
        <v>0.97614876347816082</v>
      </c>
      <c r="BK327" s="2021">
        <f>IF(Construction!$F$31=Construction!$R$22,Oeko!DX327,Oeko!GK327)</f>
        <v>0.97614876347816082</v>
      </c>
      <c r="BN327" s="2022"/>
      <c r="BO327" s="2">
        <v>21</v>
      </c>
      <c r="BP327" s="2" t="str">
        <f>CONCATENATE($U$8," ",$V$18)</f>
        <v>Proportion de fenêtres 80</v>
      </c>
      <c r="BQ327" s="1998">
        <v>1.09375</v>
      </c>
      <c r="BR327" s="1998">
        <v>1</v>
      </c>
      <c r="BS327" s="1998">
        <v>1</v>
      </c>
      <c r="BT327" s="1998">
        <v>1</v>
      </c>
      <c r="BU327" s="1998">
        <v>1</v>
      </c>
      <c r="BV327" s="1979">
        <v>1</v>
      </c>
      <c r="BW327" s="1979">
        <v>1</v>
      </c>
      <c r="BX327" s="1979">
        <v>1</v>
      </c>
      <c r="BY327" s="1979">
        <v>1</v>
      </c>
      <c r="BZ327" s="1979">
        <v>1</v>
      </c>
      <c r="CA327" s="1998">
        <v>1</v>
      </c>
      <c r="CB327" s="1998">
        <v>1</v>
      </c>
      <c r="CC327" s="1998">
        <v>1</v>
      </c>
      <c r="CD327" s="1998">
        <v>1</v>
      </c>
      <c r="CE327" s="1998">
        <v>1</v>
      </c>
      <c r="CF327" s="1979">
        <v>1</v>
      </c>
      <c r="CG327" s="1979">
        <v>1</v>
      </c>
      <c r="CH327" s="1979">
        <v>1</v>
      </c>
      <c r="CI327" s="1979">
        <v>1</v>
      </c>
      <c r="CJ327" s="1979">
        <v>1</v>
      </c>
      <c r="CK327" s="1998">
        <v>1</v>
      </c>
      <c r="CL327" s="1998">
        <v>1</v>
      </c>
      <c r="CM327" s="1998">
        <v>1</v>
      </c>
      <c r="CN327" s="1998">
        <v>1</v>
      </c>
      <c r="CO327" s="1998">
        <v>1</v>
      </c>
      <c r="CP327" s="1979">
        <v>1</v>
      </c>
      <c r="CQ327" s="1979">
        <v>1</v>
      </c>
      <c r="CR327" s="1979">
        <v>1</v>
      </c>
      <c r="CS327" s="1979">
        <v>1</v>
      </c>
      <c r="CT327" s="1979">
        <v>1</v>
      </c>
      <c r="CU327" s="1998">
        <v>1</v>
      </c>
      <c r="CV327" s="1998">
        <v>1</v>
      </c>
      <c r="CW327" s="1998">
        <v>1</v>
      </c>
      <c r="CX327" s="1998">
        <v>1</v>
      </c>
      <c r="CY327" s="1998">
        <v>1</v>
      </c>
      <c r="CZ327" s="1979">
        <v>1</v>
      </c>
      <c r="DA327" s="1979">
        <v>1</v>
      </c>
      <c r="DB327" s="1979">
        <v>1</v>
      </c>
      <c r="DC327" s="1979">
        <v>1</v>
      </c>
      <c r="DD327" s="1979">
        <v>1</v>
      </c>
      <c r="DE327" s="1998">
        <v>8.0488597659215451</v>
      </c>
      <c r="DF327" s="1998">
        <v>8.0488597659215451</v>
      </c>
      <c r="DG327" s="1998">
        <v>8.0488597659215451</v>
      </c>
      <c r="DH327" s="1998">
        <v>8.0488597659215451</v>
      </c>
      <c r="DI327" s="1998">
        <v>8.0488597659215451</v>
      </c>
      <c r="DJ327" s="1979">
        <v>8.0329061668367086</v>
      </c>
      <c r="DK327" s="1979">
        <v>8.0329061668367086</v>
      </c>
      <c r="DL327" s="1979">
        <v>8.0329061668367086</v>
      </c>
      <c r="DM327" s="1979">
        <v>8.0329061668367086</v>
      </c>
      <c r="DN327" s="1979">
        <v>8.0329061668367086</v>
      </c>
      <c r="DO327" s="1998">
        <v>0.97975662301212196</v>
      </c>
      <c r="DP327" s="1998">
        <v>0.97975662301212196</v>
      </c>
      <c r="DQ327" s="1998">
        <v>0.97975662301212196</v>
      </c>
      <c r="DR327" s="1998">
        <v>0.97975662301212196</v>
      </c>
      <c r="DS327" s="1998">
        <v>0.97975662301212196</v>
      </c>
      <c r="DT327" s="1979">
        <v>0.97614876347816082</v>
      </c>
      <c r="DU327" s="1979">
        <v>0.97614876347816082</v>
      </c>
      <c r="DV327" s="1979">
        <v>0.97614876347816082</v>
      </c>
      <c r="DW327" s="1979">
        <v>0.97614876347816082</v>
      </c>
      <c r="DX327" s="2021">
        <v>0.97614876347816082</v>
      </c>
      <c r="EA327" s="2022"/>
      <c r="EB327" s="2">
        <v>21</v>
      </c>
      <c r="EC327" s="2" t="str">
        <f>CONCATENATE($U$8," ",$V$18)</f>
        <v>Proportion de fenêtres 80</v>
      </c>
      <c r="ED327" s="1998">
        <v>1.4765287570396433</v>
      </c>
      <c r="EE327" s="1998">
        <v>1.4026810317275151</v>
      </c>
      <c r="EF327" s="1998">
        <v>1.4378545128189117</v>
      </c>
      <c r="EG327" s="1998">
        <v>1.480097525501646</v>
      </c>
      <c r="EH327" s="1998">
        <v>1.5140927513278197</v>
      </c>
      <c r="EI327" s="1979">
        <v>2.128802208519796</v>
      </c>
      <c r="EJ327" s="1979">
        <v>2.1815023531097708</v>
      </c>
      <c r="EK327" s="1979">
        <v>2.246734849157118</v>
      </c>
      <c r="EL327" s="1979">
        <v>2.3190368767958027</v>
      </c>
      <c r="EM327" s="1979">
        <v>2.3418521832951211</v>
      </c>
      <c r="EN327" s="1998">
        <v>1.4567820576734236</v>
      </c>
      <c r="EO327" s="1998">
        <v>1.4901098494611602</v>
      </c>
      <c r="EP327" s="1998">
        <v>1.4921297156301141</v>
      </c>
      <c r="EQ327" s="1998">
        <v>1.4941495817990678</v>
      </c>
      <c r="ER327" s="1998">
        <v>1.4961694479680216</v>
      </c>
      <c r="ES327" s="1979">
        <v>1.8876857342663664</v>
      </c>
      <c r="ET327" s="1979">
        <v>1.9159638606317186</v>
      </c>
      <c r="EU327" s="1979">
        <v>1.9230333922230569</v>
      </c>
      <c r="EV327" s="1979">
        <v>1.930102923814395</v>
      </c>
      <c r="EW327" s="1979">
        <v>1.937172455405733</v>
      </c>
      <c r="EX327" s="1998">
        <v>1.4862165285652706</v>
      </c>
      <c r="EY327" s="1998">
        <v>1.518736373885426</v>
      </c>
      <c r="EZ327" s="1998">
        <v>1.5215641865219611</v>
      </c>
      <c r="FA327" s="1998">
        <v>1.5243919991584964</v>
      </c>
      <c r="FB327" s="1998">
        <v>1.5272198117950317</v>
      </c>
      <c r="FC327" s="1979">
        <v>1.6491526688430282</v>
      </c>
      <c r="FD327" s="1979">
        <v>1.6350136056603521</v>
      </c>
      <c r="FE327" s="1979">
        <v>1.6491526688430282</v>
      </c>
      <c r="FF327" s="1979">
        <v>1.6632917320257048</v>
      </c>
      <c r="FG327" s="1979">
        <v>1.6774307952083807</v>
      </c>
      <c r="FH327" s="1998">
        <v>2.4366298126683463</v>
      </c>
      <c r="FI327" s="1998">
        <v>2.4436993442596839</v>
      </c>
      <c r="FJ327" s="1998">
        <v>2.450768875851022</v>
      </c>
      <c r="FK327" s="1998">
        <v>2.4578384074423605</v>
      </c>
      <c r="FL327" s="1998">
        <v>2.4649079390336981</v>
      </c>
      <c r="FM327" s="1979">
        <v>1.5203018150522798</v>
      </c>
      <c r="FN327" s="1979">
        <v>1.5471031948185525</v>
      </c>
      <c r="FO327" s="1979">
        <v>1.5876037558018183</v>
      </c>
      <c r="FP327" s="1979">
        <v>1.6351738483764218</v>
      </c>
      <c r="FQ327" s="1979">
        <v>1.6662483672379038</v>
      </c>
      <c r="FR327" s="1998">
        <v>18.855909134784497</v>
      </c>
      <c r="FS327" s="1998">
        <v>18.912810803173933</v>
      </c>
      <c r="FT327" s="1998">
        <v>18.969712471563366</v>
      </c>
      <c r="FU327" s="1998">
        <v>19.026614139952795</v>
      </c>
      <c r="FV327" s="1998">
        <v>19.083515808342227</v>
      </c>
      <c r="FW327" s="1979">
        <v>19.199223284401704</v>
      </c>
      <c r="FX327" s="1979">
        <v>19.25601216831841</v>
      </c>
      <c r="FY327" s="1979">
        <v>19.312801052235116</v>
      </c>
      <c r="FZ327" s="1979">
        <v>19.369589936151826</v>
      </c>
      <c r="GA327" s="1979">
        <v>19.426378820068528</v>
      </c>
      <c r="GB327" s="1998">
        <v>1.6959751322651713</v>
      </c>
      <c r="GC327" s="1998">
        <v>1.7029015526633782</v>
      </c>
      <c r="GD327" s="1998">
        <v>1.7098279730615848</v>
      </c>
      <c r="GE327" s="1998">
        <v>1.716754393459792</v>
      </c>
      <c r="GF327" s="1998">
        <v>1.7306072342562056</v>
      </c>
      <c r="GG327" s="1979">
        <v>1.7531917385714133</v>
      </c>
      <c r="GH327" s="1979">
        <v>1.7600926530926677</v>
      </c>
      <c r="GI327" s="1979">
        <v>1.7669935676139223</v>
      </c>
      <c r="GJ327" s="1979">
        <v>1.7738944821351765</v>
      </c>
      <c r="GK327" s="2021">
        <v>1.7876963111776858</v>
      </c>
    </row>
    <row r="328" spans="1:193">
      <c r="A328" s="2020"/>
      <c r="B328" s="2">
        <v>22</v>
      </c>
      <c r="C328" s="2" t="str">
        <f>CONCATENATE($U$8," ",$V$19)</f>
        <v>Proportion de fenêtres 90</v>
      </c>
      <c r="D328" s="1998">
        <f>IF(Construction!$F$31=Construction!$R$22,Oeko!BQ328,Oeko!ED328)</f>
        <v>1.09375</v>
      </c>
      <c r="E328" s="1998">
        <f>IF(Construction!$F$31=Construction!$R$22,Oeko!BR328,Oeko!EE328)</f>
        <v>1</v>
      </c>
      <c r="F328" s="1998">
        <f>IF(Construction!$F$31=Construction!$R$22,Oeko!BS328,Oeko!EF328)</f>
        <v>1</v>
      </c>
      <c r="G328" s="1998">
        <f>IF(Construction!$F$31=Construction!$R$22,Oeko!BT328,Oeko!EG328)</f>
        <v>1</v>
      </c>
      <c r="H328" s="1998">
        <f>IF(Construction!$F$31=Construction!$R$22,Oeko!BU328,Oeko!EH328)</f>
        <v>1</v>
      </c>
      <c r="I328" s="1979">
        <f>IF(Construction!$F$31=Construction!$R$22,Oeko!BV328,Oeko!EI328)</f>
        <v>1</v>
      </c>
      <c r="J328" s="1979">
        <f>IF(Construction!$F$31=Construction!$R$22,Oeko!BW328,Oeko!EJ328)</f>
        <v>1</v>
      </c>
      <c r="K328" s="1979">
        <f>IF(Construction!$F$31=Construction!$R$22,Oeko!BX328,Oeko!EK328)</f>
        <v>1</v>
      </c>
      <c r="L328" s="1979">
        <f>IF(Construction!$F$31=Construction!$R$22,Oeko!BY328,Oeko!EL328)</f>
        <v>1</v>
      </c>
      <c r="M328" s="1979">
        <f>IF(Construction!$F$31=Construction!$R$22,Oeko!BZ328,Oeko!EM328)</f>
        <v>1</v>
      </c>
      <c r="N328" s="1998">
        <f>IF(Construction!$F$31=Construction!$R$22,Oeko!CA328,Oeko!EN328)</f>
        <v>1</v>
      </c>
      <c r="O328" s="1998">
        <f>IF(Construction!$F$31=Construction!$R$22,Oeko!CB328,Oeko!EO328)</f>
        <v>1</v>
      </c>
      <c r="P328" s="1998">
        <f>IF(Construction!$F$31=Construction!$R$22,Oeko!CC328,Oeko!EP328)</f>
        <v>1</v>
      </c>
      <c r="Q328" s="1998">
        <f>IF(Construction!$F$31=Construction!$R$22,Oeko!CD328,Oeko!EQ328)</f>
        <v>1</v>
      </c>
      <c r="R328" s="1998">
        <f>IF(Construction!$F$31=Construction!$R$22,Oeko!CE328,Oeko!ER328)</f>
        <v>1</v>
      </c>
      <c r="S328" s="1979">
        <f>IF(Construction!$F$31=Construction!$R$22,Oeko!CF328,Oeko!ES328)</f>
        <v>1</v>
      </c>
      <c r="T328" s="1979">
        <f>IF(Construction!$F$31=Construction!$R$22,Oeko!CG328,Oeko!ET328)</f>
        <v>1</v>
      </c>
      <c r="U328" s="1979">
        <f>IF(Construction!$F$31=Construction!$R$22,Oeko!CH328,Oeko!EU328)</f>
        <v>1</v>
      </c>
      <c r="V328" s="1979">
        <f>IF(Construction!$F$31=Construction!$R$22,Oeko!CI328,Oeko!EV328)</f>
        <v>1</v>
      </c>
      <c r="W328" s="1979">
        <f>IF(Construction!$F$31=Construction!$R$22,Oeko!CJ328,Oeko!EW328)</f>
        <v>1</v>
      </c>
      <c r="X328" s="1998">
        <f>IF(Construction!$F$31=Construction!$R$22,Oeko!CK328,Oeko!EX328)</f>
        <v>1</v>
      </c>
      <c r="Y328" s="1998">
        <f>IF(Construction!$F$31=Construction!$R$22,Oeko!CL328,Oeko!EY328)</f>
        <v>1</v>
      </c>
      <c r="Z328" s="1998">
        <f>IF(Construction!$F$31=Construction!$R$22,Oeko!CM328,Oeko!EZ328)</f>
        <v>1</v>
      </c>
      <c r="AA328" s="1998">
        <f>IF(Construction!$F$31=Construction!$R$22,Oeko!CN328,Oeko!FA328)</f>
        <v>1</v>
      </c>
      <c r="AB328" s="1998">
        <f>IF(Construction!$F$31=Construction!$R$22,Oeko!CO328,Oeko!FB328)</f>
        <v>1</v>
      </c>
      <c r="AC328" s="1979">
        <f>IF(Construction!$F$31=Construction!$R$22,Oeko!CP328,Oeko!FC328)</f>
        <v>1</v>
      </c>
      <c r="AD328" s="1979">
        <f>IF(Construction!$F$31=Construction!$R$22,Oeko!CQ328,Oeko!FD328)</f>
        <v>1</v>
      </c>
      <c r="AE328" s="1979">
        <f>IF(Construction!$F$31=Construction!$R$22,Oeko!CR328,Oeko!FE328)</f>
        <v>1</v>
      </c>
      <c r="AF328" s="1979">
        <f>IF(Construction!$F$31=Construction!$R$22,Oeko!CS328,Oeko!FF328)</f>
        <v>1</v>
      </c>
      <c r="AG328" s="1979">
        <f>IF(Construction!$F$31=Construction!$R$22,Oeko!CT328,Oeko!FG328)</f>
        <v>1</v>
      </c>
      <c r="AH328" s="1998">
        <f>IF(Construction!$F$31=Construction!$R$22,Oeko!CU328,Oeko!FH328)</f>
        <v>1</v>
      </c>
      <c r="AI328" s="1998">
        <f>IF(Construction!$F$31=Construction!$R$22,Oeko!CV328,Oeko!FI328)</f>
        <v>1</v>
      </c>
      <c r="AJ328" s="1998">
        <f>IF(Construction!$F$31=Construction!$R$22,Oeko!CW328,Oeko!FJ328)</f>
        <v>1</v>
      </c>
      <c r="AK328" s="1998">
        <f>IF(Construction!$F$31=Construction!$R$22,Oeko!CX328,Oeko!FK328)</f>
        <v>1</v>
      </c>
      <c r="AL328" s="1998">
        <f>IF(Construction!$F$31=Construction!$R$22,Oeko!CY328,Oeko!FL328)</f>
        <v>1</v>
      </c>
      <c r="AM328" s="1979">
        <f>IF(Construction!$F$31=Construction!$R$22,Oeko!CZ328,Oeko!FM328)</f>
        <v>1</v>
      </c>
      <c r="AN328" s="1979">
        <f>IF(Construction!$F$31=Construction!$R$22,Oeko!DA328,Oeko!FN328)</f>
        <v>1</v>
      </c>
      <c r="AO328" s="1979">
        <f>IF(Construction!$F$31=Construction!$R$22,Oeko!DB328,Oeko!FO328)</f>
        <v>1</v>
      </c>
      <c r="AP328" s="1979">
        <f>IF(Construction!$F$31=Construction!$R$22,Oeko!DC328,Oeko!FP328)</f>
        <v>1</v>
      </c>
      <c r="AQ328" s="1979">
        <f>IF(Construction!$F$31=Construction!$R$22,Oeko!DD328,Oeko!FQ328)</f>
        <v>1</v>
      </c>
      <c r="AR328" s="1998">
        <f>IF(Construction!$F$31=Construction!$R$22,Oeko!DE328,Oeko!FR328)</f>
        <v>8.0488597659215451</v>
      </c>
      <c r="AS328" s="1998">
        <f>IF(Construction!$F$31=Construction!$R$22,Oeko!DF328,Oeko!FS328)</f>
        <v>8.0488597659215451</v>
      </c>
      <c r="AT328" s="1998">
        <f>IF(Construction!$F$31=Construction!$R$22,Oeko!DG328,Oeko!FT328)</f>
        <v>8.0488597659215451</v>
      </c>
      <c r="AU328" s="1998">
        <f>IF(Construction!$F$31=Construction!$R$22,Oeko!DH328,Oeko!FU328)</f>
        <v>8.0488597659215451</v>
      </c>
      <c r="AV328" s="1998">
        <f>IF(Construction!$F$31=Construction!$R$22,Oeko!DI328,Oeko!FV328)</f>
        <v>8.0488597659215451</v>
      </c>
      <c r="AW328" s="1979">
        <f>IF(Construction!$F$31=Construction!$R$22,Oeko!DJ328,Oeko!FW328)</f>
        <v>8.0329061668367086</v>
      </c>
      <c r="AX328" s="1979">
        <f>IF(Construction!$F$31=Construction!$R$22,Oeko!DK328,Oeko!FX328)</f>
        <v>8.0329061668367086</v>
      </c>
      <c r="AY328" s="1979">
        <f>IF(Construction!$F$31=Construction!$R$22,Oeko!DL328,Oeko!FY328)</f>
        <v>8.0329061668367086</v>
      </c>
      <c r="AZ328" s="1979">
        <f>IF(Construction!$F$31=Construction!$R$22,Oeko!DM328,Oeko!FZ328)</f>
        <v>8.0329061668367086</v>
      </c>
      <c r="BA328" s="1979">
        <f>IF(Construction!$F$31=Construction!$R$22,Oeko!DN328,Oeko!GA328)</f>
        <v>8.0329061668367086</v>
      </c>
      <c r="BB328" s="1998">
        <f>IF(Construction!$F$31=Construction!$R$22,Oeko!DO328,Oeko!GB328)</f>
        <v>0.97975662301212196</v>
      </c>
      <c r="BC328" s="1998">
        <f>IF(Construction!$F$31=Construction!$R$22,Oeko!DP328,Oeko!GC328)</f>
        <v>0.97975662301212196</v>
      </c>
      <c r="BD328" s="1998">
        <f>IF(Construction!$F$31=Construction!$R$22,Oeko!DQ328,Oeko!GD328)</f>
        <v>0.97975662301212196</v>
      </c>
      <c r="BE328" s="1998">
        <f>IF(Construction!$F$31=Construction!$R$22,Oeko!DR328,Oeko!GE328)</f>
        <v>0.97975662301212196</v>
      </c>
      <c r="BF328" s="1998">
        <f>IF(Construction!$F$31=Construction!$R$22,Oeko!DS328,Oeko!GF328)</f>
        <v>0.97975662301212196</v>
      </c>
      <c r="BG328" s="1979">
        <f>IF(Construction!$F$31=Construction!$R$22,Oeko!DT328,Oeko!GG328)</f>
        <v>0.97614876347816082</v>
      </c>
      <c r="BH328" s="1979">
        <f>IF(Construction!$F$31=Construction!$R$22,Oeko!DU328,Oeko!GH328)</f>
        <v>0.97614876347816082</v>
      </c>
      <c r="BI328" s="1979">
        <f>IF(Construction!$F$31=Construction!$R$22,Oeko!DV328,Oeko!GI328)</f>
        <v>0.97614876347816082</v>
      </c>
      <c r="BJ328" s="1979">
        <f>IF(Construction!$F$31=Construction!$R$22,Oeko!DW328,Oeko!GJ328)</f>
        <v>0.97614876347816082</v>
      </c>
      <c r="BK328" s="2021">
        <f>IF(Construction!$F$31=Construction!$R$22,Oeko!DX328,Oeko!GK328)</f>
        <v>0.97614876347816082</v>
      </c>
      <c r="BN328" s="2022"/>
      <c r="BO328" s="2">
        <v>22</v>
      </c>
      <c r="BP328" s="2" t="str">
        <f>CONCATENATE($U$8," ",$V$19)</f>
        <v>Proportion de fenêtres 90</v>
      </c>
      <c r="BQ328" s="1998">
        <v>1.09375</v>
      </c>
      <c r="BR328" s="1998">
        <v>1</v>
      </c>
      <c r="BS328" s="1998">
        <v>1</v>
      </c>
      <c r="BT328" s="1998">
        <v>1</v>
      </c>
      <c r="BU328" s="1998">
        <v>1</v>
      </c>
      <c r="BV328" s="1979">
        <v>1</v>
      </c>
      <c r="BW328" s="1979">
        <v>1</v>
      </c>
      <c r="BX328" s="1979">
        <v>1</v>
      </c>
      <c r="BY328" s="1979">
        <v>1</v>
      </c>
      <c r="BZ328" s="1979">
        <v>1</v>
      </c>
      <c r="CA328" s="1998">
        <v>1</v>
      </c>
      <c r="CB328" s="1998">
        <v>1</v>
      </c>
      <c r="CC328" s="1998">
        <v>1</v>
      </c>
      <c r="CD328" s="1998">
        <v>1</v>
      </c>
      <c r="CE328" s="1998">
        <v>1</v>
      </c>
      <c r="CF328" s="1979">
        <v>1</v>
      </c>
      <c r="CG328" s="1979">
        <v>1</v>
      </c>
      <c r="CH328" s="1979">
        <v>1</v>
      </c>
      <c r="CI328" s="1979">
        <v>1</v>
      </c>
      <c r="CJ328" s="1979">
        <v>1</v>
      </c>
      <c r="CK328" s="1998">
        <v>1</v>
      </c>
      <c r="CL328" s="1998">
        <v>1</v>
      </c>
      <c r="CM328" s="1998">
        <v>1</v>
      </c>
      <c r="CN328" s="1998">
        <v>1</v>
      </c>
      <c r="CO328" s="1998">
        <v>1</v>
      </c>
      <c r="CP328" s="1979">
        <v>1</v>
      </c>
      <c r="CQ328" s="1979">
        <v>1</v>
      </c>
      <c r="CR328" s="1979">
        <v>1</v>
      </c>
      <c r="CS328" s="1979">
        <v>1</v>
      </c>
      <c r="CT328" s="1979">
        <v>1</v>
      </c>
      <c r="CU328" s="1998">
        <v>1</v>
      </c>
      <c r="CV328" s="1998">
        <v>1</v>
      </c>
      <c r="CW328" s="1998">
        <v>1</v>
      </c>
      <c r="CX328" s="1998">
        <v>1</v>
      </c>
      <c r="CY328" s="1998">
        <v>1</v>
      </c>
      <c r="CZ328" s="1979">
        <v>1</v>
      </c>
      <c r="DA328" s="1979">
        <v>1</v>
      </c>
      <c r="DB328" s="1979">
        <v>1</v>
      </c>
      <c r="DC328" s="1979">
        <v>1</v>
      </c>
      <c r="DD328" s="1979">
        <v>1</v>
      </c>
      <c r="DE328" s="1998">
        <v>8.0488597659215451</v>
      </c>
      <c r="DF328" s="1998">
        <v>8.0488597659215451</v>
      </c>
      <c r="DG328" s="1998">
        <v>8.0488597659215451</v>
      </c>
      <c r="DH328" s="1998">
        <v>8.0488597659215451</v>
      </c>
      <c r="DI328" s="1998">
        <v>8.0488597659215451</v>
      </c>
      <c r="DJ328" s="1979">
        <v>8.0329061668367086</v>
      </c>
      <c r="DK328" s="1979">
        <v>8.0329061668367086</v>
      </c>
      <c r="DL328" s="1979">
        <v>8.0329061668367086</v>
      </c>
      <c r="DM328" s="1979">
        <v>8.0329061668367086</v>
      </c>
      <c r="DN328" s="1979">
        <v>8.0329061668367086</v>
      </c>
      <c r="DO328" s="1998">
        <v>0.97975662301212196</v>
      </c>
      <c r="DP328" s="1998">
        <v>0.97975662301212196</v>
      </c>
      <c r="DQ328" s="1998">
        <v>0.97975662301212196</v>
      </c>
      <c r="DR328" s="1998">
        <v>0.97975662301212196</v>
      </c>
      <c r="DS328" s="1998">
        <v>0.97975662301212196</v>
      </c>
      <c r="DT328" s="1979">
        <v>0.97614876347816082</v>
      </c>
      <c r="DU328" s="1979">
        <v>0.97614876347816082</v>
      </c>
      <c r="DV328" s="1979">
        <v>0.97614876347816082</v>
      </c>
      <c r="DW328" s="1979">
        <v>0.97614876347816082</v>
      </c>
      <c r="DX328" s="2021">
        <v>0.97614876347816082</v>
      </c>
      <c r="EA328" s="2022"/>
      <c r="EB328" s="2">
        <v>22</v>
      </c>
      <c r="EC328" s="2" t="str">
        <f>CONCATENATE($U$8," ",$V$19)</f>
        <v>Proportion de fenêtres 90</v>
      </c>
      <c r="ED328" s="1998">
        <v>1.4765287570396433</v>
      </c>
      <c r="EE328" s="1998">
        <v>1.3916361693282941</v>
      </c>
      <c r="EF328" s="1998">
        <v>1.4263076112197259</v>
      </c>
      <c r="EG328" s="1998">
        <v>1.4680485847024962</v>
      </c>
      <c r="EH328" s="1998">
        <v>1.5015417713287051</v>
      </c>
      <c r="EI328" s="1979">
        <v>2.1127350912667548</v>
      </c>
      <c r="EJ328" s="1979">
        <v>2.1638285241314259</v>
      </c>
      <c r="EK328" s="1979">
        <v>2.2282576643161209</v>
      </c>
      <c r="EL328" s="1979">
        <v>2.2997563360921536</v>
      </c>
      <c r="EM328" s="1979">
        <v>2.3217682867288199</v>
      </c>
      <c r="EN328" s="1998">
        <v>1.4452445821163595</v>
      </c>
      <c r="EO328" s="1998">
        <v>1.4785723739040963</v>
      </c>
      <c r="EP328" s="1998">
        <v>1.48059224007305</v>
      </c>
      <c r="EQ328" s="1998">
        <v>1.4826121062420039</v>
      </c>
      <c r="ER328" s="1998">
        <v>1.4846319724109576</v>
      </c>
      <c r="ES328" s="1979">
        <v>1.8628009830648564</v>
      </c>
      <c r="ET328" s="1979">
        <v>1.8910791094302091</v>
      </c>
      <c r="EU328" s="1979">
        <v>1.8981486410215469</v>
      </c>
      <c r="EV328" s="1979">
        <v>1.905218172612885</v>
      </c>
      <c r="EW328" s="1979">
        <v>1.912287704204223</v>
      </c>
      <c r="EX328" s="1998">
        <v>1.4762109195107416</v>
      </c>
      <c r="EY328" s="1998">
        <v>1.5087307648308967</v>
      </c>
      <c r="EZ328" s="1998">
        <v>1.5115585774674318</v>
      </c>
      <c r="FA328" s="1998">
        <v>1.5143863901039674</v>
      </c>
      <c r="FB328" s="1998">
        <v>1.5172142027405022</v>
      </c>
      <c r="FC328" s="1979">
        <v>1.6384635370769254</v>
      </c>
      <c r="FD328" s="1979">
        <v>1.6243244738942488</v>
      </c>
      <c r="FE328" s="1979">
        <v>1.6384635370769254</v>
      </c>
      <c r="FF328" s="1979">
        <v>1.6526026002596013</v>
      </c>
      <c r="FG328" s="1979">
        <v>1.6667416634422774</v>
      </c>
      <c r="FH328" s="1998">
        <v>2.4144112848098551</v>
      </c>
      <c r="FI328" s="1998">
        <v>2.4214808164011932</v>
      </c>
      <c r="FJ328" s="1998">
        <v>2.4285503479925308</v>
      </c>
      <c r="FK328" s="1998">
        <v>2.4356198795838688</v>
      </c>
      <c r="FL328" s="1998">
        <v>2.4426894111752069</v>
      </c>
      <c r="FM328" s="1979">
        <v>1.515902995395447</v>
      </c>
      <c r="FN328" s="1979">
        <v>1.5422644931960368</v>
      </c>
      <c r="FO328" s="1979">
        <v>1.582545113196461</v>
      </c>
      <c r="FP328" s="1979">
        <v>1.6298952647882226</v>
      </c>
      <c r="FQ328" s="1979">
        <v>1.660749842666863</v>
      </c>
      <c r="FR328" s="1998">
        <v>18.776246799039292</v>
      </c>
      <c r="FS328" s="1998">
        <v>18.833148467428725</v>
      </c>
      <c r="FT328" s="1998">
        <v>18.890050135818154</v>
      </c>
      <c r="FU328" s="1998">
        <v>18.94695180420759</v>
      </c>
      <c r="FV328" s="1998">
        <v>19.003853472597022</v>
      </c>
      <c r="FW328" s="1979">
        <v>19.116473767837363</v>
      </c>
      <c r="FX328" s="1979">
        <v>19.173262651754065</v>
      </c>
      <c r="FY328" s="1979">
        <v>19.230051535670775</v>
      </c>
      <c r="FZ328" s="1979">
        <v>19.286840419587481</v>
      </c>
      <c r="GA328" s="1979">
        <v>19.343629303504187</v>
      </c>
      <c r="GB328" s="1998">
        <v>1.6867843051983196</v>
      </c>
      <c r="GC328" s="1998">
        <v>1.6937107255965267</v>
      </c>
      <c r="GD328" s="1998">
        <v>1.7006371459947336</v>
      </c>
      <c r="GE328" s="1998">
        <v>1.7075635663929405</v>
      </c>
      <c r="GF328" s="1998">
        <v>1.7214164071893541</v>
      </c>
      <c r="GG328" s="1979">
        <v>1.7355944065422144</v>
      </c>
      <c r="GH328" s="1979">
        <v>1.7424953210634688</v>
      </c>
      <c r="GI328" s="1979">
        <v>1.7493962355847235</v>
      </c>
      <c r="GJ328" s="1979">
        <v>1.7562971501059779</v>
      </c>
      <c r="GK328" s="2021">
        <v>1.7700989791484869</v>
      </c>
    </row>
    <row r="329" spans="1:193">
      <c r="A329" s="2020"/>
      <c r="B329" s="2">
        <v>23</v>
      </c>
      <c r="C329" s="2" t="str">
        <f>CONCATENATE($U$8," ",$V$20)</f>
        <v>Proportion de fenêtres 100</v>
      </c>
      <c r="D329" s="1998">
        <f>IF(Construction!$F$31=Construction!$R$22,Oeko!BQ329,Oeko!ED329)</f>
        <v>1.09375</v>
      </c>
      <c r="E329" s="1998">
        <f>IF(Construction!$F$31=Construction!$R$22,Oeko!BR329,Oeko!EE329)</f>
        <v>1</v>
      </c>
      <c r="F329" s="1998">
        <f>IF(Construction!$F$31=Construction!$R$22,Oeko!BS329,Oeko!EF329)</f>
        <v>1</v>
      </c>
      <c r="G329" s="1998">
        <f>IF(Construction!$F$31=Construction!$R$22,Oeko!BT329,Oeko!EG329)</f>
        <v>1</v>
      </c>
      <c r="H329" s="1998">
        <f>IF(Construction!$F$31=Construction!$R$22,Oeko!BU329,Oeko!EH329)</f>
        <v>1</v>
      </c>
      <c r="I329" s="1979">
        <f>IF(Construction!$F$31=Construction!$R$22,Oeko!BV329,Oeko!EI329)</f>
        <v>1</v>
      </c>
      <c r="J329" s="1979">
        <f>IF(Construction!$F$31=Construction!$R$22,Oeko!BW329,Oeko!EJ329)</f>
        <v>1</v>
      </c>
      <c r="K329" s="1979">
        <f>IF(Construction!$F$31=Construction!$R$22,Oeko!BX329,Oeko!EK329)</f>
        <v>1</v>
      </c>
      <c r="L329" s="1979">
        <f>IF(Construction!$F$31=Construction!$R$22,Oeko!BY329,Oeko!EL329)</f>
        <v>1</v>
      </c>
      <c r="M329" s="1979">
        <f>IF(Construction!$F$31=Construction!$R$22,Oeko!BZ329,Oeko!EM329)</f>
        <v>1</v>
      </c>
      <c r="N329" s="1998">
        <f>IF(Construction!$F$31=Construction!$R$22,Oeko!CA329,Oeko!EN329)</f>
        <v>1</v>
      </c>
      <c r="O329" s="1998">
        <f>IF(Construction!$F$31=Construction!$R$22,Oeko!CB329,Oeko!EO329)</f>
        <v>1</v>
      </c>
      <c r="P329" s="1998">
        <f>IF(Construction!$F$31=Construction!$R$22,Oeko!CC329,Oeko!EP329)</f>
        <v>1</v>
      </c>
      <c r="Q329" s="1998">
        <f>IF(Construction!$F$31=Construction!$R$22,Oeko!CD329,Oeko!EQ329)</f>
        <v>1</v>
      </c>
      <c r="R329" s="1998">
        <f>IF(Construction!$F$31=Construction!$R$22,Oeko!CE329,Oeko!ER329)</f>
        <v>1</v>
      </c>
      <c r="S329" s="1979">
        <f>IF(Construction!$F$31=Construction!$R$22,Oeko!CF329,Oeko!ES329)</f>
        <v>1</v>
      </c>
      <c r="T329" s="1979">
        <f>IF(Construction!$F$31=Construction!$R$22,Oeko!CG329,Oeko!ET329)</f>
        <v>1</v>
      </c>
      <c r="U329" s="1979">
        <f>IF(Construction!$F$31=Construction!$R$22,Oeko!CH329,Oeko!EU329)</f>
        <v>1</v>
      </c>
      <c r="V329" s="1979">
        <f>IF(Construction!$F$31=Construction!$R$22,Oeko!CI329,Oeko!EV329)</f>
        <v>1</v>
      </c>
      <c r="W329" s="1979">
        <f>IF(Construction!$F$31=Construction!$R$22,Oeko!CJ329,Oeko!EW329)</f>
        <v>1</v>
      </c>
      <c r="X329" s="1998">
        <f>IF(Construction!$F$31=Construction!$R$22,Oeko!CK329,Oeko!EX329)</f>
        <v>1</v>
      </c>
      <c r="Y329" s="1998">
        <f>IF(Construction!$F$31=Construction!$R$22,Oeko!CL329,Oeko!EY329)</f>
        <v>1</v>
      </c>
      <c r="Z329" s="1998">
        <f>IF(Construction!$F$31=Construction!$R$22,Oeko!CM329,Oeko!EZ329)</f>
        <v>1</v>
      </c>
      <c r="AA329" s="1998">
        <f>IF(Construction!$F$31=Construction!$R$22,Oeko!CN329,Oeko!FA329)</f>
        <v>1</v>
      </c>
      <c r="AB329" s="1998">
        <f>IF(Construction!$F$31=Construction!$R$22,Oeko!CO329,Oeko!FB329)</f>
        <v>1</v>
      </c>
      <c r="AC329" s="1979">
        <f>IF(Construction!$F$31=Construction!$R$22,Oeko!CP329,Oeko!FC329)</f>
        <v>1</v>
      </c>
      <c r="AD329" s="1979">
        <f>IF(Construction!$F$31=Construction!$R$22,Oeko!CQ329,Oeko!FD329)</f>
        <v>1</v>
      </c>
      <c r="AE329" s="1979">
        <f>IF(Construction!$F$31=Construction!$R$22,Oeko!CR329,Oeko!FE329)</f>
        <v>1</v>
      </c>
      <c r="AF329" s="1979">
        <f>IF(Construction!$F$31=Construction!$R$22,Oeko!CS329,Oeko!FF329)</f>
        <v>1</v>
      </c>
      <c r="AG329" s="1979">
        <f>IF(Construction!$F$31=Construction!$R$22,Oeko!CT329,Oeko!FG329)</f>
        <v>1</v>
      </c>
      <c r="AH329" s="1998">
        <f>IF(Construction!$F$31=Construction!$R$22,Oeko!CU329,Oeko!FH329)</f>
        <v>1</v>
      </c>
      <c r="AI329" s="1998">
        <f>IF(Construction!$F$31=Construction!$R$22,Oeko!CV329,Oeko!FI329)</f>
        <v>1</v>
      </c>
      <c r="AJ329" s="1998">
        <f>IF(Construction!$F$31=Construction!$R$22,Oeko!CW329,Oeko!FJ329)</f>
        <v>1</v>
      </c>
      <c r="AK329" s="1998">
        <f>IF(Construction!$F$31=Construction!$R$22,Oeko!CX329,Oeko!FK329)</f>
        <v>1</v>
      </c>
      <c r="AL329" s="1998">
        <f>IF(Construction!$F$31=Construction!$R$22,Oeko!CY329,Oeko!FL329)</f>
        <v>1</v>
      </c>
      <c r="AM329" s="1979">
        <f>IF(Construction!$F$31=Construction!$R$22,Oeko!CZ329,Oeko!FM329)</f>
        <v>1</v>
      </c>
      <c r="AN329" s="1979">
        <f>IF(Construction!$F$31=Construction!$R$22,Oeko!DA329,Oeko!FN329)</f>
        <v>1</v>
      </c>
      <c r="AO329" s="1979">
        <f>IF(Construction!$F$31=Construction!$R$22,Oeko!DB329,Oeko!FO329)</f>
        <v>1</v>
      </c>
      <c r="AP329" s="1979">
        <f>IF(Construction!$F$31=Construction!$R$22,Oeko!DC329,Oeko!FP329)</f>
        <v>1</v>
      </c>
      <c r="AQ329" s="1979">
        <f>IF(Construction!$F$31=Construction!$R$22,Oeko!DD329,Oeko!FQ329)</f>
        <v>1</v>
      </c>
      <c r="AR329" s="1998">
        <f>IF(Construction!$F$31=Construction!$R$22,Oeko!DE329,Oeko!FR329)</f>
        <v>8.0488597659215451</v>
      </c>
      <c r="AS329" s="1998">
        <f>IF(Construction!$F$31=Construction!$R$22,Oeko!DF329,Oeko!FS329)</f>
        <v>8.0488597659215451</v>
      </c>
      <c r="AT329" s="1998">
        <f>IF(Construction!$F$31=Construction!$R$22,Oeko!DG329,Oeko!FT329)</f>
        <v>8.0488597659215451</v>
      </c>
      <c r="AU329" s="1998">
        <f>IF(Construction!$F$31=Construction!$R$22,Oeko!DH329,Oeko!FU329)</f>
        <v>8.0488597659215451</v>
      </c>
      <c r="AV329" s="1998">
        <f>IF(Construction!$F$31=Construction!$R$22,Oeko!DI329,Oeko!FV329)</f>
        <v>8.0488597659215451</v>
      </c>
      <c r="AW329" s="1979">
        <f>IF(Construction!$F$31=Construction!$R$22,Oeko!DJ329,Oeko!FW329)</f>
        <v>8.0329061668367086</v>
      </c>
      <c r="AX329" s="1979">
        <f>IF(Construction!$F$31=Construction!$R$22,Oeko!DK329,Oeko!FX329)</f>
        <v>8.0329061668367086</v>
      </c>
      <c r="AY329" s="1979">
        <f>IF(Construction!$F$31=Construction!$R$22,Oeko!DL329,Oeko!FY329)</f>
        <v>8.0329061668367086</v>
      </c>
      <c r="AZ329" s="1979">
        <f>IF(Construction!$F$31=Construction!$R$22,Oeko!DM329,Oeko!FZ329)</f>
        <v>8.0329061668367086</v>
      </c>
      <c r="BA329" s="1979">
        <f>IF(Construction!$F$31=Construction!$R$22,Oeko!DN329,Oeko!GA329)</f>
        <v>8.0329061668367086</v>
      </c>
      <c r="BB329" s="1998">
        <f>IF(Construction!$F$31=Construction!$R$22,Oeko!DO329,Oeko!GB329)</f>
        <v>0.97975662301212196</v>
      </c>
      <c r="BC329" s="1998">
        <f>IF(Construction!$F$31=Construction!$R$22,Oeko!DP329,Oeko!GC329)</f>
        <v>0.97975662301212196</v>
      </c>
      <c r="BD329" s="1998">
        <f>IF(Construction!$F$31=Construction!$R$22,Oeko!DQ329,Oeko!GD329)</f>
        <v>0.97975662301212196</v>
      </c>
      <c r="BE329" s="1998">
        <f>IF(Construction!$F$31=Construction!$R$22,Oeko!DR329,Oeko!GE329)</f>
        <v>0.97975662301212196</v>
      </c>
      <c r="BF329" s="1998">
        <f>IF(Construction!$F$31=Construction!$R$22,Oeko!DS329,Oeko!GF329)</f>
        <v>0.97975662301212196</v>
      </c>
      <c r="BG329" s="1979">
        <f>IF(Construction!$F$31=Construction!$R$22,Oeko!DT329,Oeko!GG329)</f>
        <v>0.97614876347816082</v>
      </c>
      <c r="BH329" s="1979">
        <f>IF(Construction!$F$31=Construction!$R$22,Oeko!DU329,Oeko!GH329)</f>
        <v>0.97614876347816082</v>
      </c>
      <c r="BI329" s="1979">
        <f>IF(Construction!$F$31=Construction!$R$22,Oeko!DV329,Oeko!GI329)</f>
        <v>0.97614876347816082</v>
      </c>
      <c r="BJ329" s="1979">
        <f>IF(Construction!$F$31=Construction!$R$22,Oeko!DW329,Oeko!GJ329)</f>
        <v>0.97614876347816082</v>
      </c>
      <c r="BK329" s="2021">
        <f>IF(Construction!$F$31=Construction!$R$22,Oeko!DX329,Oeko!GK329)</f>
        <v>0.97614876347816082</v>
      </c>
      <c r="BN329" s="2022"/>
      <c r="BO329" s="2">
        <v>23</v>
      </c>
      <c r="BP329" s="2" t="str">
        <f>CONCATENATE($U$8," ",$V$20)</f>
        <v>Proportion de fenêtres 100</v>
      </c>
      <c r="BQ329" s="1998">
        <v>1.09375</v>
      </c>
      <c r="BR329" s="1998">
        <v>1</v>
      </c>
      <c r="BS329" s="1998">
        <v>1</v>
      </c>
      <c r="BT329" s="1998">
        <v>1</v>
      </c>
      <c r="BU329" s="1998">
        <v>1</v>
      </c>
      <c r="BV329" s="1979">
        <v>1</v>
      </c>
      <c r="BW329" s="1979">
        <v>1</v>
      </c>
      <c r="BX329" s="1979">
        <v>1</v>
      </c>
      <c r="BY329" s="1979">
        <v>1</v>
      </c>
      <c r="BZ329" s="1979">
        <v>1</v>
      </c>
      <c r="CA329" s="1998">
        <v>1</v>
      </c>
      <c r="CB329" s="1998">
        <v>1</v>
      </c>
      <c r="CC329" s="1998">
        <v>1</v>
      </c>
      <c r="CD329" s="1998">
        <v>1</v>
      </c>
      <c r="CE329" s="1998">
        <v>1</v>
      </c>
      <c r="CF329" s="1979">
        <v>1</v>
      </c>
      <c r="CG329" s="1979">
        <v>1</v>
      </c>
      <c r="CH329" s="1979">
        <v>1</v>
      </c>
      <c r="CI329" s="1979">
        <v>1</v>
      </c>
      <c r="CJ329" s="1979">
        <v>1</v>
      </c>
      <c r="CK329" s="1998">
        <v>1</v>
      </c>
      <c r="CL329" s="1998">
        <v>1</v>
      </c>
      <c r="CM329" s="1998">
        <v>1</v>
      </c>
      <c r="CN329" s="1998">
        <v>1</v>
      </c>
      <c r="CO329" s="1998">
        <v>1</v>
      </c>
      <c r="CP329" s="1979">
        <v>1</v>
      </c>
      <c r="CQ329" s="1979">
        <v>1</v>
      </c>
      <c r="CR329" s="1979">
        <v>1</v>
      </c>
      <c r="CS329" s="1979">
        <v>1</v>
      </c>
      <c r="CT329" s="1979">
        <v>1</v>
      </c>
      <c r="CU329" s="1998">
        <v>1</v>
      </c>
      <c r="CV329" s="1998">
        <v>1</v>
      </c>
      <c r="CW329" s="1998">
        <v>1</v>
      </c>
      <c r="CX329" s="1998">
        <v>1</v>
      </c>
      <c r="CY329" s="1998">
        <v>1</v>
      </c>
      <c r="CZ329" s="1979">
        <v>1</v>
      </c>
      <c r="DA329" s="1979">
        <v>1</v>
      </c>
      <c r="DB329" s="1979">
        <v>1</v>
      </c>
      <c r="DC329" s="1979">
        <v>1</v>
      </c>
      <c r="DD329" s="1979">
        <v>1</v>
      </c>
      <c r="DE329" s="1998">
        <v>8.0488597659215451</v>
      </c>
      <c r="DF329" s="1998">
        <v>8.0488597659215451</v>
      </c>
      <c r="DG329" s="1998">
        <v>8.0488597659215451</v>
      </c>
      <c r="DH329" s="1998">
        <v>8.0488597659215451</v>
      </c>
      <c r="DI329" s="1998">
        <v>8.0488597659215451</v>
      </c>
      <c r="DJ329" s="1979">
        <v>8.0329061668367086</v>
      </c>
      <c r="DK329" s="1979">
        <v>8.0329061668367086</v>
      </c>
      <c r="DL329" s="1979">
        <v>8.0329061668367086</v>
      </c>
      <c r="DM329" s="1979">
        <v>8.0329061668367086</v>
      </c>
      <c r="DN329" s="1979">
        <v>8.0329061668367086</v>
      </c>
      <c r="DO329" s="1998">
        <v>0.97975662301212196</v>
      </c>
      <c r="DP329" s="1998">
        <v>0.97975662301212196</v>
      </c>
      <c r="DQ329" s="1998">
        <v>0.97975662301212196</v>
      </c>
      <c r="DR329" s="1998">
        <v>0.97975662301212196</v>
      </c>
      <c r="DS329" s="1998">
        <v>0.97975662301212196</v>
      </c>
      <c r="DT329" s="1979">
        <v>0.97614876347816082</v>
      </c>
      <c r="DU329" s="1979">
        <v>0.97614876347816082</v>
      </c>
      <c r="DV329" s="1979">
        <v>0.97614876347816082</v>
      </c>
      <c r="DW329" s="1979">
        <v>0.97614876347816082</v>
      </c>
      <c r="DX329" s="2021">
        <v>0.97614876347816082</v>
      </c>
      <c r="EA329" s="2022"/>
      <c r="EB329" s="2">
        <v>23</v>
      </c>
      <c r="EC329" s="2" t="str">
        <f>CONCATENATE($U$8," ",$V$20)</f>
        <v>Proportion de fenêtres 100</v>
      </c>
      <c r="ED329" s="1998">
        <v>1.4765287570396433</v>
      </c>
      <c r="EE329" s="1998">
        <v>1.3805913069290729</v>
      </c>
      <c r="EF329" s="1998">
        <v>1.4147607096205406</v>
      </c>
      <c r="EG329" s="1998">
        <v>1.4559996439033458</v>
      </c>
      <c r="EH329" s="1998">
        <v>1.4889907913295906</v>
      </c>
      <c r="EI329" s="1979">
        <v>2.0966679740137137</v>
      </c>
      <c r="EJ329" s="1979">
        <v>2.1461546951530805</v>
      </c>
      <c r="EK329" s="1979">
        <v>2.2097804794751235</v>
      </c>
      <c r="EL329" s="1979">
        <v>2.280475795388504</v>
      </c>
      <c r="EM329" s="1979">
        <v>2.3016843901625181</v>
      </c>
      <c r="EN329" s="1998">
        <v>1.4337071065592959</v>
      </c>
      <c r="EO329" s="1998">
        <v>1.4670348983470329</v>
      </c>
      <c r="EP329" s="1998">
        <v>1.4690547645159866</v>
      </c>
      <c r="EQ329" s="1998">
        <v>1.4710746306849403</v>
      </c>
      <c r="ER329" s="1998">
        <v>1.4730944968538937</v>
      </c>
      <c r="ES329" s="1979">
        <v>1.8379162318633464</v>
      </c>
      <c r="ET329" s="1979">
        <v>1.8661943582286991</v>
      </c>
      <c r="EU329" s="1979">
        <v>1.8732638898200367</v>
      </c>
      <c r="EV329" s="1979">
        <v>1.8803334214113749</v>
      </c>
      <c r="EW329" s="1979">
        <v>1.8874029530027132</v>
      </c>
      <c r="EX329" s="1998">
        <v>1.4662053104562123</v>
      </c>
      <c r="EY329" s="1998">
        <v>1.4987251557763674</v>
      </c>
      <c r="EZ329" s="1998">
        <v>1.5015529684129028</v>
      </c>
      <c r="FA329" s="1998">
        <v>1.5043807810494378</v>
      </c>
      <c r="FB329" s="1998">
        <v>1.5072085936859732</v>
      </c>
      <c r="FC329" s="1979">
        <v>1.6277744053108218</v>
      </c>
      <c r="FD329" s="1979">
        <v>1.6136353421281457</v>
      </c>
      <c r="FE329" s="1979">
        <v>1.6277744053108218</v>
      </c>
      <c r="FF329" s="1979">
        <v>1.6419134684934982</v>
      </c>
      <c r="FG329" s="1979">
        <v>1.6560525316761743</v>
      </c>
      <c r="FH329" s="1998">
        <v>2.3921927569513635</v>
      </c>
      <c r="FI329" s="1998">
        <v>2.3992622885427015</v>
      </c>
      <c r="FJ329" s="1998">
        <v>2.4063318201340396</v>
      </c>
      <c r="FK329" s="1998">
        <v>2.4134013517253781</v>
      </c>
      <c r="FL329" s="1998">
        <v>2.4204708833167157</v>
      </c>
      <c r="FM329" s="1979">
        <v>1.5115041757386145</v>
      </c>
      <c r="FN329" s="1979">
        <v>1.5374257915735208</v>
      </c>
      <c r="FO329" s="1979">
        <v>1.5774864705911036</v>
      </c>
      <c r="FP329" s="1979">
        <v>1.6246166812000238</v>
      </c>
      <c r="FQ329" s="1979">
        <v>1.6552513180958224</v>
      </c>
      <c r="FR329" s="1998">
        <v>18.696584463294087</v>
      </c>
      <c r="FS329" s="1998">
        <v>18.75348613168352</v>
      </c>
      <c r="FT329" s="1998">
        <v>18.810387800072949</v>
      </c>
      <c r="FU329" s="1998">
        <v>18.867289468462388</v>
      </c>
      <c r="FV329" s="1998">
        <v>18.924191136851817</v>
      </c>
      <c r="FW329" s="1979">
        <v>19.033724251273018</v>
      </c>
      <c r="FX329" s="1979">
        <v>19.09051313518972</v>
      </c>
      <c r="FY329" s="1979">
        <v>19.14730201910643</v>
      </c>
      <c r="FZ329" s="1979">
        <v>19.20409090302314</v>
      </c>
      <c r="GA329" s="1979">
        <v>19.260879786939839</v>
      </c>
      <c r="GB329" s="1998">
        <v>1.6775934781314683</v>
      </c>
      <c r="GC329" s="1998">
        <v>1.6845198985296752</v>
      </c>
      <c r="GD329" s="1998">
        <v>1.6914463189278821</v>
      </c>
      <c r="GE329" s="1998">
        <v>1.698372739326089</v>
      </c>
      <c r="GF329" s="1998">
        <v>1.7122255801225028</v>
      </c>
      <c r="GG329" s="1979">
        <v>1.7179970745130155</v>
      </c>
      <c r="GH329" s="1979">
        <v>1.7248979890342699</v>
      </c>
      <c r="GI329" s="1979">
        <v>1.7317989035555246</v>
      </c>
      <c r="GJ329" s="1979">
        <v>1.738699818076779</v>
      </c>
      <c r="GK329" s="2021">
        <v>1.7525016471192878</v>
      </c>
    </row>
    <row r="330" spans="1:193">
      <c r="A330" s="2020"/>
      <c r="B330" s="2">
        <v>24</v>
      </c>
      <c r="C330" s="2" t="s">
        <v>4211</v>
      </c>
      <c r="D330" s="1998">
        <f>IF(Construction!$F$31=Construction!$R$22,Oeko!BQ330,Oeko!ED330)</f>
        <v>1</v>
      </c>
      <c r="E330" s="1998">
        <f>IF(Construction!$F$31=Construction!$R$22,Oeko!BR330,Oeko!EE330)</f>
        <v>1</v>
      </c>
      <c r="F330" s="1998">
        <f>IF(Construction!$F$31=Construction!$R$22,Oeko!BS330,Oeko!EF330)</f>
        <v>1</v>
      </c>
      <c r="G330" s="1998">
        <f>IF(Construction!$F$31=Construction!$R$22,Oeko!BT330,Oeko!EG330)</f>
        <v>1</v>
      </c>
      <c r="H330" s="1998">
        <f>IF(Construction!$F$31=Construction!$R$22,Oeko!BU330,Oeko!EH330)</f>
        <v>1</v>
      </c>
      <c r="I330" s="1979">
        <f>IF(Construction!$F$31=Construction!$R$22,Oeko!BV330,Oeko!EI330)</f>
        <v>1</v>
      </c>
      <c r="J330" s="1979">
        <f>IF(Construction!$F$31=Construction!$R$22,Oeko!BW330,Oeko!EJ330)</f>
        <v>1</v>
      </c>
      <c r="K330" s="1979">
        <f>IF(Construction!$F$31=Construction!$R$22,Oeko!BX330,Oeko!EK330)</f>
        <v>1</v>
      </c>
      <c r="L330" s="1979">
        <f>IF(Construction!$F$31=Construction!$R$22,Oeko!BY330,Oeko!EL330)</f>
        <v>1</v>
      </c>
      <c r="M330" s="1979">
        <f>IF(Construction!$F$31=Construction!$R$22,Oeko!BZ330,Oeko!EM330)</f>
        <v>1</v>
      </c>
      <c r="N330" s="1998">
        <f>IF(Construction!$F$31=Construction!$R$22,Oeko!CA330,Oeko!EN330)</f>
        <v>1.0000000000000002</v>
      </c>
      <c r="O330" s="1998">
        <f>IF(Construction!$F$31=Construction!$R$22,Oeko!CB330,Oeko!EO330)</f>
        <v>1.0000000000000002</v>
      </c>
      <c r="P330" s="1998">
        <f>IF(Construction!$F$31=Construction!$R$22,Oeko!CC330,Oeko!EP330)</f>
        <v>1.0000000000000002</v>
      </c>
      <c r="Q330" s="1998">
        <f>IF(Construction!$F$31=Construction!$R$22,Oeko!CD330,Oeko!EQ330)</f>
        <v>1.0000000000000002</v>
      </c>
      <c r="R330" s="1998">
        <f>IF(Construction!$F$31=Construction!$R$22,Oeko!CE330,Oeko!ER330)</f>
        <v>1.0000000000000002</v>
      </c>
      <c r="S330" s="1979">
        <f>IF(Construction!$F$31=Construction!$R$22,Oeko!CF330,Oeko!ES330)</f>
        <v>1</v>
      </c>
      <c r="T330" s="1979">
        <f>IF(Construction!$F$31=Construction!$R$22,Oeko!CG330,Oeko!ET330)</f>
        <v>1</v>
      </c>
      <c r="U330" s="1979">
        <f>IF(Construction!$F$31=Construction!$R$22,Oeko!CH330,Oeko!EU330)</f>
        <v>1</v>
      </c>
      <c r="V330" s="1979">
        <f>IF(Construction!$F$31=Construction!$R$22,Oeko!CI330,Oeko!EV330)</f>
        <v>1</v>
      </c>
      <c r="W330" s="1979">
        <f>IF(Construction!$F$31=Construction!$R$22,Oeko!CJ330,Oeko!EW330)</f>
        <v>1</v>
      </c>
      <c r="X330" s="1998">
        <f>IF(Construction!$F$31=Construction!$R$22,Oeko!CK330,Oeko!EX330)</f>
        <v>1</v>
      </c>
      <c r="Y330" s="1998">
        <f>IF(Construction!$F$31=Construction!$R$22,Oeko!CL330,Oeko!EY330)</f>
        <v>1</v>
      </c>
      <c r="Z330" s="1998">
        <f>IF(Construction!$F$31=Construction!$R$22,Oeko!CM330,Oeko!EZ330)</f>
        <v>1</v>
      </c>
      <c r="AA330" s="1998">
        <f>IF(Construction!$F$31=Construction!$R$22,Oeko!CN330,Oeko!FA330)</f>
        <v>1</v>
      </c>
      <c r="AB330" s="1998">
        <f>IF(Construction!$F$31=Construction!$R$22,Oeko!CO330,Oeko!FB330)</f>
        <v>1</v>
      </c>
      <c r="AC330" s="1979">
        <f>IF(Construction!$F$31=Construction!$R$22,Oeko!CP330,Oeko!FC330)</f>
        <v>1</v>
      </c>
      <c r="AD330" s="1979">
        <f>IF(Construction!$F$31=Construction!$R$22,Oeko!CQ330,Oeko!FD330)</f>
        <v>1</v>
      </c>
      <c r="AE330" s="1979">
        <f>IF(Construction!$F$31=Construction!$R$22,Oeko!CR330,Oeko!FE330)</f>
        <v>1</v>
      </c>
      <c r="AF330" s="1979">
        <f>IF(Construction!$F$31=Construction!$R$22,Oeko!CS330,Oeko!FF330)</f>
        <v>1</v>
      </c>
      <c r="AG330" s="1979">
        <f>IF(Construction!$F$31=Construction!$R$22,Oeko!CT330,Oeko!FG330)</f>
        <v>1</v>
      </c>
      <c r="AH330" s="1998">
        <f>IF(Construction!$F$31=Construction!$R$22,Oeko!CU330,Oeko!FH330)</f>
        <v>1</v>
      </c>
      <c r="AI330" s="1998">
        <f>IF(Construction!$F$31=Construction!$R$22,Oeko!CV330,Oeko!FI330)</f>
        <v>1</v>
      </c>
      <c r="AJ330" s="1998">
        <f>IF(Construction!$F$31=Construction!$R$22,Oeko!CW330,Oeko!FJ330)</f>
        <v>1</v>
      </c>
      <c r="AK330" s="1998">
        <f>IF(Construction!$F$31=Construction!$R$22,Oeko!CX330,Oeko!FK330)</f>
        <v>1</v>
      </c>
      <c r="AL330" s="1998">
        <f>IF(Construction!$F$31=Construction!$R$22,Oeko!CY330,Oeko!FL330)</f>
        <v>1</v>
      </c>
      <c r="AM330" s="1979">
        <f>IF(Construction!$F$31=Construction!$R$22,Oeko!CZ330,Oeko!FM330)</f>
        <v>0.66666666666666663</v>
      </c>
      <c r="AN330" s="1979">
        <f>IF(Construction!$F$31=Construction!$R$22,Oeko!DA330,Oeko!FN330)</f>
        <v>0.66666666666666663</v>
      </c>
      <c r="AO330" s="1979">
        <f>IF(Construction!$F$31=Construction!$R$22,Oeko!DB330,Oeko!FO330)</f>
        <v>0.66666666666666663</v>
      </c>
      <c r="AP330" s="1979">
        <f>IF(Construction!$F$31=Construction!$R$22,Oeko!DC330,Oeko!FP330)</f>
        <v>0.66666666666666663</v>
      </c>
      <c r="AQ330" s="1979">
        <f>IF(Construction!$F$31=Construction!$R$22,Oeko!DD330,Oeko!FQ330)</f>
        <v>0.66666666666666663</v>
      </c>
      <c r="AR330" s="1998">
        <f>IF(Construction!$F$31=Construction!$R$22,Oeko!DE330,Oeko!FR330)</f>
        <v>8.1914540462959007</v>
      </c>
      <c r="AS330" s="1998">
        <f>IF(Construction!$F$31=Construction!$R$22,Oeko!DF330,Oeko!FS330)</f>
        <v>8.1914540462959007</v>
      </c>
      <c r="AT330" s="1998">
        <f>IF(Construction!$F$31=Construction!$R$22,Oeko!DG330,Oeko!FT330)</f>
        <v>8.1914540462959007</v>
      </c>
      <c r="AU330" s="1998">
        <f>IF(Construction!$F$31=Construction!$R$22,Oeko!DH330,Oeko!FU330)</f>
        <v>8.1914540462959007</v>
      </c>
      <c r="AV330" s="1998">
        <f>IF(Construction!$F$31=Construction!$R$22,Oeko!DI330,Oeko!FV330)</f>
        <v>8.1914540462959007</v>
      </c>
      <c r="AW330" s="1979">
        <f>IF(Construction!$F$31=Construction!$R$22,Oeko!DJ330,Oeko!FW330)</f>
        <v>8.1771999062029916</v>
      </c>
      <c r="AX330" s="1979">
        <f>IF(Construction!$F$31=Construction!$R$22,Oeko!DK330,Oeko!FX330)</f>
        <v>8.1771999062029916</v>
      </c>
      <c r="AY330" s="1979">
        <f>IF(Construction!$F$31=Construction!$R$22,Oeko!DL330,Oeko!FY330)</f>
        <v>8.1771999062029916</v>
      </c>
      <c r="AZ330" s="1979">
        <f>IF(Construction!$F$31=Construction!$R$22,Oeko!DM330,Oeko!FZ330)</f>
        <v>8.1771999062029916</v>
      </c>
      <c r="BA330" s="1979">
        <f>IF(Construction!$F$31=Construction!$R$22,Oeko!DN330,Oeko!GA330)</f>
        <v>8.1771999062029916</v>
      </c>
      <c r="BB330" s="1998">
        <f>IF(Construction!$F$31=Construction!$R$22,Oeko!DO330,Oeko!GB330)</f>
        <v>1</v>
      </c>
      <c r="BC330" s="1998">
        <f>IF(Construction!$F$31=Construction!$R$22,Oeko!DP330,Oeko!GC330)</f>
        <v>1</v>
      </c>
      <c r="BD330" s="1998">
        <f>IF(Construction!$F$31=Construction!$R$22,Oeko!DQ330,Oeko!GD330)</f>
        <v>1</v>
      </c>
      <c r="BE330" s="1998">
        <f>IF(Construction!$F$31=Construction!$R$22,Oeko!DR330,Oeko!GE330)</f>
        <v>1</v>
      </c>
      <c r="BF330" s="1998">
        <f>IF(Construction!$F$31=Construction!$R$22,Oeko!DS330,Oeko!GF330)</f>
        <v>1</v>
      </c>
      <c r="BG330" s="1979">
        <f>IF(Construction!$F$31=Construction!$R$22,Oeko!DT330,Oeko!GG330)</f>
        <v>1</v>
      </c>
      <c r="BH330" s="1979">
        <f>IF(Construction!$F$31=Construction!$R$22,Oeko!DU330,Oeko!GH330)</f>
        <v>1</v>
      </c>
      <c r="BI330" s="1979">
        <f>IF(Construction!$F$31=Construction!$R$22,Oeko!DV330,Oeko!GI330)</f>
        <v>1</v>
      </c>
      <c r="BJ330" s="1979">
        <f>IF(Construction!$F$31=Construction!$R$22,Oeko!DW330,Oeko!GJ330)</f>
        <v>1</v>
      </c>
      <c r="BK330" s="2021">
        <f>IF(Construction!$F$31=Construction!$R$22,Oeko!DX330,Oeko!GK330)</f>
        <v>1</v>
      </c>
      <c r="BN330" s="2022"/>
      <c r="BO330" s="2">
        <v>24</v>
      </c>
      <c r="BP330" s="2" t="s">
        <v>4211</v>
      </c>
      <c r="BQ330" s="1998">
        <v>1</v>
      </c>
      <c r="BR330" s="1998">
        <v>1</v>
      </c>
      <c r="BS330" s="1998">
        <v>1</v>
      </c>
      <c r="BT330" s="1998">
        <v>1</v>
      </c>
      <c r="BU330" s="1998">
        <v>1</v>
      </c>
      <c r="BV330" s="1979">
        <v>1</v>
      </c>
      <c r="BW330" s="1979">
        <v>1</v>
      </c>
      <c r="BX330" s="1979">
        <v>1</v>
      </c>
      <c r="BY330" s="1979">
        <v>1</v>
      </c>
      <c r="BZ330" s="1979">
        <v>1</v>
      </c>
      <c r="CA330" s="1998">
        <v>1.0000000000000002</v>
      </c>
      <c r="CB330" s="1998">
        <v>1.0000000000000002</v>
      </c>
      <c r="CC330" s="1998">
        <v>1.0000000000000002</v>
      </c>
      <c r="CD330" s="1998">
        <v>1.0000000000000002</v>
      </c>
      <c r="CE330" s="1998">
        <v>1.0000000000000002</v>
      </c>
      <c r="CF330" s="1979">
        <v>1</v>
      </c>
      <c r="CG330" s="1979">
        <v>1</v>
      </c>
      <c r="CH330" s="1979">
        <v>1</v>
      </c>
      <c r="CI330" s="1979">
        <v>1</v>
      </c>
      <c r="CJ330" s="1979">
        <v>1</v>
      </c>
      <c r="CK330" s="1998">
        <v>1</v>
      </c>
      <c r="CL330" s="1998">
        <v>1</v>
      </c>
      <c r="CM330" s="1998">
        <v>1</v>
      </c>
      <c r="CN330" s="1998">
        <v>1</v>
      </c>
      <c r="CO330" s="1998">
        <v>1</v>
      </c>
      <c r="CP330" s="1979">
        <v>1</v>
      </c>
      <c r="CQ330" s="1979">
        <v>1</v>
      </c>
      <c r="CR330" s="1979">
        <v>1</v>
      </c>
      <c r="CS330" s="1979">
        <v>1</v>
      </c>
      <c r="CT330" s="1979">
        <v>1</v>
      </c>
      <c r="CU330" s="1998">
        <v>1</v>
      </c>
      <c r="CV330" s="1998">
        <v>1</v>
      </c>
      <c r="CW330" s="1998">
        <v>1</v>
      </c>
      <c r="CX330" s="1998">
        <v>1</v>
      </c>
      <c r="CY330" s="1998">
        <v>1</v>
      </c>
      <c r="CZ330" s="1979">
        <v>0.66666666666666663</v>
      </c>
      <c r="DA330" s="1979">
        <v>0.66666666666666663</v>
      </c>
      <c r="DB330" s="1979">
        <v>0.66666666666666663</v>
      </c>
      <c r="DC330" s="1979">
        <v>0.66666666666666663</v>
      </c>
      <c r="DD330" s="1979">
        <v>0.66666666666666663</v>
      </c>
      <c r="DE330" s="1998">
        <v>8.1914540462959007</v>
      </c>
      <c r="DF330" s="1998">
        <v>8.1914540462959007</v>
      </c>
      <c r="DG330" s="1998">
        <v>8.1914540462959007</v>
      </c>
      <c r="DH330" s="1998">
        <v>8.1914540462959007</v>
      </c>
      <c r="DI330" s="1998">
        <v>8.1914540462959007</v>
      </c>
      <c r="DJ330" s="1979">
        <v>8.1771999062029916</v>
      </c>
      <c r="DK330" s="1979">
        <v>8.1771999062029916</v>
      </c>
      <c r="DL330" s="1979">
        <v>8.1771999062029916</v>
      </c>
      <c r="DM330" s="1979">
        <v>8.1771999062029916</v>
      </c>
      <c r="DN330" s="1979">
        <v>8.1771999062029916</v>
      </c>
      <c r="DO330" s="1998">
        <v>1</v>
      </c>
      <c r="DP330" s="1998">
        <v>1</v>
      </c>
      <c r="DQ330" s="1998">
        <v>1</v>
      </c>
      <c r="DR330" s="1998">
        <v>1</v>
      </c>
      <c r="DS330" s="1998">
        <v>1</v>
      </c>
      <c r="DT330" s="1979">
        <v>1</v>
      </c>
      <c r="DU330" s="1979">
        <v>1</v>
      </c>
      <c r="DV330" s="1979">
        <v>1</v>
      </c>
      <c r="DW330" s="1979">
        <v>1</v>
      </c>
      <c r="DX330" s="2021">
        <v>1</v>
      </c>
      <c r="EA330" s="2022"/>
      <c r="EB330" s="2">
        <v>24</v>
      </c>
      <c r="EC330" s="2" t="s">
        <v>4211</v>
      </c>
      <c r="ED330" s="1998">
        <v>1.2868815919764993</v>
      </c>
      <c r="EE330" s="1998">
        <v>1.2868815919764993</v>
      </c>
      <c r="EF330" s="1998">
        <v>1.2868815919764993</v>
      </c>
      <c r="EG330" s="1998">
        <v>1.2868815919764993</v>
      </c>
      <c r="EH330" s="1998">
        <v>1.2868815919764993</v>
      </c>
      <c r="EI330" s="1979">
        <v>1.5980823726272015</v>
      </c>
      <c r="EJ330" s="1979">
        <v>1.5980823726272015</v>
      </c>
      <c r="EK330" s="1979">
        <v>1.5980823726272015</v>
      </c>
      <c r="EL330" s="1979">
        <v>1.5980823726272015</v>
      </c>
      <c r="EM330" s="1979">
        <v>1.5980823726272015</v>
      </c>
      <c r="EN330" s="1998">
        <v>1.3606673031283796</v>
      </c>
      <c r="EO330" s="1998">
        <v>1.3606673031283796</v>
      </c>
      <c r="EP330" s="1998">
        <v>1.3606673031283796</v>
      </c>
      <c r="EQ330" s="1998">
        <v>1.3606673031283796</v>
      </c>
      <c r="ER330" s="1998">
        <v>1.3606673031283796</v>
      </c>
      <c r="ES330" s="1979">
        <v>1.5330426819868914</v>
      </c>
      <c r="ET330" s="1979">
        <v>1.5330426819868914</v>
      </c>
      <c r="EU330" s="1979">
        <v>1.5330426819868914</v>
      </c>
      <c r="EV330" s="1979">
        <v>1.5330426819868914</v>
      </c>
      <c r="EW330" s="1979">
        <v>1.5330426819868914</v>
      </c>
      <c r="EX330" s="1998">
        <v>1.3807649715094688</v>
      </c>
      <c r="EY330" s="1998">
        <v>1.3807649715094688</v>
      </c>
      <c r="EZ330" s="1998">
        <v>1.3807649715094688</v>
      </c>
      <c r="FA330" s="1998">
        <v>1.3807649715094688</v>
      </c>
      <c r="FB330" s="1998">
        <v>1.3807649715094688</v>
      </c>
      <c r="FC330" s="1979">
        <v>1.6277744053108218</v>
      </c>
      <c r="FD330" s="1979">
        <v>1.6277744053108218</v>
      </c>
      <c r="FE330" s="1979">
        <v>1.6277744053108218</v>
      </c>
      <c r="FF330" s="1979">
        <v>1.6277744053108218</v>
      </c>
      <c r="FG330" s="1979">
        <v>1.6277744053108218</v>
      </c>
      <c r="FH330" s="1998">
        <v>1.9137369581804469</v>
      </c>
      <c r="FI330" s="1998">
        <v>1.9137369581804469</v>
      </c>
      <c r="FJ330" s="1998">
        <v>1.9137369581804469</v>
      </c>
      <c r="FK330" s="1998">
        <v>1.9137369581804469</v>
      </c>
      <c r="FL330" s="1998">
        <v>1.9137369581804469</v>
      </c>
      <c r="FM330" s="1979">
        <v>0.95312408674768578</v>
      </c>
      <c r="FN330" s="1979">
        <v>0.95312408674768578</v>
      </c>
      <c r="FO330" s="1979">
        <v>0.95312408674768578</v>
      </c>
      <c r="FP330" s="1979">
        <v>0.95312408674768578</v>
      </c>
      <c r="FQ330" s="1979">
        <v>0.95312408674768578</v>
      </c>
      <c r="FR330" s="1998">
        <v>13.156124613273878</v>
      </c>
      <c r="FS330" s="1998">
        <v>13.156124613273878</v>
      </c>
      <c r="FT330" s="1998">
        <v>13.156124613273878</v>
      </c>
      <c r="FU330" s="1998">
        <v>13.156124613273878</v>
      </c>
      <c r="FV330" s="1998">
        <v>13.156124613273878</v>
      </c>
      <c r="FW330" s="1979">
        <v>13.515354994373412</v>
      </c>
      <c r="FX330" s="1979">
        <v>13.515354994373412</v>
      </c>
      <c r="FY330" s="1979">
        <v>13.515354994373412</v>
      </c>
      <c r="FZ330" s="1979">
        <v>13.515354994373412</v>
      </c>
      <c r="GA330" s="1979">
        <v>13.515354994373412</v>
      </c>
      <c r="GB330" s="1998">
        <v>1.3861479372000356</v>
      </c>
      <c r="GC330" s="1998">
        <v>1.3861479372000356</v>
      </c>
      <c r="GD330" s="1998">
        <v>1.3861479372000356</v>
      </c>
      <c r="GE330" s="1998">
        <v>1.3861479372000356</v>
      </c>
      <c r="GF330" s="1998">
        <v>1.3861479372000356</v>
      </c>
      <c r="GG330" s="1979">
        <v>1.4313071575784038</v>
      </c>
      <c r="GH330" s="1979">
        <v>1.4313071575784038</v>
      </c>
      <c r="GI330" s="1979">
        <v>1.4313071575784038</v>
      </c>
      <c r="GJ330" s="1979">
        <v>1.4313071575784038</v>
      </c>
      <c r="GK330" s="2021">
        <v>1.4313071575784038</v>
      </c>
    </row>
    <row r="331" spans="1:193">
      <c r="A331" s="2020"/>
      <c r="B331" s="2">
        <v>25</v>
      </c>
      <c r="C331" s="2" t="s">
        <v>4229</v>
      </c>
      <c r="D331" s="1998">
        <f>IF(Construction!$F$31=Construction!$R$22,Oeko!BQ331,Oeko!ED331)</f>
        <v>1</v>
      </c>
      <c r="E331" s="1998">
        <f>IF(Construction!$F$31=Construction!$R$22,Oeko!BR331,Oeko!EE331)</f>
        <v>1</v>
      </c>
      <c r="F331" s="1998">
        <f>IF(Construction!$F$31=Construction!$R$22,Oeko!BS331,Oeko!EF331)</f>
        <v>1</v>
      </c>
      <c r="G331" s="1998">
        <f>IF(Construction!$F$31=Construction!$R$22,Oeko!BT331,Oeko!EG331)</f>
        <v>1</v>
      </c>
      <c r="H331" s="1998">
        <f>IF(Construction!$F$31=Construction!$R$22,Oeko!BU331,Oeko!EH331)</f>
        <v>1</v>
      </c>
      <c r="I331" s="1979">
        <f>IF(Construction!$F$31=Construction!$R$22,Oeko!BV331,Oeko!EI331)</f>
        <v>1</v>
      </c>
      <c r="J331" s="1979">
        <f>IF(Construction!$F$31=Construction!$R$22,Oeko!BW331,Oeko!EJ331)</f>
        <v>1</v>
      </c>
      <c r="K331" s="1979">
        <f>IF(Construction!$F$31=Construction!$R$22,Oeko!BX331,Oeko!EK331)</f>
        <v>1</v>
      </c>
      <c r="L331" s="1979">
        <f>IF(Construction!$F$31=Construction!$R$22,Oeko!BY331,Oeko!EL331)</f>
        <v>1</v>
      </c>
      <c r="M331" s="1979">
        <f>IF(Construction!$F$31=Construction!$R$22,Oeko!BZ331,Oeko!EM331)</f>
        <v>1</v>
      </c>
      <c r="N331" s="1998">
        <f>IF(Construction!$F$31=Construction!$R$22,Oeko!CA331,Oeko!EN331)</f>
        <v>1</v>
      </c>
      <c r="O331" s="1998">
        <f>IF(Construction!$F$31=Construction!$R$22,Oeko!CB331,Oeko!EO331)</f>
        <v>1</v>
      </c>
      <c r="P331" s="1998">
        <f>IF(Construction!$F$31=Construction!$R$22,Oeko!CC331,Oeko!EP331)</f>
        <v>1</v>
      </c>
      <c r="Q331" s="1998">
        <f>IF(Construction!$F$31=Construction!$R$22,Oeko!CD331,Oeko!EQ331)</f>
        <v>1</v>
      </c>
      <c r="R331" s="1998">
        <f>IF(Construction!$F$31=Construction!$R$22,Oeko!CE331,Oeko!ER331)</f>
        <v>1</v>
      </c>
      <c r="S331" s="1979">
        <f>IF(Construction!$F$31=Construction!$R$22,Oeko!CF331,Oeko!ES331)</f>
        <v>1.0000000000000002</v>
      </c>
      <c r="T331" s="1979">
        <f>IF(Construction!$F$31=Construction!$R$22,Oeko!CG331,Oeko!ET331)</f>
        <v>1.0000000000000002</v>
      </c>
      <c r="U331" s="1979">
        <f>IF(Construction!$F$31=Construction!$R$22,Oeko!CH331,Oeko!EU331)</f>
        <v>1.0000000000000002</v>
      </c>
      <c r="V331" s="1979">
        <f>IF(Construction!$F$31=Construction!$R$22,Oeko!CI331,Oeko!EV331)</f>
        <v>1.0000000000000002</v>
      </c>
      <c r="W331" s="1979">
        <f>IF(Construction!$F$31=Construction!$R$22,Oeko!CJ331,Oeko!EW331)</f>
        <v>1.0000000000000002</v>
      </c>
      <c r="X331" s="1998">
        <f>IF(Construction!$F$31=Construction!$R$22,Oeko!CK331,Oeko!EX331)</f>
        <v>1</v>
      </c>
      <c r="Y331" s="1998">
        <f>IF(Construction!$F$31=Construction!$R$22,Oeko!CL331,Oeko!EY331)</f>
        <v>1</v>
      </c>
      <c r="Z331" s="1998">
        <f>IF(Construction!$F$31=Construction!$R$22,Oeko!CM331,Oeko!EZ331)</f>
        <v>1</v>
      </c>
      <c r="AA331" s="1998">
        <f>IF(Construction!$F$31=Construction!$R$22,Oeko!CN331,Oeko!FA331)</f>
        <v>1</v>
      </c>
      <c r="AB331" s="1998">
        <f>IF(Construction!$F$31=Construction!$R$22,Oeko!CO331,Oeko!FB331)</f>
        <v>1</v>
      </c>
      <c r="AC331" s="1979">
        <f>IF(Construction!$F$31=Construction!$R$22,Oeko!CP331,Oeko!FC331)</f>
        <v>1</v>
      </c>
      <c r="AD331" s="1979">
        <f>IF(Construction!$F$31=Construction!$R$22,Oeko!CQ331,Oeko!FD331)</f>
        <v>1</v>
      </c>
      <c r="AE331" s="1979">
        <f>IF(Construction!$F$31=Construction!$R$22,Oeko!CR331,Oeko!FE331)</f>
        <v>1</v>
      </c>
      <c r="AF331" s="1979">
        <f>IF(Construction!$F$31=Construction!$R$22,Oeko!CS331,Oeko!FF331)</f>
        <v>1</v>
      </c>
      <c r="AG331" s="1979">
        <f>IF(Construction!$F$31=Construction!$R$22,Oeko!CT331,Oeko!FG331)</f>
        <v>1</v>
      </c>
      <c r="AH331" s="1998">
        <f>IF(Construction!$F$31=Construction!$R$22,Oeko!CU331,Oeko!FH331)</f>
        <v>1</v>
      </c>
      <c r="AI331" s="1998">
        <f>IF(Construction!$F$31=Construction!$R$22,Oeko!CV331,Oeko!FI331)</f>
        <v>1</v>
      </c>
      <c r="AJ331" s="1998">
        <f>IF(Construction!$F$31=Construction!$R$22,Oeko!CW331,Oeko!FJ331)</f>
        <v>1</v>
      </c>
      <c r="AK331" s="1998">
        <f>IF(Construction!$F$31=Construction!$R$22,Oeko!CX331,Oeko!FK331)</f>
        <v>1</v>
      </c>
      <c r="AL331" s="1998">
        <f>IF(Construction!$F$31=Construction!$R$22,Oeko!CY331,Oeko!FL331)</f>
        <v>1</v>
      </c>
      <c r="AM331" s="1979">
        <f>IF(Construction!$F$31=Construction!$R$22,Oeko!CZ331,Oeko!FM331)</f>
        <v>0.66666666666666663</v>
      </c>
      <c r="AN331" s="1979">
        <f>IF(Construction!$F$31=Construction!$R$22,Oeko!DA331,Oeko!FN331)</f>
        <v>0.66666666666666663</v>
      </c>
      <c r="AO331" s="1979">
        <f>IF(Construction!$F$31=Construction!$R$22,Oeko!DB331,Oeko!FO331)</f>
        <v>0.66666666666666663</v>
      </c>
      <c r="AP331" s="1979">
        <f>IF(Construction!$F$31=Construction!$R$22,Oeko!DC331,Oeko!FP331)</f>
        <v>0.66666666666666663</v>
      </c>
      <c r="AQ331" s="1979">
        <f>IF(Construction!$F$31=Construction!$R$22,Oeko!DD331,Oeko!FQ331)</f>
        <v>0.66666666666666663</v>
      </c>
      <c r="AR331" s="1998">
        <f>IF(Construction!$F$31=Construction!$R$22,Oeko!DE331,Oeko!FR331)</f>
        <v>6.393590534721926</v>
      </c>
      <c r="AS331" s="1998">
        <f>IF(Construction!$F$31=Construction!$R$22,Oeko!DF331,Oeko!FS331)</f>
        <v>6.393590534721926</v>
      </c>
      <c r="AT331" s="1998">
        <f>IF(Construction!$F$31=Construction!$R$22,Oeko!DG331,Oeko!FT331)</f>
        <v>6.393590534721926</v>
      </c>
      <c r="AU331" s="1998">
        <f>IF(Construction!$F$31=Construction!$R$22,Oeko!DH331,Oeko!FU331)</f>
        <v>6.393590534721926</v>
      </c>
      <c r="AV331" s="1998">
        <f>IF(Construction!$F$31=Construction!$R$22,Oeko!DI331,Oeko!FV331)</f>
        <v>6.393590534721926</v>
      </c>
      <c r="AW331" s="1979">
        <f>IF(Construction!$F$31=Construction!$R$22,Oeko!DJ331,Oeko!FW331)</f>
        <v>6.3828999296522442</v>
      </c>
      <c r="AX331" s="1979">
        <f>IF(Construction!$F$31=Construction!$R$22,Oeko!DK331,Oeko!FX331)</f>
        <v>6.3828999296522442</v>
      </c>
      <c r="AY331" s="1979">
        <f>IF(Construction!$F$31=Construction!$R$22,Oeko!DL331,Oeko!FY331)</f>
        <v>6.3828999296522442</v>
      </c>
      <c r="AZ331" s="1979">
        <f>IF(Construction!$F$31=Construction!$R$22,Oeko!DM331,Oeko!FZ331)</f>
        <v>6.3828999296522442</v>
      </c>
      <c r="BA331" s="1979">
        <f>IF(Construction!$F$31=Construction!$R$22,Oeko!DN331,Oeko!GA331)</f>
        <v>6.3828999296522442</v>
      </c>
      <c r="BB331" s="1998">
        <f>IF(Construction!$F$31=Construction!$R$22,Oeko!DO331,Oeko!GB331)</f>
        <v>0.78115301620803501</v>
      </c>
      <c r="BC331" s="1998">
        <f>IF(Construction!$F$31=Construction!$R$22,Oeko!DP331,Oeko!GC331)</f>
        <v>0.78115301620803501</v>
      </c>
      <c r="BD331" s="1998">
        <f>IF(Construction!$F$31=Construction!$R$22,Oeko!DQ331,Oeko!GD331)</f>
        <v>0.78115301620803501</v>
      </c>
      <c r="BE331" s="1998">
        <f>IF(Construction!$F$31=Construction!$R$22,Oeko!DR331,Oeko!GE331)</f>
        <v>0.78115301620803501</v>
      </c>
      <c r="BF331" s="1998">
        <f>IF(Construction!$F$31=Construction!$R$22,Oeko!DS331,Oeko!GF331)</f>
        <v>0.78115301620803501</v>
      </c>
      <c r="BG331" s="1979">
        <f>IF(Construction!$F$31=Construction!$R$22,Oeko!DT331,Oeko!GG331)</f>
        <v>0.78195889917775152</v>
      </c>
      <c r="BH331" s="1979">
        <f>IF(Construction!$F$31=Construction!$R$22,Oeko!DU331,Oeko!GH331)</f>
        <v>0.78195889917775152</v>
      </c>
      <c r="BI331" s="1979">
        <f>IF(Construction!$F$31=Construction!$R$22,Oeko!DV331,Oeko!GI331)</f>
        <v>0.78195889917775152</v>
      </c>
      <c r="BJ331" s="1979">
        <f>IF(Construction!$F$31=Construction!$R$22,Oeko!DW331,Oeko!GJ331)</f>
        <v>0.78195889917775152</v>
      </c>
      <c r="BK331" s="2021">
        <f>IF(Construction!$F$31=Construction!$R$22,Oeko!DX331,Oeko!GK331)</f>
        <v>0.78195889917775152</v>
      </c>
      <c r="BN331" s="2022"/>
      <c r="BO331" s="2">
        <v>25</v>
      </c>
      <c r="BP331" s="2" t="s">
        <v>4229</v>
      </c>
      <c r="BQ331" s="1998">
        <v>1</v>
      </c>
      <c r="BR331" s="1998">
        <v>1</v>
      </c>
      <c r="BS331" s="1998">
        <v>1</v>
      </c>
      <c r="BT331" s="1998">
        <v>1</v>
      </c>
      <c r="BU331" s="1998">
        <v>1</v>
      </c>
      <c r="BV331" s="1979">
        <v>1</v>
      </c>
      <c r="BW331" s="1979">
        <v>1</v>
      </c>
      <c r="BX331" s="1979">
        <v>1</v>
      </c>
      <c r="BY331" s="1979">
        <v>1</v>
      </c>
      <c r="BZ331" s="1979">
        <v>1</v>
      </c>
      <c r="CA331" s="1998">
        <v>1</v>
      </c>
      <c r="CB331" s="1998">
        <v>1</v>
      </c>
      <c r="CC331" s="1998">
        <v>1</v>
      </c>
      <c r="CD331" s="1998">
        <v>1</v>
      </c>
      <c r="CE331" s="1998">
        <v>1</v>
      </c>
      <c r="CF331" s="1979">
        <v>1.0000000000000002</v>
      </c>
      <c r="CG331" s="1979">
        <v>1.0000000000000002</v>
      </c>
      <c r="CH331" s="1979">
        <v>1.0000000000000002</v>
      </c>
      <c r="CI331" s="1979">
        <v>1.0000000000000002</v>
      </c>
      <c r="CJ331" s="1979">
        <v>1.0000000000000002</v>
      </c>
      <c r="CK331" s="1998">
        <v>1</v>
      </c>
      <c r="CL331" s="1998">
        <v>1</v>
      </c>
      <c r="CM331" s="1998">
        <v>1</v>
      </c>
      <c r="CN331" s="1998">
        <v>1</v>
      </c>
      <c r="CO331" s="1998">
        <v>1</v>
      </c>
      <c r="CP331" s="1979">
        <v>1</v>
      </c>
      <c r="CQ331" s="1979">
        <v>1</v>
      </c>
      <c r="CR331" s="1979">
        <v>1</v>
      </c>
      <c r="CS331" s="1979">
        <v>1</v>
      </c>
      <c r="CT331" s="1979">
        <v>1</v>
      </c>
      <c r="CU331" s="1998">
        <v>1</v>
      </c>
      <c r="CV331" s="1998">
        <v>1</v>
      </c>
      <c r="CW331" s="1998">
        <v>1</v>
      </c>
      <c r="CX331" s="1998">
        <v>1</v>
      </c>
      <c r="CY331" s="1998">
        <v>1</v>
      </c>
      <c r="CZ331" s="1979">
        <v>0.66666666666666663</v>
      </c>
      <c r="DA331" s="1979">
        <v>0.66666666666666663</v>
      </c>
      <c r="DB331" s="1979">
        <v>0.66666666666666663</v>
      </c>
      <c r="DC331" s="1979">
        <v>0.66666666666666663</v>
      </c>
      <c r="DD331" s="1979">
        <v>0.66666666666666663</v>
      </c>
      <c r="DE331" s="1998">
        <v>6.393590534721926</v>
      </c>
      <c r="DF331" s="1998">
        <v>6.393590534721926</v>
      </c>
      <c r="DG331" s="1998">
        <v>6.393590534721926</v>
      </c>
      <c r="DH331" s="1998">
        <v>6.393590534721926</v>
      </c>
      <c r="DI331" s="1998">
        <v>6.393590534721926</v>
      </c>
      <c r="DJ331" s="1979">
        <v>6.3828999296522442</v>
      </c>
      <c r="DK331" s="1979">
        <v>6.3828999296522442</v>
      </c>
      <c r="DL331" s="1979">
        <v>6.3828999296522442</v>
      </c>
      <c r="DM331" s="1979">
        <v>6.3828999296522442</v>
      </c>
      <c r="DN331" s="1979">
        <v>6.3828999296522442</v>
      </c>
      <c r="DO331" s="1998">
        <v>0.78115301620803501</v>
      </c>
      <c r="DP331" s="1998">
        <v>0.78115301620803501</v>
      </c>
      <c r="DQ331" s="1998">
        <v>0.78115301620803501</v>
      </c>
      <c r="DR331" s="1998">
        <v>0.78115301620803501</v>
      </c>
      <c r="DS331" s="1998">
        <v>0.78115301620803501</v>
      </c>
      <c r="DT331" s="1979">
        <v>0.78195889917775152</v>
      </c>
      <c r="DU331" s="1979">
        <v>0.78195889917775152</v>
      </c>
      <c r="DV331" s="1979">
        <v>0.78195889917775152</v>
      </c>
      <c r="DW331" s="1979">
        <v>0.78195889917775152</v>
      </c>
      <c r="DX331" s="2021">
        <v>0.78195889917775152</v>
      </c>
      <c r="EA331" s="2022"/>
      <c r="EB331" s="2">
        <v>25</v>
      </c>
      <c r="EC331" s="2" t="s">
        <v>4229</v>
      </c>
      <c r="ED331" s="1998">
        <v>1.3137061099439951</v>
      </c>
      <c r="EE331" s="1998">
        <v>1.3137061099439951</v>
      </c>
      <c r="EF331" s="1998">
        <v>1.3137061099439951</v>
      </c>
      <c r="EG331" s="1998">
        <v>1.3137061099439951</v>
      </c>
      <c r="EH331" s="1998">
        <v>1.3137061099439951</v>
      </c>
      <c r="EI331" s="1979">
        <v>1.7872841547940841</v>
      </c>
      <c r="EJ331" s="1979">
        <v>1.7872841547940841</v>
      </c>
      <c r="EK331" s="1979">
        <v>1.7872841547940841</v>
      </c>
      <c r="EL331" s="1979">
        <v>1.7872841547940841</v>
      </c>
      <c r="EM331" s="1979">
        <v>1.7872841547940841</v>
      </c>
      <c r="EN331" s="1998">
        <v>1.4053027385583838</v>
      </c>
      <c r="EO331" s="1998">
        <v>1.4053027385583838</v>
      </c>
      <c r="EP331" s="1998">
        <v>1.4053027385583838</v>
      </c>
      <c r="EQ331" s="1998">
        <v>1.4053027385583838</v>
      </c>
      <c r="ER331" s="1998">
        <v>1.4053027385583838</v>
      </c>
      <c r="ES331" s="1979">
        <v>1.7252455721263957</v>
      </c>
      <c r="ET331" s="1979">
        <v>1.7252455721263957</v>
      </c>
      <c r="EU331" s="1979">
        <v>1.7252455721263957</v>
      </c>
      <c r="EV331" s="1979">
        <v>1.7252455721263957</v>
      </c>
      <c r="EW331" s="1979">
        <v>1.7252455721263957</v>
      </c>
      <c r="EX331" s="1998">
        <v>1.4298477194150447</v>
      </c>
      <c r="EY331" s="1998">
        <v>1.4298477194150447</v>
      </c>
      <c r="EZ331" s="1998">
        <v>1.4298477194150447</v>
      </c>
      <c r="FA331" s="1998">
        <v>1.4298477194150447</v>
      </c>
      <c r="FB331" s="1998">
        <v>1.4298477194150447</v>
      </c>
      <c r="FC331" s="1979">
        <v>1.8981839886795036</v>
      </c>
      <c r="FD331" s="1979">
        <v>1.8981839886795036</v>
      </c>
      <c r="FE331" s="1979">
        <v>1.8981839886795036</v>
      </c>
      <c r="FF331" s="1979">
        <v>1.8981839886795036</v>
      </c>
      <c r="FG331" s="1979">
        <v>1.8981839886795036</v>
      </c>
      <c r="FH331" s="1998">
        <v>2.1927309727671824</v>
      </c>
      <c r="FI331" s="1998">
        <v>2.1927309727671824</v>
      </c>
      <c r="FJ331" s="1998">
        <v>2.1927309727671824</v>
      </c>
      <c r="FK331" s="1998">
        <v>2.1927309727671824</v>
      </c>
      <c r="FL331" s="1998">
        <v>2.1927309727671824</v>
      </c>
      <c r="FM331" s="1979">
        <v>1.0285324237219586</v>
      </c>
      <c r="FN331" s="1979">
        <v>1.0285324237219586</v>
      </c>
      <c r="FO331" s="1979">
        <v>1.0285324237219586</v>
      </c>
      <c r="FP331" s="1979">
        <v>1.0285324237219586</v>
      </c>
      <c r="FQ331" s="1979">
        <v>1.0285324237219586</v>
      </c>
      <c r="FR331" s="1998">
        <v>12.009073933904036</v>
      </c>
      <c r="FS331" s="1998">
        <v>12.009073933904036</v>
      </c>
      <c r="FT331" s="1998">
        <v>12.009073933904036</v>
      </c>
      <c r="FU331" s="1998">
        <v>12.009073933904036</v>
      </c>
      <c r="FV331" s="1998">
        <v>12.009073933904036</v>
      </c>
      <c r="FW331" s="1979">
        <v>12.366014485162406</v>
      </c>
      <c r="FX331" s="1979">
        <v>12.366014485162406</v>
      </c>
      <c r="FY331" s="1979">
        <v>12.366014485162406</v>
      </c>
      <c r="FZ331" s="1979">
        <v>12.366014485162406</v>
      </c>
      <c r="GA331" s="1979">
        <v>12.366014485162406</v>
      </c>
      <c r="GB331" s="1998">
        <v>1.2468215875951767</v>
      </c>
      <c r="GC331" s="1998">
        <v>1.2468215875951767</v>
      </c>
      <c r="GD331" s="1998">
        <v>1.2468215875951767</v>
      </c>
      <c r="GE331" s="1998">
        <v>1.2468215875951767</v>
      </c>
      <c r="GF331" s="1998">
        <v>1.2468215875951767</v>
      </c>
      <c r="GG331" s="1979">
        <v>1.3027314842995616</v>
      </c>
      <c r="GH331" s="1979">
        <v>1.3027314842995616</v>
      </c>
      <c r="GI331" s="1979">
        <v>1.3027314842995616</v>
      </c>
      <c r="GJ331" s="1979">
        <v>1.3027314842995616</v>
      </c>
      <c r="GK331" s="2021">
        <v>1.3027314842995616</v>
      </c>
    </row>
    <row r="332" spans="1:193">
      <c r="A332" s="2020"/>
      <c r="B332" s="2">
        <v>26</v>
      </c>
      <c r="C332" s="2" t="s">
        <v>4244</v>
      </c>
      <c r="D332" s="1998">
        <f>IF(Construction!$F$31=Construction!$R$22,Oeko!BQ332,Oeko!ED332)</f>
        <v>1</v>
      </c>
      <c r="E332" s="1998">
        <f>IF(Construction!$F$31=Construction!$R$22,Oeko!BR332,Oeko!EE332)</f>
        <v>1</v>
      </c>
      <c r="F332" s="1998">
        <f>IF(Construction!$F$31=Construction!$R$22,Oeko!BS332,Oeko!EF332)</f>
        <v>1</v>
      </c>
      <c r="G332" s="1998">
        <f>IF(Construction!$F$31=Construction!$R$22,Oeko!BT332,Oeko!EG332)</f>
        <v>1</v>
      </c>
      <c r="H332" s="1998">
        <f>IF(Construction!$F$31=Construction!$R$22,Oeko!BU332,Oeko!EH332)</f>
        <v>1</v>
      </c>
      <c r="I332" s="1979">
        <f>IF(Construction!$F$31=Construction!$R$22,Oeko!BV332,Oeko!EI332)</f>
        <v>1</v>
      </c>
      <c r="J332" s="1979">
        <f>IF(Construction!$F$31=Construction!$R$22,Oeko!BW332,Oeko!EJ332)</f>
        <v>1</v>
      </c>
      <c r="K332" s="1979">
        <f>IF(Construction!$F$31=Construction!$R$22,Oeko!BX332,Oeko!EK332)</f>
        <v>1</v>
      </c>
      <c r="L332" s="1979">
        <f>IF(Construction!$F$31=Construction!$R$22,Oeko!BY332,Oeko!EL332)</f>
        <v>1</v>
      </c>
      <c r="M332" s="1979">
        <f>IF(Construction!$F$31=Construction!$R$22,Oeko!BZ332,Oeko!EM332)</f>
        <v>1</v>
      </c>
      <c r="N332" s="1998">
        <f>IF(Construction!$F$31=Construction!$R$22,Oeko!CA332,Oeko!EN332)</f>
        <v>1</v>
      </c>
      <c r="O332" s="1998">
        <f>IF(Construction!$F$31=Construction!$R$22,Oeko!CB332,Oeko!EO332)</f>
        <v>1</v>
      </c>
      <c r="P332" s="1998">
        <f>IF(Construction!$F$31=Construction!$R$22,Oeko!CC332,Oeko!EP332)</f>
        <v>1</v>
      </c>
      <c r="Q332" s="1998">
        <f>IF(Construction!$F$31=Construction!$R$22,Oeko!CD332,Oeko!EQ332)</f>
        <v>1</v>
      </c>
      <c r="R332" s="1998">
        <f>IF(Construction!$F$31=Construction!$R$22,Oeko!CE332,Oeko!ER332)</f>
        <v>1</v>
      </c>
      <c r="S332" s="1979">
        <f>IF(Construction!$F$31=Construction!$R$22,Oeko!CF332,Oeko!ES332)</f>
        <v>1</v>
      </c>
      <c r="T332" s="1979">
        <f>IF(Construction!$F$31=Construction!$R$22,Oeko!CG332,Oeko!ET332)</f>
        <v>1</v>
      </c>
      <c r="U332" s="1979">
        <f>IF(Construction!$F$31=Construction!$R$22,Oeko!CH332,Oeko!EU332)</f>
        <v>1</v>
      </c>
      <c r="V332" s="1979">
        <f>IF(Construction!$F$31=Construction!$R$22,Oeko!CI332,Oeko!EV332)</f>
        <v>1</v>
      </c>
      <c r="W332" s="1979">
        <f>IF(Construction!$F$31=Construction!$R$22,Oeko!CJ332,Oeko!EW332)</f>
        <v>1</v>
      </c>
      <c r="X332" s="1998">
        <f>IF(Construction!$F$31=Construction!$R$22,Oeko!CK332,Oeko!EX332)</f>
        <v>1</v>
      </c>
      <c r="Y332" s="1998">
        <f>IF(Construction!$F$31=Construction!$R$22,Oeko!CL332,Oeko!EY332)</f>
        <v>1</v>
      </c>
      <c r="Z332" s="1998">
        <f>IF(Construction!$F$31=Construction!$R$22,Oeko!CM332,Oeko!EZ332)</f>
        <v>1</v>
      </c>
      <c r="AA332" s="1998">
        <f>IF(Construction!$F$31=Construction!$R$22,Oeko!CN332,Oeko!FA332)</f>
        <v>1</v>
      </c>
      <c r="AB332" s="1998">
        <f>IF(Construction!$F$31=Construction!$R$22,Oeko!CO332,Oeko!FB332)</f>
        <v>1</v>
      </c>
      <c r="AC332" s="1979">
        <f>IF(Construction!$F$31=Construction!$R$22,Oeko!CP332,Oeko!FC332)</f>
        <v>1</v>
      </c>
      <c r="AD332" s="1979">
        <f>IF(Construction!$F$31=Construction!$R$22,Oeko!CQ332,Oeko!FD332)</f>
        <v>1</v>
      </c>
      <c r="AE332" s="1979">
        <f>IF(Construction!$F$31=Construction!$R$22,Oeko!CR332,Oeko!FE332)</f>
        <v>1</v>
      </c>
      <c r="AF332" s="1979">
        <f>IF(Construction!$F$31=Construction!$R$22,Oeko!CS332,Oeko!FF332)</f>
        <v>1</v>
      </c>
      <c r="AG332" s="1979">
        <f>IF(Construction!$F$31=Construction!$R$22,Oeko!CT332,Oeko!FG332)</f>
        <v>1</v>
      </c>
      <c r="AH332" s="1998">
        <f>IF(Construction!$F$31=Construction!$R$22,Oeko!CU332,Oeko!FH332)</f>
        <v>1</v>
      </c>
      <c r="AI332" s="1998">
        <f>IF(Construction!$F$31=Construction!$R$22,Oeko!CV332,Oeko!FI332)</f>
        <v>1</v>
      </c>
      <c r="AJ332" s="1998">
        <f>IF(Construction!$F$31=Construction!$R$22,Oeko!CW332,Oeko!FJ332)</f>
        <v>1</v>
      </c>
      <c r="AK332" s="1998">
        <f>IF(Construction!$F$31=Construction!$R$22,Oeko!CX332,Oeko!FK332)</f>
        <v>1</v>
      </c>
      <c r="AL332" s="1998">
        <f>IF(Construction!$F$31=Construction!$R$22,Oeko!CY332,Oeko!FL332)</f>
        <v>1</v>
      </c>
      <c r="AM332" s="1979">
        <f>IF(Construction!$F$31=Construction!$R$22,Oeko!CZ332,Oeko!FM332)</f>
        <v>1</v>
      </c>
      <c r="AN332" s="1979">
        <f>IF(Construction!$F$31=Construction!$R$22,Oeko!DA332,Oeko!FN332)</f>
        <v>1</v>
      </c>
      <c r="AO332" s="1979">
        <f>IF(Construction!$F$31=Construction!$R$22,Oeko!DB332,Oeko!FO332)</f>
        <v>1</v>
      </c>
      <c r="AP332" s="1979">
        <f>IF(Construction!$F$31=Construction!$R$22,Oeko!DC332,Oeko!FP332)</f>
        <v>1</v>
      </c>
      <c r="AQ332" s="1979">
        <f>IF(Construction!$F$31=Construction!$R$22,Oeko!DD332,Oeko!FQ332)</f>
        <v>1</v>
      </c>
      <c r="AR332" s="1998">
        <f>IF(Construction!$F$31=Construction!$R$22,Oeko!DE332,Oeko!FR332)</f>
        <v>1</v>
      </c>
      <c r="AS332" s="1998">
        <f>IF(Construction!$F$31=Construction!$R$22,Oeko!DF332,Oeko!FS332)</f>
        <v>1</v>
      </c>
      <c r="AT332" s="1998">
        <f>IF(Construction!$F$31=Construction!$R$22,Oeko!DG332,Oeko!FT332)</f>
        <v>1</v>
      </c>
      <c r="AU332" s="1998">
        <f>IF(Construction!$F$31=Construction!$R$22,Oeko!DH332,Oeko!FU332)</f>
        <v>1</v>
      </c>
      <c r="AV332" s="1998">
        <f>IF(Construction!$F$31=Construction!$R$22,Oeko!DI332,Oeko!FV332)</f>
        <v>1</v>
      </c>
      <c r="AW332" s="1979">
        <f>IF(Construction!$F$31=Construction!$R$22,Oeko!DJ332,Oeko!FW332)</f>
        <v>1</v>
      </c>
      <c r="AX332" s="1979">
        <f>IF(Construction!$F$31=Construction!$R$22,Oeko!DK332,Oeko!FX332)</f>
        <v>1</v>
      </c>
      <c r="AY332" s="1979">
        <f>IF(Construction!$F$31=Construction!$R$22,Oeko!DL332,Oeko!FY332)</f>
        <v>1</v>
      </c>
      <c r="AZ332" s="1979">
        <f>IF(Construction!$F$31=Construction!$R$22,Oeko!DM332,Oeko!FZ332)</f>
        <v>1</v>
      </c>
      <c r="BA332" s="1979">
        <f>IF(Construction!$F$31=Construction!$R$22,Oeko!DN332,Oeko!GA332)</f>
        <v>1</v>
      </c>
      <c r="BB332" s="1998">
        <f>IF(Construction!$F$31=Construction!$R$22,Oeko!DO332,Oeko!GB332)</f>
        <v>0.12461206483213953</v>
      </c>
      <c r="BC332" s="1998">
        <f>IF(Construction!$F$31=Construction!$R$22,Oeko!DP332,Oeko!GC332)</f>
        <v>0.12461206483213953</v>
      </c>
      <c r="BD332" s="1998">
        <f>IF(Construction!$F$31=Construction!$R$22,Oeko!DQ332,Oeko!GD332)</f>
        <v>0.12461206483213953</v>
      </c>
      <c r="BE332" s="1998">
        <f>IF(Construction!$F$31=Construction!$R$22,Oeko!DR332,Oeko!GE332)</f>
        <v>0.12461206483213953</v>
      </c>
      <c r="BF332" s="1998">
        <f>IF(Construction!$F$31=Construction!$R$22,Oeko!DS332,Oeko!GF332)</f>
        <v>0.12461206483213953</v>
      </c>
      <c r="BG332" s="1979">
        <f>IF(Construction!$F$31=Construction!$R$22,Oeko!DT332,Oeko!GG332)</f>
        <v>0.12783559671100567</v>
      </c>
      <c r="BH332" s="1979">
        <f>IF(Construction!$F$31=Construction!$R$22,Oeko!DU332,Oeko!GH332)</f>
        <v>0.12783559671100567</v>
      </c>
      <c r="BI332" s="1979">
        <f>IF(Construction!$F$31=Construction!$R$22,Oeko!DV332,Oeko!GI332)</f>
        <v>0.12783559671100567</v>
      </c>
      <c r="BJ332" s="1979">
        <f>IF(Construction!$F$31=Construction!$R$22,Oeko!DW332,Oeko!GJ332)</f>
        <v>0.12783559671100567</v>
      </c>
      <c r="BK332" s="2021">
        <f>IF(Construction!$F$31=Construction!$R$22,Oeko!DX332,Oeko!GK332)</f>
        <v>0.12783559671100567</v>
      </c>
      <c r="BN332" s="2022"/>
      <c r="BO332" s="2">
        <v>26</v>
      </c>
      <c r="BP332" s="2" t="s">
        <v>4244</v>
      </c>
      <c r="BQ332" s="1998">
        <v>1</v>
      </c>
      <c r="BR332" s="1998">
        <v>1</v>
      </c>
      <c r="BS332" s="1998">
        <v>1</v>
      </c>
      <c r="BT332" s="1998">
        <v>1</v>
      </c>
      <c r="BU332" s="1998">
        <v>1</v>
      </c>
      <c r="BV332" s="1979">
        <v>1</v>
      </c>
      <c r="BW332" s="1979">
        <v>1</v>
      </c>
      <c r="BX332" s="1979">
        <v>1</v>
      </c>
      <c r="BY332" s="1979">
        <v>1</v>
      </c>
      <c r="BZ332" s="1979">
        <v>1</v>
      </c>
      <c r="CA332" s="1998">
        <v>1</v>
      </c>
      <c r="CB332" s="1998">
        <v>1</v>
      </c>
      <c r="CC332" s="1998">
        <v>1</v>
      </c>
      <c r="CD332" s="1998">
        <v>1</v>
      </c>
      <c r="CE332" s="1998">
        <v>1</v>
      </c>
      <c r="CF332" s="1979">
        <v>1</v>
      </c>
      <c r="CG332" s="1979">
        <v>1</v>
      </c>
      <c r="CH332" s="1979">
        <v>1</v>
      </c>
      <c r="CI332" s="1979">
        <v>1</v>
      </c>
      <c r="CJ332" s="1979">
        <v>1</v>
      </c>
      <c r="CK332" s="1998">
        <v>1</v>
      </c>
      <c r="CL332" s="1998">
        <v>1</v>
      </c>
      <c r="CM332" s="1998">
        <v>1</v>
      </c>
      <c r="CN332" s="1998">
        <v>1</v>
      </c>
      <c r="CO332" s="1998">
        <v>1</v>
      </c>
      <c r="CP332" s="1979">
        <v>1</v>
      </c>
      <c r="CQ332" s="1979">
        <v>1</v>
      </c>
      <c r="CR332" s="1979">
        <v>1</v>
      </c>
      <c r="CS332" s="1979">
        <v>1</v>
      </c>
      <c r="CT332" s="1979">
        <v>1</v>
      </c>
      <c r="CU332" s="1998">
        <v>1</v>
      </c>
      <c r="CV332" s="1998">
        <v>1</v>
      </c>
      <c r="CW332" s="1998">
        <v>1</v>
      </c>
      <c r="CX332" s="1998">
        <v>1</v>
      </c>
      <c r="CY332" s="1998">
        <v>1</v>
      </c>
      <c r="CZ332" s="1979">
        <v>1</v>
      </c>
      <c r="DA332" s="1979">
        <v>1</v>
      </c>
      <c r="DB332" s="1979">
        <v>1</v>
      </c>
      <c r="DC332" s="1979">
        <v>1</v>
      </c>
      <c r="DD332" s="1979">
        <v>1</v>
      </c>
      <c r="DE332" s="1998">
        <v>1</v>
      </c>
      <c r="DF332" s="1998">
        <v>1</v>
      </c>
      <c r="DG332" s="1998">
        <v>1</v>
      </c>
      <c r="DH332" s="1998">
        <v>1</v>
      </c>
      <c r="DI332" s="1998">
        <v>1</v>
      </c>
      <c r="DJ332" s="1979">
        <v>1</v>
      </c>
      <c r="DK332" s="1979">
        <v>1</v>
      </c>
      <c r="DL332" s="1979">
        <v>1</v>
      </c>
      <c r="DM332" s="1979">
        <v>1</v>
      </c>
      <c r="DN332" s="1979">
        <v>1</v>
      </c>
      <c r="DO332" s="1998">
        <v>0.12461206483213953</v>
      </c>
      <c r="DP332" s="1998">
        <v>0.12461206483213953</v>
      </c>
      <c r="DQ332" s="1998">
        <v>0.12461206483213953</v>
      </c>
      <c r="DR332" s="1998">
        <v>0.12461206483213953</v>
      </c>
      <c r="DS332" s="1998">
        <v>0.12461206483213953</v>
      </c>
      <c r="DT332" s="1979">
        <v>0.12783559671100567</v>
      </c>
      <c r="DU332" s="1979">
        <v>0.12783559671100567</v>
      </c>
      <c r="DV332" s="1979">
        <v>0.12783559671100567</v>
      </c>
      <c r="DW332" s="1979">
        <v>0.12783559671100567</v>
      </c>
      <c r="DX332" s="2021">
        <v>0.12783559671100567</v>
      </c>
      <c r="EA332" s="2022"/>
      <c r="EB332" s="2">
        <v>26</v>
      </c>
      <c r="EC332" s="2" t="s">
        <v>4244</v>
      </c>
      <c r="ED332" s="1998">
        <v>1.3605609674202821</v>
      </c>
      <c r="EE332" s="1998">
        <v>1.3605609674202821</v>
      </c>
      <c r="EF332" s="1998">
        <v>1.3605609674202821</v>
      </c>
      <c r="EG332" s="1998">
        <v>1.3605609674202821</v>
      </c>
      <c r="EH332" s="1998">
        <v>1.3605609674202821</v>
      </c>
      <c r="EI332" s="1979">
        <v>2.0966679740137137</v>
      </c>
      <c r="EJ332" s="1979">
        <v>2.0966679740137137</v>
      </c>
      <c r="EK332" s="1979">
        <v>2.0966679740137137</v>
      </c>
      <c r="EL332" s="1979">
        <v>2.0966679740137137</v>
      </c>
      <c r="EM332" s="1979">
        <v>2.0966679740137137</v>
      </c>
      <c r="EN332" s="1998">
        <v>1.4337071065592959</v>
      </c>
      <c r="EO332" s="1998">
        <v>1.4337071065592959</v>
      </c>
      <c r="EP332" s="1998">
        <v>1.4337071065592959</v>
      </c>
      <c r="EQ332" s="1998">
        <v>1.4337071065592959</v>
      </c>
      <c r="ER332" s="1998">
        <v>1.4337071065592959</v>
      </c>
      <c r="ES332" s="1979">
        <v>1.8379162318633464</v>
      </c>
      <c r="ET332" s="1979">
        <v>1.8379162318633464</v>
      </c>
      <c r="EU332" s="1979">
        <v>1.8379162318633464</v>
      </c>
      <c r="EV332" s="1979">
        <v>1.8379162318633464</v>
      </c>
      <c r="EW332" s="1979">
        <v>1.8379162318633464</v>
      </c>
      <c r="EX332" s="1998">
        <v>1.4662053104562123</v>
      </c>
      <c r="EY332" s="1998">
        <v>1.4662053104562123</v>
      </c>
      <c r="EZ332" s="1998">
        <v>1.4662053104562123</v>
      </c>
      <c r="FA332" s="1998">
        <v>1.4662053104562123</v>
      </c>
      <c r="FB332" s="1998">
        <v>1.4662053104562123</v>
      </c>
      <c r="FC332" s="1979">
        <v>2.0890613416456318</v>
      </c>
      <c r="FD332" s="1979">
        <v>2.0890613416456318</v>
      </c>
      <c r="FE332" s="1979">
        <v>2.0890613416456318</v>
      </c>
      <c r="FF332" s="1979">
        <v>2.0890613416456318</v>
      </c>
      <c r="FG332" s="1979">
        <v>2.0890613416456318</v>
      </c>
      <c r="FH332" s="1998">
        <v>2.3921927569513635</v>
      </c>
      <c r="FI332" s="1998">
        <v>2.3921927569513635</v>
      </c>
      <c r="FJ332" s="1998">
        <v>2.3921927569513635</v>
      </c>
      <c r="FK332" s="1998">
        <v>2.3921927569513635</v>
      </c>
      <c r="FL332" s="1998">
        <v>2.3921927569513635</v>
      </c>
      <c r="FM332" s="1979">
        <v>1.5115041757386145</v>
      </c>
      <c r="FN332" s="1979">
        <v>1.5115041757386145</v>
      </c>
      <c r="FO332" s="1979">
        <v>1.5115041757386145</v>
      </c>
      <c r="FP332" s="1979">
        <v>1.5115041757386145</v>
      </c>
      <c r="FQ332" s="1979">
        <v>1.5115041757386145</v>
      </c>
      <c r="FR332" s="1998">
        <v>8.1198212572277306</v>
      </c>
      <c r="FS332" s="1998">
        <v>8.1198212572277306</v>
      </c>
      <c r="FT332" s="1998">
        <v>8.1198212572277306</v>
      </c>
      <c r="FU332" s="1998">
        <v>8.1198212572277306</v>
      </c>
      <c r="FV332" s="1998">
        <v>8.1198212572277306</v>
      </c>
      <c r="FW332" s="1979">
        <v>8.4799072816005001</v>
      </c>
      <c r="FX332" s="1979">
        <v>8.4799072816005001</v>
      </c>
      <c r="FY332" s="1979">
        <v>8.4799072816005001</v>
      </c>
      <c r="FZ332" s="1979">
        <v>8.4799072816005001</v>
      </c>
      <c r="GA332" s="1979">
        <v>8.4799072816005001</v>
      </c>
      <c r="GB332" s="1998">
        <v>0.7736975763794911</v>
      </c>
      <c r="GC332" s="1998">
        <v>0.7736975763794911</v>
      </c>
      <c r="GD332" s="1998">
        <v>0.7736975763794911</v>
      </c>
      <c r="GE332" s="1998">
        <v>0.7736975763794911</v>
      </c>
      <c r="GF332" s="1998">
        <v>0.7736975763794911</v>
      </c>
      <c r="GG332" s="1979">
        <v>0.84158732719503859</v>
      </c>
      <c r="GH332" s="1979">
        <v>0.84158732719503859</v>
      </c>
      <c r="GI332" s="1979">
        <v>0.84158732719503859</v>
      </c>
      <c r="GJ332" s="1979">
        <v>0.84158732719503859</v>
      </c>
      <c r="GK332" s="2021">
        <v>0.84158732719503859</v>
      </c>
    </row>
    <row r="333" spans="1:193">
      <c r="A333" s="2020"/>
      <c r="B333" s="2">
        <v>27</v>
      </c>
      <c r="C333" s="2" t="s">
        <v>4259</v>
      </c>
      <c r="D333" s="1998">
        <f>IF(Construction!$F$31=Construction!$R$22,Oeko!BQ333,Oeko!ED333)</f>
        <v>1</v>
      </c>
      <c r="E333" s="1998">
        <f>IF(Construction!$F$31=Construction!$R$22,Oeko!BR333,Oeko!EE333)</f>
        <v>1</v>
      </c>
      <c r="F333" s="1998">
        <f>IF(Construction!$F$31=Construction!$R$22,Oeko!BS333,Oeko!EF333)</f>
        <v>1</v>
      </c>
      <c r="G333" s="1998">
        <f>IF(Construction!$F$31=Construction!$R$22,Oeko!BT333,Oeko!EG333)</f>
        <v>1</v>
      </c>
      <c r="H333" s="1998">
        <f>IF(Construction!$F$31=Construction!$R$22,Oeko!BU333,Oeko!EH333)</f>
        <v>1</v>
      </c>
      <c r="I333" s="1979">
        <f>IF(Construction!$F$31=Construction!$R$22,Oeko!BV333,Oeko!EI333)</f>
        <v>1</v>
      </c>
      <c r="J333" s="1979">
        <f>IF(Construction!$F$31=Construction!$R$22,Oeko!BW333,Oeko!EJ333)</f>
        <v>1</v>
      </c>
      <c r="K333" s="1979">
        <f>IF(Construction!$F$31=Construction!$R$22,Oeko!BX333,Oeko!EK333)</f>
        <v>1</v>
      </c>
      <c r="L333" s="1979">
        <f>IF(Construction!$F$31=Construction!$R$22,Oeko!BY333,Oeko!EL333)</f>
        <v>1</v>
      </c>
      <c r="M333" s="1979">
        <f>IF(Construction!$F$31=Construction!$R$22,Oeko!BZ333,Oeko!EM333)</f>
        <v>1</v>
      </c>
      <c r="N333" s="1998">
        <f>IF(Construction!$F$31=Construction!$R$22,Oeko!CA333,Oeko!EN333)</f>
        <v>1</v>
      </c>
      <c r="O333" s="1998">
        <f>IF(Construction!$F$31=Construction!$R$22,Oeko!CB333,Oeko!EO333)</f>
        <v>1</v>
      </c>
      <c r="P333" s="1998">
        <f>IF(Construction!$F$31=Construction!$R$22,Oeko!CC333,Oeko!EP333)</f>
        <v>1</v>
      </c>
      <c r="Q333" s="1998">
        <f>IF(Construction!$F$31=Construction!$R$22,Oeko!CD333,Oeko!EQ333)</f>
        <v>1</v>
      </c>
      <c r="R333" s="1998">
        <f>IF(Construction!$F$31=Construction!$R$22,Oeko!CE333,Oeko!ER333)</f>
        <v>1</v>
      </c>
      <c r="S333" s="1979">
        <f>IF(Construction!$F$31=Construction!$R$22,Oeko!CF333,Oeko!ES333)</f>
        <v>1</v>
      </c>
      <c r="T333" s="1979">
        <f>IF(Construction!$F$31=Construction!$R$22,Oeko!CG333,Oeko!ET333)</f>
        <v>1</v>
      </c>
      <c r="U333" s="1979">
        <f>IF(Construction!$F$31=Construction!$R$22,Oeko!CH333,Oeko!EU333)</f>
        <v>1</v>
      </c>
      <c r="V333" s="1979">
        <f>IF(Construction!$F$31=Construction!$R$22,Oeko!CI333,Oeko!EV333)</f>
        <v>1</v>
      </c>
      <c r="W333" s="1979">
        <f>IF(Construction!$F$31=Construction!$R$22,Oeko!CJ333,Oeko!EW333)</f>
        <v>1</v>
      </c>
      <c r="X333" s="1998">
        <f>IF(Construction!$F$31=Construction!$R$22,Oeko!CK333,Oeko!EX333)</f>
        <v>1</v>
      </c>
      <c r="Y333" s="1998">
        <f>IF(Construction!$F$31=Construction!$R$22,Oeko!CL333,Oeko!EY333)</f>
        <v>1</v>
      </c>
      <c r="Z333" s="1998">
        <f>IF(Construction!$F$31=Construction!$R$22,Oeko!CM333,Oeko!EZ333)</f>
        <v>1</v>
      </c>
      <c r="AA333" s="1998">
        <f>IF(Construction!$F$31=Construction!$R$22,Oeko!CN333,Oeko!FA333)</f>
        <v>1</v>
      </c>
      <c r="AB333" s="1998">
        <f>IF(Construction!$F$31=Construction!$R$22,Oeko!CO333,Oeko!FB333)</f>
        <v>1</v>
      </c>
      <c r="AC333" s="1979">
        <f>IF(Construction!$F$31=Construction!$R$22,Oeko!CP333,Oeko!FC333)</f>
        <v>1</v>
      </c>
      <c r="AD333" s="1979">
        <f>IF(Construction!$F$31=Construction!$R$22,Oeko!CQ333,Oeko!FD333)</f>
        <v>1</v>
      </c>
      <c r="AE333" s="1979">
        <f>IF(Construction!$F$31=Construction!$R$22,Oeko!CR333,Oeko!FE333)</f>
        <v>1</v>
      </c>
      <c r="AF333" s="1979">
        <f>IF(Construction!$F$31=Construction!$R$22,Oeko!CS333,Oeko!FF333)</f>
        <v>1</v>
      </c>
      <c r="AG333" s="1979">
        <f>IF(Construction!$F$31=Construction!$R$22,Oeko!CT333,Oeko!FG333)</f>
        <v>1</v>
      </c>
      <c r="AH333" s="1998">
        <f>IF(Construction!$F$31=Construction!$R$22,Oeko!CU333,Oeko!FH333)</f>
        <v>1</v>
      </c>
      <c r="AI333" s="1998">
        <f>IF(Construction!$F$31=Construction!$R$22,Oeko!CV333,Oeko!FI333)</f>
        <v>1</v>
      </c>
      <c r="AJ333" s="1998">
        <f>IF(Construction!$F$31=Construction!$R$22,Oeko!CW333,Oeko!FJ333)</f>
        <v>1</v>
      </c>
      <c r="AK333" s="1998">
        <f>IF(Construction!$F$31=Construction!$R$22,Oeko!CX333,Oeko!FK333)</f>
        <v>1</v>
      </c>
      <c r="AL333" s="1998">
        <f>IF(Construction!$F$31=Construction!$R$22,Oeko!CY333,Oeko!FL333)</f>
        <v>1</v>
      </c>
      <c r="AM333" s="1979">
        <f>IF(Construction!$F$31=Construction!$R$22,Oeko!CZ333,Oeko!FM333)</f>
        <v>1.1666666666666665</v>
      </c>
      <c r="AN333" s="1979">
        <f>IF(Construction!$F$31=Construction!$R$22,Oeko!DA333,Oeko!FN333)</f>
        <v>1.1666666666666665</v>
      </c>
      <c r="AO333" s="1979">
        <f>IF(Construction!$F$31=Construction!$R$22,Oeko!DB333,Oeko!FO333)</f>
        <v>1.1666666666666665</v>
      </c>
      <c r="AP333" s="1979">
        <f>IF(Construction!$F$31=Construction!$R$22,Oeko!DC333,Oeko!FP333)</f>
        <v>1.1666666666666665</v>
      </c>
      <c r="AQ333" s="1979">
        <f>IF(Construction!$F$31=Construction!$R$22,Oeko!DD333,Oeko!FQ333)</f>
        <v>1.1666666666666665</v>
      </c>
      <c r="AR333" s="1998">
        <f>IF(Construction!$F$31=Construction!$R$22,Oeko!DE333,Oeko!FR333)</f>
        <v>1</v>
      </c>
      <c r="AS333" s="1998">
        <f>IF(Construction!$F$31=Construction!$R$22,Oeko!DF333,Oeko!FS333)</f>
        <v>1</v>
      </c>
      <c r="AT333" s="1998">
        <f>IF(Construction!$F$31=Construction!$R$22,Oeko!DG333,Oeko!FT333)</f>
        <v>1</v>
      </c>
      <c r="AU333" s="1998">
        <f>IF(Construction!$F$31=Construction!$R$22,Oeko!DH333,Oeko!FU333)</f>
        <v>1</v>
      </c>
      <c r="AV333" s="1998">
        <f>IF(Construction!$F$31=Construction!$R$22,Oeko!DI333,Oeko!FV333)</f>
        <v>1</v>
      </c>
      <c r="AW333" s="1979">
        <f>IF(Construction!$F$31=Construction!$R$22,Oeko!DJ333,Oeko!FW333)</f>
        <v>1</v>
      </c>
      <c r="AX333" s="1979">
        <f>IF(Construction!$F$31=Construction!$R$22,Oeko!DK333,Oeko!FX333)</f>
        <v>1</v>
      </c>
      <c r="AY333" s="1979">
        <f>IF(Construction!$F$31=Construction!$R$22,Oeko!DL333,Oeko!FY333)</f>
        <v>1</v>
      </c>
      <c r="AZ333" s="1979">
        <f>IF(Construction!$F$31=Construction!$R$22,Oeko!DM333,Oeko!FZ333)</f>
        <v>1</v>
      </c>
      <c r="BA333" s="1979">
        <f>IF(Construction!$F$31=Construction!$R$22,Oeko!DN333,Oeko!GA333)</f>
        <v>1</v>
      </c>
      <c r="BB333" s="1998">
        <f>IF(Construction!$F$31=Construction!$R$22,Oeko!DO333,Oeko!GB333)</f>
        <v>0.12461206483213953</v>
      </c>
      <c r="BC333" s="1998">
        <f>IF(Construction!$F$31=Construction!$R$22,Oeko!DP333,Oeko!GC333)</f>
        <v>0.12461206483213953</v>
      </c>
      <c r="BD333" s="1998">
        <f>IF(Construction!$F$31=Construction!$R$22,Oeko!DQ333,Oeko!GD333)</f>
        <v>0.12461206483213953</v>
      </c>
      <c r="BE333" s="1998">
        <f>IF(Construction!$F$31=Construction!$R$22,Oeko!DR333,Oeko!GE333)</f>
        <v>0.12461206483213953</v>
      </c>
      <c r="BF333" s="1998">
        <f>IF(Construction!$F$31=Construction!$R$22,Oeko!DS333,Oeko!GF333)</f>
        <v>0.12461206483213953</v>
      </c>
      <c r="BG333" s="1979">
        <f>IF(Construction!$F$31=Construction!$R$22,Oeko!DT333,Oeko!GG333)</f>
        <v>0.12783559671100567</v>
      </c>
      <c r="BH333" s="1979">
        <f>IF(Construction!$F$31=Construction!$R$22,Oeko!DU333,Oeko!GH333)</f>
        <v>0.12783559671100567</v>
      </c>
      <c r="BI333" s="1979">
        <f>IF(Construction!$F$31=Construction!$R$22,Oeko!DV333,Oeko!GI333)</f>
        <v>0.12783559671100567</v>
      </c>
      <c r="BJ333" s="1979">
        <f>IF(Construction!$F$31=Construction!$R$22,Oeko!DW333,Oeko!GJ333)</f>
        <v>0.12783559671100567</v>
      </c>
      <c r="BK333" s="2021">
        <f>IF(Construction!$F$31=Construction!$R$22,Oeko!DX333,Oeko!GK333)</f>
        <v>0.12783559671100567</v>
      </c>
      <c r="BN333" s="2022"/>
      <c r="BO333" s="2">
        <v>27</v>
      </c>
      <c r="BP333" s="2" t="s">
        <v>4259</v>
      </c>
      <c r="BQ333" s="1998">
        <v>1</v>
      </c>
      <c r="BR333" s="1998">
        <v>1</v>
      </c>
      <c r="BS333" s="1998">
        <v>1</v>
      </c>
      <c r="BT333" s="1998">
        <v>1</v>
      </c>
      <c r="BU333" s="1998">
        <v>1</v>
      </c>
      <c r="BV333" s="1979">
        <v>1</v>
      </c>
      <c r="BW333" s="1979">
        <v>1</v>
      </c>
      <c r="BX333" s="1979">
        <v>1</v>
      </c>
      <c r="BY333" s="1979">
        <v>1</v>
      </c>
      <c r="BZ333" s="1979">
        <v>1</v>
      </c>
      <c r="CA333" s="1998">
        <v>1</v>
      </c>
      <c r="CB333" s="1998">
        <v>1</v>
      </c>
      <c r="CC333" s="1998">
        <v>1</v>
      </c>
      <c r="CD333" s="1998">
        <v>1</v>
      </c>
      <c r="CE333" s="1998">
        <v>1</v>
      </c>
      <c r="CF333" s="1979">
        <v>1</v>
      </c>
      <c r="CG333" s="1979">
        <v>1</v>
      </c>
      <c r="CH333" s="1979">
        <v>1</v>
      </c>
      <c r="CI333" s="1979">
        <v>1</v>
      </c>
      <c r="CJ333" s="1979">
        <v>1</v>
      </c>
      <c r="CK333" s="1998">
        <v>1</v>
      </c>
      <c r="CL333" s="1998">
        <v>1</v>
      </c>
      <c r="CM333" s="1998">
        <v>1</v>
      </c>
      <c r="CN333" s="1998">
        <v>1</v>
      </c>
      <c r="CO333" s="1998">
        <v>1</v>
      </c>
      <c r="CP333" s="1979">
        <v>1</v>
      </c>
      <c r="CQ333" s="1979">
        <v>1</v>
      </c>
      <c r="CR333" s="1979">
        <v>1</v>
      </c>
      <c r="CS333" s="1979">
        <v>1</v>
      </c>
      <c r="CT333" s="1979">
        <v>1</v>
      </c>
      <c r="CU333" s="1998">
        <v>1</v>
      </c>
      <c r="CV333" s="1998">
        <v>1</v>
      </c>
      <c r="CW333" s="1998">
        <v>1</v>
      </c>
      <c r="CX333" s="1998">
        <v>1</v>
      </c>
      <c r="CY333" s="1998">
        <v>1</v>
      </c>
      <c r="CZ333" s="1979">
        <v>1.1666666666666665</v>
      </c>
      <c r="DA333" s="1979">
        <v>1.1666666666666665</v>
      </c>
      <c r="DB333" s="1979">
        <v>1.1666666666666665</v>
      </c>
      <c r="DC333" s="1979">
        <v>1.1666666666666665</v>
      </c>
      <c r="DD333" s="1979">
        <v>1.1666666666666665</v>
      </c>
      <c r="DE333" s="1998">
        <v>1</v>
      </c>
      <c r="DF333" s="1998">
        <v>1</v>
      </c>
      <c r="DG333" s="1998">
        <v>1</v>
      </c>
      <c r="DH333" s="1998">
        <v>1</v>
      </c>
      <c r="DI333" s="1998">
        <v>1</v>
      </c>
      <c r="DJ333" s="1979">
        <v>1</v>
      </c>
      <c r="DK333" s="1979">
        <v>1</v>
      </c>
      <c r="DL333" s="1979">
        <v>1</v>
      </c>
      <c r="DM333" s="1979">
        <v>1</v>
      </c>
      <c r="DN333" s="1979">
        <v>1</v>
      </c>
      <c r="DO333" s="1998">
        <v>0.12461206483213953</v>
      </c>
      <c r="DP333" s="1998">
        <v>0.12461206483213953</v>
      </c>
      <c r="DQ333" s="1998">
        <v>0.12461206483213953</v>
      </c>
      <c r="DR333" s="1998">
        <v>0.12461206483213953</v>
      </c>
      <c r="DS333" s="1998">
        <v>0.12461206483213953</v>
      </c>
      <c r="DT333" s="1979">
        <v>0.12783559671100567</v>
      </c>
      <c r="DU333" s="1979">
        <v>0.12783559671100567</v>
      </c>
      <c r="DV333" s="1979">
        <v>0.12783559671100567</v>
      </c>
      <c r="DW333" s="1979">
        <v>0.12783559671100567</v>
      </c>
      <c r="DX333" s="2021">
        <v>0.12783559671100567</v>
      </c>
      <c r="EA333" s="2022"/>
      <c r="EB333" s="2">
        <v>27</v>
      </c>
      <c r="EC333" s="2" t="s">
        <v>4259</v>
      </c>
      <c r="ED333" s="1998">
        <v>1.419345659456952</v>
      </c>
      <c r="EE333" s="1998">
        <v>1.419345659456952</v>
      </c>
      <c r="EF333" s="1998">
        <v>1.419345659456952</v>
      </c>
      <c r="EG333" s="1998">
        <v>1.419345659456952</v>
      </c>
      <c r="EH333" s="1998">
        <v>1.419345659456952</v>
      </c>
      <c r="EI333" s="1979">
        <v>2.4716056316257515</v>
      </c>
      <c r="EJ333" s="1979">
        <v>2.4716056316257515</v>
      </c>
      <c r="EK333" s="1979">
        <v>2.4716056316257515</v>
      </c>
      <c r="EL333" s="1979">
        <v>2.4716056316257515</v>
      </c>
      <c r="EM333" s="1979">
        <v>2.4716056316257515</v>
      </c>
      <c r="EN333" s="1998">
        <v>1.4848349689609373</v>
      </c>
      <c r="EO333" s="1998">
        <v>1.4848349689609373</v>
      </c>
      <c r="EP333" s="1998">
        <v>1.4848349689609373</v>
      </c>
      <c r="EQ333" s="1998">
        <v>1.4848349689609373</v>
      </c>
      <c r="ER333" s="1998">
        <v>1.4848349689609373</v>
      </c>
      <c r="ES333" s="1979">
        <v>2.0301191220028505</v>
      </c>
      <c r="ET333" s="1979">
        <v>2.0301191220028505</v>
      </c>
      <c r="EU333" s="1979">
        <v>2.0301191220028505</v>
      </c>
      <c r="EV333" s="1979">
        <v>2.0301191220028505</v>
      </c>
      <c r="EW333" s="1979">
        <v>2.0301191220028505</v>
      </c>
      <c r="EX333" s="1998">
        <v>1.5343757936584008</v>
      </c>
      <c r="EY333" s="1998">
        <v>1.5343757936584008</v>
      </c>
      <c r="EZ333" s="1998">
        <v>1.5343757936584008</v>
      </c>
      <c r="FA333" s="1998">
        <v>1.5343757936584008</v>
      </c>
      <c r="FB333" s="1998">
        <v>1.5343757936584008</v>
      </c>
      <c r="FC333" s="1979">
        <v>2.4390031554168674</v>
      </c>
      <c r="FD333" s="1979">
        <v>2.4390031554168674</v>
      </c>
      <c r="FE333" s="1979">
        <v>2.4390031554168674</v>
      </c>
      <c r="FF333" s="1979">
        <v>2.4390031554168674</v>
      </c>
      <c r="FG333" s="1979">
        <v>2.4390031554168674</v>
      </c>
      <c r="FH333" s="1998">
        <v>2.7330451729623064</v>
      </c>
      <c r="FI333" s="1998">
        <v>2.7330451729623064</v>
      </c>
      <c r="FJ333" s="1998">
        <v>2.7330451729623064</v>
      </c>
      <c r="FK333" s="1998">
        <v>2.7330451729623064</v>
      </c>
      <c r="FL333" s="1998">
        <v>2.7330451729623064</v>
      </c>
      <c r="FM333" s="1979">
        <v>1.8301657716190503</v>
      </c>
      <c r="FN333" s="1979">
        <v>1.8301657716190503</v>
      </c>
      <c r="FO333" s="1979">
        <v>1.8301657716190503</v>
      </c>
      <c r="FP333" s="1979">
        <v>1.8301657716190503</v>
      </c>
      <c r="FQ333" s="1979">
        <v>1.8301657716190503</v>
      </c>
      <c r="FR333" s="1998">
        <v>10.7444107116903</v>
      </c>
      <c r="FS333" s="1998">
        <v>10.7444107116903</v>
      </c>
      <c r="FT333" s="1998">
        <v>10.7444107116903</v>
      </c>
      <c r="FU333" s="1998">
        <v>10.7444107116903</v>
      </c>
      <c r="FV333" s="1998">
        <v>10.7444107116903</v>
      </c>
      <c r="FW333" s="1979">
        <v>11.126674907004146</v>
      </c>
      <c r="FX333" s="1979">
        <v>11.126674907004146</v>
      </c>
      <c r="FY333" s="1979">
        <v>11.126674907004146</v>
      </c>
      <c r="FZ333" s="1979">
        <v>11.126674907004146</v>
      </c>
      <c r="GA333" s="1979">
        <v>11.126674907004146</v>
      </c>
      <c r="GB333" s="1998">
        <v>1.0973745296033908</v>
      </c>
      <c r="GC333" s="1998">
        <v>1.0973745296033908</v>
      </c>
      <c r="GD333" s="1998">
        <v>1.0973745296033908</v>
      </c>
      <c r="GE333" s="1998">
        <v>1.0973745296033908</v>
      </c>
      <c r="GF333" s="1998">
        <v>1.0973745296033908</v>
      </c>
      <c r="GG333" s="1979">
        <v>1.1676555383243121</v>
      </c>
      <c r="GH333" s="1979">
        <v>1.1676555383243121</v>
      </c>
      <c r="GI333" s="1979">
        <v>1.1676555383243121</v>
      </c>
      <c r="GJ333" s="1979">
        <v>1.1676555383243121</v>
      </c>
      <c r="GK333" s="2021">
        <v>1.1676555383243121</v>
      </c>
    </row>
    <row r="334" spans="1:193">
      <c r="A334" s="2020"/>
      <c r="B334" s="2">
        <v>28</v>
      </c>
      <c r="C334" s="2" t="s">
        <v>4274</v>
      </c>
      <c r="D334" s="1998">
        <f>IF(Construction!$F$31=Construction!$R$22,Oeko!BQ334,Oeko!ED334)</f>
        <v>1.3333333333333333</v>
      </c>
      <c r="E334" s="1998">
        <f>IF(Construction!$F$31=Construction!$R$22,Oeko!BR334,Oeko!EE334)</f>
        <v>1.3333333333333333</v>
      </c>
      <c r="F334" s="1998">
        <f>IF(Construction!$F$31=Construction!$R$22,Oeko!BS334,Oeko!EF334)</f>
        <v>1.3333333333333333</v>
      </c>
      <c r="G334" s="1998">
        <f>IF(Construction!$F$31=Construction!$R$22,Oeko!BT334,Oeko!EG334)</f>
        <v>1.3333333333333333</v>
      </c>
      <c r="H334" s="1998">
        <f>IF(Construction!$F$31=Construction!$R$22,Oeko!BU334,Oeko!EH334)</f>
        <v>1.3333333333333333</v>
      </c>
      <c r="I334" s="1979">
        <f>IF(Construction!$F$31=Construction!$R$22,Oeko!BV334,Oeko!EI334)</f>
        <v>1</v>
      </c>
      <c r="J334" s="1979">
        <f>IF(Construction!$F$31=Construction!$R$22,Oeko!BW334,Oeko!EJ334)</f>
        <v>1</v>
      </c>
      <c r="K334" s="1979">
        <f>IF(Construction!$F$31=Construction!$R$22,Oeko!BX334,Oeko!EK334)</f>
        <v>1</v>
      </c>
      <c r="L334" s="1979">
        <f>IF(Construction!$F$31=Construction!$R$22,Oeko!BY334,Oeko!EL334)</f>
        <v>1</v>
      </c>
      <c r="M334" s="1979">
        <f>IF(Construction!$F$31=Construction!$R$22,Oeko!BZ334,Oeko!EM334)</f>
        <v>1</v>
      </c>
      <c r="N334" s="1998">
        <f>IF(Construction!$F$31=Construction!$R$22,Oeko!CA334,Oeko!EN334)</f>
        <v>1</v>
      </c>
      <c r="O334" s="1998">
        <f>IF(Construction!$F$31=Construction!$R$22,Oeko!CB334,Oeko!EO334)</f>
        <v>1</v>
      </c>
      <c r="P334" s="1998">
        <f>IF(Construction!$F$31=Construction!$R$22,Oeko!CC334,Oeko!EP334)</f>
        <v>1</v>
      </c>
      <c r="Q334" s="1998">
        <f>IF(Construction!$F$31=Construction!$R$22,Oeko!CD334,Oeko!EQ334)</f>
        <v>1</v>
      </c>
      <c r="R334" s="1998">
        <f>IF(Construction!$F$31=Construction!$R$22,Oeko!CE334,Oeko!ER334)</f>
        <v>1</v>
      </c>
      <c r="S334" s="1979">
        <f>IF(Construction!$F$31=Construction!$R$22,Oeko!CF334,Oeko!ES334)</f>
        <v>1</v>
      </c>
      <c r="T334" s="1979">
        <f>IF(Construction!$F$31=Construction!$R$22,Oeko!CG334,Oeko!ET334)</f>
        <v>1</v>
      </c>
      <c r="U334" s="1979">
        <f>IF(Construction!$F$31=Construction!$R$22,Oeko!CH334,Oeko!EU334)</f>
        <v>1</v>
      </c>
      <c r="V334" s="1979">
        <f>IF(Construction!$F$31=Construction!$R$22,Oeko!CI334,Oeko!EV334)</f>
        <v>1</v>
      </c>
      <c r="W334" s="1979">
        <f>IF(Construction!$F$31=Construction!$R$22,Oeko!CJ334,Oeko!EW334)</f>
        <v>1</v>
      </c>
      <c r="X334" s="1998">
        <f>IF(Construction!$F$31=Construction!$R$22,Oeko!CK334,Oeko!EX334)</f>
        <v>1</v>
      </c>
      <c r="Y334" s="1998">
        <f>IF(Construction!$F$31=Construction!$R$22,Oeko!CL334,Oeko!EY334)</f>
        <v>1</v>
      </c>
      <c r="Z334" s="1998">
        <f>IF(Construction!$F$31=Construction!$R$22,Oeko!CM334,Oeko!EZ334)</f>
        <v>1</v>
      </c>
      <c r="AA334" s="1998">
        <f>IF(Construction!$F$31=Construction!$R$22,Oeko!CN334,Oeko!FA334)</f>
        <v>1</v>
      </c>
      <c r="AB334" s="1998">
        <f>IF(Construction!$F$31=Construction!$R$22,Oeko!CO334,Oeko!FB334)</f>
        <v>1</v>
      </c>
      <c r="AC334" s="1979">
        <f>IF(Construction!$F$31=Construction!$R$22,Oeko!CP334,Oeko!FC334)</f>
        <v>1</v>
      </c>
      <c r="AD334" s="1979">
        <f>IF(Construction!$F$31=Construction!$R$22,Oeko!CQ334,Oeko!FD334)</f>
        <v>1</v>
      </c>
      <c r="AE334" s="1979">
        <f>IF(Construction!$F$31=Construction!$R$22,Oeko!CR334,Oeko!FE334)</f>
        <v>1</v>
      </c>
      <c r="AF334" s="1979">
        <f>IF(Construction!$F$31=Construction!$R$22,Oeko!CS334,Oeko!FF334)</f>
        <v>1</v>
      </c>
      <c r="AG334" s="1979">
        <f>IF(Construction!$F$31=Construction!$R$22,Oeko!CT334,Oeko!FG334)</f>
        <v>1</v>
      </c>
      <c r="AH334" s="1998">
        <f>IF(Construction!$F$31=Construction!$R$22,Oeko!CU334,Oeko!FH334)</f>
        <v>1</v>
      </c>
      <c r="AI334" s="1998">
        <f>IF(Construction!$F$31=Construction!$R$22,Oeko!CV334,Oeko!FI334)</f>
        <v>1</v>
      </c>
      <c r="AJ334" s="1998">
        <f>IF(Construction!$F$31=Construction!$R$22,Oeko!CW334,Oeko!FJ334)</f>
        <v>1</v>
      </c>
      <c r="AK334" s="1998">
        <f>IF(Construction!$F$31=Construction!$R$22,Oeko!CX334,Oeko!FK334)</f>
        <v>1</v>
      </c>
      <c r="AL334" s="1998">
        <f>IF(Construction!$F$31=Construction!$R$22,Oeko!CY334,Oeko!FL334)</f>
        <v>1</v>
      </c>
      <c r="AM334" s="1979">
        <f>IF(Construction!$F$31=Construction!$R$22,Oeko!CZ334,Oeko!FM334)</f>
        <v>1.3333333333333333</v>
      </c>
      <c r="AN334" s="1979">
        <f>IF(Construction!$F$31=Construction!$R$22,Oeko!DA334,Oeko!FN334)</f>
        <v>1.3333333333333333</v>
      </c>
      <c r="AO334" s="1979">
        <f>IF(Construction!$F$31=Construction!$R$22,Oeko!DB334,Oeko!FO334)</f>
        <v>1.3333333333333333</v>
      </c>
      <c r="AP334" s="1979">
        <f>IF(Construction!$F$31=Construction!$R$22,Oeko!DC334,Oeko!FP334)</f>
        <v>1.3333333333333333</v>
      </c>
      <c r="AQ334" s="1979">
        <f>IF(Construction!$F$31=Construction!$R$22,Oeko!DD334,Oeko!FQ334)</f>
        <v>1.3333333333333333</v>
      </c>
      <c r="AR334" s="1998">
        <f>IF(Construction!$F$31=Construction!$R$22,Oeko!DE334,Oeko!FR334)</f>
        <v>1</v>
      </c>
      <c r="AS334" s="1998">
        <f>IF(Construction!$F$31=Construction!$R$22,Oeko!DF334,Oeko!FS334)</f>
        <v>1</v>
      </c>
      <c r="AT334" s="1998">
        <f>IF(Construction!$F$31=Construction!$R$22,Oeko!DG334,Oeko!FT334)</f>
        <v>1</v>
      </c>
      <c r="AU334" s="1998">
        <f>IF(Construction!$F$31=Construction!$R$22,Oeko!DH334,Oeko!FU334)</f>
        <v>1</v>
      </c>
      <c r="AV334" s="1998">
        <f>IF(Construction!$F$31=Construction!$R$22,Oeko!DI334,Oeko!FV334)</f>
        <v>1</v>
      </c>
      <c r="AW334" s="1979">
        <f>IF(Construction!$F$31=Construction!$R$22,Oeko!DJ334,Oeko!FW334)</f>
        <v>1</v>
      </c>
      <c r="AX334" s="1979">
        <f>IF(Construction!$F$31=Construction!$R$22,Oeko!DK334,Oeko!FX334)</f>
        <v>1</v>
      </c>
      <c r="AY334" s="1979">
        <f>IF(Construction!$F$31=Construction!$R$22,Oeko!DL334,Oeko!FY334)</f>
        <v>1</v>
      </c>
      <c r="AZ334" s="1979">
        <f>IF(Construction!$F$31=Construction!$R$22,Oeko!DM334,Oeko!FZ334)</f>
        <v>1</v>
      </c>
      <c r="BA334" s="1979">
        <f>IF(Construction!$F$31=Construction!$R$22,Oeko!DN334,Oeko!GA334)</f>
        <v>1</v>
      </c>
      <c r="BB334" s="1998">
        <f>IF(Construction!$F$31=Construction!$R$22,Oeko!DO334,Oeko!GB334)</f>
        <v>0.12461206483213953</v>
      </c>
      <c r="BC334" s="1998">
        <f>IF(Construction!$F$31=Construction!$R$22,Oeko!DP334,Oeko!GC334)</f>
        <v>0.12461206483213953</v>
      </c>
      <c r="BD334" s="1998">
        <f>IF(Construction!$F$31=Construction!$R$22,Oeko!DQ334,Oeko!GD334)</f>
        <v>0.12461206483213953</v>
      </c>
      <c r="BE334" s="1998">
        <f>IF(Construction!$F$31=Construction!$R$22,Oeko!DR334,Oeko!GE334)</f>
        <v>0.12461206483213953</v>
      </c>
      <c r="BF334" s="1998">
        <f>IF(Construction!$F$31=Construction!$R$22,Oeko!DS334,Oeko!GF334)</f>
        <v>0.12461206483213953</v>
      </c>
      <c r="BG334" s="1979">
        <f>IF(Construction!$F$31=Construction!$R$22,Oeko!DT334,Oeko!GG334)</f>
        <v>0.12783559671100567</v>
      </c>
      <c r="BH334" s="1979">
        <f>IF(Construction!$F$31=Construction!$R$22,Oeko!DU334,Oeko!GH334)</f>
        <v>0.12783559671100567</v>
      </c>
      <c r="BI334" s="1979">
        <f>IF(Construction!$F$31=Construction!$R$22,Oeko!DV334,Oeko!GI334)</f>
        <v>0.12783559671100567</v>
      </c>
      <c r="BJ334" s="1979">
        <f>IF(Construction!$F$31=Construction!$R$22,Oeko!DW334,Oeko!GJ334)</f>
        <v>0.12783559671100567</v>
      </c>
      <c r="BK334" s="2021">
        <f>IF(Construction!$F$31=Construction!$R$22,Oeko!DX334,Oeko!GK334)</f>
        <v>0.12783559671100567</v>
      </c>
      <c r="BN334" s="2022"/>
      <c r="BO334" s="2">
        <v>28</v>
      </c>
      <c r="BP334" s="2" t="s">
        <v>4274</v>
      </c>
      <c r="BQ334" s="1998">
        <v>1.3333333333333333</v>
      </c>
      <c r="BR334" s="1998">
        <v>1.3333333333333333</v>
      </c>
      <c r="BS334" s="1998">
        <v>1.3333333333333333</v>
      </c>
      <c r="BT334" s="1998">
        <v>1.3333333333333333</v>
      </c>
      <c r="BU334" s="1998">
        <v>1.3333333333333333</v>
      </c>
      <c r="BV334" s="1979">
        <v>1</v>
      </c>
      <c r="BW334" s="1979">
        <v>1</v>
      </c>
      <c r="BX334" s="1979">
        <v>1</v>
      </c>
      <c r="BY334" s="1979">
        <v>1</v>
      </c>
      <c r="BZ334" s="1979">
        <v>1</v>
      </c>
      <c r="CA334" s="1998">
        <v>1</v>
      </c>
      <c r="CB334" s="1998">
        <v>1</v>
      </c>
      <c r="CC334" s="1998">
        <v>1</v>
      </c>
      <c r="CD334" s="1998">
        <v>1</v>
      </c>
      <c r="CE334" s="1998">
        <v>1</v>
      </c>
      <c r="CF334" s="1979">
        <v>1</v>
      </c>
      <c r="CG334" s="1979">
        <v>1</v>
      </c>
      <c r="CH334" s="1979">
        <v>1</v>
      </c>
      <c r="CI334" s="1979">
        <v>1</v>
      </c>
      <c r="CJ334" s="1979">
        <v>1</v>
      </c>
      <c r="CK334" s="1998">
        <v>1</v>
      </c>
      <c r="CL334" s="1998">
        <v>1</v>
      </c>
      <c r="CM334" s="1998">
        <v>1</v>
      </c>
      <c r="CN334" s="1998">
        <v>1</v>
      </c>
      <c r="CO334" s="1998">
        <v>1</v>
      </c>
      <c r="CP334" s="1979">
        <v>1</v>
      </c>
      <c r="CQ334" s="1979">
        <v>1</v>
      </c>
      <c r="CR334" s="1979">
        <v>1</v>
      </c>
      <c r="CS334" s="1979">
        <v>1</v>
      </c>
      <c r="CT334" s="1979">
        <v>1</v>
      </c>
      <c r="CU334" s="1998">
        <v>1</v>
      </c>
      <c r="CV334" s="1998">
        <v>1</v>
      </c>
      <c r="CW334" s="1998">
        <v>1</v>
      </c>
      <c r="CX334" s="1998">
        <v>1</v>
      </c>
      <c r="CY334" s="1998">
        <v>1</v>
      </c>
      <c r="CZ334" s="1979">
        <v>1.3333333333333333</v>
      </c>
      <c r="DA334" s="1979">
        <v>1.3333333333333333</v>
      </c>
      <c r="DB334" s="1979">
        <v>1.3333333333333333</v>
      </c>
      <c r="DC334" s="1979">
        <v>1.3333333333333333</v>
      </c>
      <c r="DD334" s="1979">
        <v>1.3333333333333333</v>
      </c>
      <c r="DE334" s="1998">
        <v>1</v>
      </c>
      <c r="DF334" s="1998">
        <v>1</v>
      </c>
      <c r="DG334" s="1998">
        <v>1</v>
      </c>
      <c r="DH334" s="1998">
        <v>1</v>
      </c>
      <c r="DI334" s="1998">
        <v>1</v>
      </c>
      <c r="DJ334" s="1979">
        <v>1</v>
      </c>
      <c r="DK334" s="1979">
        <v>1</v>
      </c>
      <c r="DL334" s="1979">
        <v>1</v>
      </c>
      <c r="DM334" s="1979">
        <v>1</v>
      </c>
      <c r="DN334" s="1979">
        <v>1</v>
      </c>
      <c r="DO334" s="1998">
        <v>0.12461206483213953</v>
      </c>
      <c r="DP334" s="1998">
        <v>0.12461206483213953</v>
      </c>
      <c r="DQ334" s="1998">
        <v>0.12461206483213953</v>
      </c>
      <c r="DR334" s="1998">
        <v>0.12461206483213953</v>
      </c>
      <c r="DS334" s="1998">
        <v>0.12461206483213953</v>
      </c>
      <c r="DT334" s="1979">
        <v>0.12783559671100567</v>
      </c>
      <c r="DU334" s="1979">
        <v>0.12783559671100567</v>
      </c>
      <c r="DV334" s="1979">
        <v>0.12783559671100567</v>
      </c>
      <c r="DW334" s="1979">
        <v>0.12783559671100567</v>
      </c>
      <c r="DX334" s="2021">
        <v>0.12783559671100567</v>
      </c>
      <c r="EA334" s="2022"/>
      <c r="EB334" s="2">
        <v>28</v>
      </c>
      <c r="EC334" s="2" t="s">
        <v>4274</v>
      </c>
      <c r="ED334" s="1998">
        <v>1.9131650441871284</v>
      </c>
      <c r="EE334" s="1998">
        <v>1.9131650441871284</v>
      </c>
      <c r="EF334" s="1998">
        <v>1.9131650441871284</v>
      </c>
      <c r="EG334" s="1998">
        <v>1.9131650441871284</v>
      </c>
      <c r="EH334" s="1998">
        <v>1.9131650441871284</v>
      </c>
      <c r="EI334" s="1979">
        <v>2.8465432892377889</v>
      </c>
      <c r="EJ334" s="1979">
        <v>2.8465432892377889</v>
      </c>
      <c r="EK334" s="1979">
        <v>2.8465432892377889</v>
      </c>
      <c r="EL334" s="1979">
        <v>2.8465432892377889</v>
      </c>
      <c r="EM334" s="1979">
        <v>2.8465432892377889</v>
      </c>
      <c r="EN334" s="1998">
        <v>1.5359628313625786</v>
      </c>
      <c r="EO334" s="1998">
        <v>1.5359628313625786</v>
      </c>
      <c r="EP334" s="1998">
        <v>1.5359628313625786</v>
      </c>
      <c r="EQ334" s="1998">
        <v>1.5359628313625786</v>
      </c>
      <c r="ER334" s="1998">
        <v>1.5359628313625786</v>
      </c>
      <c r="ES334" s="1979">
        <v>2.2223220121423544</v>
      </c>
      <c r="ET334" s="1979">
        <v>2.2223220121423544</v>
      </c>
      <c r="EU334" s="1979">
        <v>2.2223220121423544</v>
      </c>
      <c r="EV334" s="1979">
        <v>2.2223220121423544</v>
      </c>
      <c r="EW334" s="1979">
        <v>2.2223220121423544</v>
      </c>
      <c r="EX334" s="1998">
        <v>1.6025462768605891</v>
      </c>
      <c r="EY334" s="1998">
        <v>1.6025462768605891</v>
      </c>
      <c r="EZ334" s="1998">
        <v>1.6025462768605891</v>
      </c>
      <c r="FA334" s="1998">
        <v>1.6025462768605891</v>
      </c>
      <c r="FB334" s="1998">
        <v>1.6025462768605891</v>
      </c>
      <c r="FC334" s="1979">
        <v>2.7889449691881021</v>
      </c>
      <c r="FD334" s="1979">
        <v>2.7889449691881021</v>
      </c>
      <c r="FE334" s="1979">
        <v>2.7889449691881021</v>
      </c>
      <c r="FF334" s="1979">
        <v>2.7889449691881021</v>
      </c>
      <c r="FG334" s="1979">
        <v>2.7889449691881021</v>
      </c>
      <c r="FH334" s="1998">
        <v>3.0738975889732503</v>
      </c>
      <c r="FI334" s="1998">
        <v>3.0738975889732503</v>
      </c>
      <c r="FJ334" s="1998">
        <v>3.0738975889732503</v>
      </c>
      <c r="FK334" s="1998">
        <v>3.0738975889732503</v>
      </c>
      <c r="FL334" s="1998">
        <v>3.0738975889732503</v>
      </c>
      <c r="FM334" s="1979">
        <v>2.1488273674994858</v>
      </c>
      <c r="FN334" s="1979">
        <v>2.1488273674994858</v>
      </c>
      <c r="FO334" s="1979">
        <v>2.1488273674994858</v>
      </c>
      <c r="FP334" s="1979">
        <v>2.1488273674994858</v>
      </c>
      <c r="FQ334" s="1979">
        <v>2.1488273674994858</v>
      </c>
      <c r="FR334" s="1998">
        <v>13.369000166152871</v>
      </c>
      <c r="FS334" s="1998">
        <v>13.369000166152871</v>
      </c>
      <c r="FT334" s="1998">
        <v>13.369000166152871</v>
      </c>
      <c r="FU334" s="1998">
        <v>13.369000166152871</v>
      </c>
      <c r="FV334" s="1998">
        <v>13.369000166152871</v>
      </c>
      <c r="FW334" s="1979">
        <v>13.773442532407794</v>
      </c>
      <c r="FX334" s="1979">
        <v>13.773442532407794</v>
      </c>
      <c r="FY334" s="1979">
        <v>13.773442532407794</v>
      </c>
      <c r="FZ334" s="1979">
        <v>13.773442532407794</v>
      </c>
      <c r="GA334" s="1979">
        <v>13.773442532407794</v>
      </c>
      <c r="GB334" s="1998">
        <v>1.4210514828272911</v>
      </c>
      <c r="GC334" s="1998">
        <v>1.4210514828272911</v>
      </c>
      <c r="GD334" s="1998">
        <v>1.4210514828272911</v>
      </c>
      <c r="GE334" s="1998">
        <v>1.4210514828272911</v>
      </c>
      <c r="GF334" s="1998">
        <v>1.4210514828272911</v>
      </c>
      <c r="GG334" s="1979">
        <v>1.4937237494535853</v>
      </c>
      <c r="GH334" s="1979">
        <v>1.4937237494535853</v>
      </c>
      <c r="GI334" s="1979">
        <v>1.4937237494535853</v>
      </c>
      <c r="GJ334" s="1979">
        <v>1.4937237494535853</v>
      </c>
      <c r="GK334" s="2021">
        <v>1.4937237494535853</v>
      </c>
    </row>
    <row r="335" spans="1:193">
      <c r="A335" s="2020"/>
      <c r="B335" s="2">
        <v>29</v>
      </c>
      <c r="C335" s="2" t="str">
        <f>$AD$13</f>
        <v>Fondation superficielle</v>
      </c>
      <c r="D335" s="1998">
        <f>IF(Construction!$F$31=Construction!$R$22,Oeko!BQ335,Oeko!ED335)</f>
        <v>1</v>
      </c>
      <c r="E335" s="1998">
        <f>IF(Construction!$F$31=Construction!$R$22,Oeko!BR335,Oeko!EE335)</f>
        <v>1</v>
      </c>
      <c r="F335" s="1998">
        <f>IF(Construction!$F$31=Construction!$R$22,Oeko!BS335,Oeko!EF335)</f>
        <v>1</v>
      </c>
      <c r="G335" s="1998">
        <f>IF(Construction!$F$31=Construction!$R$22,Oeko!BT335,Oeko!EG335)</f>
        <v>1</v>
      </c>
      <c r="H335" s="1998">
        <f>IF(Construction!$F$31=Construction!$R$22,Oeko!BU335,Oeko!EH335)</f>
        <v>1</v>
      </c>
      <c r="I335" s="1979">
        <f>IF(Construction!$F$31=Construction!$R$22,Oeko!BV335,Oeko!EI335)</f>
        <v>1</v>
      </c>
      <c r="J335" s="1979">
        <f>IF(Construction!$F$31=Construction!$R$22,Oeko!BW335,Oeko!EJ335)</f>
        <v>1</v>
      </c>
      <c r="K335" s="1979">
        <f>IF(Construction!$F$31=Construction!$R$22,Oeko!BX335,Oeko!EK335)</f>
        <v>1</v>
      </c>
      <c r="L335" s="1979">
        <f>IF(Construction!$F$31=Construction!$R$22,Oeko!BY335,Oeko!EL335)</f>
        <v>1</v>
      </c>
      <c r="M335" s="1979">
        <f>IF(Construction!$F$31=Construction!$R$22,Oeko!BZ335,Oeko!EM335)</f>
        <v>1</v>
      </c>
      <c r="N335" s="1998">
        <f>IF(Construction!$F$31=Construction!$R$22,Oeko!CA335,Oeko!EN335)</f>
        <v>1</v>
      </c>
      <c r="O335" s="1998">
        <f>IF(Construction!$F$31=Construction!$R$22,Oeko!CB335,Oeko!EO335)</f>
        <v>1</v>
      </c>
      <c r="P335" s="1998">
        <f>IF(Construction!$F$31=Construction!$R$22,Oeko!CC335,Oeko!EP335)</f>
        <v>1</v>
      </c>
      <c r="Q335" s="1998">
        <f>IF(Construction!$F$31=Construction!$R$22,Oeko!CD335,Oeko!EQ335)</f>
        <v>1</v>
      </c>
      <c r="R335" s="1998">
        <f>IF(Construction!$F$31=Construction!$R$22,Oeko!CE335,Oeko!ER335)</f>
        <v>1</v>
      </c>
      <c r="S335" s="1979">
        <f>IF(Construction!$F$31=Construction!$R$22,Oeko!CF335,Oeko!ES335)</f>
        <v>1</v>
      </c>
      <c r="T335" s="1979">
        <f>IF(Construction!$F$31=Construction!$R$22,Oeko!CG335,Oeko!ET335)</f>
        <v>1</v>
      </c>
      <c r="U335" s="1979">
        <f>IF(Construction!$F$31=Construction!$R$22,Oeko!CH335,Oeko!EU335)</f>
        <v>1</v>
      </c>
      <c r="V335" s="1979">
        <f>IF(Construction!$F$31=Construction!$R$22,Oeko!CI335,Oeko!EV335)</f>
        <v>1</v>
      </c>
      <c r="W335" s="1979">
        <f>IF(Construction!$F$31=Construction!$R$22,Oeko!CJ335,Oeko!EW335)</f>
        <v>1</v>
      </c>
      <c r="X335" s="1998">
        <f>IF(Construction!$F$31=Construction!$R$22,Oeko!CK335,Oeko!EX335)</f>
        <v>1</v>
      </c>
      <c r="Y335" s="1998">
        <f>IF(Construction!$F$31=Construction!$R$22,Oeko!CL335,Oeko!EY335)</f>
        <v>1</v>
      </c>
      <c r="Z335" s="1998">
        <f>IF(Construction!$F$31=Construction!$R$22,Oeko!CM335,Oeko!EZ335)</f>
        <v>1</v>
      </c>
      <c r="AA335" s="1998">
        <f>IF(Construction!$F$31=Construction!$R$22,Oeko!CN335,Oeko!FA335)</f>
        <v>1</v>
      </c>
      <c r="AB335" s="1998">
        <f>IF(Construction!$F$31=Construction!$R$22,Oeko!CO335,Oeko!FB335)</f>
        <v>1</v>
      </c>
      <c r="AC335" s="1979">
        <f>IF(Construction!$F$31=Construction!$R$22,Oeko!CP335,Oeko!FC335)</f>
        <v>1</v>
      </c>
      <c r="AD335" s="1979">
        <f>IF(Construction!$F$31=Construction!$R$22,Oeko!CQ335,Oeko!FD335)</f>
        <v>1</v>
      </c>
      <c r="AE335" s="1979">
        <f>IF(Construction!$F$31=Construction!$R$22,Oeko!CR335,Oeko!FE335)</f>
        <v>1</v>
      </c>
      <c r="AF335" s="1979">
        <f>IF(Construction!$F$31=Construction!$R$22,Oeko!CS335,Oeko!FF335)</f>
        <v>1</v>
      </c>
      <c r="AG335" s="1979">
        <f>IF(Construction!$F$31=Construction!$R$22,Oeko!CT335,Oeko!FG335)</f>
        <v>1</v>
      </c>
      <c r="AH335" s="1998">
        <f>IF(Construction!$F$31=Construction!$R$22,Oeko!CU335,Oeko!FH335)</f>
        <v>1</v>
      </c>
      <c r="AI335" s="1998">
        <f>IF(Construction!$F$31=Construction!$R$22,Oeko!CV335,Oeko!FI335)</f>
        <v>1</v>
      </c>
      <c r="AJ335" s="1998">
        <f>IF(Construction!$F$31=Construction!$R$22,Oeko!CW335,Oeko!FJ335)</f>
        <v>1</v>
      </c>
      <c r="AK335" s="1998">
        <f>IF(Construction!$F$31=Construction!$R$22,Oeko!CX335,Oeko!FK335)</f>
        <v>1</v>
      </c>
      <c r="AL335" s="1998">
        <f>IF(Construction!$F$31=Construction!$R$22,Oeko!CY335,Oeko!FL335)</f>
        <v>1</v>
      </c>
      <c r="AM335" s="1979">
        <f>IF(Construction!$F$31=Construction!$R$22,Oeko!CZ335,Oeko!FM335)</f>
        <v>1</v>
      </c>
      <c r="AN335" s="1979">
        <f>IF(Construction!$F$31=Construction!$R$22,Oeko!DA335,Oeko!FN335)</f>
        <v>1</v>
      </c>
      <c r="AO335" s="1979">
        <f>IF(Construction!$F$31=Construction!$R$22,Oeko!DB335,Oeko!FO335)</f>
        <v>1</v>
      </c>
      <c r="AP335" s="1979">
        <f>IF(Construction!$F$31=Construction!$R$22,Oeko!DC335,Oeko!FP335)</f>
        <v>1</v>
      </c>
      <c r="AQ335" s="1979">
        <f>IF(Construction!$F$31=Construction!$R$22,Oeko!DD335,Oeko!FQ335)</f>
        <v>1</v>
      </c>
      <c r="AR335" s="1998">
        <f>IF(Construction!$F$31=Construction!$R$22,Oeko!DE335,Oeko!FR335)</f>
        <v>1</v>
      </c>
      <c r="AS335" s="1998">
        <f>IF(Construction!$F$31=Construction!$R$22,Oeko!DF335,Oeko!FS335)</f>
        <v>1</v>
      </c>
      <c r="AT335" s="1998">
        <f>IF(Construction!$F$31=Construction!$R$22,Oeko!DG335,Oeko!FT335)</f>
        <v>1</v>
      </c>
      <c r="AU335" s="1998">
        <f>IF(Construction!$F$31=Construction!$R$22,Oeko!DH335,Oeko!FU335)</f>
        <v>1</v>
      </c>
      <c r="AV335" s="1998">
        <f>IF(Construction!$F$31=Construction!$R$22,Oeko!DI335,Oeko!FV335)</f>
        <v>1</v>
      </c>
      <c r="AW335" s="1979">
        <f>IF(Construction!$F$31=Construction!$R$22,Oeko!DJ335,Oeko!FW335)</f>
        <v>1</v>
      </c>
      <c r="AX335" s="1979">
        <f>IF(Construction!$F$31=Construction!$R$22,Oeko!DK335,Oeko!FX335)</f>
        <v>1</v>
      </c>
      <c r="AY335" s="1979">
        <f>IF(Construction!$F$31=Construction!$R$22,Oeko!DL335,Oeko!FY335)</f>
        <v>1</v>
      </c>
      <c r="AZ335" s="1979">
        <f>IF(Construction!$F$31=Construction!$R$22,Oeko!DM335,Oeko!FZ335)</f>
        <v>1</v>
      </c>
      <c r="BA335" s="1979">
        <f>IF(Construction!$F$31=Construction!$R$22,Oeko!DN335,Oeko!GA335)</f>
        <v>1</v>
      </c>
      <c r="BB335" s="1998">
        <f>IF(Construction!$F$31=Construction!$R$22,Oeko!DO335,Oeko!GB335)</f>
        <v>1</v>
      </c>
      <c r="BC335" s="1998">
        <f>IF(Construction!$F$31=Construction!$R$22,Oeko!DP335,Oeko!GC335)</f>
        <v>1</v>
      </c>
      <c r="BD335" s="1998">
        <f>IF(Construction!$F$31=Construction!$R$22,Oeko!DQ335,Oeko!GD335)</f>
        <v>1</v>
      </c>
      <c r="BE335" s="1998">
        <f>IF(Construction!$F$31=Construction!$R$22,Oeko!DR335,Oeko!GE335)</f>
        <v>1</v>
      </c>
      <c r="BF335" s="1998">
        <f>IF(Construction!$F$31=Construction!$R$22,Oeko!DS335,Oeko!GF335)</f>
        <v>1</v>
      </c>
      <c r="BG335" s="1979">
        <f>IF(Construction!$F$31=Construction!$R$22,Oeko!DT335,Oeko!GG335)</f>
        <v>1</v>
      </c>
      <c r="BH335" s="1979">
        <f>IF(Construction!$F$31=Construction!$R$22,Oeko!DU335,Oeko!GH335)</f>
        <v>1</v>
      </c>
      <c r="BI335" s="1979">
        <f>IF(Construction!$F$31=Construction!$R$22,Oeko!DV335,Oeko!GI335)</f>
        <v>1</v>
      </c>
      <c r="BJ335" s="1979">
        <f>IF(Construction!$F$31=Construction!$R$22,Oeko!DW335,Oeko!GJ335)</f>
        <v>1</v>
      </c>
      <c r="BK335" s="2021">
        <f>IF(Construction!$F$31=Construction!$R$22,Oeko!DX335,Oeko!GK335)</f>
        <v>1</v>
      </c>
      <c r="BN335" s="2022"/>
      <c r="BO335" s="2">
        <v>29</v>
      </c>
      <c r="BP335" s="2" t="str">
        <f>$AD$13</f>
        <v>Fondation superficielle</v>
      </c>
      <c r="BQ335" s="1998">
        <v>1</v>
      </c>
      <c r="BR335" s="1998">
        <v>1</v>
      </c>
      <c r="BS335" s="1998">
        <v>1</v>
      </c>
      <c r="BT335" s="1998">
        <v>1</v>
      </c>
      <c r="BU335" s="1998">
        <v>1</v>
      </c>
      <c r="BV335" s="1979">
        <v>1</v>
      </c>
      <c r="BW335" s="1979">
        <v>1</v>
      </c>
      <c r="BX335" s="1979">
        <v>1</v>
      </c>
      <c r="BY335" s="1979">
        <v>1</v>
      </c>
      <c r="BZ335" s="1979">
        <v>1</v>
      </c>
      <c r="CA335" s="1998">
        <v>1</v>
      </c>
      <c r="CB335" s="1998">
        <v>1</v>
      </c>
      <c r="CC335" s="1998">
        <v>1</v>
      </c>
      <c r="CD335" s="1998">
        <v>1</v>
      </c>
      <c r="CE335" s="1998">
        <v>1</v>
      </c>
      <c r="CF335" s="1979">
        <v>1</v>
      </c>
      <c r="CG335" s="1979">
        <v>1</v>
      </c>
      <c r="CH335" s="1979">
        <v>1</v>
      </c>
      <c r="CI335" s="1979">
        <v>1</v>
      </c>
      <c r="CJ335" s="1979">
        <v>1</v>
      </c>
      <c r="CK335" s="1998">
        <v>1</v>
      </c>
      <c r="CL335" s="1998">
        <v>1</v>
      </c>
      <c r="CM335" s="1998">
        <v>1</v>
      </c>
      <c r="CN335" s="1998">
        <v>1</v>
      </c>
      <c r="CO335" s="1998">
        <v>1</v>
      </c>
      <c r="CP335" s="1979">
        <v>1</v>
      </c>
      <c r="CQ335" s="1979">
        <v>1</v>
      </c>
      <c r="CR335" s="1979">
        <v>1</v>
      </c>
      <c r="CS335" s="1979">
        <v>1</v>
      </c>
      <c r="CT335" s="1979">
        <v>1</v>
      </c>
      <c r="CU335" s="1998">
        <v>1</v>
      </c>
      <c r="CV335" s="1998">
        <v>1</v>
      </c>
      <c r="CW335" s="1998">
        <v>1</v>
      </c>
      <c r="CX335" s="1998">
        <v>1</v>
      </c>
      <c r="CY335" s="1998">
        <v>1</v>
      </c>
      <c r="CZ335" s="1979">
        <v>1</v>
      </c>
      <c r="DA335" s="1979">
        <v>1</v>
      </c>
      <c r="DB335" s="1979">
        <v>1</v>
      </c>
      <c r="DC335" s="1979">
        <v>1</v>
      </c>
      <c r="DD335" s="1979">
        <v>1</v>
      </c>
      <c r="DE335" s="1998">
        <v>1</v>
      </c>
      <c r="DF335" s="1998">
        <v>1</v>
      </c>
      <c r="DG335" s="1998">
        <v>1</v>
      </c>
      <c r="DH335" s="1998">
        <v>1</v>
      </c>
      <c r="DI335" s="1998">
        <v>1</v>
      </c>
      <c r="DJ335" s="1979">
        <v>1</v>
      </c>
      <c r="DK335" s="1979">
        <v>1</v>
      </c>
      <c r="DL335" s="1979">
        <v>1</v>
      </c>
      <c r="DM335" s="1979">
        <v>1</v>
      </c>
      <c r="DN335" s="1979">
        <v>1</v>
      </c>
      <c r="DO335" s="1998">
        <v>1</v>
      </c>
      <c r="DP335" s="1998">
        <v>1</v>
      </c>
      <c r="DQ335" s="1998">
        <v>1</v>
      </c>
      <c r="DR335" s="1998">
        <v>1</v>
      </c>
      <c r="DS335" s="1998">
        <v>1</v>
      </c>
      <c r="DT335" s="1979">
        <v>1</v>
      </c>
      <c r="DU335" s="1979">
        <v>1</v>
      </c>
      <c r="DV335" s="1979">
        <v>1</v>
      </c>
      <c r="DW335" s="1979">
        <v>1</v>
      </c>
      <c r="DX335" s="2021">
        <v>1</v>
      </c>
      <c r="EA335" s="2022"/>
      <c r="EB335" s="2">
        <v>29</v>
      </c>
      <c r="EC335" s="2" t="str">
        <f>$AD$13</f>
        <v>Fondation superficielle</v>
      </c>
      <c r="ED335" s="1998">
        <v>1.3605609674202821</v>
      </c>
      <c r="EE335" s="1998">
        <v>1.3605609674202821</v>
      </c>
      <c r="EF335" s="1998">
        <v>1.3605609674202821</v>
      </c>
      <c r="EG335" s="1998">
        <v>1.3605609674202821</v>
      </c>
      <c r="EH335" s="1998">
        <v>1.3605609674202821</v>
      </c>
      <c r="EI335" s="1979">
        <v>2.0966679740137137</v>
      </c>
      <c r="EJ335" s="1979">
        <v>2.0966679740137137</v>
      </c>
      <c r="EK335" s="1979">
        <v>2.0966679740137137</v>
      </c>
      <c r="EL335" s="1979">
        <v>2.0966679740137137</v>
      </c>
      <c r="EM335" s="1979">
        <v>2.0966679740137137</v>
      </c>
      <c r="EN335" s="1998">
        <v>1.4337071065592959</v>
      </c>
      <c r="EO335" s="1998">
        <v>1.4337071065592959</v>
      </c>
      <c r="EP335" s="1998">
        <v>1.4337071065592959</v>
      </c>
      <c r="EQ335" s="1998">
        <v>1.4337071065592959</v>
      </c>
      <c r="ER335" s="1998">
        <v>1.4337071065592959</v>
      </c>
      <c r="ES335" s="1979">
        <v>1.8379162318633464</v>
      </c>
      <c r="ET335" s="1979">
        <v>1.8379162318633464</v>
      </c>
      <c r="EU335" s="1979">
        <v>1.8379162318633464</v>
      </c>
      <c r="EV335" s="1979">
        <v>1.8379162318633464</v>
      </c>
      <c r="EW335" s="1979">
        <v>1.8379162318633464</v>
      </c>
      <c r="EX335" s="1998">
        <v>1.4662053104562123</v>
      </c>
      <c r="EY335" s="1998">
        <v>1.4662053104562123</v>
      </c>
      <c r="EZ335" s="1998">
        <v>1.4662053104562123</v>
      </c>
      <c r="FA335" s="1998">
        <v>1.4662053104562123</v>
      </c>
      <c r="FB335" s="1998">
        <v>1.4662053104562123</v>
      </c>
      <c r="FC335" s="1979">
        <v>1.6277744053108218</v>
      </c>
      <c r="FD335" s="1979">
        <v>1.6277744053108218</v>
      </c>
      <c r="FE335" s="1979">
        <v>1.6277744053108218</v>
      </c>
      <c r="FF335" s="1979">
        <v>1.6277744053108218</v>
      </c>
      <c r="FG335" s="1979">
        <v>1.6277744053108218</v>
      </c>
      <c r="FH335" s="1998">
        <v>2.3921927569513635</v>
      </c>
      <c r="FI335" s="1998">
        <v>2.3921927569513635</v>
      </c>
      <c r="FJ335" s="1998">
        <v>2.3921927569513635</v>
      </c>
      <c r="FK335" s="1998">
        <v>2.3921927569513635</v>
      </c>
      <c r="FL335" s="1998">
        <v>2.3921927569513635</v>
      </c>
      <c r="FM335" s="1979">
        <v>1.5115041757386145</v>
      </c>
      <c r="FN335" s="1979">
        <v>1.5115041757386145</v>
      </c>
      <c r="FO335" s="1979">
        <v>1.5115041757386145</v>
      </c>
      <c r="FP335" s="1979">
        <v>1.5115041757386145</v>
      </c>
      <c r="FQ335" s="1979">
        <v>1.5115041757386145</v>
      </c>
      <c r="FR335" s="1998">
        <v>8.1198212572277306</v>
      </c>
      <c r="FS335" s="1998">
        <v>8.1198212572277306</v>
      </c>
      <c r="FT335" s="1998">
        <v>8.1198212572277306</v>
      </c>
      <c r="FU335" s="1998">
        <v>8.1198212572277306</v>
      </c>
      <c r="FV335" s="1998">
        <v>8.1198212572277306</v>
      </c>
      <c r="FW335" s="1979">
        <v>8.4799072816005001</v>
      </c>
      <c r="FX335" s="1979">
        <v>8.4799072816005001</v>
      </c>
      <c r="FY335" s="1979">
        <v>8.4799072816005001</v>
      </c>
      <c r="FZ335" s="1979">
        <v>8.4799072816005001</v>
      </c>
      <c r="GA335" s="1979">
        <v>8.4799072816005001</v>
      </c>
      <c r="GB335" s="1998">
        <v>1.3861479372000356</v>
      </c>
      <c r="GC335" s="1998">
        <v>1.3861479372000356</v>
      </c>
      <c r="GD335" s="1998">
        <v>1.3861479372000356</v>
      </c>
      <c r="GE335" s="1998">
        <v>1.3861479372000356</v>
      </c>
      <c r="GF335" s="1998">
        <v>1.3861479372000356</v>
      </c>
      <c r="GG335" s="1979">
        <v>1.4313071575784038</v>
      </c>
      <c r="GH335" s="1979">
        <v>1.4313071575784038</v>
      </c>
      <c r="GI335" s="1979">
        <v>1.4313071575784038</v>
      </c>
      <c r="GJ335" s="1979">
        <v>1.4313071575784038</v>
      </c>
      <c r="GK335" s="2021">
        <v>1.4313071575784038</v>
      </c>
    </row>
    <row r="336" spans="1:193">
      <c r="A336" s="2020"/>
      <c r="B336" s="2">
        <v>30</v>
      </c>
      <c r="C336" s="2" t="str">
        <f>$AD$14</f>
        <v>Micro-pieux</v>
      </c>
      <c r="D336" s="1998">
        <f>IF(Construction!$F$31=Construction!$R$22,Oeko!BQ336,Oeko!ED336)</f>
        <v>1</v>
      </c>
      <c r="E336" s="1998">
        <f>IF(Construction!$F$31=Construction!$R$22,Oeko!BR336,Oeko!EE336)</f>
        <v>1</v>
      </c>
      <c r="F336" s="1998">
        <f>IF(Construction!$F$31=Construction!$R$22,Oeko!BS336,Oeko!EF336)</f>
        <v>1</v>
      </c>
      <c r="G336" s="1998">
        <f>IF(Construction!$F$31=Construction!$R$22,Oeko!BT336,Oeko!EG336)</f>
        <v>1</v>
      </c>
      <c r="H336" s="1998">
        <f>IF(Construction!$F$31=Construction!$R$22,Oeko!BU336,Oeko!EH336)</f>
        <v>1</v>
      </c>
      <c r="I336" s="1979">
        <f>IF(Construction!$F$31=Construction!$R$22,Oeko!BV336,Oeko!EI336)</f>
        <v>1</v>
      </c>
      <c r="J336" s="1979">
        <f>IF(Construction!$F$31=Construction!$R$22,Oeko!BW336,Oeko!EJ336)</f>
        <v>1</v>
      </c>
      <c r="K336" s="1979">
        <f>IF(Construction!$F$31=Construction!$R$22,Oeko!BX336,Oeko!EK336)</f>
        <v>1</v>
      </c>
      <c r="L336" s="1979">
        <f>IF(Construction!$F$31=Construction!$R$22,Oeko!BY336,Oeko!EL336)</f>
        <v>1</v>
      </c>
      <c r="M336" s="1979">
        <f>IF(Construction!$F$31=Construction!$R$22,Oeko!BZ336,Oeko!EM336)</f>
        <v>1</v>
      </c>
      <c r="N336" s="1998">
        <f>IF(Construction!$F$31=Construction!$R$22,Oeko!CA336,Oeko!EN336)</f>
        <v>1</v>
      </c>
      <c r="O336" s="1998">
        <f>IF(Construction!$F$31=Construction!$R$22,Oeko!CB336,Oeko!EO336)</f>
        <v>1</v>
      </c>
      <c r="P336" s="1998">
        <f>IF(Construction!$F$31=Construction!$R$22,Oeko!CC336,Oeko!EP336)</f>
        <v>1</v>
      </c>
      <c r="Q336" s="1998">
        <f>IF(Construction!$F$31=Construction!$R$22,Oeko!CD336,Oeko!EQ336)</f>
        <v>1</v>
      </c>
      <c r="R336" s="1998">
        <f>IF(Construction!$F$31=Construction!$R$22,Oeko!CE336,Oeko!ER336)</f>
        <v>1</v>
      </c>
      <c r="S336" s="1979">
        <f>IF(Construction!$F$31=Construction!$R$22,Oeko!CF336,Oeko!ES336)</f>
        <v>1</v>
      </c>
      <c r="T336" s="1979">
        <f>IF(Construction!$F$31=Construction!$R$22,Oeko!CG336,Oeko!ET336)</f>
        <v>1</v>
      </c>
      <c r="U336" s="1979">
        <f>IF(Construction!$F$31=Construction!$R$22,Oeko!CH336,Oeko!EU336)</f>
        <v>1</v>
      </c>
      <c r="V336" s="1979">
        <f>IF(Construction!$F$31=Construction!$R$22,Oeko!CI336,Oeko!EV336)</f>
        <v>1</v>
      </c>
      <c r="W336" s="1979">
        <f>IF(Construction!$F$31=Construction!$R$22,Oeko!CJ336,Oeko!EW336)</f>
        <v>1</v>
      </c>
      <c r="X336" s="1998">
        <f>IF(Construction!$F$31=Construction!$R$22,Oeko!CK336,Oeko!EX336)</f>
        <v>1</v>
      </c>
      <c r="Y336" s="1998">
        <f>IF(Construction!$F$31=Construction!$R$22,Oeko!CL336,Oeko!EY336)</f>
        <v>1</v>
      </c>
      <c r="Z336" s="1998">
        <f>IF(Construction!$F$31=Construction!$R$22,Oeko!CM336,Oeko!EZ336)</f>
        <v>1</v>
      </c>
      <c r="AA336" s="1998">
        <f>IF(Construction!$F$31=Construction!$R$22,Oeko!CN336,Oeko!FA336)</f>
        <v>1</v>
      </c>
      <c r="AB336" s="1998">
        <f>IF(Construction!$F$31=Construction!$R$22,Oeko!CO336,Oeko!FB336)</f>
        <v>1</v>
      </c>
      <c r="AC336" s="1979">
        <f>IF(Construction!$F$31=Construction!$R$22,Oeko!CP336,Oeko!FC336)</f>
        <v>1</v>
      </c>
      <c r="AD336" s="1979">
        <f>IF(Construction!$F$31=Construction!$R$22,Oeko!CQ336,Oeko!FD336)</f>
        <v>1</v>
      </c>
      <c r="AE336" s="1979">
        <f>IF(Construction!$F$31=Construction!$R$22,Oeko!CR336,Oeko!FE336)</f>
        <v>1</v>
      </c>
      <c r="AF336" s="1979">
        <f>IF(Construction!$F$31=Construction!$R$22,Oeko!CS336,Oeko!FF336)</f>
        <v>1</v>
      </c>
      <c r="AG336" s="1979">
        <f>IF(Construction!$F$31=Construction!$R$22,Oeko!CT336,Oeko!FG336)</f>
        <v>1</v>
      </c>
      <c r="AH336" s="1998">
        <f>IF(Construction!$F$31=Construction!$R$22,Oeko!CU336,Oeko!FH336)</f>
        <v>1</v>
      </c>
      <c r="AI336" s="1998">
        <f>IF(Construction!$F$31=Construction!$R$22,Oeko!CV336,Oeko!FI336)</f>
        <v>1</v>
      </c>
      <c r="AJ336" s="1998">
        <f>IF(Construction!$F$31=Construction!$R$22,Oeko!CW336,Oeko!FJ336)</f>
        <v>1</v>
      </c>
      <c r="AK336" s="1998">
        <f>IF(Construction!$F$31=Construction!$R$22,Oeko!CX336,Oeko!FK336)</f>
        <v>1</v>
      </c>
      <c r="AL336" s="1998">
        <f>IF(Construction!$F$31=Construction!$R$22,Oeko!CY336,Oeko!FL336)</f>
        <v>1</v>
      </c>
      <c r="AM336" s="1979">
        <f>IF(Construction!$F$31=Construction!$R$22,Oeko!CZ336,Oeko!FM336)</f>
        <v>1</v>
      </c>
      <c r="AN336" s="1979">
        <f>IF(Construction!$F$31=Construction!$R$22,Oeko!DA336,Oeko!FN336)</f>
        <v>1</v>
      </c>
      <c r="AO336" s="1979">
        <f>IF(Construction!$F$31=Construction!$R$22,Oeko!DB336,Oeko!FO336)</f>
        <v>1</v>
      </c>
      <c r="AP336" s="1979">
        <f>IF(Construction!$F$31=Construction!$R$22,Oeko!DC336,Oeko!FP336)</f>
        <v>1</v>
      </c>
      <c r="AQ336" s="1979">
        <f>IF(Construction!$F$31=Construction!$R$22,Oeko!DD336,Oeko!FQ336)</f>
        <v>1</v>
      </c>
      <c r="AR336" s="1998">
        <f>IF(Construction!$F$31=Construction!$R$22,Oeko!DE336,Oeko!FR336)</f>
        <v>1</v>
      </c>
      <c r="AS336" s="1998">
        <f>IF(Construction!$F$31=Construction!$R$22,Oeko!DF336,Oeko!FS336)</f>
        <v>1</v>
      </c>
      <c r="AT336" s="1998">
        <f>IF(Construction!$F$31=Construction!$R$22,Oeko!DG336,Oeko!FT336)</f>
        <v>1</v>
      </c>
      <c r="AU336" s="1998">
        <f>IF(Construction!$F$31=Construction!$R$22,Oeko!DH336,Oeko!FU336)</f>
        <v>1</v>
      </c>
      <c r="AV336" s="1998">
        <f>IF(Construction!$F$31=Construction!$R$22,Oeko!DI336,Oeko!FV336)</f>
        <v>1</v>
      </c>
      <c r="AW336" s="1979">
        <f>IF(Construction!$F$31=Construction!$R$22,Oeko!DJ336,Oeko!FW336)</f>
        <v>1</v>
      </c>
      <c r="AX336" s="1979">
        <f>IF(Construction!$F$31=Construction!$R$22,Oeko!DK336,Oeko!FX336)</f>
        <v>1</v>
      </c>
      <c r="AY336" s="1979">
        <f>IF(Construction!$F$31=Construction!$R$22,Oeko!DL336,Oeko!FY336)</f>
        <v>1</v>
      </c>
      <c r="AZ336" s="1979">
        <f>IF(Construction!$F$31=Construction!$R$22,Oeko!DM336,Oeko!FZ336)</f>
        <v>1</v>
      </c>
      <c r="BA336" s="1979">
        <f>IF(Construction!$F$31=Construction!$R$22,Oeko!DN336,Oeko!GA336)</f>
        <v>1</v>
      </c>
      <c r="BB336" s="1998">
        <f>IF(Construction!$F$31=Construction!$R$22,Oeko!DO336,Oeko!GB336)</f>
        <v>1</v>
      </c>
      <c r="BC336" s="1998">
        <f>IF(Construction!$F$31=Construction!$R$22,Oeko!DP336,Oeko!GC336)</f>
        <v>1</v>
      </c>
      <c r="BD336" s="1998">
        <f>IF(Construction!$F$31=Construction!$R$22,Oeko!DQ336,Oeko!GD336)</f>
        <v>1</v>
      </c>
      <c r="BE336" s="1998">
        <f>IF(Construction!$F$31=Construction!$R$22,Oeko!DR336,Oeko!GE336)</f>
        <v>1</v>
      </c>
      <c r="BF336" s="1998">
        <f>IF(Construction!$F$31=Construction!$R$22,Oeko!DS336,Oeko!GF336)</f>
        <v>1</v>
      </c>
      <c r="BG336" s="1979">
        <f>IF(Construction!$F$31=Construction!$R$22,Oeko!DT336,Oeko!GG336)</f>
        <v>1</v>
      </c>
      <c r="BH336" s="1979">
        <f>IF(Construction!$F$31=Construction!$R$22,Oeko!DU336,Oeko!GH336)</f>
        <v>1</v>
      </c>
      <c r="BI336" s="1979">
        <f>IF(Construction!$F$31=Construction!$R$22,Oeko!DV336,Oeko!GI336)</f>
        <v>1</v>
      </c>
      <c r="BJ336" s="1979">
        <f>IF(Construction!$F$31=Construction!$R$22,Oeko!DW336,Oeko!GJ336)</f>
        <v>1</v>
      </c>
      <c r="BK336" s="2021">
        <f>IF(Construction!$F$31=Construction!$R$22,Oeko!DX336,Oeko!GK336)</f>
        <v>1</v>
      </c>
      <c r="BN336" s="2022"/>
      <c r="BO336" s="2">
        <v>30</v>
      </c>
      <c r="BP336" s="2" t="str">
        <f>$AD$14</f>
        <v>Micro-pieux</v>
      </c>
      <c r="BQ336" s="1998">
        <v>1</v>
      </c>
      <c r="BR336" s="1998">
        <v>1</v>
      </c>
      <c r="BS336" s="1998">
        <v>1</v>
      </c>
      <c r="BT336" s="1998">
        <v>1</v>
      </c>
      <c r="BU336" s="1998">
        <v>1</v>
      </c>
      <c r="BV336" s="1979">
        <v>1</v>
      </c>
      <c r="BW336" s="1979">
        <v>1</v>
      </c>
      <c r="BX336" s="1979">
        <v>1</v>
      </c>
      <c r="BY336" s="1979">
        <v>1</v>
      </c>
      <c r="BZ336" s="1979">
        <v>1</v>
      </c>
      <c r="CA336" s="1998">
        <v>1</v>
      </c>
      <c r="CB336" s="1998">
        <v>1</v>
      </c>
      <c r="CC336" s="1998">
        <v>1</v>
      </c>
      <c r="CD336" s="1998">
        <v>1</v>
      </c>
      <c r="CE336" s="1998">
        <v>1</v>
      </c>
      <c r="CF336" s="1979">
        <v>1</v>
      </c>
      <c r="CG336" s="1979">
        <v>1</v>
      </c>
      <c r="CH336" s="1979">
        <v>1</v>
      </c>
      <c r="CI336" s="1979">
        <v>1</v>
      </c>
      <c r="CJ336" s="1979">
        <v>1</v>
      </c>
      <c r="CK336" s="1998">
        <v>1</v>
      </c>
      <c r="CL336" s="1998">
        <v>1</v>
      </c>
      <c r="CM336" s="1998">
        <v>1</v>
      </c>
      <c r="CN336" s="1998">
        <v>1</v>
      </c>
      <c r="CO336" s="1998">
        <v>1</v>
      </c>
      <c r="CP336" s="1979">
        <v>1</v>
      </c>
      <c r="CQ336" s="1979">
        <v>1</v>
      </c>
      <c r="CR336" s="1979">
        <v>1</v>
      </c>
      <c r="CS336" s="1979">
        <v>1</v>
      </c>
      <c r="CT336" s="1979">
        <v>1</v>
      </c>
      <c r="CU336" s="1998">
        <v>1</v>
      </c>
      <c r="CV336" s="1998">
        <v>1</v>
      </c>
      <c r="CW336" s="1998">
        <v>1</v>
      </c>
      <c r="CX336" s="1998">
        <v>1</v>
      </c>
      <c r="CY336" s="1998">
        <v>1</v>
      </c>
      <c r="CZ336" s="1979">
        <v>1</v>
      </c>
      <c r="DA336" s="1979">
        <v>1</v>
      </c>
      <c r="DB336" s="1979">
        <v>1</v>
      </c>
      <c r="DC336" s="1979">
        <v>1</v>
      </c>
      <c r="DD336" s="1979">
        <v>1</v>
      </c>
      <c r="DE336" s="1998">
        <v>1</v>
      </c>
      <c r="DF336" s="1998">
        <v>1</v>
      </c>
      <c r="DG336" s="1998">
        <v>1</v>
      </c>
      <c r="DH336" s="1998">
        <v>1</v>
      </c>
      <c r="DI336" s="1998">
        <v>1</v>
      </c>
      <c r="DJ336" s="1979">
        <v>1</v>
      </c>
      <c r="DK336" s="1979">
        <v>1</v>
      </c>
      <c r="DL336" s="1979">
        <v>1</v>
      </c>
      <c r="DM336" s="1979">
        <v>1</v>
      </c>
      <c r="DN336" s="1979">
        <v>1</v>
      </c>
      <c r="DO336" s="1998">
        <v>1</v>
      </c>
      <c r="DP336" s="1998">
        <v>1</v>
      </c>
      <c r="DQ336" s="1998">
        <v>1</v>
      </c>
      <c r="DR336" s="1998">
        <v>1</v>
      </c>
      <c r="DS336" s="1998">
        <v>1</v>
      </c>
      <c r="DT336" s="1979">
        <v>1</v>
      </c>
      <c r="DU336" s="1979">
        <v>1</v>
      </c>
      <c r="DV336" s="1979">
        <v>1</v>
      </c>
      <c r="DW336" s="1979">
        <v>1</v>
      </c>
      <c r="DX336" s="2021">
        <v>1</v>
      </c>
      <c r="EA336" s="2022"/>
      <c r="EB336" s="2">
        <v>30</v>
      </c>
      <c r="EC336" s="2" t="str">
        <f>$AD$14</f>
        <v>Micro-pieux</v>
      </c>
      <c r="ED336" s="1998">
        <v>1.3605609674202821</v>
      </c>
      <c r="EE336" s="1998">
        <v>1.3605609674202821</v>
      </c>
      <c r="EF336" s="1998">
        <v>1.3605609674202821</v>
      </c>
      <c r="EG336" s="1998">
        <v>1.3605609674202821</v>
      </c>
      <c r="EH336" s="1998">
        <v>1.3605609674202821</v>
      </c>
      <c r="EI336" s="1979">
        <v>2.0966679740137137</v>
      </c>
      <c r="EJ336" s="1979">
        <v>2.0966679740137137</v>
      </c>
      <c r="EK336" s="1979">
        <v>2.0966679740137137</v>
      </c>
      <c r="EL336" s="1979">
        <v>2.0966679740137137</v>
      </c>
      <c r="EM336" s="1979">
        <v>2.0966679740137137</v>
      </c>
      <c r="EN336" s="1998">
        <v>1.4337071065592959</v>
      </c>
      <c r="EO336" s="1998">
        <v>1.4337071065592959</v>
      </c>
      <c r="EP336" s="1998">
        <v>1.4337071065592959</v>
      </c>
      <c r="EQ336" s="1998">
        <v>1.4337071065592959</v>
      </c>
      <c r="ER336" s="1998">
        <v>1.4337071065592959</v>
      </c>
      <c r="ES336" s="1979">
        <v>1.8379162318633464</v>
      </c>
      <c r="ET336" s="1979">
        <v>1.8379162318633464</v>
      </c>
      <c r="EU336" s="1979">
        <v>1.8379162318633464</v>
      </c>
      <c r="EV336" s="1979">
        <v>1.8379162318633464</v>
      </c>
      <c r="EW336" s="1979">
        <v>1.8379162318633464</v>
      </c>
      <c r="EX336" s="1998">
        <v>1.4662053104562123</v>
      </c>
      <c r="EY336" s="1998">
        <v>1.4662053104562123</v>
      </c>
      <c r="EZ336" s="1998">
        <v>1.4662053104562123</v>
      </c>
      <c r="FA336" s="1998">
        <v>1.4662053104562123</v>
      </c>
      <c r="FB336" s="1998">
        <v>1.4662053104562123</v>
      </c>
      <c r="FC336" s="1979">
        <v>1.6277744053108218</v>
      </c>
      <c r="FD336" s="1979">
        <v>1.6277744053108218</v>
      </c>
      <c r="FE336" s="1979">
        <v>1.6277744053108218</v>
      </c>
      <c r="FF336" s="1979">
        <v>1.6277744053108218</v>
      </c>
      <c r="FG336" s="1979">
        <v>1.6277744053108218</v>
      </c>
      <c r="FH336" s="1998">
        <v>2.3921927569513635</v>
      </c>
      <c r="FI336" s="1998">
        <v>2.3921927569513635</v>
      </c>
      <c r="FJ336" s="1998">
        <v>2.3921927569513635</v>
      </c>
      <c r="FK336" s="1998">
        <v>2.3921927569513635</v>
      </c>
      <c r="FL336" s="1998">
        <v>2.3921927569513635</v>
      </c>
      <c r="FM336" s="1979">
        <v>1.5115041757386145</v>
      </c>
      <c r="FN336" s="1979">
        <v>1.5115041757386145</v>
      </c>
      <c r="FO336" s="1979">
        <v>1.5115041757386145</v>
      </c>
      <c r="FP336" s="1979">
        <v>1.5115041757386145</v>
      </c>
      <c r="FQ336" s="1979">
        <v>1.5115041757386145</v>
      </c>
      <c r="FR336" s="1998">
        <v>8.1198212572277306</v>
      </c>
      <c r="FS336" s="1998">
        <v>8.1198212572277306</v>
      </c>
      <c r="FT336" s="1998">
        <v>8.1198212572277306</v>
      </c>
      <c r="FU336" s="1998">
        <v>8.1198212572277306</v>
      </c>
      <c r="FV336" s="1998">
        <v>8.1198212572277306</v>
      </c>
      <c r="FW336" s="1979">
        <v>8.4799072816005001</v>
      </c>
      <c r="FX336" s="1979">
        <v>8.4799072816005001</v>
      </c>
      <c r="FY336" s="1979">
        <v>8.4799072816005001</v>
      </c>
      <c r="FZ336" s="1979">
        <v>8.4799072816005001</v>
      </c>
      <c r="GA336" s="1979">
        <v>8.4799072816005001</v>
      </c>
      <c r="GB336" s="1998">
        <v>1.3861479372000356</v>
      </c>
      <c r="GC336" s="1998">
        <v>1.3861479372000356</v>
      </c>
      <c r="GD336" s="1998">
        <v>1.3861479372000356</v>
      </c>
      <c r="GE336" s="1998">
        <v>1.3861479372000356</v>
      </c>
      <c r="GF336" s="1998">
        <v>1.3861479372000356</v>
      </c>
      <c r="GG336" s="1979">
        <v>1.4313071575784038</v>
      </c>
      <c r="GH336" s="1979">
        <v>1.4313071575784038</v>
      </c>
      <c r="GI336" s="1979">
        <v>1.4313071575784038</v>
      </c>
      <c r="GJ336" s="1979">
        <v>1.4313071575784038</v>
      </c>
      <c r="GK336" s="2021">
        <v>1.4313071575784038</v>
      </c>
    </row>
    <row r="337" spans="1:193">
      <c r="A337" s="2020"/>
      <c r="B337" s="2">
        <v>31</v>
      </c>
      <c r="C337" s="2" t="str">
        <f>$AD$15</f>
        <v>Pieux en béton coulé sur place</v>
      </c>
      <c r="D337" s="1998">
        <f>IF(Construction!$F$31=Construction!$R$22,Oeko!BQ337,Oeko!ED337)</f>
        <v>1</v>
      </c>
      <c r="E337" s="1998">
        <f>IF(Construction!$F$31=Construction!$R$22,Oeko!BR337,Oeko!EE337)</f>
        <v>1</v>
      </c>
      <c r="F337" s="1998">
        <f>IF(Construction!$F$31=Construction!$R$22,Oeko!BS337,Oeko!EF337)</f>
        <v>1</v>
      </c>
      <c r="G337" s="1998">
        <f>IF(Construction!$F$31=Construction!$R$22,Oeko!BT337,Oeko!EG337)</f>
        <v>1</v>
      </c>
      <c r="H337" s="1998">
        <f>IF(Construction!$F$31=Construction!$R$22,Oeko!BU337,Oeko!EH337)</f>
        <v>1</v>
      </c>
      <c r="I337" s="1979">
        <f>IF(Construction!$F$31=Construction!$R$22,Oeko!BV337,Oeko!EI337)</f>
        <v>1</v>
      </c>
      <c r="J337" s="1979">
        <f>IF(Construction!$F$31=Construction!$R$22,Oeko!BW337,Oeko!EJ337)</f>
        <v>1</v>
      </c>
      <c r="K337" s="1979">
        <f>IF(Construction!$F$31=Construction!$R$22,Oeko!BX337,Oeko!EK337)</f>
        <v>1</v>
      </c>
      <c r="L337" s="1979">
        <f>IF(Construction!$F$31=Construction!$R$22,Oeko!BY337,Oeko!EL337)</f>
        <v>1</v>
      </c>
      <c r="M337" s="1979">
        <f>IF(Construction!$F$31=Construction!$R$22,Oeko!BZ337,Oeko!EM337)</f>
        <v>1</v>
      </c>
      <c r="N337" s="1998">
        <f>IF(Construction!$F$31=Construction!$R$22,Oeko!CA337,Oeko!EN337)</f>
        <v>1</v>
      </c>
      <c r="O337" s="1998">
        <f>IF(Construction!$F$31=Construction!$R$22,Oeko!CB337,Oeko!EO337)</f>
        <v>1</v>
      </c>
      <c r="P337" s="1998">
        <f>IF(Construction!$F$31=Construction!$R$22,Oeko!CC337,Oeko!EP337)</f>
        <v>1</v>
      </c>
      <c r="Q337" s="1998">
        <f>IF(Construction!$F$31=Construction!$R$22,Oeko!CD337,Oeko!EQ337)</f>
        <v>1</v>
      </c>
      <c r="R337" s="1998">
        <f>IF(Construction!$F$31=Construction!$R$22,Oeko!CE337,Oeko!ER337)</f>
        <v>1</v>
      </c>
      <c r="S337" s="1979">
        <f>IF(Construction!$F$31=Construction!$R$22,Oeko!CF337,Oeko!ES337)</f>
        <v>1</v>
      </c>
      <c r="T337" s="1979">
        <f>IF(Construction!$F$31=Construction!$R$22,Oeko!CG337,Oeko!ET337)</f>
        <v>1</v>
      </c>
      <c r="U337" s="1979">
        <f>IF(Construction!$F$31=Construction!$R$22,Oeko!CH337,Oeko!EU337)</f>
        <v>1</v>
      </c>
      <c r="V337" s="1979">
        <f>IF(Construction!$F$31=Construction!$R$22,Oeko!CI337,Oeko!EV337)</f>
        <v>1</v>
      </c>
      <c r="W337" s="1979">
        <f>IF(Construction!$F$31=Construction!$R$22,Oeko!CJ337,Oeko!EW337)</f>
        <v>1</v>
      </c>
      <c r="X337" s="1998">
        <f>IF(Construction!$F$31=Construction!$R$22,Oeko!CK337,Oeko!EX337)</f>
        <v>1</v>
      </c>
      <c r="Y337" s="1998">
        <f>IF(Construction!$F$31=Construction!$R$22,Oeko!CL337,Oeko!EY337)</f>
        <v>1</v>
      </c>
      <c r="Z337" s="1998">
        <f>IF(Construction!$F$31=Construction!$R$22,Oeko!CM337,Oeko!EZ337)</f>
        <v>1</v>
      </c>
      <c r="AA337" s="1998">
        <f>IF(Construction!$F$31=Construction!$R$22,Oeko!CN337,Oeko!FA337)</f>
        <v>1</v>
      </c>
      <c r="AB337" s="1998">
        <f>IF(Construction!$F$31=Construction!$R$22,Oeko!CO337,Oeko!FB337)</f>
        <v>1</v>
      </c>
      <c r="AC337" s="1979">
        <f>IF(Construction!$F$31=Construction!$R$22,Oeko!CP337,Oeko!FC337)</f>
        <v>1</v>
      </c>
      <c r="AD337" s="1979">
        <f>IF(Construction!$F$31=Construction!$R$22,Oeko!CQ337,Oeko!FD337)</f>
        <v>1</v>
      </c>
      <c r="AE337" s="1979">
        <f>IF(Construction!$F$31=Construction!$R$22,Oeko!CR337,Oeko!FE337)</f>
        <v>1</v>
      </c>
      <c r="AF337" s="1979">
        <f>IF(Construction!$F$31=Construction!$R$22,Oeko!CS337,Oeko!FF337)</f>
        <v>1</v>
      </c>
      <c r="AG337" s="1979">
        <f>IF(Construction!$F$31=Construction!$R$22,Oeko!CT337,Oeko!FG337)</f>
        <v>1</v>
      </c>
      <c r="AH337" s="1998">
        <f>IF(Construction!$F$31=Construction!$R$22,Oeko!CU337,Oeko!FH337)</f>
        <v>1</v>
      </c>
      <c r="AI337" s="1998">
        <f>IF(Construction!$F$31=Construction!$R$22,Oeko!CV337,Oeko!FI337)</f>
        <v>1</v>
      </c>
      <c r="AJ337" s="1998">
        <f>IF(Construction!$F$31=Construction!$R$22,Oeko!CW337,Oeko!FJ337)</f>
        <v>1</v>
      </c>
      <c r="AK337" s="1998">
        <f>IF(Construction!$F$31=Construction!$R$22,Oeko!CX337,Oeko!FK337)</f>
        <v>1</v>
      </c>
      <c r="AL337" s="1998">
        <f>IF(Construction!$F$31=Construction!$R$22,Oeko!CY337,Oeko!FL337)</f>
        <v>1</v>
      </c>
      <c r="AM337" s="1979">
        <f>IF(Construction!$F$31=Construction!$R$22,Oeko!CZ337,Oeko!FM337)</f>
        <v>1</v>
      </c>
      <c r="AN337" s="1979">
        <f>IF(Construction!$F$31=Construction!$R$22,Oeko!DA337,Oeko!FN337)</f>
        <v>1</v>
      </c>
      <c r="AO337" s="1979">
        <f>IF(Construction!$F$31=Construction!$R$22,Oeko!DB337,Oeko!FO337)</f>
        <v>1</v>
      </c>
      <c r="AP337" s="1979">
        <f>IF(Construction!$F$31=Construction!$R$22,Oeko!DC337,Oeko!FP337)</f>
        <v>1</v>
      </c>
      <c r="AQ337" s="1979">
        <f>IF(Construction!$F$31=Construction!$R$22,Oeko!DD337,Oeko!FQ337)</f>
        <v>1</v>
      </c>
      <c r="AR337" s="1998">
        <f>IF(Construction!$F$31=Construction!$R$22,Oeko!DE337,Oeko!FR337)</f>
        <v>1</v>
      </c>
      <c r="AS337" s="1998">
        <f>IF(Construction!$F$31=Construction!$R$22,Oeko!DF337,Oeko!FS337)</f>
        <v>1</v>
      </c>
      <c r="AT337" s="1998">
        <f>IF(Construction!$F$31=Construction!$R$22,Oeko!DG337,Oeko!FT337)</f>
        <v>1</v>
      </c>
      <c r="AU337" s="1998">
        <f>IF(Construction!$F$31=Construction!$R$22,Oeko!DH337,Oeko!FU337)</f>
        <v>1</v>
      </c>
      <c r="AV337" s="1998">
        <f>IF(Construction!$F$31=Construction!$R$22,Oeko!DI337,Oeko!FV337)</f>
        <v>1</v>
      </c>
      <c r="AW337" s="1979">
        <f>IF(Construction!$F$31=Construction!$R$22,Oeko!DJ337,Oeko!FW337)</f>
        <v>1</v>
      </c>
      <c r="AX337" s="1979">
        <f>IF(Construction!$F$31=Construction!$R$22,Oeko!DK337,Oeko!FX337)</f>
        <v>1</v>
      </c>
      <c r="AY337" s="1979">
        <f>IF(Construction!$F$31=Construction!$R$22,Oeko!DL337,Oeko!FY337)</f>
        <v>1</v>
      </c>
      <c r="AZ337" s="1979">
        <f>IF(Construction!$F$31=Construction!$R$22,Oeko!DM337,Oeko!FZ337)</f>
        <v>1</v>
      </c>
      <c r="BA337" s="1979">
        <f>IF(Construction!$F$31=Construction!$R$22,Oeko!DN337,Oeko!GA337)</f>
        <v>1</v>
      </c>
      <c r="BB337" s="1998">
        <f>IF(Construction!$F$31=Construction!$R$22,Oeko!DO337,Oeko!GB337)</f>
        <v>1</v>
      </c>
      <c r="BC337" s="1998">
        <f>IF(Construction!$F$31=Construction!$R$22,Oeko!DP337,Oeko!GC337)</f>
        <v>1</v>
      </c>
      <c r="BD337" s="1998">
        <f>IF(Construction!$F$31=Construction!$R$22,Oeko!DQ337,Oeko!GD337)</f>
        <v>1</v>
      </c>
      <c r="BE337" s="1998">
        <f>IF(Construction!$F$31=Construction!$R$22,Oeko!DR337,Oeko!GE337)</f>
        <v>1</v>
      </c>
      <c r="BF337" s="1998">
        <f>IF(Construction!$F$31=Construction!$R$22,Oeko!DS337,Oeko!GF337)</f>
        <v>1</v>
      </c>
      <c r="BG337" s="1979">
        <f>IF(Construction!$F$31=Construction!$R$22,Oeko!DT337,Oeko!GG337)</f>
        <v>1</v>
      </c>
      <c r="BH337" s="1979">
        <f>IF(Construction!$F$31=Construction!$R$22,Oeko!DU337,Oeko!GH337)</f>
        <v>1</v>
      </c>
      <c r="BI337" s="1979">
        <f>IF(Construction!$F$31=Construction!$R$22,Oeko!DV337,Oeko!GI337)</f>
        <v>1</v>
      </c>
      <c r="BJ337" s="1979">
        <f>IF(Construction!$F$31=Construction!$R$22,Oeko!DW337,Oeko!GJ337)</f>
        <v>1</v>
      </c>
      <c r="BK337" s="2021">
        <f>IF(Construction!$F$31=Construction!$R$22,Oeko!DX337,Oeko!GK337)</f>
        <v>1</v>
      </c>
      <c r="BN337" s="2022"/>
      <c r="BO337" s="2">
        <v>31</v>
      </c>
      <c r="BP337" s="2" t="str">
        <f>$AD$15</f>
        <v>Pieux en béton coulé sur place</v>
      </c>
      <c r="BQ337" s="1998">
        <v>1</v>
      </c>
      <c r="BR337" s="1998">
        <v>1</v>
      </c>
      <c r="BS337" s="1998">
        <v>1</v>
      </c>
      <c r="BT337" s="1998">
        <v>1</v>
      </c>
      <c r="BU337" s="1998">
        <v>1</v>
      </c>
      <c r="BV337" s="1979">
        <v>1</v>
      </c>
      <c r="BW337" s="1979">
        <v>1</v>
      </c>
      <c r="BX337" s="1979">
        <v>1</v>
      </c>
      <c r="BY337" s="1979">
        <v>1</v>
      </c>
      <c r="BZ337" s="1979">
        <v>1</v>
      </c>
      <c r="CA337" s="1998">
        <v>1</v>
      </c>
      <c r="CB337" s="1998">
        <v>1</v>
      </c>
      <c r="CC337" s="1998">
        <v>1</v>
      </c>
      <c r="CD337" s="1998">
        <v>1</v>
      </c>
      <c r="CE337" s="1998">
        <v>1</v>
      </c>
      <c r="CF337" s="1979">
        <v>1</v>
      </c>
      <c r="CG337" s="1979">
        <v>1</v>
      </c>
      <c r="CH337" s="1979">
        <v>1</v>
      </c>
      <c r="CI337" s="1979">
        <v>1</v>
      </c>
      <c r="CJ337" s="1979">
        <v>1</v>
      </c>
      <c r="CK337" s="1998">
        <v>1</v>
      </c>
      <c r="CL337" s="1998">
        <v>1</v>
      </c>
      <c r="CM337" s="1998">
        <v>1</v>
      </c>
      <c r="CN337" s="1998">
        <v>1</v>
      </c>
      <c r="CO337" s="1998">
        <v>1</v>
      </c>
      <c r="CP337" s="1979">
        <v>1</v>
      </c>
      <c r="CQ337" s="1979">
        <v>1</v>
      </c>
      <c r="CR337" s="1979">
        <v>1</v>
      </c>
      <c r="CS337" s="1979">
        <v>1</v>
      </c>
      <c r="CT337" s="1979">
        <v>1</v>
      </c>
      <c r="CU337" s="1998">
        <v>1</v>
      </c>
      <c r="CV337" s="1998">
        <v>1</v>
      </c>
      <c r="CW337" s="1998">
        <v>1</v>
      </c>
      <c r="CX337" s="1998">
        <v>1</v>
      </c>
      <c r="CY337" s="1998">
        <v>1</v>
      </c>
      <c r="CZ337" s="1979">
        <v>1</v>
      </c>
      <c r="DA337" s="1979">
        <v>1</v>
      </c>
      <c r="DB337" s="1979">
        <v>1</v>
      </c>
      <c r="DC337" s="1979">
        <v>1</v>
      </c>
      <c r="DD337" s="1979">
        <v>1</v>
      </c>
      <c r="DE337" s="1998">
        <v>1</v>
      </c>
      <c r="DF337" s="1998">
        <v>1</v>
      </c>
      <c r="DG337" s="1998">
        <v>1</v>
      </c>
      <c r="DH337" s="1998">
        <v>1</v>
      </c>
      <c r="DI337" s="1998">
        <v>1</v>
      </c>
      <c r="DJ337" s="1979">
        <v>1</v>
      </c>
      <c r="DK337" s="1979">
        <v>1</v>
      </c>
      <c r="DL337" s="1979">
        <v>1</v>
      </c>
      <c r="DM337" s="1979">
        <v>1</v>
      </c>
      <c r="DN337" s="1979">
        <v>1</v>
      </c>
      <c r="DO337" s="1998">
        <v>1</v>
      </c>
      <c r="DP337" s="1998">
        <v>1</v>
      </c>
      <c r="DQ337" s="1998">
        <v>1</v>
      </c>
      <c r="DR337" s="1998">
        <v>1</v>
      </c>
      <c r="DS337" s="1998">
        <v>1</v>
      </c>
      <c r="DT337" s="1979">
        <v>1</v>
      </c>
      <c r="DU337" s="1979">
        <v>1</v>
      </c>
      <c r="DV337" s="1979">
        <v>1</v>
      </c>
      <c r="DW337" s="1979">
        <v>1</v>
      </c>
      <c r="DX337" s="2021">
        <v>1</v>
      </c>
      <c r="EA337" s="2022"/>
      <c r="EB337" s="2">
        <v>31</v>
      </c>
      <c r="EC337" s="2" t="str">
        <f>$AD$15</f>
        <v>Pieux en béton coulé sur place</v>
      </c>
      <c r="ED337" s="1998">
        <v>1.3605609674202821</v>
      </c>
      <c r="EE337" s="1998">
        <v>1.3605609674202821</v>
      </c>
      <c r="EF337" s="1998">
        <v>1.3605609674202821</v>
      </c>
      <c r="EG337" s="1998">
        <v>1.3605609674202821</v>
      </c>
      <c r="EH337" s="1998">
        <v>1.3605609674202821</v>
      </c>
      <c r="EI337" s="1979">
        <v>2.0966679740137137</v>
      </c>
      <c r="EJ337" s="1979">
        <v>2.0966679740137137</v>
      </c>
      <c r="EK337" s="1979">
        <v>2.0966679740137137</v>
      </c>
      <c r="EL337" s="1979">
        <v>2.0966679740137137</v>
      </c>
      <c r="EM337" s="1979">
        <v>2.0966679740137137</v>
      </c>
      <c r="EN337" s="1998">
        <v>1.4337071065592959</v>
      </c>
      <c r="EO337" s="1998">
        <v>1.4337071065592959</v>
      </c>
      <c r="EP337" s="1998">
        <v>1.4337071065592959</v>
      </c>
      <c r="EQ337" s="1998">
        <v>1.4337071065592959</v>
      </c>
      <c r="ER337" s="1998">
        <v>1.4337071065592959</v>
      </c>
      <c r="ES337" s="1979">
        <v>1.8379162318633464</v>
      </c>
      <c r="ET337" s="1979">
        <v>1.8379162318633464</v>
      </c>
      <c r="EU337" s="1979">
        <v>1.8379162318633464</v>
      </c>
      <c r="EV337" s="1979">
        <v>1.8379162318633464</v>
      </c>
      <c r="EW337" s="1979">
        <v>1.8379162318633464</v>
      </c>
      <c r="EX337" s="1998">
        <v>1.4662053104562123</v>
      </c>
      <c r="EY337" s="1998">
        <v>1.4662053104562123</v>
      </c>
      <c r="EZ337" s="1998">
        <v>1.4662053104562123</v>
      </c>
      <c r="FA337" s="1998">
        <v>1.4662053104562123</v>
      </c>
      <c r="FB337" s="1998">
        <v>1.4662053104562123</v>
      </c>
      <c r="FC337" s="1979">
        <v>1.6277744053108218</v>
      </c>
      <c r="FD337" s="1979">
        <v>1.6277744053108218</v>
      </c>
      <c r="FE337" s="1979">
        <v>1.6277744053108218</v>
      </c>
      <c r="FF337" s="1979">
        <v>1.6277744053108218</v>
      </c>
      <c r="FG337" s="1979">
        <v>1.6277744053108218</v>
      </c>
      <c r="FH337" s="1998">
        <v>2.3921927569513635</v>
      </c>
      <c r="FI337" s="1998">
        <v>2.3921927569513635</v>
      </c>
      <c r="FJ337" s="1998">
        <v>2.3921927569513635</v>
      </c>
      <c r="FK337" s="1998">
        <v>2.3921927569513635</v>
      </c>
      <c r="FL337" s="1998">
        <v>2.3921927569513635</v>
      </c>
      <c r="FM337" s="1979">
        <v>1.5115041757386145</v>
      </c>
      <c r="FN337" s="1979">
        <v>1.5115041757386145</v>
      </c>
      <c r="FO337" s="1979">
        <v>1.5115041757386145</v>
      </c>
      <c r="FP337" s="1979">
        <v>1.5115041757386145</v>
      </c>
      <c r="FQ337" s="1979">
        <v>1.5115041757386145</v>
      </c>
      <c r="FR337" s="1998">
        <v>8.1198212572277306</v>
      </c>
      <c r="FS337" s="1998">
        <v>8.1198212572277306</v>
      </c>
      <c r="FT337" s="1998">
        <v>8.1198212572277306</v>
      </c>
      <c r="FU337" s="1998">
        <v>8.1198212572277306</v>
      </c>
      <c r="FV337" s="1998">
        <v>8.1198212572277306</v>
      </c>
      <c r="FW337" s="1979">
        <v>8.4799072816005001</v>
      </c>
      <c r="FX337" s="1979">
        <v>8.4799072816005001</v>
      </c>
      <c r="FY337" s="1979">
        <v>8.4799072816005001</v>
      </c>
      <c r="FZ337" s="1979">
        <v>8.4799072816005001</v>
      </c>
      <c r="GA337" s="1979">
        <v>8.4799072816005001</v>
      </c>
      <c r="GB337" s="1998">
        <v>1.3861479372000356</v>
      </c>
      <c r="GC337" s="1998">
        <v>1.3861479372000356</v>
      </c>
      <c r="GD337" s="1998">
        <v>1.3861479372000356</v>
      </c>
      <c r="GE337" s="1998">
        <v>1.3861479372000356</v>
      </c>
      <c r="GF337" s="1998">
        <v>1.3861479372000356</v>
      </c>
      <c r="GG337" s="1979">
        <v>1.4313071575784038</v>
      </c>
      <c r="GH337" s="1979">
        <v>1.4313071575784038</v>
      </c>
      <c r="GI337" s="1979">
        <v>1.4313071575784038</v>
      </c>
      <c r="GJ337" s="1979">
        <v>1.4313071575784038</v>
      </c>
      <c r="GK337" s="2021">
        <v>1.4313071575784038</v>
      </c>
    </row>
    <row r="338" spans="1:193">
      <c r="A338" s="2020"/>
      <c r="B338" s="2">
        <v>32</v>
      </c>
      <c r="C338" s="2" t="str">
        <f>$AD$16</f>
        <v>Colonnes ballastées</v>
      </c>
      <c r="D338" s="1998">
        <f>IF(Construction!$F$31=Construction!$R$22,Oeko!BQ338,Oeko!ED338)</f>
        <v>1</v>
      </c>
      <c r="E338" s="1998">
        <f>IF(Construction!$F$31=Construction!$R$22,Oeko!BR338,Oeko!EE338)</f>
        <v>1</v>
      </c>
      <c r="F338" s="1998">
        <f>IF(Construction!$F$31=Construction!$R$22,Oeko!BS338,Oeko!EF338)</f>
        <v>1</v>
      </c>
      <c r="G338" s="1998">
        <f>IF(Construction!$F$31=Construction!$R$22,Oeko!BT338,Oeko!EG338)</f>
        <v>1</v>
      </c>
      <c r="H338" s="1998">
        <f>IF(Construction!$F$31=Construction!$R$22,Oeko!BU338,Oeko!EH338)</f>
        <v>1</v>
      </c>
      <c r="I338" s="1979">
        <f>IF(Construction!$F$31=Construction!$R$22,Oeko!BV338,Oeko!EI338)</f>
        <v>1</v>
      </c>
      <c r="J338" s="1979">
        <f>IF(Construction!$F$31=Construction!$R$22,Oeko!BW338,Oeko!EJ338)</f>
        <v>1</v>
      </c>
      <c r="K338" s="1979">
        <f>IF(Construction!$F$31=Construction!$R$22,Oeko!BX338,Oeko!EK338)</f>
        <v>1</v>
      </c>
      <c r="L338" s="1979">
        <f>IF(Construction!$F$31=Construction!$R$22,Oeko!BY338,Oeko!EL338)</f>
        <v>1</v>
      </c>
      <c r="M338" s="1979">
        <f>IF(Construction!$F$31=Construction!$R$22,Oeko!BZ338,Oeko!EM338)</f>
        <v>1</v>
      </c>
      <c r="N338" s="1998">
        <f>IF(Construction!$F$31=Construction!$R$22,Oeko!CA338,Oeko!EN338)</f>
        <v>1</v>
      </c>
      <c r="O338" s="1998">
        <f>IF(Construction!$F$31=Construction!$R$22,Oeko!CB338,Oeko!EO338)</f>
        <v>1</v>
      </c>
      <c r="P338" s="1998">
        <f>IF(Construction!$F$31=Construction!$R$22,Oeko!CC338,Oeko!EP338)</f>
        <v>1</v>
      </c>
      <c r="Q338" s="1998">
        <f>IF(Construction!$F$31=Construction!$R$22,Oeko!CD338,Oeko!EQ338)</f>
        <v>1</v>
      </c>
      <c r="R338" s="1998">
        <f>IF(Construction!$F$31=Construction!$R$22,Oeko!CE338,Oeko!ER338)</f>
        <v>1</v>
      </c>
      <c r="S338" s="1979">
        <f>IF(Construction!$F$31=Construction!$R$22,Oeko!CF338,Oeko!ES338)</f>
        <v>1</v>
      </c>
      <c r="T338" s="1979">
        <f>IF(Construction!$F$31=Construction!$R$22,Oeko!CG338,Oeko!ET338)</f>
        <v>1</v>
      </c>
      <c r="U338" s="1979">
        <f>IF(Construction!$F$31=Construction!$R$22,Oeko!CH338,Oeko!EU338)</f>
        <v>1</v>
      </c>
      <c r="V338" s="1979">
        <f>IF(Construction!$F$31=Construction!$R$22,Oeko!CI338,Oeko!EV338)</f>
        <v>1</v>
      </c>
      <c r="W338" s="1979">
        <f>IF(Construction!$F$31=Construction!$R$22,Oeko!CJ338,Oeko!EW338)</f>
        <v>1</v>
      </c>
      <c r="X338" s="1998">
        <f>IF(Construction!$F$31=Construction!$R$22,Oeko!CK338,Oeko!EX338)</f>
        <v>1</v>
      </c>
      <c r="Y338" s="1998">
        <f>IF(Construction!$F$31=Construction!$R$22,Oeko!CL338,Oeko!EY338)</f>
        <v>1</v>
      </c>
      <c r="Z338" s="1998">
        <f>IF(Construction!$F$31=Construction!$R$22,Oeko!CM338,Oeko!EZ338)</f>
        <v>1</v>
      </c>
      <c r="AA338" s="1998">
        <f>IF(Construction!$F$31=Construction!$R$22,Oeko!CN338,Oeko!FA338)</f>
        <v>1</v>
      </c>
      <c r="AB338" s="1998">
        <f>IF(Construction!$F$31=Construction!$R$22,Oeko!CO338,Oeko!FB338)</f>
        <v>1</v>
      </c>
      <c r="AC338" s="1979">
        <f>IF(Construction!$F$31=Construction!$R$22,Oeko!CP338,Oeko!FC338)</f>
        <v>1</v>
      </c>
      <c r="AD338" s="1979">
        <f>IF(Construction!$F$31=Construction!$R$22,Oeko!CQ338,Oeko!FD338)</f>
        <v>1</v>
      </c>
      <c r="AE338" s="1979">
        <f>IF(Construction!$F$31=Construction!$R$22,Oeko!CR338,Oeko!FE338)</f>
        <v>1</v>
      </c>
      <c r="AF338" s="1979">
        <f>IF(Construction!$F$31=Construction!$R$22,Oeko!CS338,Oeko!FF338)</f>
        <v>1</v>
      </c>
      <c r="AG338" s="1979">
        <f>IF(Construction!$F$31=Construction!$R$22,Oeko!CT338,Oeko!FG338)</f>
        <v>1</v>
      </c>
      <c r="AH338" s="1998">
        <f>IF(Construction!$F$31=Construction!$R$22,Oeko!CU338,Oeko!FH338)</f>
        <v>1</v>
      </c>
      <c r="AI338" s="1998">
        <f>IF(Construction!$F$31=Construction!$R$22,Oeko!CV338,Oeko!FI338)</f>
        <v>1</v>
      </c>
      <c r="AJ338" s="1998">
        <f>IF(Construction!$F$31=Construction!$R$22,Oeko!CW338,Oeko!FJ338)</f>
        <v>1</v>
      </c>
      <c r="AK338" s="1998">
        <f>IF(Construction!$F$31=Construction!$R$22,Oeko!CX338,Oeko!FK338)</f>
        <v>1</v>
      </c>
      <c r="AL338" s="1998">
        <f>IF(Construction!$F$31=Construction!$R$22,Oeko!CY338,Oeko!FL338)</f>
        <v>1</v>
      </c>
      <c r="AM338" s="1979">
        <f>IF(Construction!$F$31=Construction!$R$22,Oeko!CZ338,Oeko!FM338)</f>
        <v>1</v>
      </c>
      <c r="AN338" s="1979">
        <f>IF(Construction!$F$31=Construction!$R$22,Oeko!DA338,Oeko!FN338)</f>
        <v>1</v>
      </c>
      <c r="AO338" s="1979">
        <f>IF(Construction!$F$31=Construction!$R$22,Oeko!DB338,Oeko!FO338)</f>
        <v>1</v>
      </c>
      <c r="AP338" s="1979">
        <f>IF(Construction!$F$31=Construction!$R$22,Oeko!DC338,Oeko!FP338)</f>
        <v>1</v>
      </c>
      <c r="AQ338" s="1979">
        <f>IF(Construction!$F$31=Construction!$R$22,Oeko!DD338,Oeko!FQ338)</f>
        <v>1</v>
      </c>
      <c r="AR338" s="1998">
        <f>IF(Construction!$F$31=Construction!$R$22,Oeko!DE338,Oeko!FR338)</f>
        <v>1</v>
      </c>
      <c r="AS338" s="1998">
        <f>IF(Construction!$F$31=Construction!$R$22,Oeko!DF338,Oeko!FS338)</f>
        <v>1</v>
      </c>
      <c r="AT338" s="1998">
        <f>IF(Construction!$F$31=Construction!$R$22,Oeko!DG338,Oeko!FT338)</f>
        <v>1</v>
      </c>
      <c r="AU338" s="1998">
        <f>IF(Construction!$F$31=Construction!$R$22,Oeko!DH338,Oeko!FU338)</f>
        <v>1</v>
      </c>
      <c r="AV338" s="1998">
        <f>IF(Construction!$F$31=Construction!$R$22,Oeko!DI338,Oeko!FV338)</f>
        <v>1</v>
      </c>
      <c r="AW338" s="1979">
        <f>IF(Construction!$F$31=Construction!$R$22,Oeko!DJ338,Oeko!FW338)</f>
        <v>1</v>
      </c>
      <c r="AX338" s="1979">
        <f>IF(Construction!$F$31=Construction!$R$22,Oeko!DK338,Oeko!FX338)</f>
        <v>1</v>
      </c>
      <c r="AY338" s="1979">
        <f>IF(Construction!$F$31=Construction!$R$22,Oeko!DL338,Oeko!FY338)</f>
        <v>1</v>
      </c>
      <c r="AZ338" s="1979">
        <f>IF(Construction!$F$31=Construction!$R$22,Oeko!DM338,Oeko!FZ338)</f>
        <v>1</v>
      </c>
      <c r="BA338" s="1979">
        <f>IF(Construction!$F$31=Construction!$R$22,Oeko!DN338,Oeko!GA338)</f>
        <v>1</v>
      </c>
      <c r="BB338" s="1998">
        <f>IF(Construction!$F$31=Construction!$R$22,Oeko!DO338,Oeko!GB338)</f>
        <v>1</v>
      </c>
      <c r="BC338" s="1998">
        <f>IF(Construction!$F$31=Construction!$R$22,Oeko!DP338,Oeko!GC338)</f>
        <v>1</v>
      </c>
      <c r="BD338" s="1998">
        <f>IF(Construction!$F$31=Construction!$R$22,Oeko!DQ338,Oeko!GD338)</f>
        <v>1</v>
      </c>
      <c r="BE338" s="1998">
        <f>IF(Construction!$F$31=Construction!$R$22,Oeko!DR338,Oeko!GE338)</f>
        <v>1</v>
      </c>
      <c r="BF338" s="1998">
        <f>IF(Construction!$F$31=Construction!$R$22,Oeko!DS338,Oeko!GF338)</f>
        <v>1</v>
      </c>
      <c r="BG338" s="1979">
        <f>IF(Construction!$F$31=Construction!$R$22,Oeko!DT338,Oeko!GG338)</f>
        <v>1</v>
      </c>
      <c r="BH338" s="1979">
        <f>IF(Construction!$F$31=Construction!$R$22,Oeko!DU338,Oeko!GH338)</f>
        <v>1</v>
      </c>
      <c r="BI338" s="1979">
        <f>IF(Construction!$F$31=Construction!$R$22,Oeko!DV338,Oeko!GI338)</f>
        <v>1</v>
      </c>
      <c r="BJ338" s="1979">
        <f>IF(Construction!$F$31=Construction!$R$22,Oeko!DW338,Oeko!GJ338)</f>
        <v>1</v>
      </c>
      <c r="BK338" s="2021">
        <f>IF(Construction!$F$31=Construction!$R$22,Oeko!DX338,Oeko!GK338)</f>
        <v>1</v>
      </c>
      <c r="BN338" s="2022"/>
      <c r="BO338" s="2">
        <v>32</v>
      </c>
      <c r="BP338" s="2" t="str">
        <f>$AD$16</f>
        <v>Colonnes ballastées</v>
      </c>
      <c r="BQ338" s="1998">
        <v>1</v>
      </c>
      <c r="BR338" s="1998">
        <v>1</v>
      </c>
      <c r="BS338" s="1998">
        <v>1</v>
      </c>
      <c r="BT338" s="1998">
        <v>1</v>
      </c>
      <c r="BU338" s="1998">
        <v>1</v>
      </c>
      <c r="BV338" s="1979">
        <v>1</v>
      </c>
      <c r="BW338" s="1979">
        <v>1</v>
      </c>
      <c r="BX338" s="1979">
        <v>1</v>
      </c>
      <c r="BY338" s="1979">
        <v>1</v>
      </c>
      <c r="BZ338" s="1979">
        <v>1</v>
      </c>
      <c r="CA338" s="1998">
        <v>1</v>
      </c>
      <c r="CB338" s="1998">
        <v>1</v>
      </c>
      <c r="CC338" s="1998">
        <v>1</v>
      </c>
      <c r="CD338" s="1998">
        <v>1</v>
      </c>
      <c r="CE338" s="1998">
        <v>1</v>
      </c>
      <c r="CF338" s="1979">
        <v>1</v>
      </c>
      <c r="CG338" s="1979">
        <v>1</v>
      </c>
      <c r="CH338" s="1979">
        <v>1</v>
      </c>
      <c r="CI338" s="1979">
        <v>1</v>
      </c>
      <c r="CJ338" s="1979">
        <v>1</v>
      </c>
      <c r="CK338" s="1998">
        <v>1</v>
      </c>
      <c r="CL338" s="1998">
        <v>1</v>
      </c>
      <c r="CM338" s="1998">
        <v>1</v>
      </c>
      <c r="CN338" s="1998">
        <v>1</v>
      </c>
      <c r="CO338" s="1998">
        <v>1</v>
      </c>
      <c r="CP338" s="1979">
        <v>1</v>
      </c>
      <c r="CQ338" s="1979">
        <v>1</v>
      </c>
      <c r="CR338" s="1979">
        <v>1</v>
      </c>
      <c r="CS338" s="1979">
        <v>1</v>
      </c>
      <c r="CT338" s="1979">
        <v>1</v>
      </c>
      <c r="CU338" s="1998">
        <v>1</v>
      </c>
      <c r="CV338" s="1998">
        <v>1</v>
      </c>
      <c r="CW338" s="1998">
        <v>1</v>
      </c>
      <c r="CX338" s="1998">
        <v>1</v>
      </c>
      <c r="CY338" s="1998">
        <v>1</v>
      </c>
      <c r="CZ338" s="1979">
        <v>1</v>
      </c>
      <c r="DA338" s="1979">
        <v>1</v>
      </c>
      <c r="DB338" s="1979">
        <v>1</v>
      </c>
      <c r="DC338" s="1979">
        <v>1</v>
      </c>
      <c r="DD338" s="1979">
        <v>1</v>
      </c>
      <c r="DE338" s="1998">
        <v>1</v>
      </c>
      <c r="DF338" s="1998">
        <v>1</v>
      </c>
      <c r="DG338" s="1998">
        <v>1</v>
      </c>
      <c r="DH338" s="1998">
        <v>1</v>
      </c>
      <c r="DI338" s="1998">
        <v>1</v>
      </c>
      <c r="DJ338" s="1979">
        <v>1</v>
      </c>
      <c r="DK338" s="1979">
        <v>1</v>
      </c>
      <c r="DL338" s="1979">
        <v>1</v>
      </c>
      <c r="DM338" s="1979">
        <v>1</v>
      </c>
      <c r="DN338" s="1979">
        <v>1</v>
      </c>
      <c r="DO338" s="1998">
        <v>1</v>
      </c>
      <c r="DP338" s="1998">
        <v>1</v>
      </c>
      <c r="DQ338" s="1998">
        <v>1</v>
      </c>
      <c r="DR338" s="1998">
        <v>1</v>
      </c>
      <c r="DS338" s="1998">
        <v>1</v>
      </c>
      <c r="DT338" s="1979">
        <v>1</v>
      </c>
      <c r="DU338" s="1979">
        <v>1</v>
      </c>
      <c r="DV338" s="1979">
        <v>1</v>
      </c>
      <c r="DW338" s="1979">
        <v>1</v>
      </c>
      <c r="DX338" s="2021">
        <v>1</v>
      </c>
      <c r="EA338" s="2022"/>
      <c r="EB338" s="2">
        <v>32</v>
      </c>
      <c r="EC338" s="2" t="str">
        <f>$AD$16</f>
        <v>Colonnes ballastées</v>
      </c>
      <c r="ED338" s="1998">
        <v>1.3605609674202821</v>
      </c>
      <c r="EE338" s="1998">
        <v>1.3605609674202821</v>
      </c>
      <c r="EF338" s="1998">
        <v>1.3605609674202821</v>
      </c>
      <c r="EG338" s="1998">
        <v>1.3605609674202821</v>
      </c>
      <c r="EH338" s="1998">
        <v>1.3605609674202821</v>
      </c>
      <c r="EI338" s="1979">
        <v>2.0966679740137137</v>
      </c>
      <c r="EJ338" s="1979">
        <v>2.0966679740137137</v>
      </c>
      <c r="EK338" s="1979">
        <v>2.0966679740137137</v>
      </c>
      <c r="EL338" s="1979">
        <v>2.0966679740137137</v>
      </c>
      <c r="EM338" s="1979">
        <v>2.0966679740137137</v>
      </c>
      <c r="EN338" s="1998">
        <v>1.4337071065592959</v>
      </c>
      <c r="EO338" s="1998">
        <v>1.4337071065592959</v>
      </c>
      <c r="EP338" s="1998">
        <v>1.4337071065592959</v>
      </c>
      <c r="EQ338" s="1998">
        <v>1.4337071065592959</v>
      </c>
      <c r="ER338" s="1998">
        <v>1.4337071065592959</v>
      </c>
      <c r="ES338" s="1979">
        <v>1.8379162318633464</v>
      </c>
      <c r="ET338" s="1979">
        <v>1.8379162318633464</v>
      </c>
      <c r="EU338" s="1979">
        <v>1.8379162318633464</v>
      </c>
      <c r="EV338" s="1979">
        <v>1.8379162318633464</v>
      </c>
      <c r="EW338" s="1979">
        <v>1.8379162318633464</v>
      </c>
      <c r="EX338" s="1998">
        <v>1.4662053104562123</v>
      </c>
      <c r="EY338" s="1998">
        <v>1.4662053104562123</v>
      </c>
      <c r="EZ338" s="1998">
        <v>1.4662053104562123</v>
      </c>
      <c r="FA338" s="1998">
        <v>1.4662053104562123</v>
      </c>
      <c r="FB338" s="1998">
        <v>1.4662053104562123</v>
      </c>
      <c r="FC338" s="1979">
        <v>1.6277744053108218</v>
      </c>
      <c r="FD338" s="1979">
        <v>1.6277744053108218</v>
      </c>
      <c r="FE338" s="1979">
        <v>1.6277744053108218</v>
      </c>
      <c r="FF338" s="1979">
        <v>1.6277744053108218</v>
      </c>
      <c r="FG338" s="1979">
        <v>1.6277744053108218</v>
      </c>
      <c r="FH338" s="1998">
        <v>2.3921927569513635</v>
      </c>
      <c r="FI338" s="1998">
        <v>2.3921927569513635</v>
      </c>
      <c r="FJ338" s="1998">
        <v>2.3921927569513635</v>
      </c>
      <c r="FK338" s="1998">
        <v>2.3921927569513635</v>
      </c>
      <c r="FL338" s="1998">
        <v>2.3921927569513635</v>
      </c>
      <c r="FM338" s="1979">
        <v>1.5115041757386145</v>
      </c>
      <c r="FN338" s="1979">
        <v>1.5115041757386145</v>
      </c>
      <c r="FO338" s="1979">
        <v>1.5115041757386145</v>
      </c>
      <c r="FP338" s="1979">
        <v>1.5115041757386145</v>
      </c>
      <c r="FQ338" s="1979">
        <v>1.5115041757386145</v>
      </c>
      <c r="FR338" s="1998">
        <v>8.1198212572277306</v>
      </c>
      <c r="FS338" s="1998">
        <v>8.1198212572277306</v>
      </c>
      <c r="FT338" s="1998">
        <v>8.1198212572277306</v>
      </c>
      <c r="FU338" s="1998">
        <v>8.1198212572277306</v>
      </c>
      <c r="FV338" s="1998">
        <v>8.1198212572277306</v>
      </c>
      <c r="FW338" s="1979">
        <v>8.4799072816005001</v>
      </c>
      <c r="FX338" s="1979">
        <v>8.4799072816005001</v>
      </c>
      <c r="FY338" s="1979">
        <v>8.4799072816005001</v>
      </c>
      <c r="FZ338" s="1979">
        <v>8.4799072816005001</v>
      </c>
      <c r="GA338" s="1979">
        <v>8.4799072816005001</v>
      </c>
      <c r="GB338" s="1998">
        <v>1.3861479372000356</v>
      </c>
      <c r="GC338" s="1998">
        <v>1.3861479372000356</v>
      </c>
      <c r="GD338" s="1998">
        <v>1.3861479372000356</v>
      </c>
      <c r="GE338" s="1998">
        <v>1.3861479372000356</v>
      </c>
      <c r="GF338" s="1998">
        <v>1.3861479372000356</v>
      </c>
      <c r="GG338" s="1979">
        <v>1.4313071575784038</v>
      </c>
      <c r="GH338" s="1979">
        <v>1.4313071575784038</v>
      </c>
      <c r="GI338" s="1979">
        <v>1.4313071575784038</v>
      </c>
      <c r="GJ338" s="1979">
        <v>1.4313071575784038</v>
      </c>
      <c r="GK338" s="2021">
        <v>1.4313071575784038</v>
      </c>
    </row>
    <row r="339" spans="1:193">
      <c r="A339" s="2020"/>
      <c r="B339" s="2">
        <v>33</v>
      </c>
      <c r="C339" s="2" t="str">
        <f>$AD$17</f>
        <v>Pieu en béton préfabriqué (battus)</v>
      </c>
      <c r="D339" s="1998">
        <f>IF(Construction!$F$31=Construction!$R$22,Oeko!BQ339,Oeko!ED339)</f>
        <v>1</v>
      </c>
      <c r="E339" s="1998">
        <f>IF(Construction!$F$31=Construction!$R$22,Oeko!BR339,Oeko!EE339)</f>
        <v>1</v>
      </c>
      <c r="F339" s="1998">
        <f>IF(Construction!$F$31=Construction!$R$22,Oeko!BS339,Oeko!EF339)</f>
        <v>1</v>
      </c>
      <c r="G339" s="1998">
        <f>IF(Construction!$F$31=Construction!$R$22,Oeko!BT339,Oeko!EG339)</f>
        <v>1</v>
      </c>
      <c r="H339" s="1998">
        <f>IF(Construction!$F$31=Construction!$R$22,Oeko!BU339,Oeko!EH339)</f>
        <v>1</v>
      </c>
      <c r="I339" s="1979">
        <f>IF(Construction!$F$31=Construction!$R$22,Oeko!BV339,Oeko!EI339)</f>
        <v>1</v>
      </c>
      <c r="J339" s="1979">
        <f>IF(Construction!$F$31=Construction!$R$22,Oeko!BW339,Oeko!EJ339)</f>
        <v>1</v>
      </c>
      <c r="K339" s="1979">
        <f>IF(Construction!$F$31=Construction!$R$22,Oeko!BX339,Oeko!EK339)</f>
        <v>1</v>
      </c>
      <c r="L339" s="1979">
        <f>IF(Construction!$F$31=Construction!$R$22,Oeko!BY339,Oeko!EL339)</f>
        <v>1</v>
      </c>
      <c r="M339" s="1979">
        <f>IF(Construction!$F$31=Construction!$R$22,Oeko!BZ339,Oeko!EM339)</f>
        <v>1</v>
      </c>
      <c r="N339" s="1998">
        <f>IF(Construction!$F$31=Construction!$R$22,Oeko!CA339,Oeko!EN339)</f>
        <v>1</v>
      </c>
      <c r="O339" s="1998">
        <f>IF(Construction!$F$31=Construction!$R$22,Oeko!CB339,Oeko!EO339)</f>
        <v>1</v>
      </c>
      <c r="P339" s="1998">
        <f>IF(Construction!$F$31=Construction!$R$22,Oeko!CC339,Oeko!EP339)</f>
        <v>1</v>
      </c>
      <c r="Q339" s="1998">
        <f>IF(Construction!$F$31=Construction!$R$22,Oeko!CD339,Oeko!EQ339)</f>
        <v>1</v>
      </c>
      <c r="R339" s="1998">
        <f>IF(Construction!$F$31=Construction!$R$22,Oeko!CE339,Oeko!ER339)</f>
        <v>1</v>
      </c>
      <c r="S339" s="1979">
        <f>IF(Construction!$F$31=Construction!$R$22,Oeko!CF339,Oeko!ES339)</f>
        <v>1</v>
      </c>
      <c r="T339" s="1979">
        <f>IF(Construction!$F$31=Construction!$R$22,Oeko!CG339,Oeko!ET339)</f>
        <v>1</v>
      </c>
      <c r="U339" s="1979">
        <f>IF(Construction!$F$31=Construction!$R$22,Oeko!CH339,Oeko!EU339)</f>
        <v>1</v>
      </c>
      <c r="V339" s="1979">
        <f>IF(Construction!$F$31=Construction!$R$22,Oeko!CI339,Oeko!EV339)</f>
        <v>1</v>
      </c>
      <c r="W339" s="1979">
        <f>IF(Construction!$F$31=Construction!$R$22,Oeko!CJ339,Oeko!EW339)</f>
        <v>1</v>
      </c>
      <c r="X339" s="1998">
        <f>IF(Construction!$F$31=Construction!$R$22,Oeko!CK339,Oeko!EX339)</f>
        <v>1</v>
      </c>
      <c r="Y339" s="1998">
        <f>IF(Construction!$F$31=Construction!$R$22,Oeko!CL339,Oeko!EY339)</f>
        <v>1</v>
      </c>
      <c r="Z339" s="1998">
        <f>IF(Construction!$F$31=Construction!$R$22,Oeko!CM339,Oeko!EZ339)</f>
        <v>1</v>
      </c>
      <c r="AA339" s="1998">
        <f>IF(Construction!$F$31=Construction!$R$22,Oeko!CN339,Oeko!FA339)</f>
        <v>1</v>
      </c>
      <c r="AB339" s="1998">
        <f>IF(Construction!$F$31=Construction!$R$22,Oeko!CO339,Oeko!FB339)</f>
        <v>1</v>
      </c>
      <c r="AC339" s="1979">
        <f>IF(Construction!$F$31=Construction!$R$22,Oeko!CP339,Oeko!FC339)</f>
        <v>1</v>
      </c>
      <c r="AD339" s="1979">
        <f>IF(Construction!$F$31=Construction!$R$22,Oeko!CQ339,Oeko!FD339)</f>
        <v>1</v>
      </c>
      <c r="AE339" s="1979">
        <f>IF(Construction!$F$31=Construction!$R$22,Oeko!CR339,Oeko!FE339)</f>
        <v>1</v>
      </c>
      <c r="AF339" s="1979">
        <f>IF(Construction!$F$31=Construction!$R$22,Oeko!CS339,Oeko!FF339)</f>
        <v>1</v>
      </c>
      <c r="AG339" s="1979">
        <f>IF(Construction!$F$31=Construction!$R$22,Oeko!CT339,Oeko!FG339)</f>
        <v>1</v>
      </c>
      <c r="AH339" s="1998">
        <f>IF(Construction!$F$31=Construction!$R$22,Oeko!CU339,Oeko!FH339)</f>
        <v>1</v>
      </c>
      <c r="AI339" s="1998">
        <f>IF(Construction!$F$31=Construction!$R$22,Oeko!CV339,Oeko!FI339)</f>
        <v>1</v>
      </c>
      <c r="AJ339" s="1998">
        <f>IF(Construction!$F$31=Construction!$R$22,Oeko!CW339,Oeko!FJ339)</f>
        <v>1</v>
      </c>
      <c r="AK339" s="1998">
        <f>IF(Construction!$F$31=Construction!$R$22,Oeko!CX339,Oeko!FK339)</f>
        <v>1</v>
      </c>
      <c r="AL339" s="1998">
        <f>IF(Construction!$F$31=Construction!$R$22,Oeko!CY339,Oeko!FL339)</f>
        <v>1</v>
      </c>
      <c r="AM339" s="1979">
        <f>IF(Construction!$F$31=Construction!$R$22,Oeko!CZ339,Oeko!FM339)</f>
        <v>1</v>
      </c>
      <c r="AN339" s="1979">
        <f>IF(Construction!$F$31=Construction!$R$22,Oeko!DA339,Oeko!FN339)</f>
        <v>1</v>
      </c>
      <c r="AO339" s="1979">
        <f>IF(Construction!$F$31=Construction!$R$22,Oeko!DB339,Oeko!FO339)</f>
        <v>1</v>
      </c>
      <c r="AP339" s="1979">
        <f>IF(Construction!$F$31=Construction!$R$22,Oeko!DC339,Oeko!FP339)</f>
        <v>1</v>
      </c>
      <c r="AQ339" s="1979">
        <f>IF(Construction!$F$31=Construction!$R$22,Oeko!DD339,Oeko!FQ339)</f>
        <v>1</v>
      </c>
      <c r="AR339" s="1998">
        <f>IF(Construction!$F$31=Construction!$R$22,Oeko!DE339,Oeko!FR339)</f>
        <v>1</v>
      </c>
      <c r="AS339" s="1998">
        <f>IF(Construction!$F$31=Construction!$R$22,Oeko!DF339,Oeko!FS339)</f>
        <v>1</v>
      </c>
      <c r="AT339" s="1998">
        <f>IF(Construction!$F$31=Construction!$R$22,Oeko!DG339,Oeko!FT339)</f>
        <v>1</v>
      </c>
      <c r="AU339" s="1998">
        <f>IF(Construction!$F$31=Construction!$R$22,Oeko!DH339,Oeko!FU339)</f>
        <v>1</v>
      </c>
      <c r="AV339" s="1998">
        <f>IF(Construction!$F$31=Construction!$R$22,Oeko!DI339,Oeko!FV339)</f>
        <v>1</v>
      </c>
      <c r="AW339" s="1979">
        <f>IF(Construction!$F$31=Construction!$R$22,Oeko!DJ339,Oeko!FW339)</f>
        <v>1</v>
      </c>
      <c r="AX339" s="1979">
        <f>IF(Construction!$F$31=Construction!$R$22,Oeko!DK339,Oeko!FX339)</f>
        <v>1</v>
      </c>
      <c r="AY339" s="1979">
        <f>IF(Construction!$F$31=Construction!$R$22,Oeko!DL339,Oeko!FY339)</f>
        <v>1</v>
      </c>
      <c r="AZ339" s="1979">
        <f>IF(Construction!$F$31=Construction!$R$22,Oeko!DM339,Oeko!FZ339)</f>
        <v>1</v>
      </c>
      <c r="BA339" s="1979">
        <f>IF(Construction!$F$31=Construction!$R$22,Oeko!DN339,Oeko!GA339)</f>
        <v>1</v>
      </c>
      <c r="BB339" s="1998">
        <f>IF(Construction!$F$31=Construction!$R$22,Oeko!DO339,Oeko!GB339)</f>
        <v>1</v>
      </c>
      <c r="BC339" s="1998">
        <f>IF(Construction!$F$31=Construction!$R$22,Oeko!DP339,Oeko!GC339)</f>
        <v>1</v>
      </c>
      <c r="BD339" s="1998">
        <f>IF(Construction!$F$31=Construction!$R$22,Oeko!DQ339,Oeko!GD339)</f>
        <v>1</v>
      </c>
      <c r="BE339" s="1998">
        <f>IF(Construction!$F$31=Construction!$R$22,Oeko!DR339,Oeko!GE339)</f>
        <v>1</v>
      </c>
      <c r="BF339" s="1998">
        <f>IF(Construction!$F$31=Construction!$R$22,Oeko!DS339,Oeko!GF339)</f>
        <v>1</v>
      </c>
      <c r="BG339" s="1979">
        <f>IF(Construction!$F$31=Construction!$R$22,Oeko!DT339,Oeko!GG339)</f>
        <v>1</v>
      </c>
      <c r="BH339" s="1979">
        <f>IF(Construction!$F$31=Construction!$R$22,Oeko!DU339,Oeko!GH339)</f>
        <v>1</v>
      </c>
      <c r="BI339" s="1979">
        <f>IF(Construction!$F$31=Construction!$R$22,Oeko!DV339,Oeko!GI339)</f>
        <v>1</v>
      </c>
      <c r="BJ339" s="1979">
        <f>IF(Construction!$F$31=Construction!$R$22,Oeko!DW339,Oeko!GJ339)</f>
        <v>1</v>
      </c>
      <c r="BK339" s="2021">
        <f>IF(Construction!$F$31=Construction!$R$22,Oeko!DX339,Oeko!GK339)</f>
        <v>1</v>
      </c>
      <c r="BN339" s="2022"/>
      <c r="BO339" s="2">
        <v>33</v>
      </c>
      <c r="BP339" s="2" t="str">
        <f>$AD$17</f>
        <v>Pieu en béton préfabriqué (battus)</v>
      </c>
      <c r="BQ339" s="1998">
        <v>1</v>
      </c>
      <c r="BR339" s="1998">
        <v>1</v>
      </c>
      <c r="BS339" s="1998">
        <v>1</v>
      </c>
      <c r="BT339" s="1998">
        <v>1</v>
      </c>
      <c r="BU339" s="1998">
        <v>1</v>
      </c>
      <c r="BV339" s="1979">
        <v>1</v>
      </c>
      <c r="BW339" s="1979">
        <v>1</v>
      </c>
      <c r="BX339" s="1979">
        <v>1</v>
      </c>
      <c r="BY339" s="1979">
        <v>1</v>
      </c>
      <c r="BZ339" s="1979">
        <v>1</v>
      </c>
      <c r="CA339" s="1998">
        <v>1</v>
      </c>
      <c r="CB339" s="1998">
        <v>1</v>
      </c>
      <c r="CC339" s="1998">
        <v>1</v>
      </c>
      <c r="CD339" s="1998">
        <v>1</v>
      </c>
      <c r="CE339" s="1998">
        <v>1</v>
      </c>
      <c r="CF339" s="1979">
        <v>1</v>
      </c>
      <c r="CG339" s="1979">
        <v>1</v>
      </c>
      <c r="CH339" s="1979">
        <v>1</v>
      </c>
      <c r="CI339" s="1979">
        <v>1</v>
      </c>
      <c r="CJ339" s="1979">
        <v>1</v>
      </c>
      <c r="CK339" s="1998">
        <v>1</v>
      </c>
      <c r="CL339" s="1998">
        <v>1</v>
      </c>
      <c r="CM339" s="1998">
        <v>1</v>
      </c>
      <c r="CN339" s="1998">
        <v>1</v>
      </c>
      <c r="CO339" s="1998">
        <v>1</v>
      </c>
      <c r="CP339" s="1979">
        <v>1</v>
      </c>
      <c r="CQ339" s="1979">
        <v>1</v>
      </c>
      <c r="CR339" s="1979">
        <v>1</v>
      </c>
      <c r="CS339" s="1979">
        <v>1</v>
      </c>
      <c r="CT339" s="1979">
        <v>1</v>
      </c>
      <c r="CU339" s="1998">
        <v>1</v>
      </c>
      <c r="CV339" s="1998">
        <v>1</v>
      </c>
      <c r="CW339" s="1998">
        <v>1</v>
      </c>
      <c r="CX339" s="1998">
        <v>1</v>
      </c>
      <c r="CY339" s="1998">
        <v>1</v>
      </c>
      <c r="CZ339" s="1979">
        <v>1</v>
      </c>
      <c r="DA339" s="1979">
        <v>1</v>
      </c>
      <c r="DB339" s="1979">
        <v>1</v>
      </c>
      <c r="DC339" s="1979">
        <v>1</v>
      </c>
      <c r="DD339" s="1979">
        <v>1</v>
      </c>
      <c r="DE339" s="1998">
        <v>1</v>
      </c>
      <c r="DF339" s="1998">
        <v>1</v>
      </c>
      <c r="DG339" s="1998">
        <v>1</v>
      </c>
      <c r="DH339" s="1998">
        <v>1</v>
      </c>
      <c r="DI339" s="1998">
        <v>1</v>
      </c>
      <c r="DJ339" s="1979">
        <v>1</v>
      </c>
      <c r="DK339" s="1979">
        <v>1</v>
      </c>
      <c r="DL339" s="1979">
        <v>1</v>
      </c>
      <c r="DM339" s="1979">
        <v>1</v>
      </c>
      <c r="DN339" s="1979">
        <v>1</v>
      </c>
      <c r="DO339" s="1998">
        <v>1</v>
      </c>
      <c r="DP339" s="1998">
        <v>1</v>
      </c>
      <c r="DQ339" s="1998">
        <v>1</v>
      </c>
      <c r="DR339" s="1998">
        <v>1</v>
      </c>
      <c r="DS339" s="1998">
        <v>1</v>
      </c>
      <c r="DT339" s="1979">
        <v>1</v>
      </c>
      <c r="DU339" s="1979">
        <v>1</v>
      </c>
      <c r="DV339" s="1979">
        <v>1</v>
      </c>
      <c r="DW339" s="1979">
        <v>1</v>
      </c>
      <c r="DX339" s="2021">
        <v>1</v>
      </c>
      <c r="EA339" s="2022"/>
      <c r="EB339" s="2">
        <v>33</v>
      </c>
      <c r="EC339" s="2" t="str">
        <f>$AD$17</f>
        <v>Pieu en béton préfabriqué (battus)</v>
      </c>
      <c r="ED339" s="1998">
        <v>1.3605609674202821</v>
      </c>
      <c r="EE339" s="1998">
        <v>1.3605609674202821</v>
      </c>
      <c r="EF339" s="1998">
        <v>1.3605609674202821</v>
      </c>
      <c r="EG339" s="1998">
        <v>1.3605609674202821</v>
      </c>
      <c r="EH339" s="1998">
        <v>1.3605609674202821</v>
      </c>
      <c r="EI339" s="1979">
        <v>2.0966679740137137</v>
      </c>
      <c r="EJ339" s="1979">
        <v>2.0966679740137137</v>
      </c>
      <c r="EK339" s="1979">
        <v>2.0966679740137137</v>
      </c>
      <c r="EL339" s="1979">
        <v>2.0966679740137137</v>
      </c>
      <c r="EM339" s="1979">
        <v>2.0966679740137137</v>
      </c>
      <c r="EN339" s="1998">
        <v>1.4337071065592959</v>
      </c>
      <c r="EO339" s="1998">
        <v>1.4337071065592959</v>
      </c>
      <c r="EP339" s="1998">
        <v>1.4337071065592959</v>
      </c>
      <c r="EQ339" s="1998">
        <v>1.4337071065592959</v>
      </c>
      <c r="ER339" s="1998">
        <v>1.4337071065592959</v>
      </c>
      <c r="ES339" s="1979">
        <v>1.8379162318633464</v>
      </c>
      <c r="ET339" s="1979">
        <v>1.8379162318633464</v>
      </c>
      <c r="EU339" s="1979">
        <v>1.8379162318633464</v>
      </c>
      <c r="EV339" s="1979">
        <v>1.8379162318633464</v>
      </c>
      <c r="EW339" s="1979">
        <v>1.8379162318633464</v>
      </c>
      <c r="EX339" s="1998">
        <v>1.4662053104562123</v>
      </c>
      <c r="EY339" s="1998">
        <v>1.4662053104562123</v>
      </c>
      <c r="EZ339" s="1998">
        <v>1.4662053104562123</v>
      </c>
      <c r="FA339" s="1998">
        <v>1.4662053104562123</v>
      </c>
      <c r="FB339" s="1998">
        <v>1.4662053104562123</v>
      </c>
      <c r="FC339" s="1979">
        <v>1.6277744053108218</v>
      </c>
      <c r="FD339" s="1979">
        <v>1.6277744053108218</v>
      </c>
      <c r="FE339" s="1979">
        <v>1.6277744053108218</v>
      </c>
      <c r="FF339" s="1979">
        <v>1.6277744053108218</v>
      </c>
      <c r="FG339" s="1979">
        <v>1.6277744053108218</v>
      </c>
      <c r="FH339" s="1998">
        <v>2.3921927569513635</v>
      </c>
      <c r="FI339" s="1998">
        <v>2.3921927569513635</v>
      </c>
      <c r="FJ339" s="1998">
        <v>2.3921927569513635</v>
      </c>
      <c r="FK339" s="1998">
        <v>2.3921927569513635</v>
      </c>
      <c r="FL339" s="1998">
        <v>2.3921927569513635</v>
      </c>
      <c r="FM339" s="1979">
        <v>1.5115041757386145</v>
      </c>
      <c r="FN339" s="1979">
        <v>1.5115041757386145</v>
      </c>
      <c r="FO339" s="1979">
        <v>1.5115041757386145</v>
      </c>
      <c r="FP339" s="1979">
        <v>1.5115041757386145</v>
      </c>
      <c r="FQ339" s="1979">
        <v>1.5115041757386145</v>
      </c>
      <c r="FR339" s="1998">
        <v>8.1198212572277306</v>
      </c>
      <c r="FS339" s="1998">
        <v>8.1198212572277306</v>
      </c>
      <c r="FT339" s="1998">
        <v>8.1198212572277306</v>
      </c>
      <c r="FU339" s="1998">
        <v>8.1198212572277306</v>
      </c>
      <c r="FV339" s="1998">
        <v>8.1198212572277306</v>
      </c>
      <c r="FW339" s="1979">
        <v>8.4799072816005001</v>
      </c>
      <c r="FX339" s="1979">
        <v>8.4799072816005001</v>
      </c>
      <c r="FY339" s="1979">
        <v>8.4799072816005001</v>
      </c>
      <c r="FZ339" s="1979">
        <v>8.4799072816005001</v>
      </c>
      <c r="GA339" s="1979">
        <v>8.4799072816005001</v>
      </c>
      <c r="GB339" s="1998">
        <v>1.3861479372000356</v>
      </c>
      <c r="GC339" s="1998">
        <v>1.3861479372000356</v>
      </c>
      <c r="GD339" s="1998">
        <v>1.3861479372000356</v>
      </c>
      <c r="GE339" s="1998">
        <v>1.3861479372000356</v>
      </c>
      <c r="GF339" s="1998">
        <v>1.3861479372000356</v>
      </c>
      <c r="GG339" s="1979">
        <v>1.4313071575784038</v>
      </c>
      <c r="GH339" s="1979">
        <v>1.4313071575784038</v>
      </c>
      <c r="GI339" s="1979">
        <v>1.4313071575784038</v>
      </c>
      <c r="GJ339" s="1979">
        <v>1.4313071575784038</v>
      </c>
      <c r="GK339" s="2021">
        <v>1.4313071575784038</v>
      </c>
    </row>
    <row r="340" spans="1:193">
      <c r="A340" s="2020"/>
      <c r="B340" s="2">
        <v>34</v>
      </c>
      <c r="C340" s="2" t="str">
        <f>$AF$13</f>
        <v/>
      </c>
      <c r="D340" s="1998">
        <f>IF(Construction!$F$31=Construction!$R$22,Oeko!BQ340,Oeko!ED340)</f>
        <v>1</v>
      </c>
      <c r="E340" s="1998">
        <f>IF(Construction!$F$31=Construction!$R$22,Oeko!BR340,Oeko!EE340)</f>
        <v>1</v>
      </c>
      <c r="F340" s="1998">
        <f>IF(Construction!$F$31=Construction!$R$22,Oeko!BS340,Oeko!EF340)</f>
        <v>1</v>
      </c>
      <c r="G340" s="1998">
        <f>IF(Construction!$F$31=Construction!$R$22,Oeko!BT340,Oeko!EG340)</f>
        <v>1</v>
      </c>
      <c r="H340" s="1998">
        <f>IF(Construction!$F$31=Construction!$R$22,Oeko!BU340,Oeko!EH340)</f>
        <v>1</v>
      </c>
      <c r="I340" s="1979">
        <f>IF(Construction!$F$31=Construction!$R$22,Oeko!BV340,Oeko!EI340)</f>
        <v>1</v>
      </c>
      <c r="J340" s="1979">
        <f>IF(Construction!$F$31=Construction!$R$22,Oeko!BW340,Oeko!EJ340)</f>
        <v>1</v>
      </c>
      <c r="K340" s="1979">
        <f>IF(Construction!$F$31=Construction!$R$22,Oeko!BX340,Oeko!EK340)</f>
        <v>1</v>
      </c>
      <c r="L340" s="1979">
        <f>IF(Construction!$F$31=Construction!$R$22,Oeko!BY340,Oeko!EL340)</f>
        <v>1</v>
      </c>
      <c r="M340" s="1979">
        <f>IF(Construction!$F$31=Construction!$R$22,Oeko!BZ340,Oeko!EM340)</f>
        <v>1</v>
      </c>
      <c r="N340" s="1998">
        <f>IF(Construction!$F$31=Construction!$R$22,Oeko!CA340,Oeko!EN340)</f>
        <v>1</v>
      </c>
      <c r="O340" s="1998">
        <f>IF(Construction!$F$31=Construction!$R$22,Oeko!CB340,Oeko!EO340)</f>
        <v>1</v>
      </c>
      <c r="P340" s="1998">
        <f>IF(Construction!$F$31=Construction!$R$22,Oeko!CC340,Oeko!EP340)</f>
        <v>1</v>
      </c>
      <c r="Q340" s="1998">
        <f>IF(Construction!$F$31=Construction!$R$22,Oeko!CD340,Oeko!EQ340)</f>
        <v>1</v>
      </c>
      <c r="R340" s="1998">
        <f>IF(Construction!$F$31=Construction!$R$22,Oeko!CE340,Oeko!ER340)</f>
        <v>1</v>
      </c>
      <c r="S340" s="1979">
        <f>IF(Construction!$F$31=Construction!$R$22,Oeko!CF340,Oeko!ES340)</f>
        <v>1</v>
      </c>
      <c r="T340" s="1979">
        <f>IF(Construction!$F$31=Construction!$R$22,Oeko!CG340,Oeko!ET340)</f>
        <v>1</v>
      </c>
      <c r="U340" s="1979">
        <f>IF(Construction!$F$31=Construction!$R$22,Oeko!CH340,Oeko!EU340)</f>
        <v>1</v>
      </c>
      <c r="V340" s="1979">
        <f>IF(Construction!$F$31=Construction!$R$22,Oeko!CI340,Oeko!EV340)</f>
        <v>1</v>
      </c>
      <c r="W340" s="1979">
        <f>IF(Construction!$F$31=Construction!$R$22,Oeko!CJ340,Oeko!EW340)</f>
        <v>1</v>
      </c>
      <c r="X340" s="1998">
        <f>IF(Construction!$F$31=Construction!$R$22,Oeko!CK340,Oeko!EX340)</f>
        <v>1</v>
      </c>
      <c r="Y340" s="1998">
        <f>IF(Construction!$F$31=Construction!$R$22,Oeko!CL340,Oeko!EY340)</f>
        <v>1</v>
      </c>
      <c r="Z340" s="1998">
        <f>IF(Construction!$F$31=Construction!$R$22,Oeko!CM340,Oeko!EZ340)</f>
        <v>1</v>
      </c>
      <c r="AA340" s="1998">
        <f>IF(Construction!$F$31=Construction!$R$22,Oeko!CN340,Oeko!FA340)</f>
        <v>1</v>
      </c>
      <c r="AB340" s="1998">
        <f>IF(Construction!$F$31=Construction!$R$22,Oeko!CO340,Oeko!FB340)</f>
        <v>1</v>
      </c>
      <c r="AC340" s="1979">
        <f>IF(Construction!$F$31=Construction!$R$22,Oeko!CP340,Oeko!FC340)</f>
        <v>1</v>
      </c>
      <c r="AD340" s="1979">
        <f>IF(Construction!$F$31=Construction!$R$22,Oeko!CQ340,Oeko!FD340)</f>
        <v>1</v>
      </c>
      <c r="AE340" s="1979">
        <f>IF(Construction!$F$31=Construction!$R$22,Oeko!CR340,Oeko!FE340)</f>
        <v>1</v>
      </c>
      <c r="AF340" s="1979">
        <f>IF(Construction!$F$31=Construction!$R$22,Oeko!CS340,Oeko!FF340)</f>
        <v>1</v>
      </c>
      <c r="AG340" s="1979">
        <f>IF(Construction!$F$31=Construction!$R$22,Oeko!CT340,Oeko!FG340)</f>
        <v>1</v>
      </c>
      <c r="AH340" s="1998">
        <f>IF(Construction!$F$31=Construction!$R$22,Oeko!CU340,Oeko!FH340)</f>
        <v>1</v>
      </c>
      <c r="AI340" s="1998">
        <f>IF(Construction!$F$31=Construction!$R$22,Oeko!CV340,Oeko!FI340)</f>
        <v>1</v>
      </c>
      <c r="AJ340" s="1998">
        <f>IF(Construction!$F$31=Construction!$R$22,Oeko!CW340,Oeko!FJ340)</f>
        <v>1</v>
      </c>
      <c r="AK340" s="1998">
        <f>IF(Construction!$F$31=Construction!$R$22,Oeko!CX340,Oeko!FK340)</f>
        <v>1</v>
      </c>
      <c r="AL340" s="1998">
        <f>IF(Construction!$F$31=Construction!$R$22,Oeko!CY340,Oeko!FL340)</f>
        <v>1</v>
      </c>
      <c r="AM340" s="1979">
        <f>IF(Construction!$F$31=Construction!$R$22,Oeko!CZ340,Oeko!FM340)</f>
        <v>1</v>
      </c>
      <c r="AN340" s="1979">
        <f>IF(Construction!$F$31=Construction!$R$22,Oeko!DA340,Oeko!FN340)</f>
        <v>1</v>
      </c>
      <c r="AO340" s="1979">
        <f>IF(Construction!$F$31=Construction!$R$22,Oeko!DB340,Oeko!FO340)</f>
        <v>1</v>
      </c>
      <c r="AP340" s="1979">
        <f>IF(Construction!$F$31=Construction!$R$22,Oeko!DC340,Oeko!FP340)</f>
        <v>1</v>
      </c>
      <c r="AQ340" s="1979">
        <f>IF(Construction!$F$31=Construction!$R$22,Oeko!DD340,Oeko!FQ340)</f>
        <v>1</v>
      </c>
      <c r="AR340" s="1998">
        <f>IF(Construction!$F$31=Construction!$R$22,Oeko!DE340,Oeko!FR340)</f>
        <v>1</v>
      </c>
      <c r="AS340" s="1998">
        <f>IF(Construction!$F$31=Construction!$R$22,Oeko!DF340,Oeko!FS340)</f>
        <v>1</v>
      </c>
      <c r="AT340" s="1998">
        <f>IF(Construction!$F$31=Construction!$R$22,Oeko!DG340,Oeko!FT340)</f>
        <v>1</v>
      </c>
      <c r="AU340" s="1998">
        <f>IF(Construction!$F$31=Construction!$R$22,Oeko!DH340,Oeko!FU340)</f>
        <v>1</v>
      </c>
      <c r="AV340" s="1998">
        <f>IF(Construction!$F$31=Construction!$R$22,Oeko!DI340,Oeko!FV340)</f>
        <v>1</v>
      </c>
      <c r="AW340" s="1979">
        <f>IF(Construction!$F$31=Construction!$R$22,Oeko!DJ340,Oeko!FW340)</f>
        <v>1</v>
      </c>
      <c r="AX340" s="1979">
        <f>IF(Construction!$F$31=Construction!$R$22,Oeko!DK340,Oeko!FX340)</f>
        <v>1</v>
      </c>
      <c r="AY340" s="1979">
        <f>IF(Construction!$F$31=Construction!$R$22,Oeko!DL340,Oeko!FY340)</f>
        <v>1</v>
      </c>
      <c r="AZ340" s="1979">
        <f>IF(Construction!$F$31=Construction!$R$22,Oeko!DM340,Oeko!FZ340)</f>
        <v>1</v>
      </c>
      <c r="BA340" s="1979">
        <f>IF(Construction!$F$31=Construction!$R$22,Oeko!DN340,Oeko!GA340)</f>
        <v>1</v>
      </c>
      <c r="BB340" s="1998">
        <f>IF(Construction!$F$31=Construction!$R$22,Oeko!DO340,Oeko!GB340)</f>
        <v>1</v>
      </c>
      <c r="BC340" s="1998">
        <f>IF(Construction!$F$31=Construction!$R$22,Oeko!DP340,Oeko!GC340)</f>
        <v>1</v>
      </c>
      <c r="BD340" s="1998">
        <f>IF(Construction!$F$31=Construction!$R$22,Oeko!DQ340,Oeko!GD340)</f>
        <v>1</v>
      </c>
      <c r="BE340" s="1998">
        <f>IF(Construction!$F$31=Construction!$R$22,Oeko!DR340,Oeko!GE340)</f>
        <v>1</v>
      </c>
      <c r="BF340" s="1998">
        <f>IF(Construction!$F$31=Construction!$R$22,Oeko!DS340,Oeko!GF340)</f>
        <v>1</v>
      </c>
      <c r="BG340" s="1979">
        <f>IF(Construction!$F$31=Construction!$R$22,Oeko!DT340,Oeko!GG340)</f>
        <v>1</v>
      </c>
      <c r="BH340" s="1979">
        <f>IF(Construction!$F$31=Construction!$R$22,Oeko!DU340,Oeko!GH340)</f>
        <v>1</v>
      </c>
      <c r="BI340" s="1979">
        <f>IF(Construction!$F$31=Construction!$R$22,Oeko!DV340,Oeko!GI340)</f>
        <v>1</v>
      </c>
      <c r="BJ340" s="1979">
        <f>IF(Construction!$F$31=Construction!$R$22,Oeko!DW340,Oeko!GJ340)</f>
        <v>1</v>
      </c>
      <c r="BK340" s="2021">
        <f>IF(Construction!$F$31=Construction!$R$22,Oeko!DX340,Oeko!GK340)</f>
        <v>1</v>
      </c>
      <c r="BN340" s="2022"/>
      <c r="BO340" s="2">
        <v>34</v>
      </c>
      <c r="BP340" s="2" t="str">
        <f>$AF$13</f>
        <v/>
      </c>
      <c r="BQ340" s="1998">
        <v>1</v>
      </c>
      <c r="BR340" s="1998">
        <v>1</v>
      </c>
      <c r="BS340" s="1998">
        <v>1</v>
      </c>
      <c r="BT340" s="1998">
        <v>1</v>
      </c>
      <c r="BU340" s="1998">
        <v>1</v>
      </c>
      <c r="BV340" s="1979">
        <v>1</v>
      </c>
      <c r="BW340" s="1979">
        <v>1</v>
      </c>
      <c r="BX340" s="1979">
        <v>1</v>
      </c>
      <c r="BY340" s="1979">
        <v>1</v>
      </c>
      <c r="BZ340" s="1979">
        <v>1</v>
      </c>
      <c r="CA340" s="1998">
        <v>1</v>
      </c>
      <c r="CB340" s="1998">
        <v>1</v>
      </c>
      <c r="CC340" s="1998">
        <v>1</v>
      </c>
      <c r="CD340" s="1998">
        <v>1</v>
      </c>
      <c r="CE340" s="1998">
        <v>1</v>
      </c>
      <c r="CF340" s="1979">
        <v>1</v>
      </c>
      <c r="CG340" s="1979">
        <v>1</v>
      </c>
      <c r="CH340" s="1979">
        <v>1</v>
      </c>
      <c r="CI340" s="1979">
        <v>1</v>
      </c>
      <c r="CJ340" s="1979">
        <v>1</v>
      </c>
      <c r="CK340" s="1998">
        <v>1</v>
      </c>
      <c r="CL340" s="1998">
        <v>1</v>
      </c>
      <c r="CM340" s="1998">
        <v>1</v>
      </c>
      <c r="CN340" s="1998">
        <v>1</v>
      </c>
      <c r="CO340" s="1998">
        <v>1</v>
      </c>
      <c r="CP340" s="1979">
        <v>1</v>
      </c>
      <c r="CQ340" s="1979">
        <v>1</v>
      </c>
      <c r="CR340" s="1979">
        <v>1</v>
      </c>
      <c r="CS340" s="1979">
        <v>1</v>
      </c>
      <c r="CT340" s="1979">
        <v>1</v>
      </c>
      <c r="CU340" s="1998">
        <v>1</v>
      </c>
      <c r="CV340" s="1998">
        <v>1</v>
      </c>
      <c r="CW340" s="1998">
        <v>1</v>
      </c>
      <c r="CX340" s="1998">
        <v>1</v>
      </c>
      <c r="CY340" s="1998">
        <v>1</v>
      </c>
      <c r="CZ340" s="1979">
        <v>1</v>
      </c>
      <c r="DA340" s="1979">
        <v>1</v>
      </c>
      <c r="DB340" s="1979">
        <v>1</v>
      </c>
      <c r="DC340" s="1979">
        <v>1</v>
      </c>
      <c r="DD340" s="1979">
        <v>1</v>
      </c>
      <c r="DE340" s="1998">
        <v>1</v>
      </c>
      <c r="DF340" s="1998">
        <v>1</v>
      </c>
      <c r="DG340" s="1998">
        <v>1</v>
      </c>
      <c r="DH340" s="1998">
        <v>1</v>
      </c>
      <c r="DI340" s="1998">
        <v>1</v>
      </c>
      <c r="DJ340" s="1979">
        <v>1</v>
      </c>
      <c r="DK340" s="1979">
        <v>1</v>
      </c>
      <c r="DL340" s="1979">
        <v>1</v>
      </c>
      <c r="DM340" s="1979">
        <v>1</v>
      </c>
      <c r="DN340" s="1979">
        <v>1</v>
      </c>
      <c r="DO340" s="1998">
        <v>1</v>
      </c>
      <c r="DP340" s="1998">
        <v>1</v>
      </c>
      <c r="DQ340" s="1998">
        <v>1</v>
      </c>
      <c r="DR340" s="1998">
        <v>1</v>
      </c>
      <c r="DS340" s="1998">
        <v>1</v>
      </c>
      <c r="DT340" s="1979">
        <v>1</v>
      </c>
      <c r="DU340" s="1979">
        <v>1</v>
      </c>
      <c r="DV340" s="1979">
        <v>1</v>
      </c>
      <c r="DW340" s="1979">
        <v>1</v>
      </c>
      <c r="DX340" s="2021">
        <v>1</v>
      </c>
      <c r="EA340" s="2022"/>
      <c r="EB340" s="2">
        <v>34</v>
      </c>
      <c r="EC340" s="2" t="str">
        <f>$AF$13</f>
        <v/>
      </c>
      <c r="ED340" s="1998">
        <v>1.3605609674202821</v>
      </c>
      <c r="EE340" s="1998">
        <v>1.3605609674202821</v>
      </c>
      <c r="EF340" s="1998">
        <v>1.3605609674202821</v>
      </c>
      <c r="EG340" s="1998">
        <v>1.3605609674202821</v>
      </c>
      <c r="EH340" s="1998">
        <v>1.3605609674202821</v>
      </c>
      <c r="EI340" s="1979">
        <v>2.0966679740137137</v>
      </c>
      <c r="EJ340" s="1979">
        <v>2.0966679740137137</v>
      </c>
      <c r="EK340" s="1979">
        <v>2.0966679740137137</v>
      </c>
      <c r="EL340" s="1979">
        <v>2.0966679740137137</v>
      </c>
      <c r="EM340" s="1979">
        <v>2.0966679740137137</v>
      </c>
      <c r="EN340" s="1998">
        <v>1.4337071065592959</v>
      </c>
      <c r="EO340" s="1998">
        <v>1.4337071065592959</v>
      </c>
      <c r="EP340" s="1998">
        <v>1.4337071065592959</v>
      </c>
      <c r="EQ340" s="1998">
        <v>1.4337071065592959</v>
      </c>
      <c r="ER340" s="1998">
        <v>1.4337071065592959</v>
      </c>
      <c r="ES340" s="1979">
        <v>1.8379162318633464</v>
      </c>
      <c r="ET340" s="1979">
        <v>1.8379162318633464</v>
      </c>
      <c r="EU340" s="1979">
        <v>1.8379162318633464</v>
      </c>
      <c r="EV340" s="1979">
        <v>1.8379162318633464</v>
      </c>
      <c r="EW340" s="1979">
        <v>1.8379162318633464</v>
      </c>
      <c r="EX340" s="1998">
        <v>1.4662053104562123</v>
      </c>
      <c r="EY340" s="1998">
        <v>1.4662053104562123</v>
      </c>
      <c r="EZ340" s="1998">
        <v>1.4662053104562123</v>
      </c>
      <c r="FA340" s="1998">
        <v>1.4662053104562123</v>
      </c>
      <c r="FB340" s="1998">
        <v>1.4662053104562123</v>
      </c>
      <c r="FC340" s="1979">
        <v>1.6277744053108218</v>
      </c>
      <c r="FD340" s="1979">
        <v>1.6277744053108218</v>
      </c>
      <c r="FE340" s="1979">
        <v>1.6277744053108218</v>
      </c>
      <c r="FF340" s="1979">
        <v>1.6277744053108218</v>
      </c>
      <c r="FG340" s="1979">
        <v>1.6277744053108218</v>
      </c>
      <c r="FH340" s="1998">
        <v>2.3921927569513635</v>
      </c>
      <c r="FI340" s="1998">
        <v>2.3921927569513635</v>
      </c>
      <c r="FJ340" s="1998">
        <v>2.3921927569513635</v>
      </c>
      <c r="FK340" s="1998">
        <v>2.3921927569513635</v>
      </c>
      <c r="FL340" s="1998">
        <v>2.3921927569513635</v>
      </c>
      <c r="FM340" s="1979">
        <v>1.5115041757386145</v>
      </c>
      <c r="FN340" s="1979">
        <v>1.5115041757386145</v>
      </c>
      <c r="FO340" s="1979">
        <v>1.5115041757386145</v>
      </c>
      <c r="FP340" s="1979">
        <v>1.5115041757386145</v>
      </c>
      <c r="FQ340" s="1979">
        <v>1.5115041757386145</v>
      </c>
      <c r="FR340" s="1998">
        <v>8.1198212572277306</v>
      </c>
      <c r="FS340" s="1998">
        <v>8.1198212572277306</v>
      </c>
      <c r="FT340" s="1998">
        <v>8.1198212572277306</v>
      </c>
      <c r="FU340" s="1998">
        <v>8.1198212572277306</v>
      </c>
      <c r="FV340" s="1998">
        <v>8.1198212572277306</v>
      </c>
      <c r="FW340" s="1979">
        <v>8.4799072816005001</v>
      </c>
      <c r="FX340" s="1979">
        <v>8.4799072816005001</v>
      </c>
      <c r="FY340" s="1979">
        <v>8.4799072816005001</v>
      </c>
      <c r="FZ340" s="1979">
        <v>8.4799072816005001</v>
      </c>
      <c r="GA340" s="1979">
        <v>8.4799072816005001</v>
      </c>
      <c r="GB340" s="1998">
        <v>1.3861479372000356</v>
      </c>
      <c r="GC340" s="1998">
        <v>1.3861479372000356</v>
      </c>
      <c r="GD340" s="1998">
        <v>1.3861479372000356</v>
      </c>
      <c r="GE340" s="1998">
        <v>1.3861479372000356</v>
      </c>
      <c r="GF340" s="1998">
        <v>1.3861479372000356</v>
      </c>
      <c r="GG340" s="1979">
        <v>1.4313071575784038</v>
      </c>
      <c r="GH340" s="1979">
        <v>1.4313071575784038</v>
      </c>
      <c r="GI340" s="1979">
        <v>1.4313071575784038</v>
      </c>
      <c r="GJ340" s="1979">
        <v>1.4313071575784038</v>
      </c>
      <c r="GK340" s="2021">
        <v>1.4313071575784038</v>
      </c>
    </row>
    <row r="341" spans="1:193">
      <c r="A341" s="2020"/>
      <c r="B341" s="2">
        <v>35</v>
      </c>
      <c r="C341" s="2" t="str">
        <f>$AF$14</f>
        <v/>
      </c>
      <c r="D341" s="1998">
        <f>IF(Construction!$F$31=Construction!$R$22,Oeko!BQ341,Oeko!ED341)</f>
        <v>1</v>
      </c>
      <c r="E341" s="1998">
        <f>IF(Construction!$F$31=Construction!$R$22,Oeko!BR341,Oeko!EE341)</f>
        <v>1</v>
      </c>
      <c r="F341" s="1998">
        <f>IF(Construction!$F$31=Construction!$R$22,Oeko!BS341,Oeko!EF341)</f>
        <v>1</v>
      </c>
      <c r="G341" s="1998">
        <f>IF(Construction!$F$31=Construction!$R$22,Oeko!BT341,Oeko!EG341)</f>
        <v>1</v>
      </c>
      <c r="H341" s="1998">
        <f>IF(Construction!$F$31=Construction!$R$22,Oeko!BU341,Oeko!EH341)</f>
        <v>1</v>
      </c>
      <c r="I341" s="1979">
        <f>IF(Construction!$F$31=Construction!$R$22,Oeko!BV341,Oeko!EI341)</f>
        <v>1</v>
      </c>
      <c r="J341" s="1979">
        <f>IF(Construction!$F$31=Construction!$R$22,Oeko!BW341,Oeko!EJ341)</f>
        <v>1</v>
      </c>
      <c r="K341" s="1979">
        <f>IF(Construction!$F$31=Construction!$R$22,Oeko!BX341,Oeko!EK341)</f>
        <v>1</v>
      </c>
      <c r="L341" s="1979">
        <f>IF(Construction!$F$31=Construction!$R$22,Oeko!BY341,Oeko!EL341)</f>
        <v>1</v>
      </c>
      <c r="M341" s="1979">
        <f>IF(Construction!$F$31=Construction!$R$22,Oeko!BZ341,Oeko!EM341)</f>
        <v>1</v>
      </c>
      <c r="N341" s="1998">
        <f>IF(Construction!$F$31=Construction!$R$22,Oeko!CA341,Oeko!EN341)</f>
        <v>1</v>
      </c>
      <c r="O341" s="1998">
        <f>IF(Construction!$F$31=Construction!$R$22,Oeko!CB341,Oeko!EO341)</f>
        <v>1</v>
      </c>
      <c r="P341" s="1998">
        <f>IF(Construction!$F$31=Construction!$R$22,Oeko!CC341,Oeko!EP341)</f>
        <v>1</v>
      </c>
      <c r="Q341" s="1998">
        <f>IF(Construction!$F$31=Construction!$R$22,Oeko!CD341,Oeko!EQ341)</f>
        <v>1</v>
      </c>
      <c r="R341" s="1998">
        <f>IF(Construction!$F$31=Construction!$R$22,Oeko!CE341,Oeko!ER341)</f>
        <v>1</v>
      </c>
      <c r="S341" s="1979">
        <f>IF(Construction!$F$31=Construction!$R$22,Oeko!CF341,Oeko!ES341)</f>
        <v>1</v>
      </c>
      <c r="T341" s="1979">
        <f>IF(Construction!$F$31=Construction!$R$22,Oeko!CG341,Oeko!ET341)</f>
        <v>1</v>
      </c>
      <c r="U341" s="1979">
        <f>IF(Construction!$F$31=Construction!$R$22,Oeko!CH341,Oeko!EU341)</f>
        <v>1</v>
      </c>
      <c r="V341" s="1979">
        <f>IF(Construction!$F$31=Construction!$R$22,Oeko!CI341,Oeko!EV341)</f>
        <v>1</v>
      </c>
      <c r="W341" s="1979">
        <f>IF(Construction!$F$31=Construction!$R$22,Oeko!CJ341,Oeko!EW341)</f>
        <v>1</v>
      </c>
      <c r="X341" s="1998">
        <f>IF(Construction!$F$31=Construction!$R$22,Oeko!CK341,Oeko!EX341)</f>
        <v>1</v>
      </c>
      <c r="Y341" s="1998">
        <f>IF(Construction!$F$31=Construction!$R$22,Oeko!CL341,Oeko!EY341)</f>
        <v>1</v>
      </c>
      <c r="Z341" s="1998">
        <f>IF(Construction!$F$31=Construction!$R$22,Oeko!CM341,Oeko!EZ341)</f>
        <v>1</v>
      </c>
      <c r="AA341" s="1998">
        <f>IF(Construction!$F$31=Construction!$R$22,Oeko!CN341,Oeko!FA341)</f>
        <v>1</v>
      </c>
      <c r="AB341" s="1998">
        <f>IF(Construction!$F$31=Construction!$R$22,Oeko!CO341,Oeko!FB341)</f>
        <v>1</v>
      </c>
      <c r="AC341" s="1979">
        <f>IF(Construction!$F$31=Construction!$R$22,Oeko!CP341,Oeko!FC341)</f>
        <v>1</v>
      </c>
      <c r="AD341" s="1979">
        <f>IF(Construction!$F$31=Construction!$R$22,Oeko!CQ341,Oeko!FD341)</f>
        <v>1</v>
      </c>
      <c r="AE341" s="1979">
        <f>IF(Construction!$F$31=Construction!$R$22,Oeko!CR341,Oeko!FE341)</f>
        <v>1</v>
      </c>
      <c r="AF341" s="1979">
        <f>IF(Construction!$F$31=Construction!$R$22,Oeko!CS341,Oeko!FF341)</f>
        <v>1</v>
      </c>
      <c r="AG341" s="1979">
        <f>IF(Construction!$F$31=Construction!$R$22,Oeko!CT341,Oeko!FG341)</f>
        <v>1</v>
      </c>
      <c r="AH341" s="1998">
        <f>IF(Construction!$F$31=Construction!$R$22,Oeko!CU341,Oeko!FH341)</f>
        <v>1</v>
      </c>
      <c r="AI341" s="1998">
        <f>IF(Construction!$F$31=Construction!$R$22,Oeko!CV341,Oeko!FI341)</f>
        <v>1</v>
      </c>
      <c r="AJ341" s="1998">
        <f>IF(Construction!$F$31=Construction!$R$22,Oeko!CW341,Oeko!FJ341)</f>
        <v>1</v>
      </c>
      <c r="AK341" s="1998">
        <f>IF(Construction!$F$31=Construction!$R$22,Oeko!CX341,Oeko!FK341)</f>
        <v>1</v>
      </c>
      <c r="AL341" s="1998">
        <f>IF(Construction!$F$31=Construction!$R$22,Oeko!CY341,Oeko!FL341)</f>
        <v>1</v>
      </c>
      <c r="AM341" s="1979">
        <f>IF(Construction!$F$31=Construction!$R$22,Oeko!CZ341,Oeko!FM341)</f>
        <v>1</v>
      </c>
      <c r="AN341" s="1979">
        <f>IF(Construction!$F$31=Construction!$R$22,Oeko!DA341,Oeko!FN341)</f>
        <v>1</v>
      </c>
      <c r="AO341" s="1979">
        <f>IF(Construction!$F$31=Construction!$R$22,Oeko!DB341,Oeko!FO341)</f>
        <v>1</v>
      </c>
      <c r="AP341" s="1979">
        <f>IF(Construction!$F$31=Construction!$R$22,Oeko!DC341,Oeko!FP341)</f>
        <v>1</v>
      </c>
      <c r="AQ341" s="1979">
        <f>IF(Construction!$F$31=Construction!$R$22,Oeko!DD341,Oeko!FQ341)</f>
        <v>1</v>
      </c>
      <c r="AR341" s="1998">
        <f>IF(Construction!$F$31=Construction!$R$22,Oeko!DE341,Oeko!FR341)</f>
        <v>1</v>
      </c>
      <c r="AS341" s="1998">
        <f>IF(Construction!$F$31=Construction!$R$22,Oeko!DF341,Oeko!FS341)</f>
        <v>1</v>
      </c>
      <c r="AT341" s="1998">
        <f>IF(Construction!$F$31=Construction!$R$22,Oeko!DG341,Oeko!FT341)</f>
        <v>1</v>
      </c>
      <c r="AU341" s="1998">
        <f>IF(Construction!$F$31=Construction!$R$22,Oeko!DH341,Oeko!FU341)</f>
        <v>1</v>
      </c>
      <c r="AV341" s="1998">
        <f>IF(Construction!$F$31=Construction!$R$22,Oeko!DI341,Oeko!FV341)</f>
        <v>1</v>
      </c>
      <c r="AW341" s="1979">
        <f>IF(Construction!$F$31=Construction!$R$22,Oeko!DJ341,Oeko!FW341)</f>
        <v>1</v>
      </c>
      <c r="AX341" s="1979">
        <f>IF(Construction!$F$31=Construction!$R$22,Oeko!DK341,Oeko!FX341)</f>
        <v>1</v>
      </c>
      <c r="AY341" s="1979">
        <f>IF(Construction!$F$31=Construction!$R$22,Oeko!DL341,Oeko!FY341)</f>
        <v>1</v>
      </c>
      <c r="AZ341" s="1979">
        <f>IF(Construction!$F$31=Construction!$R$22,Oeko!DM341,Oeko!FZ341)</f>
        <v>1</v>
      </c>
      <c r="BA341" s="1979">
        <f>IF(Construction!$F$31=Construction!$R$22,Oeko!DN341,Oeko!GA341)</f>
        <v>1</v>
      </c>
      <c r="BB341" s="1998">
        <f>IF(Construction!$F$31=Construction!$R$22,Oeko!DO341,Oeko!GB341)</f>
        <v>1</v>
      </c>
      <c r="BC341" s="1998">
        <f>IF(Construction!$F$31=Construction!$R$22,Oeko!DP341,Oeko!GC341)</f>
        <v>1</v>
      </c>
      <c r="BD341" s="1998">
        <f>IF(Construction!$F$31=Construction!$R$22,Oeko!DQ341,Oeko!GD341)</f>
        <v>1</v>
      </c>
      <c r="BE341" s="1998">
        <f>IF(Construction!$F$31=Construction!$R$22,Oeko!DR341,Oeko!GE341)</f>
        <v>1</v>
      </c>
      <c r="BF341" s="1998">
        <f>IF(Construction!$F$31=Construction!$R$22,Oeko!DS341,Oeko!GF341)</f>
        <v>1</v>
      </c>
      <c r="BG341" s="1979">
        <f>IF(Construction!$F$31=Construction!$R$22,Oeko!DT341,Oeko!GG341)</f>
        <v>1</v>
      </c>
      <c r="BH341" s="1979">
        <f>IF(Construction!$F$31=Construction!$R$22,Oeko!DU341,Oeko!GH341)</f>
        <v>1</v>
      </c>
      <c r="BI341" s="1979">
        <f>IF(Construction!$F$31=Construction!$R$22,Oeko!DV341,Oeko!GI341)</f>
        <v>1</v>
      </c>
      <c r="BJ341" s="1979">
        <f>IF(Construction!$F$31=Construction!$R$22,Oeko!DW341,Oeko!GJ341)</f>
        <v>1</v>
      </c>
      <c r="BK341" s="2021">
        <f>IF(Construction!$F$31=Construction!$R$22,Oeko!DX341,Oeko!GK341)</f>
        <v>1</v>
      </c>
      <c r="BN341" s="2022"/>
      <c r="BO341" s="2">
        <v>35</v>
      </c>
      <c r="BP341" s="2" t="str">
        <f>$AF$14</f>
        <v/>
      </c>
      <c r="BQ341" s="1998">
        <v>1</v>
      </c>
      <c r="BR341" s="1998">
        <v>1</v>
      </c>
      <c r="BS341" s="1998">
        <v>1</v>
      </c>
      <c r="BT341" s="1998">
        <v>1</v>
      </c>
      <c r="BU341" s="1998">
        <v>1</v>
      </c>
      <c r="BV341" s="1979">
        <v>1</v>
      </c>
      <c r="BW341" s="1979">
        <v>1</v>
      </c>
      <c r="BX341" s="1979">
        <v>1</v>
      </c>
      <c r="BY341" s="1979">
        <v>1</v>
      </c>
      <c r="BZ341" s="1979">
        <v>1</v>
      </c>
      <c r="CA341" s="1998">
        <v>1</v>
      </c>
      <c r="CB341" s="1998">
        <v>1</v>
      </c>
      <c r="CC341" s="1998">
        <v>1</v>
      </c>
      <c r="CD341" s="1998">
        <v>1</v>
      </c>
      <c r="CE341" s="1998">
        <v>1</v>
      </c>
      <c r="CF341" s="1979">
        <v>1</v>
      </c>
      <c r="CG341" s="1979">
        <v>1</v>
      </c>
      <c r="CH341" s="1979">
        <v>1</v>
      </c>
      <c r="CI341" s="1979">
        <v>1</v>
      </c>
      <c r="CJ341" s="1979">
        <v>1</v>
      </c>
      <c r="CK341" s="1998">
        <v>1</v>
      </c>
      <c r="CL341" s="1998">
        <v>1</v>
      </c>
      <c r="CM341" s="1998">
        <v>1</v>
      </c>
      <c r="CN341" s="1998">
        <v>1</v>
      </c>
      <c r="CO341" s="1998">
        <v>1</v>
      </c>
      <c r="CP341" s="1979">
        <v>1</v>
      </c>
      <c r="CQ341" s="1979">
        <v>1</v>
      </c>
      <c r="CR341" s="1979">
        <v>1</v>
      </c>
      <c r="CS341" s="1979">
        <v>1</v>
      </c>
      <c r="CT341" s="1979">
        <v>1</v>
      </c>
      <c r="CU341" s="1998">
        <v>1</v>
      </c>
      <c r="CV341" s="1998">
        <v>1</v>
      </c>
      <c r="CW341" s="1998">
        <v>1</v>
      </c>
      <c r="CX341" s="1998">
        <v>1</v>
      </c>
      <c r="CY341" s="1998">
        <v>1</v>
      </c>
      <c r="CZ341" s="1979">
        <v>1</v>
      </c>
      <c r="DA341" s="1979">
        <v>1</v>
      </c>
      <c r="DB341" s="1979">
        <v>1</v>
      </c>
      <c r="DC341" s="1979">
        <v>1</v>
      </c>
      <c r="DD341" s="1979">
        <v>1</v>
      </c>
      <c r="DE341" s="1998">
        <v>1</v>
      </c>
      <c r="DF341" s="1998">
        <v>1</v>
      </c>
      <c r="DG341" s="1998">
        <v>1</v>
      </c>
      <c r="DH341" s="1998">
        <v>1</v>
      </c>
      <c r="DI341" s="1998">
        <v>1</v>
      </c>
      <c r="DJ341" s="1979">
        <v>1</v>
      </c>
      <c r="DK341" s="1979">
        <v>1</v>
      </c>
      <c r="DL341" s="1979">
        <v>1</v>
      </c>
      <c r="DM341" s="1979">
        <v>1</v>
      </c>
      <c r="DN341" s="1979">
        <v>1</v>
      </c>
      <c r="DO341" s="1998">
        <v>1</v>
      </c>
      <c r="DP341" s="1998">
        <v>1</v>
      </c>
      <c r="DQ341" s="1998">
        <v>1</v>
      </c>
      <c r="DR341" s="1998">
        <v>1</v>
      </c>
      <c r="DS341" s="1998">
        <v>1</v>
      </c>
      <c r="DT341" s="1979">
        <v>1</v>
      </c>
      <c r="DU341" s="1979">
        <v>1</v>
      </c>
      <c r="DV341" s="1979">
        <v>1</v>
      </c>
      <c r="DW341" s="1979">
        <v>1</v>
      </c>
      <c r="DX341" s="2021">
        <v>1</v>
      </c>
      <c r="EA341" s="2022"/>
      <c r="EB341" s="2">
        <v>35</v>
      </c>
      <c r="EC341" s="2" t="str">
        <f>$AF$14</f>
        <v/>
      </c>
      <c r="ED341" s="1998">
        <v>1.3605609674202821</v>
      </c>
      <c r="EE341" s="1998">
        <v>1.3605609674202821</v>
      </c>
      <c r="EF341" s="1998">
        <v>1.3605609674202821</v>
      </c>
      <c r="EG341" s="1998">
        <v>1.3605609674202821</v>
      </c>
      <c r="EH341" s="1998">
        <v>1.3605609674202821</v>
      </c>
      <c r="EI341" s="1979">
        <v>2.0966679740137137</v>
      </c>
      <c r="EJ341" s="1979">
        <v>2.0966679740137137</v>
      </c>
      <c r="EK341" s="1979">
        <v>2.0966679740137137</v>
      </c>
      <c r="EL341" s="1979">
        <v>2.0966679740137137</v>
      </c>
      <c r="EM341" s="1979">
        <v>2.0966679740137137</v>
      </c>
      <c r="EN341" s="1998">
        <v>1.4337071065592959</v>
      </c>
      <c r="EO341" s="1998">
        <v>1.4337071065592959</v>
      </c>
      <c r="EP341" s="1998">
        <v>1.4337071065592959</v>
      </c>
      <c r="EQ341" s="1998">
        <v>1.4337071065592959</v>
      </c>
      <c r="ER341" s="1998">
        <v>1.4337071065592959</v>
      </c>
      <c r="ES341" s="1979">
        <v>1.8379162318633464</v>
      </c>
      <c r="ET341" s="1979">
        <v>1.8379162318633464</v>
      </c>
      <c r="EU341" s="1979">
        <v>1.8379162318633464</v>
      </c>
      <c r="EV341" s="1979">
        <v>1.8379162318633464</v>
      </c>
      <c r="EW341" s="1979">
        <v>1.8379162318633464</v>
      </c>
      <c r="EX341" s="1998">
        <v>1.4662053104562123</v>
      </c>
      <c r="EY341" s="1998">
        <v>1.4662053104562123</v>
      </c>
      <c r="EZ341" s="1998">
        <v>1.4662053104562123</v>
      </c>
      <c r="FA341" s="1998">
        <v>1.4662053104562123</v>
      </c>
      <c r="FB341" s="1998">
        <v>1.4662053104562123</v>
      </c>
      <c r="FC341" s="1979">
        <v>1.6277744053108218</v>
      </c>
      <c r="FD341" s="1979">
        <v>1.6277744053108218</v>
      </c>
      <c r="FE341" s="1979">
        <v>1.6277744053108218</v>
      </c>
      <c r="FF341" s="1979">
        <v>1.6277744053108218</v>
      </c>
      <c r="FG341" s="1979">
        <v>1.6277744053108218</v>
      </c>
      <c r="FH341" s="1998">
        <v>2.3921927569513635</v>
      </c>
      <c r="FI341" s="1998">
        <v>2.3921927569513635</v>
      </c>
      <c r="FJ341" s="1998">
        <v>2.3921927569513635</v>
      </c>
      <c r="FK341" s="1998">
        <v>2.3921927569513635</v>
      </c>
      <c r="FL341" s="1998">
        <v>2.3921927569513635</v>
      </c>
      <c r="FM341" s="1979">
        <v>1.5115041757386145</v>
      </c>
      <c r="FN341" s="1979">
        <v>1.5115041757386145</v>
      </c>
      <c r="FO341" s="1979">
        <v>1.5115041757386145</v>
      </c>
      <c r="FP341" s="1979">
        <v>1.5115041757386145</v>
      </c>
      <c r="FQ341" s="1979">
        <v>1.5115041757386145</v>
      </c>
      <c r="FR341" s="1998">
        <v>8.1198212572277306</v>
      </c>
      <c r="FS341" s="1998">
        <v>8.1198212572277306</v>
      </c>
      <c r="FT341" s="1998">
        <v>8.1198212572277306</v>
      </c>
      <c r="FU341" s="1998">
        <v>8.1198212572277306</v>
      </c>
      <c r="FV341" s="1998">
        <v>8.1198212572277306</v>
      </c>
      <c r="FW341" s="1979">
        <v>8.4799072816005001</v>
      </c>
      <c r="FX341" s="1979">
        <v>8.4799072816005001</v>
      </c>
      <c r="FY341" s="1979">
        <v>8.4799072816005001</v>
      </c>
      <c r="FZ341" s="1979">
        <v>8.4799072816005001</v>
      </c>
      <c r="GA341" s="1979">
        <v>8.4799072816005001</v>
      </c>
      <c r="GB341" s="1998">
        <v>1.3861479372000356</v>
      </c>
      <c r="GC341" s="1998">
        <v>1.3861479372000356</v>
      </c>
      <c r="GD341" s="1998">
        <v>1.3861479372000356</v>
      </c>
      <c r="GE341" s="1998">
        <v>1.3861479372000356</v>
      </c>
      <c r="GF341" s="1998">
        <v>1.3861479372000356</v>
      </c>
      <c r="GG341" s="1979">
        <v>1.4313071575784038</v>
      </c>
      <c r="GH341" s="1979">
        <v>1.4313071575784038</v>
      </c>
      <c r="GI341" s="1979">
        <v>1.4313071575784038</v>
      </c>
      <c r="GJ341" s="1979">
        <v>1.4313071575784038</v>
      </c>
      <c r="GK341" s="2021">
        <v>1.4313071575784038</v>
      </c>
    </row>
    <row r="342" spans="1:193">
      <c r="A342" s="2020"/>
      <c r="B342" s="2">
        <v>36</v>
      </c>
      <c r="C342" s="2" t="str">
        <f>$AF$15</f>
        <v/>
      </c>
      <c r="D342" s="1998">
        <f>IF(Construction!$F$31=Construction!$R$22,Oeko!BQ342,Oeko!ED342)</f>
        <v>1</v>
      </c>
      <c r="E342" s="1998">
        <f>IF(Construction!$F$31=Construction!$R$22,Oeko!BR342,Oeko!EE342)</f>
        <v>1</v>
      </c>
      <c r="F342" s="1998">
        <f>IF(Construction!$F$31=Construction!$R$22,Oeko!BS342,Oeko!EF342)</f>
        <v>1</v>
      </c>
      <c r="G342" s="1998">
        <f>IF(Construction!$F$31=Construction!$R$22,Oeko!BT342,Oeko!EG342)</f>
        <v>1</v>
      </c>
      <c r="H342" s="1998">
        <f>IF(Construction!$F$31=Construction!$R$22,Oeko!BU342,Oeko!EH342)</f>
        <v>1</v>
      </c>
      <c r="I342" s="1979">
        <f>IF(Construction!$F$31=Construction!$R$22,Oeko!BV342,Oeko!EI342)</f>
        <v>1</v>
      </c>
      <c r="J342" s="1979">
        <f>IF(Construction!$F$31=Construction!$R$22,Oeko!BW342,Oeko!EJ342)</f>
        <v>1</v>
      </c>
      <c r="K342" s="1979">
        <f>IF(Construction!$F$31=Construction!$R$22,Oeko!BX342,Oeko!EK342)</f>
        <v>1</v>
      </c>
      <c r="L342" s="1979">
        <f>IF(Construction!$F$31=Construction!$R$22,Oeko!BY342,Oeko!EL342)</f>
        <v>1</v>
      </c>
      <c r="M342" s="1979">
        <f>IF(Construction!$F$31=Construction!$R$22,Oeko!BZ342,Oeko!EM342)</f>
        <v>1</v>
      </c>
      <c r="N342" s="1998">
        <f>IF(Construction!$F$31=Construction!$R$22,Oeko!CA342,Oeko!EN342)</f>
        <v>1</v>
      </c>
      <c r="O342" s="1998">
        <f>IF(Construction!$F$31=Construction!$R$22,Oeko!CB342,Oeko!EO342)</f>
        <v>1</v>
      </c>
      <c r="P342" s="1998">
        <f>IF(Construction!$F$31=Construction!$R$22,Oeko!CC342,Oeko!EP342)</f>
        <v>1</v>
      </c>
      <c r="Q342" s="1998">
        <f>IF(Construction!$F$31=Construction!$R$22,Oeko!CD342,Oeko!EQ342)</f>
        <v>1</v>
      </c>
      <c r="R342" s="1998">
        <f>IF(Construction!$F$31=Construction!$R$22,Oeko!CE342,Oeko!ER342)</f>
        <v>1</v>
      </c>
      <c r="S342" s="1979">
        <f>IF(Construction!$F$31=Construction!$R$22,Oeko!CF342,Oeko!ES342)</f>
        <v>1</v>
      </c>
      <c r="T342" s="1979">
        <f>IF(Construction!$F$31=Construction!$R$22,Oeko!CG342,Oeko!ET342)</f>
        <v>1</v>
      </c>
      <c r="U342" s="1979">
        <f>IF(Construction!$F$31=Construction!$R$22,Oeko!CH342,Oeko!EU342)</f>
        <v>1</v>
      </c>
      <c r="V342" s="1979">
        <f>IF(Construction!$F$31=Construction!$R$22,Oeko!CI342,Oeko!EV342)</f>
        <v>1</v>
      </c>
      <c r="W342" s="1979">
        <f>IF(Construction!$F$31=Construction!$R$22,Oeko!CJ342,Oeko!EW342)</f>
        <v>1</v>
      </c>
      <c r="X342" s="1998">
        <f>IF(Construction!$F$31=Construction!$R$22,Oeko!CK342,Oeko!EX342)</f>
        <v>1</v>
      </c>
      <c r="Y342" s="1998">
        <f>IF(Construction!$F$31=Construction!$R$22,Oeko!CL342,Oeko!EY342)</f>
        <v>1</v>
      </c>
      <c r="Z342" s="1998">
        <f>IF(Construction!$F$31=Construction!$R$22,Oeko!CM342,Oeko!EZ342)</f>
        <v>1</v>
      </c>
      <c r="AA342" s="1998">
        <f>IF(Construction!$F$31=Construction!$R$22,Oeko!CN342,Oeko!FA342)</f>
        <v>1</v>
      </c>
      <c r="AB342" s="1998">
        <f>IF(Construction!$F$31=Construction!$R$22,Oeko!CO342,Oeko!FB342)</f>
        <v>1</v>
      </c>
      <c r="AC342" s="1979">
        <f>IF(Construction!$F$31=Construction!$R$22,Oeko!CP342,Oeko!FC342)</f>
        <v>1</v>
      </c>
      <c r="AD342" s="1979">
        <f>IF(Construction!$F$31=Construction!$R$22,Oeko!CQ342,Oeko!FD342)</f>
        <v>1</v>
      </c>
      <c r="AE342" s="1979">
        <f>IF(Construction!$F$31=Construction!$R$22,Oeko!CR342,Oeko!FE342)</f>
        <v>1</v>
      </c>
      <c r="AF342" s="1979">
        <f>IF(Construction!$F$31=Construction!$R$22,Oeko!CS342,Oeko!FF342)</f>
        <v>1</v>
      </c>
      <c r="AG342" s="1979">
        <f>IF(Construction!$F$31=Construction!$R$22,Oeko!CT342,Oeko!FG342)</f>
        <v>1</v>
      </c>
      <c r="AH342" s="1998">
        <f>IF(Construction!$F$31=Construction!$R$22,Oeko!CU342,Oeko!FH342)</f>
        <v>1</v>
      </c>
      <c r="AI342" s="1998">
        <f>IF(Construction!$F$31=Construction!$R$22,Oeko!CV342,Oeko!FI342)</f>
        <v>1</v>
      </c>
      <c r="AJ342" s="1998">
        <f>IF(Construction!$F$31=Construction!$R$22,Oeko!CW342,Oeko!FJ342)</f>
        <v>1</v>
      </c>
      <c r="AK342" s="1998">
        <f>IF(Construction!$F$31=Construction!$R$22,Oeko!CX342,Oeko!FK342)</f>
        <v>1</v>
      </c>
      <c r="AL342" s="1998">
        <f>IF(Construction!$F$31=Construction!$R$22,Oeko!CY342,Oeko!FL342)</f>
        <v>1</v>
      </c>
      <c r="AM342" s="1979">
        <f>IF(Construction!$F$31=Construction!$R$22,Oeko!CZ342,Oeko!FM342)</f>
        <v>1</v>
      </c>
      <c r="AN342" s="1979">
        <f>IF(Construction!$F$31=Construction!$R$22,Oeko!DA342,Oeko!FN342)</f>
        <v>1</v>
      </c>
      <c r="AO342" s="1979">
        <f>IF(Construction!$F$31=Construction!$R$22,Oeko!DB342,Oeko!FO342)</f>
        <v>1</v>
      </c>
      <c r="AP342" s="1979">
        <f>IF(Construction!$F$31=Construction!$R$22,Oeko!DC342,Oeko!FP342)</f>
        <v>1</v>
      </c>
      <c r="AQ342" s="1979">
        <f>IF(Construction!$F$31=Construction!$R$22,Oeko!DD342,Oeko!FQ342)</f>
        <v>1</v>
      </c>
      <c r="AR342" s="1998">
        <f>IF(Construction!$F$31=Construction!$R$22,Oeko!DE342,Oeko!FR342)</f>
        <v>1</v>
      </c>
      <c r="AS342" s="1998">
        <f>IF(Construction!$F$31=Construction!$R$22,Oeko!DF342,Oeko!FS342)</f>
        <v>1</v>
      </c>
      <c r="AT342" s="1998">
        <f>IF(Construction!$F$31=Construction!$R$22,Oeko!DG342,Oeko!FT342)</f>
        <v>1</v>
      </c>
      <c r="AU342" s="1998">
        <f>IF(Construction!$F$31=Construction!$R$22,Oeko!DH342,Oeko!FU342)</f>
        <v>1</v>
      </c>
      <c r="AV342" s="1998">
        <f>IF(Construction!$F$31=Construction!$R$22,Oeko!DI342,Oeko!FV342)</f>
        <v>1</v>
      </c>
      <c r="AW342" s="1979">
        <f>IF(Construction!$F$31=Construction!$R$22,Oeko!DJ342,Oeko!FW342)</f>
        <v>1</v>
      </c>
      <c r="AX342" s="1979">
        <f>IF(Construction!$F$31=Construction!$R$22,Oeko!DK342,Oeko!FX342)</f>
        <v>1</v>
      </c>
      <c r="AY342" s="1979">
        <f>IF(Construction!$F$31=Construction!$R$22,Oeko!DL342,Oeko!FY342)</f>
        <v>1</v>
      </c>
      <c r="AZ342" s="1979">
        <f>IF(Construction!$F$31=Construction!$R$22,Oeko!DM342,Oeko!FZ342)</f>
        <v>1</v>
      </c>
      <c r="BA342" s="1979">
        <f>IF(Construction!$F$31=Construction!$R$22,Oeko!DN342,Oeko!GA342)</f>
        <v>1</v>
      </c>
      <c r="BB342" s="1998">
        <f>IF(Construction!$F$31=Construction!$R$22,Oeko!DO342,Oeko!GB342)</f>
        <v>1</v>
      </c>
      <c r="BC342" s="1998">
        <f>IF(Construction!$F$31=Construction!$R$22,Oeko!DP342,Oeko!GC342)</f>
        <v>1</v>
      </c>
      <c r="BD342" s="1998">
        <f>IF(Construction!$F$31=Construction!$R$22,Oeko!DQ342,Oeko!GD342)</f>
        <v>1</v>
      </c>
      <c r="BE342" s="1998">
        <f>IF(Construction!$F$31=Construction!$R$22,Oeko!DR342,Oeko!GE342)</f>
        <v>1</v>
      </c>
      <c r="BF342" s="1998">
        <f>IF(Construction!$F$31=Construction!$R$22,Oeko!DS342,Oeko!GF342)</f>
        <v>1</v>
      </c>
      <c r="BG342" s="1979">
        <f>IF(Construction!$F$31=Construction!$R$22,Oeko!DT342,Oeko!GG342)</f>
        <v>1</v>
      </c>
      <c r="BH342" s="1979">
        <f>IF(Construction!$F$31=Construction!$R$22,Oeko!DU342,Oeko!GH342)</f>
        <v>1</v>
      </c>
      <c r="BI342" s="1979">
        <f>IF(Construction!$F$31=Construction!$R$22,Oeko!DV342,Oeko!GI342)</f>
        <v>1</v>
      </c>
      <c r="BJ342" s="1979">
        <f>IF(Construction!$F$31=Construction!$R$22,Oeko!DW342,Oeko!GJ342)</f>
        <v>1</v>
      </c>
      <c r="BK342" s="2021">
        <f>IF(Construction!$F$31=Construction!$R$22,Oeko!DX342,Oeko!GK342)</f>
        <v>1</v>
      </c>
      <c r="BN342" s="2022"/>
      <c r="BO342" s="2">
        <v>36</v>
      </c>
      <c r="BP342" s="2" t="str">
        <f>$AF$15</f>
        <v/>
      </c>
      <c r="BQ342" s="1998">
        <v>1</v>
      </c>
      <c r="BR342" s="1998">
        <v>1</v>
      </c>
      <c r="BS342" s="1998">
        <v>1</v>
      </c>
      <c r="BT342" s="1998">
        <v>1</v>
      </c>
      <c r="BU342" s="1998">
        <v>1</v>
      </c>
      <c r="BV342" s="1979">
        <v>1</v>
      </c>
      <c r="BW342" s="1979">
        <v>1</v>
      </c>
      <c r="BX342" s="1979">
        <v>1</v>
      </c>
      <c r="BY342" s="1979">
        <v>1</v>
      </c>
      <c r="BZ342" s="1979">
        <v>1</v>
      </c>
      <c r="CA342" s="1998">
        <v>1</v>
      </c>
      <c r="CB342" s="1998">
        <v>1</v>
      </c>
      <c r="CC342" s="1998">
        <v>1</v>
      </c>
      <c r="CD342" s="1998">
        <v>1</v>
      </c>
      <c r="CE342" s="1998">
        <v>1</v>
      </c>
      <c r="CF342" s="1979">
        <v>1</v>
      </c>
      <c r="CG342" s="1979">
        <v>1</v>
      </c>
      <c r="CH342" s="1979">
        <v>1</v>
      </c>
      <c r="CI342" s="1979">
        <v>1</v>
      </c>
      <c r="CJ342" s="1979">
        <v>1</v>
      </c>
      <c r="CK342" s="1998">
        <v>1</v>
      </c>
      <c r="CL342" s="1998">
        <v>1</v>
      </c>
      <c r="CM342" s="1998">
        <v>1</v>
      </c>
      <c r="CN342" s="1998">
        <v>1</v>
      </c>
      <c r="CO342" s="1998">
        <v>1</v>
      </c>
      <c r="CP342" s="1979">
        <v>1</v>
      </c>
      <c r="CQ342" s="1979">
        <v>1</v>
      </c>
      <c r="CR342" s="1979">
        <v>1</v>
      </c>
      <c r="CS342" s="1979">
        <v>1</v>
      </c>
      <c r="CT342" s="1979">
        <v>1</v>
      </c>
      <c r="CU342" s="1998">
        <v>1</v>
      </c>
      <c r="CV342" s="1998">
        <v>1</v>
      </c>
      <c r="CW342" s="1998">
        <v>1</v>
      </c>
      <c r="CX342" s="1998">
        <v>1</v>
      </c>
      <c r="CY342" s="1998">
        <v>1</v>
      </c>
      <c r="CZ342" s="1979">
        <v>1</v>
      </c>
      <c r="DA342" s="1979">
        <v>1</v>
      </c>
      <c r="DB342" s="1979">
        <v>1</v>
      </c>
      <c r="DC342" s="1979">
        <v>1</v>
      </c>
      <c r="DD342" s="1979">
        <v>1</v>
      </c>
      <c r="DE342" s="1998">
        <v>1</v>
      </c>
      <c r="DF342" s="1998">
        <v>1</v>
      </c>
      <c r="DG342" s="1998">
        <v>1</v>
      </c>
      <c r="DH342" s="1998">
        <v>1</v>
      </c>
      <c r="DI342" s="1998">
        <v>1</v>
      </c>
      <c r="DJ342" s="1979">
        <v>1</v>
      </c>
      <c r="DK342" s="1979">
        <v>1</v>
      </c>
      <c r="DL342" s="1979">
        <v>1</v>
      </c>
      <c r="DM342" s="1979">
        <v>1</v>
      </c>
      <c r="DN342" s="1979">
        <v>1</v>
      </c>
      <c r="DO342" s="1998">
        <v>1</v>
      </c>
      <c r="DP342" s="1998">
        <v>1</v>
      </c>
      <c r="DQ342" s="1998">
        <v>1</v>
      </c>
      <c r="DR342" s="1998">
        <v>1</v>
      </c>
      <c r="DS342" s="1998">
        <v>1</v>
      </c>
      <c r="DT342" s="1979">
        <v>1</v>
      </c>
      <c r="DU342" s="1979">
        <v>1</v>
      </c>
      <c r="DV342" s="1979">
        <v>1</v>
      </c>
      <c r="DW342" s="1979">
        <v>1</v>
      </c>
      <c r="DX342" s="2021">
        <v>1</v>
      </c>
      <c r="EA342" s="2022"/>
      <c r="EB342" s="2">
        <v>36</v>
      </c>
      <c r="EC342" s="2" t="str">
        <f>$AF$15</f>
        <v/>
      </c>
      <c r="ED342" s="1998">
        <v>1.3605609674202821</v>
      </c>
      <c r="EE342" s="1998">
        <v>1.3605609674202821</v>
      </c>
      <c r="EF342" s="1998">
        <v>1.3605609674202821</v>
      </c>
      <c r="EG342" s="1998">
        <v>1.3605609674202821</v>
      </c>
      <c r="EH342" s="1998">
        <v>1.3605609674202821</v>
      </c>
      <c r="EI342" s="1979">
        <v>2.0966679740137137</v>
      </c>
      <c r="EJ342" s="1979">
        <v>2.0966679740137137</v>
      </c>
      <c r="EK342" s="1979">
        <v>2.0966679740137137</v>
      </c>
      <c r="EL342" s="1979">
        <v>2.0966679740137137</v>
      </c>
      <c r="EM342" s="1979">
        <v>2.0966679740137137</v>
      </c>
      <c r="EN342" s="1998">
        <v>1.4337071065592959</v>
      </c>
      <c r="EO342" s="1998">
        <v>1.4337071065592959</v>
      </c>
      <c r="EP342" s="1998">
        <v>1.4337071065592959</v>
      </c>
      <c r="EQ342" s="1998">
        <v>1.4337071065592959</v>
      </c>
      <c r="ER342" s="1998">
        <v>1.4337071065592959</v>
      </c>
      <c r="ES342" s="1979">
        <v>1.8379162318633464</v>
      </c>
      <c r="ET342" s="1979">
        <v>1.8379162318633464</v>
      </c>
      <c r="EU342" s="1979">
        <v>1.8379162318633464</v>
      </c>
      <c r="EV342" s="1979">
        <v>1.8379162318633464</v>
      </c>
      <c r="EW342" s="1979">
        <v>1.8379162318633464</v>
      </c>
      <c r="EX342" s="1998">
        <v>1.4662053104562123</v>
      </c>
      <c r="EY342" s="1998">
        <v>1.4662053104562123</v>
      </c>
      <c r="EZ342" s="1998">
        <v>1.4662053104562123</v>
      </c>
      <c r="FA342" s="1998">
        <v>1.4662053104562123</v>
      </c>
      <c r="FB342" s="1998">
        <v>1.4662053104562123</v>
      </c>
      <c r="FC342" s="1979">
        <v>1.6277744053108218</v>
      </c>
      <c r="FD342" s="1979">
        <v>1.6277744053108218</v>
      </c>
      <c r="FE342" s="1979">
        <v>1.6277744053108218</v>
      </c>
      <c r="FF342" s="1979">
        <v>1.6277744053108218</v>
      </c>
      <c r="FG342" s="1979">
        <v>1.6277744053108218</v>
      </c>
      <c r="FH342" s="1998">
        <v>2.3921927569513635</v>
      </c>
      <c r="FI342" s="1998">
        <v>2.3921927569513635</v>
      </c>
      <c r="FJ342" s="1998">
        <v>2.3921927569513635</v>
      </c>
      <c r="FK342" s="1998">
        <v>2.3921927569513635</v>
      </c>
      <c r="FL342" s="1998">
        <v>2.3921927569513635</v>
      </c>
      <c r="FM342" s="1979">
        <v>1.5115041757386145</v>
      </c>
      <c r="FN342" s="1979">
        <v>1.5115041757386145</v>
      </c>
      <c r="FO342" s="1979">
        <v>1.5115041757386145</v>
      </c>
      <c r="FP342" s="1979">
        <v>1.5115041757386145</v>
      </c>
      <c r="FQ342" s="1979">
        <v>1.5115041757386145</v>
      </c>
      <c r="FR342" s="1998">
        <v>8.1198212572277306</v>
      </c>
      <c r="FS342" s="1998">
        <v>8.1198212572277306</v>
      </c>
      <c r="FT342" s="1998">
        <v>8.1198212572277306</v>
      </c>
      <c r="FU342" s="1998">
        <v>8.1198212572277306</v>
      </c>
      <c r="FV342" s="1998">
        <v>8.1198212572277306</v>
      </c>
      <c r="FW342" s="1979">
        <v>8.4799072816005001</v>
      </c>
      <c r="FX342" s="1979">
        <v>8.4799072816005001</v>
      </c>
      <c r="FY342" s="1979">
        <v>8.4799072816005001</v>
      </c>
      <c r="FZ342" s="1979">
        <v>8.4799072816005001</v>
      </c>
      <c r="GA342" s="1979">
        <v>8.4799072816005001</v>
      </c>
      <c r="GB342" s="1998">
        <v>1.3861479372000356</v>
      </c>
      <c r="GC342" s="1998">
        <v>1.3861479372000356</v>
      </c>
      <c r="GD342" s="1998">
        <v>1.3861479372000356</v>
      </c>
      <c r="GE342" s="1998">
        <v>1.3861479372000356</v>
      </c>
      <c r="GF342" s="1998">
        <v>1.3861479372000356</v>
      </c>
      <c r="GG342" s="1979">
        <v>1.4313071575784038</v>
      </c>
      <c r="GH342" s="1979">
        <v>1.4313071575784038</v>
      </c>
      <c r="GI342" s="1979">
        <v>1.4313071575784038</v>
      </c>
      <c r="GJ342" s="1979">
        <v>1.4313071575784038</v>
      </c>
      <c r="GK342" s="2021">
        <v>1.4313071575784038</v>
      </c>
    </row>
    <row r="343" spans="1:193">
      <c r="A343" s="2020"/>
      <c r="B343" s="2">
        <v>37</v>
      </c>
      <c r="C343" s="2" t="str">
        <f>$AF$16</f>
        <v/>
      </c>
      <c r="D343" s="1998">
        <f>IF(Construction!$F$31=Construction!$R$22,Oeko!BQ343,Oeko!ED343)</f>
        <v>1</v>
      </c>
      <c r="E343" s="1998">
        <f>IF(Construction!$F$31=Construction!$R$22,Oeko!BR343,Oeko!EE343)</f>
        <v>1</v>
      </c>
      <c r="F343" s="1998">
        <f>IF(Construction!$F$31=Construction!$R$22,Oeko!BS343,Oeko!EF343)</f>
        <v>1</v>
      </c>
      <c r="G343" s="1998">
        <f>IF(Construction!$F$31=Construction!$R$22,Oeko!BT343,Oeko!EG343)</f>
        <v>1</v>
      </c>
      <c r="H343" s="1998">
        <f>IF(Construction!$F$31=Construction!$R$22,Oeko!BU343,Oeko!EH343)</f>
        <v>1</v>
      </c>
      <c r="I343" s="1979">
        <f>IF(Construction!$F$31=Construction!$R$22,Oeko!BV343,Oeko!EI343)</f>
        <v>1</v>
      </c>
      <c r="J343" s="1979">
        <f>IF(Construction!$F$31=Construction!$R$22,Oeko!BW343,Oeko!EJ343)</f>
        <v>1</v>
      </c>
      <c r="K343" s="1979">
        <f>IF(Construction!$F$31=Construction!$R$22,Oeko!BX343,Oeko!EK343)</f>
        <v>1</v>
      </c>
      <c r="L343" s="1979">
        <f>IF(Construction!$F$31=Construction!$R$22,Oeko!BY343,Oeko!EL343)</f>
        <v>1</v>
      </c>
      <c r="M343" s="1979">
        <f>IF(Construction!$F$31=Construction!$R$22,Oeko!BZ343,Oeko!EM343)</f>
        <v>1</v>
      </c>
      <c r="N343" s="1998">
        <f>IF(Construction!$F$31=Construction!$R$22,Oeko!CA343,Oeko!EN343)</f>
        <v>1</v>
      </c>
      <c r="O343" s="1998">
        <f>IF(Construction!$F$31=Construction!$R$22,Oeko!CB343,Oeko!EO343)</f>
        <v>1</v>
      </c>
      <c r="P343" s="1998">
        <f>IF(Construction!$F$31=Construction!$R$22,Oeko!CC343,Oeko!EP343)</f>
        <v>1</v>
      </c>
      <c r="Q343" s="1998">
        <f>IF(Construction!$F$31=Construction!$R$22,Oeko!CD343,Oeko!EQ343)</f>
        <v>1</v>
      </c>
      <c r="R343" s="1998">
        <f>IF(Construction!$F$31=Construction!$R$22,Oeko!CE343,Oeko!ER343)</f>
        <v>1</v>
      </c>
      <c r="S343" s="1979">
        <f>IF(Construction!$F$31=Construction!$R$22,Oeko!CF343,Oeko!ES343)</f>
        <v>1</v>
      </c>
      <c r="T343" s="1979">
        <f>IF(Construction!$F$31=Construction!$R$22,Oeko!CG343,Oeko!ET343)</f>
        <v>1</v>
      </c>
      <c r="U343" s="1979">
        <f>IF(Construction!$F$31=Construction!$R$22,Oeko!CH343,Oeko!EU343)</f>
        <v>1</v>
      </c>
      <c r="V343" s="1979">
        <f>IF(Construction!$F$31=Construction!$R$22,Oeko!CI343,Oeko!EV343)</f>
        <v>1</v>
      </c>
      <c r="W343" s="1979">
        <f>IF(Construction!$F$31=Construction!$R$22,Oeko!CJ343,Oeko!EW343)</f>
        <v>1</v>
      </c>
      <c r="X343" s="1998">
        <f>IF(Construction!$F$31=Construction!$R$22,Oeko!CK343,Oeko!EX343)</f>
        <v>1</v>
      </c>
      <c r="Y343" s="1998">
        <f>IF(Construction!$F$31=Construction!$R$22,Oeko!CL343,Oeko!EY343)</f>
        <v>1</v>
      </c>
      <c r="Z343" s="1998">
        <f>IF(Construction!$F$31=Construction!$R$22,Oeko!CM343,Oeko!EZ343)</f>
        <v>1</v>
      </c>
      <c r="AA343" s="1998">
        <f>IF(Construction!$F$31=Construction!$R$22,Oeko!CN343,Oeko!FA343)</f>
        <v>1</v>
      </c>
      <c r="AB343" s="1998">
        <f>IF(Construction!$F$31=Construction!$R$22,Oeko!CO343,Oeko!FB343)</f>
        <v>1</v>
      </c>
      <c r="AC343" s="1979">
        <f>IF(Construction!$F$31=Construction!$R$22,Oeko!CP343,Oeko!FC343)</f>
        <v>1</v>
      </c>
      <c r="AD343" s="1979">
        <f>IF(Construction!$F$31=Construction!$R$22,Oeko!CQ343,Oeko!FD343)</f>
        <v>1</v>
      </c>
      <c r="AE343" s="1979">
        <f>IF(Construction!$F$31=Construction!$R$22,Oeko!CR343,Oeko!FE343)</f>
        <v>1</v>
      </c>
      <c r="AF343" s="1979">
        <f>IF(Construction!$F$31=Construction!$R$22,Oeko!CS343,Oeko!FF343)</f>
        <v>1</v>
      </c>
      <c r="AG343" s="1979">
        <f>IF(Construction!$F$31=Construction!$R$22,Oeko!CT343,Oeko!FG343)</f>
        <v>1</v>
      </c>
      <c r="AH343" s="1998">
        <f>IF(Construction!$F$31=Construction!$R$22,Oeko!CU343,Oeko!FH343)</f>
        <v>1</v>
      </c>
      <c r="AI343" s="1998">
        <f>IF(Construction!$F$31=Construction!$R$22,Oeko!CV343,Oeko!FI343)</f>
        <v>1</v>
      </c>
      <c r="AJ343" s="1998">
        <f>IF(Construction!$F$31=Construction!$R$22,Oeko!CW343,Oeko!FJ343)</f>
        <v>1</v>
      </c>
      <c r="AK343" s="1998">
        <f>IF(Construction!$F$31=Construction!$R$22,Oeko!CX343,Oeko!FK343)</f>
        <v>1</v>
      </c>
      <c r="AL343" s="1998">
        <f>IF(Construction!$F$31=Construction!$R$22,Oeko!CY343,Oeko!FL343)</f>
        <v>1</v>
      </c>
      <c r="AM343" s="1979">
        <f>IF(Construction!$F$31=Construction!$R$22,Oeko!CZ343,Oeko!FM343)</f>
        <v>1</v>
      </c>
      <c r="AN343" s="1979">
        <f>IF(Construction!$F$31=Construction!$R$22,Oeko!DA343,Oeko!FN343)</f>
        <v>1</v>
      </c>
      <c r="AO343" s="1979">
        <f>IF(Construction!$F$31=Construction!$R$22,Oeko!DB343,Oeko!FO343)</f>
        <v>1</v>
      </c>
      <c r="AP343" s="1979">
        <f>IF(Construction!$F$31=Construction!$R$22,Oeko!DC343,Oeko!FP343)</f>
        <v>1</v>
      </c>
      <c r="AQ343" s="1979">
        <f>IF(Construction!$F$31=Construction!$R$22,Oeko!DD343,Oeko!FQ343)</f>
        <v>1</v>
      </c>
      <c r="AR343" s="1998">
        <f>IF(Construction!$F$31=Construction!$R$22,Oeko!DE343,Oeko!FR343)</f>
        <v>1</v>
      </c>
      <c r="AS343" s="1998">
        <f>IF(Construction!$F$31=Construction!$R$22,Oeko!DF343,Oeko!FS343)</f>
        <v>1</v>
      </c>
      <c r="AT343" s="1998">
        <f>IF(Construction!$F$31=Construction!$R$22,Oeko!DG343,Oeko!FT343)</f>
        <v>1</v>
      </c>
      <c r="AU343" s="1998">
        <f>IF(Construction!$F$31=Construction!$R$22,Oeko!DH343,Oeko!FU343)</f>
        <v>1</v>
      </c>
      <c r="AV343" s="1998">
        <f>IF(Construction!$F$31=Construction!$R$22,Oeko!DI343,Oeko!FV343)</f>
        <v>1</v>
      </c>
      <c r="AW343" s="1979">
        <f>IF(Construction!$F$31=Construction!$R$22,Oeko!DJ343,Oeko!FW343)</f>
        <v>1</v>
      </c>
      <c r="AX343" s="1979">
        <f>IF(Construction!$F$31=Construction!$R$22,Oeko!DK343,Oeko!FX343)</f>
        <v>1</v>
      </c>
      <c r="AY343" s="1979">
        <f>IF(Construction!$F$31=Construction!$R$22,Oeko!DL343,Oeko!FY343)</f>
        <v>1</v>
      </c>
      <c r="AZ343" s="1979">
        <f>IF(Construction!$F$31=Construction!$R$22,Oeko!DM343,Oeko!FZ343)</f>
        <v>1</v>
      </c>
      <c r="BA343" s="1979">
        <f>IF(Construction!$F$31=Construction!$R$22,Oeko!DN343,Oeko!GA343)</f>
        <v>1</v>
      </c>
      <c r="BB343" s="1998">
        <f>IF(Construction!$F$31=Construction!$R$22,Oeko!DO343,Oeko!GB343)</f>
        <v>1</v>
      </c>
      <c r="BC343" s="1998">
        <f>IF(Construction!$F$31=Construction!$R$22,Oeko!DP343,Oeko!GC343)</f>
        <v>1</v>
      </c>
      <c r="BD343" s="1998">
        <f>IF(Construction!$F$31=Construction!$R$22,Oeko!DQ343,Oeko!GD343)</f>
        <v>1</v>
      </c>
      <c r="BE343" s="1998">
        <f>IF(Construction!$F$31=Construction!$R$22,Oeko!DR343,Oeko!GE343)</f>
        <v>1</v>
      </c>
      <c r="BF343" s="1998">
        <f>IF(Construction!$F$31=Construction!$R$22,Oeko!DS343,Oeko!GF343)</f>
        <v>1</v>
      </c>
      <c r="BG343" s="1979">
        <f>IF(Construction!$F$31=Construction!$R$22,Oeko!DT343,Oeko!GG343)</f>
        <v>1</v>
      </c>
      <c r="BH343" s="1979">
        <f>IF(Construction!$F$31=Construction!$R$22,Oeko!DU343,Oeko!GH343)</f>
        <v>1</v>
      </c>
      <c r="BI343" s="1979">
        <f>IF(Construction!$F$31=Construction!$R$22,Oeko!DV343,Oeko!GI343)</f>
        <v>1</v>
      </c>
      <c r="BJ343" s="1979">
        <f>IF(Construction!$F$31=Construction!$R$22,Oeko!DW343,Oeko!GJ343)</f>
        <v>1</v>
      </c>
      <c r="BK343" s="2021">
        <f>IF(Construction!$F$31=Construction!$R$22,Oeko!DX343,Oeko!GK343)</f>
        <v>1</v>
      </c>
      <c r="BN343" s="2022"/>
      <c r="BO343" s="2">
        <v>37</v>
      </c>
      <c r="BP343" s="2" t="str">
        <f>$AF$16</f>
        <v/>
      </c>
      <c r="BQ343" s="1998">
        <v>1</v>
      </c>
      <c r="BR343" s="1998">
        <v>1</v>
      </c>
      <c r="BS343" s="1998">
        <v>1</v>
      </c>
      <c r="BT343" s="1998">
        <v>1</v>
      </c>
      <c r="BU343" s="1998">
        <v>1</v>
      </c>
      <c r="BV343" s="1979">
        <v>1</v>
      </c>
      <c r="BW343" s="1979">
        <v>1</v>
      </c>
      <c r="BX343" s="1979">
        <v>1</v>
      </c>
      <c r="BY343" s="1979">
        <v>1</v>
      </c>
      <c r="BZ343" s="1979">
        <v>1</v>
      </c>
      <c r="CA343" s="1998">
        <v>1</v>
      </c>
      <c r="CB343" s="1998">
        <v>1</v>
      </c>
      <c r="CC343" s="1998">
        <v>1</v>
      </c>
      <c r="CD343" s="1998">
        <v>1</v>
      </c>
      <c r="CE343" s="1998">
        <v>1</v>
      </c>
      <c r="CF343" s="1979">
        <v>1</v>
      </c>
      <c r="CG343" s="1979">
        <v>1</v>
      </c>
      <c r="CH343" s="1979">
        <v>1</v>
      </c>
      <c r="CI343" s="1979">
        <v>1</v>
      </c>
      <c r="CJ343" s="1979">
        <v>1</v>
      </c>
      <c r="CK343" s="1998">
        <v>1</v>
      </c>
      <c r="CL343" s="1998">
        <v>1</v>
      </c>
      <c r="CM343" s="1998">
        <v>1</v>
      </c>
      <c r="CN343" s="1998">
        <v>1</v>
      </c>
      <c r="CO343" s="1998">
        <v>1</v>
      </c>
      <c r="CP343" s="1979">
        <v>1</v>
      </c>
      <c r="CQ343" s="1979">
        <v>1</v>
      </c>
      <c r="CR343" s="1979">
        <v>1</v>
      </c>
      <c r="CS343" s="1979">
        <v>1</v>
      </c>
      <c r="CT343" s="1979">
        <v>1</v>
      </c>
      <c r="CU343" s="1998">
        <v>1</v>
      </c>
      <c r="CV343" s="1998">
        <v>1</v>
      </c>
      <c r="CW343" s="1998">
        <v>1</v>
      </c>
      <c r="CX343" s="1998">
        <v>1</v>
      </c>
      <c r="CY343" s="1998">
        <v>1</v>
      </c>
      <c r="CZ343" s="1979">
        <v>1</v>
      </c>
      <c r="DA343" s="1979">
        <v>1</v>
      </c>
      <c r="DB343" s="1979">
        <v>1</v>
      </c>
      <c r="DC343" s="1979">
        <v>1</v>
      </c>
      <c r="DD343" s="1979">
        <v>1</v>
      </c>
      <c r="DE343" s="1998">
        <v>1</v>
      </c>
      <c r="DF343" s="1998">
        <v>1</v>
      </c>
      <c r="DG343" s="1998">
        <v>1</v>
      </c>
      <c r="DH343" s="1998">
        <v>1</v>
      </c>
      <c r="DI343" s="1998">
        <v>1</v>
      </c>
      <c r="DJ343" s="1979">
        <v>1</v>
      </c>
      <c r="DK343" s="1979">
        <v>1</v>
      </c>
      <c r="DL343" s="1979">
        <v>1</v>
      </c>
      <c r="DM343" s="1979">
        <v>1</v>
      </c>
      <c r="DN343" s="1979">
        <v>1</v>
      </c>
      <c r="DO343" s="1998">
        <v>1</v>
      </c>
      <c r="DP343" s="1998">
        <v>1</v>
      </c>
      <c r="DQ343" s="1998">
        <v>1</v>
      </c>
      <c r="DR343" s="1998">
        <v>1</v>
      </c>
      <c r="DS343" s="1998">
        <v>1</v>
      </c>
      <c r="DT343" s="1979">
        <v>1</v>
      </c>
      <c r="DU343" s="1979">
        <v>1</v>
      </c>
      <c r="DV343" s="1979">
        <v>1</v>
      </c>
      <c r="DW343" s="1979">
        <v>1</v>
      </c>
      <c r="DX343" s="2021">
        <v>1</v>
      </c>
      <c r="EA343" s="2022"/>
      <c r="EB343" s="2">
        <v>37</v>
      </c>
      <c r="EC343" s="2" t="str">
        <f>$AF$16</f>
        <v/>
      </c>
      <c r="ED343" s="1998">
        <v>1.3605609674202821</v>
      </c>
      <c r="EE343" s="1998">
        <v>1.3605609674202821</v>
      </c>
      <c r="EF343" s="1998">
        <v>1.3605609674202821</v>
      </c>
      <c r="EG343" s="1998">
        <v>1.3605609674202821</v>
      </c>
      <c r="EH343" s="1998">
        <v>1.3605609674202821</v>
      </c>
      <c r="EI343" s="1979">
        <v>2.0966679740137137</v>
      </c>
      <c r="EJ343" s="1979">
        <v>2.0966679740137137</v>
      </c>
      <c r="EK343" s="1979">
        <v>2.0966679740137137</v>
      </c>
      <c r="EL343" s="1979">
        <v>2.0966679740137137</v>
      </c>
      <c r="EM343" s="1979">
        <v>2.0966679740137137</v>
      </c>
      <c r="EN343" s="1998">
        <v>1.4337071065592959</v>
      </c>
      <c r="EO343" s="1998">
        <v>1.4337071065592959</v>
      </c>
      <c r="EP343" s="1998">
        <v>1.4337071065592959</v>
      </c>
      <c r="EQ343" s="1998">
        <v>1.4337071065592959</v>
      </c>
      <c r="ER343" s="1998">
        <v>1.4337071065592959</v>
      </c>
      <c r="ES343" s="1979">
        <v>1.8379162318633464</v>
      </c>
      <c r="ET343" s="1979">
        <v>1.8379162318633464</v>
      </c>
      <c r="EU343" s="1979">
        <v>1.8379162318633464</v>
      </c>
      <c r="EV343" s="1979">
        <v>1.8379162318633464</v>
      </c>
      <c r="EW343" s="1979">
        <v>1.8379162318633464</v>
      </c>
      <c r="EX343" s="1998">
        <v>1.4662053104562123</v>
      </c>
      <c r="EY343" s="1998">
        <v>1.4662053104562123</v>
      </c>
      <c r="EZ343" s="1998">
        <v>1.4662053104562123</v>
      </c>
      <c r="FA343" s="1998">
        <v>1.4662053104562123</v>
      </c>
      <c r="FB343" s="1998">
        <v>1.4662053104562123</v>
      </c>
      <c r="FC343" s="1979">
        <v>1.6277744053108218</v>
      </c>
      <c r="FD343" s="1979">
        <v>1.6277744053108218</v>
      </c>
      <c r="FE343" s="1979">
        <v>1.6277744053108218</v>
      </c>
      <c r="FF343" s="1979">
        <v>1.6277744053108218</v>
      </c>
      <c r="FG343" s="1979">
        <v>1.6277744053108218</v>
      </c>
      <c r="FH343" s="1998">
        <v>2.3921927569513635</v>
      </c>
      <c r="FI343" s="1998">
        <v>2.3921927569513635</v>
      </c>
      <c r="FJ343" s="1998">
        <v>2.3921927569513635</v>
      </c>
      <c r="FK343" s="1998">
        <v>2.3921927569513635</v>
      </c>
      <c r="FL343" s="1998">
        <v>2.3921927569513635</v>
      </c>
      <c r="FM343" s="1979">
        <v>1.5115041757386145</v>
      </c>
      <c r="FN343" s="1979">
        <v>1.5115041757386145</v>
      </c>
      <c r="FO343" s="1979">
        <v>1.5115041757386145</v>
      </c>
      <c r="FP343" s="1979">
        <v>1.5115041757386145</v>
      </c>
      <c r="FQ343" s="1979">
        <v>1.5115041757386145</v>
      </c>
      <c r="FR343" s="1998">
        <v>8.1198212572277306</v>
      </c>
      <c r="FS343" s="1998">
        <v>8.1198212572277306</v>
      </c>
      <c r="FT343" s="1998">
        <v>8.1198212572277306</v>
      </c>
      <c r="FU343" s="1998">
        <v>8.1198212572277306</v>
      </c>
      <c r="FV343" s="1998">
        <v>8.1198212572277306</v>
      </c>
      <c r="FW343" s="1979">
        <v>8.4799072816005001</v>
      </c>
      <c r="FX343" s="1979">
        <v>8.4799072816005001</v>
      </c>
      <c r="FY343" s="1979">
        <v>8.4799072816005001</v>
      </c>
      <c r="FZ343" s="1979">
        <v>8.4799072816005001</v>
      </c>
      <c r="GA343" s="1979">
        <v>8.4799072816005001</v>
      </c>
      <c r="GB343" s="1998">
        <v>1.3861479372000356</v>
      </c>
      <c r="GC343" s="1998">
        <v>1.3861479372000356</v>
      </c>
      <c r="GD343" s="1998">
        <v>1.3861479372000356</v>
      </c>
      <c r="GE343" s="1998">
        <v>1.3861479372000356</v>
      </c>
      <c r="GF343" s="1998">
        <v>1.3861479372000356</v>
      </c>
      <c r="GG343" s="1979">
        <v>1.4313071575784038</v>
      </c>
      <c r="GH343" s="1979">
        <v>1.4313071575784038</v>
      </c>
      <c r="GI343" s="1979">
        <v>1.4313071575784038</v>
      </c>
      <c r="GJ343" s="1979">
        <v>1.4313071575784038</v>
      </c>
      <c r="GK343" s="2021">
        <v>1.4313071575784038</v>
      </c>
    </row>
    <row r="344" spans="1:193">
      <c r="A344" s="2020"/>
      <c r="B344" s="2">
        <v>38</v>
      </c>
      <c r="C344" s="2" t="str">
        <f>$AF$17</f>
        <v/>
      </c>
      <c r="D344" s="1998">
        <f>IF(Construction!$F$31=Construction!$R$22,Oeko!BQ344,Oeko!ED344)</f>
        <v>1</v>
      </c>
      <c r="E344" s="1998">
        <f>IF(Construction!$F$31=Construction!$R$22,Oeko!BR344,Oeko!EE344)</f>
        <v>1</v>
      </c>
      <c r="F344" s="1998">
        <f>IF(Construction!$F$31=Construction!$R$22,Oeko!BS344,Oeko!EF344)</f>
        <v>1</v>
      </c>
      <c r="G344" s="1998">
        <f>IF(Construction!$F$31=Construction!$R$22,Oeko!BT344,Oeko!EG344)</f>
        <v>1</v>
      </c>
      <c r="H344" s="1998">
        <f>IF(Construction!$F$31=Construction!$R$22,Oeko!BU344,Oeko!EH344)</f>
        <v>1</v>
      </c>
      <c r="I344" s="1979">
        <f>IF(Construction!$F$31=Construction!$R$22,Oeko!BV344,Oeko!EI344)</f>
        <v>1</v>
      </c>
      <c r="J344" s="1979">
        <f>IF(Construction!$F$31=Construction!$R$22,Oeko!BW344,Oeko!EJ344)</f>
        <v>1</v>
      </c>
      <c r="K344" s="1979">
        <f>IF(Construction!$F$31=Construction!$R$22,Oeko!BX344,Oeko!EK344)</f>
        <v>1</v>
      </c>
      <c r="L344" s="1979">
        <f>IF(Construction!$F$31=Construction!$R$22,Oeko!BY344,Oeko!EL344)</f>
        <v>1</v>
      </c>
      <c r="M344" s="1979">
        <f>IF(Construction!$F$31=Construction!$R$22,Oeko!BZ344,Oeko!EM344)</f>
        <v>1</v>
      </c>
      <c r="N344" s="1998">
        <f>IF(Construction!$F$31=Construction!$R$22,Oeko!CA344,Oeko!EN344)</f>
        <v>1</v>
      </c>
      <c r="O344" s="1998">
        <f>IF(Construction!$F$31=Construction!$R$22,Oeko!CB344,Oeko!EO344)</f>
        <v>1</v>
      </c>
      <c r="P344" s="1998">
        <f>IF(Construction!$F$31=Construction!$R$22,Oeko!CC344,Oeko!EP344)</f>
        <v>1</v>
      </c>
      <c r="Q344" s="1998">
        <f>IF(Construction!$F$31=Construction!$R$22,Oeko!CD344,Oeko!EQ344)</f>
        <v>1</v>
      </c>
      <c r="R344" s="1998">
        <f>IF(Construction!$F$31=Construction!$R$22,Oeko!CE344,Oeko!ER344)</f>
        <v>1</v>
      </c>
      <c r="S344" s="1979">
        <f>IF(Construction!$F$31=Construction!$R$22,Oeko!CF344,Oeko!ES344)</f>
        <v>1</v>
      </c>
      <c r="T344" s="1979">
        <f>IF(Construction!$F$31=Construction!$R$22,Oeko!CG344,Oeko!ET344)</f>
        <v>1</v>
      </c>
      <c r="U344" s="1979">
        <f>IF(Construction!$F$31=Construction!$R$22,Oeko!CH344,Oeko!EU344)</f>
        <v>1</v>
      </c>
      <c r="V344" s="1979">
        <f>IF(Construction!$F$31=Construction!$R$22,Oeko!CI344,Oeko!EV344)</f>
        <v>1</v>
      </c>
      <c r="W344" s="1979">
        <f>IF(Construction!$F$31=Construction!$R$22,Oeko!CJ344,Oeko!EW344)</f>
        <v>1</v>
      </c>
      <c r="X344" s="1998">
        <f>IF(Construction!$F$31=Construction!$R$22,Oeko!CK344,Oeko!EX344)</f>
        <v>1</v>
      </c>
      <c r="Y344" s="1998">
        <f>IF(Construction!$F$31=Construction!$R$22,Oeko!CL344,Oeko!EY344)</f>
        <v>1</v>
      </c>
      <c r="Z344" s="1998">
        <f>IF(Construction!$F$31=Construction!$R$22,Oeko!CM344,Oeko!EZ344)</f>
        <v>1</v>
      </c>
      <c r="AA344" s="1998">
        <f>IF(Construction!$F$31=Construction!$R$22,Oeko!CN344,Oeko!FA344)</f>
        <v>1</v>
      </c>
      <c r="AB344" s="1998">
        <f>IF(Construction!$F$31=Construction!$R$22,Oeko!CO344,Oeko!FB344)</f>
        <v>1</v>
      </c>
      <c r="AC344" s="1979">
        <f>IF(Construction!$F$31=Construction!$R$22,Oeko!CP344,Oeko!FC344)</f>
        <v>1</v>
      </c>
      <c r="AD344" s="1979">
        <f>IF(Construction!$F$31=Construction!$R$22,Oeko!CQ344,Oeko!FD344)</f>
        <v>1</v>
      </c>
      <c r="AE344" s="1979">
        <f>IF(Construction!$F$31=Construction!$R$22,Oeko!CR344,Oeko!FE344)</f>
        <v>1</v>
      </c>
      <c r="AF344" s="1979">
        <f>IF(Construction!$F$31=Construction!$R$22,Oeko!CS344,Oeko!FF344)</f>
        <v>1</v>
      </c>
      <c r="AG344" s="1979">
        <f>IF(Construction!$F$31=Construction!$R$22,Oeko!CT344,Oeko!FG344)</f>
        <v>1</v>
      </c>
      <c r="AH344" s="1998">
        <f>IF(Construction!$F$31=Construction!$R$22,Oeko!CU344,Oeko!FH344)</f>
        <v>1</v>
      </c>
      <c r="AI344" s="1998">
        <f>IF(Construction!$F$31=Construction!$R$22,Oeko!CV344,Oeko!FI344)</f>
        <v>1</v>
      </c>
      <c r="AJ344" s="1998">
        <f>IF(Construction!$F$31=Construction!$R$22,Oeko!CW344,Oeko!FJ344)</f>
        <v>1</v>
      </c>
      <c r="AK344" s="1998">
        <f>IF(Construction!$F$31=Construction!$R$22,Oeko!CX344,Oeko!FK344)</f>
        <v>1</v>
      </c>
      <c r="AL344" s="1998">
        <f>IF(Construction!$F$31=Construction!$R$22,Oeko!CY344,Oeko!FL344)</f>
        <v>1</v>
      </c>
      <c r="AM344" s="1979">
        <f>IF(Construction!$F$31=Construction!$R$22,Oeko!CZ344,Oeko!FM344)</f>
        <v>1</v>
      </c>
      <c r="AN344" s="1979">
        <f>IF(Construction!$F$31=Construction!$R$22,Oeko!DA344,Oeko!FN344)</f>
        <v>1</v>
      </c>
      <c r="AO344" s="1979">
        <f>IF(Construction!$F$31=Construction!$R$22,Oeko!DB344,Oeko!FO344)</f>
        <v>1</v>
      </c>
      <c r="AP344" s="1979">
        <f>IF(Construction!$F$31=Construction!$R$22,Oeko!DC344,Oeko!FP344)</f>
        <v>1</v>
      </c>
      <c r="AQ344" s="1979">
        <f>IF(Construction!$F$31=Construction!$R$22,Oeko!DD344,Oeko!FQ344)</f>
        <v>1</v>
      </c>
      <c r="AR344" s="1998">
        <f>IF(Construction!$F$31=Construction!$R$22,Oeko!DE344,Oeko!FR344)</f>
        <v>1</v>
      </c>
      <c r="AS344" s="1998">
        <f>IF(Construction!$F$31=Construction!$R$22,Oeko!DF344,Oeko!FS344)</f>
        <v>1</v>
      </c>
      <c r="AT344" s="1998">
        <f>IF(Construction!$F$31=Construction!$R$22,Oeko!DG344,Oeko!FT344)</f>
        <v>1</v>
      </c>
      <c r="AU344" s="1998">
        <f>IF(Construction!$F$31=Construction!$R$22,Oeko!DH344,Oeko!FU344)</f>
        <v>1</v>
      </c>
      <c r="AV344" s="1998">
        <f>IF(Construction!$F$31=Construction!$R$22,Oeko!DI344,Oeko!FV344)</f>
        <v>1</v>
      </c>
      <c r="AW344" s="1979">
        <f>IF(Construction!$F$31=Construction!$R$22,Oeko!DJ344,Oeko!FW344)</f>
        <v>1</v>
      </c>
      <c r="AX344" s="1979">
        <f>IF(Construction!$F$31=Construction!$R$22,Oeko!DK344,Oeko!FX344)</f>
        <v>1</v>
      </c>
      <c r="AY344" s="1979">
        <f>IF(Construction!$F$31=Construction!$R$22,Oeko!DL344,Oeko!FY344)</f>
        <v>1</v>
      </c>
      <c r="AZ344" s="1979">
        <f>IF(Construction!$F$31=Construction!$R$22,Oeko!DM344,Oeko!FZ344)</f>
        <v>1</v>
      </c>
      <c r="BA344" s="1979">
        <f>IF(Construction!$F$31=Construction!$R$22,Oeko!DN344,Oeko!GA344)</f>
        <v>1</v>
      </c>
      <c r="BB344" s="1998">
        <f>IF(Construction!$F$31=Construction!$R$22,Oeko!DO344,Oeko!GB344)</f>
        <v>1</v>
      </c>
      <c r="BC344" s="1998">
        <f>IF(Construction!$F$31=Construction!$R$22,Oeko!DP344,Oeko!GC344)</f>
        <v>1</v>
      </c>
      <c r="BD344" s="1998">
        <f>IF(Construction!$F$31=Construction!$R$22,Oeko!DQ344,Oeko!GD344)</f>
        <v>1</v>
      </c>
      <c r="BE344" s="1998">
        <f>IF(Construction!$F$31=Construction!$R$22,Oeko!DR344,Oeko!GE344)</f>
        <v>1</v>
      </c>
      <c r="BF344" s="1998">
        <f>IF(Construction!$F$31=Construction!$R$22,Oeko!DS344,Oeko!GF344)</f>
        <v>1</v>
      </c>
      <c r="BG344" s="1979">
        <f>IF(Construction!$F$31=Construction!$R$22,Oeko!DT344,Oeko!GG344)</f>
        <v>1</v>
      </c>
      <c r="BH344" s="1979">
        <f>IF(Construction!$F$31=Construction!$R$22,Oeko!DU344,Oeko!GH344)</f>
        <v>1</v>
      </c>
      <c r="BI344" s="1979">
        <f>IF(Construction!$F$31=Construction!$R$22,Oeko!DV344,Oeko!GI344)</f>
        <v>1</v>
      </c>
      <c r="BJ344" s="1979">
        <f>IF(Construction!$F$31=Construction!$R$22,Oeko!DW344,Oeko!GJ344)</f>
        <v>1</v>
      </c>
      <c r="BK344" s="2021">
        <f>IF(Construction!$F$31=Construction!$R$22,Oeko!DX344,Oeko!GK344)</f>
        <v>1</v>
      </c>
      <c r="BN344" s="2022"/>
      <c r="BO344" s="2">
        <v>38</v>
      </c>
      <c r="BP344" s="2" t="str">
        <f>$AF$17</f>
        <v/>
      </c>
      <c r="BQ344" s="1998">
        <v>1</v>
      </c>
      <c r="BR344" s="1998">
        <v>1</v>
      </c>
      <c r="BS344" s="1998">
        <v>1</v>
      </c>
      <c r="BT344" s="1998">
        <v>1</v>
      </c>
      <c r="BU344" s="1998">
        <v>1</v>
      </c>
      <c r="BV344" s="1979">
        <v>1</v>
      </c>
      <c r="BW344" s="1979">
        <v>1</v>
      </c>
      <c r="BX344" s="1979">
        <v>1</v>
      </c>
      <c r="BY344" s="1979">
        <v>1</v>
      </c>
      <c r="BZ344" s="1979">
        <v>1</v>
      </c>
      <c r="CA344" s="1998">
        <v>1</v>
      </c>
      <c r="CB344" s="1998">
        <v>1</v>
      </c>
      <c r="CC344" s="1998">
        <v>1</v>
      </c>
      <c r="CD344" s="1998">
        <v>1</v>
      </c>
      <c r="CE344" s="1998">
        <v>1</v>
      </c>
      <c r="CF344" s="1979">
        <v>1</v>
      </c>
      <c r="CG344" s="1979">
        <v>1</v>
      </c>
      <c r="CH344" s="1979">
        <v>1</v>
      </c>
      <c r="CI344" s="1979">
        <v>1</v>
      </c>
      <c r="CJ344" s="1979">
        <v>1</v>
      </c>
      <c r="CK344" s="1998">
        <v>1</v>
      </c>
      <c r="CL344" s="1998">
        <v>1</v>
      </c>
      <c r="CM344" s="1998">
        <v>1</v>
      </c>
      <c r="CN344" s="1998">
        <v>1</v>
      </c>
      <c r="CO344" s="1998">
        <v>1</v>
      </c>
      <c r="CP344" s="1979">
        <v>1</v>
      </c>
      <c r="CQ344" s="1979">
        <v>1</v>
      </c>
      <c r="CR344" s="1979">
        <v>1</v>
      </c>
      <c r="CS344" s="1979">
        <v>1</v>
      </c>
      <c r="CT344" s="1979">
        <v>1</v>
      </c>
      <c r="CU344" s="1998">
        <v>1</v>
      </c>
      <c r="CV344" s="1998">
        <v>1</v>
      </c>
      <c r="CW344" s="1998">
        <v>1</v>
      </c>
      <c r="CX344" s="1998">
        <v>1</v>
      </c>
      <c r="CY344" s="1998">
        <v>1</v>
      </c>
      <c r="CZ344" s="1979">
        <v>1</v>
      </c>
      <c r="DA344" s="1979">
        <v>1</v>
      </c>
      <c r="DB344" s="1979">
        <v>1</v>
      </c>
      <c r="DC344" s="1979">
        <v>1</v>
      </c>
      <c r="DD344" s="1979">
        <v>1</v>
      </c>
      <c r="DE344" s="1998">
        <v>1</v>
      </c>
      <c r="DF344" s="1998">
        <v>1</v>
      </c>
      <c r="DG344" s="1998">
        <v>1</v>
      </c>
      <c r="DH344" s="1998">
        <v>1</v>
      </c>
      <c r="DI344" s="1998">
        <v>1</v>
      </c>
      <c r="DJ344" s="1979">
        <v>1</v>
      </c>
      <c r="DK344" s="1979">
        <v>1</v>
      </c>
      <c r="DL344" s="1979">
        <v>1</v>
      </c>
      <c r="DM344" s="1979">
        <v>1</v>
      </c>
      <c r="DN344" s="1979">
        <v>1</v>
      </c>
      <c r="DO344" s="1998">
        <v>1</v>
      </c>
      <c r="DP344" s="1998">
        <v>1</v>
      </c>
      <c r="DQ344" s="1998">
        <v>1</v>
      </c>
      <c r="DR344" s="1998">
        <v>1</v>
      </c>
      <c r="DS344" s="1998">
        <v>1</v>
      </c>
      <c r="DT344" s="1979">
        <v>1</v>
      </c>
      <c r="DU344" s="1979">
        <v>1</v>
      </c>
      <c r="DV344" s="1979">
        <v>1</v>
      </c>
      <c r="DW344" s="1979">
        <v>1</v>
      </c>
      <c r="DX344" s="2021">
        <v>1</v>
      </c>
      <c r="EA344" s="2022"/>
      <c r="EB344" s="2">
        <v>38</v>
      </c>
      <c r="EC344" s="2" t="str">
        <f>$AF$17</f>
        <v/>
      </c>
      <c r="ED344" s="1998">
        <v>1.3605609674202821</v>
      </c>
      <c r="EE344" s="1998">
        <v>1.3605609674202821</v>
      </c>
      <c r="EF344" s="1998">
        <v>1.3605609674202821</v>
      </c>
      <c r="EG344" s="1998">
        <v>1.3605609674202821</v>
      </c>
      <c r="EH344" s="1998">
        <v>1.3605609674202821</v>
      </c>
      <c r="EI344" s="1979">
        <v>2.0966679740137137</v>
      </c>
      <c r="EJ344" s="1979">
        <v>2.0966679740137137</v>
      </c>
      <c r="EK344" s="1979">
        <v>2.0966679740137137</v>
      </c>
      <c r="EL344" s="1979">
        <v>2.0966679740137137</v>
      </c>
      <c r="EM344" s="1979">
        <v>2.0966679740137137</v>
      </c>
      <c r="EN344" s="1998">
        <v>1.4337071065592959</v>
      </c>
      <c r="EO344" s="1998">
        <v>1.4337071065592959</v>
      </c>
      <c r="EP344" s="1998">
        <v>1.4337071065592959</v>
      </c>
      <c r="EQ344" s="1998">
        <v>1.4337071065592959</v>
      </c>
      <c r="ER344" s="1998">
        <v>1.4337071065592959</v>
      </c>
      <c r="ES344" s="1979">
        <v>1.8379162318633464</v>
      </c>
      <c r="ET344" s="1979">
        <v>1.8379162318633464</v>
      </c>
      <c r="EU344" s="1979">
        <v>1.8379162318633464</v>
      </c>
      <c r="EV344" s="1979">
        <v>1.8379162318633464</v>
      </c>
      <c r="EW344" s="1979">
        <v>1.8379162318633464</v>
      </c>
      <c r="EX344" s="1998">
        <v>1.4662053104562123</v>
      </c>
      <c r="EY344" s="1998">
        <v>1.4662053104562123</v>
      </c>
      <c r="EZ344" s="1998">
        <v>1.4662053104562123</v>
      </c>
      <c r="FA344" s="1998">
        <v>1.4662053104562123</v>
      </c>
      <c r="FB344" s="1998">
        <v>1.4662053104562123</v>
      </c>
      <c r="FC344" s="1979">
        <v>1.6277744053108218</v>
      </c>
      <c r="FD344" s="1979">
        <v>1.6277744053108218</v>
      </c>
      <c r="FE344" s="1979">
        <v>1.6277744053108218</v>
      </c>
      <c r="FF344" s="1979">
        <v>1.6277744053108218</v>
      </c>
      <c r="FG344" s="1979">
        <v>1.6277744053108218</v>
      </c>
      <c r="FH344" s="1998">
        <v>2.3921927569513635</v>
      </c>
      <c r="FI344" s="1998">
        <v>2.3921927569513635</v>
      </c>
      <c r="FJ344" s="1998">
        <v>2.3921927569513635</v>
      </c>
      <c r="FK344" s="1998">
        <v>2.3921927569513635</v>
      </c>
      <c r="FL344" s="1998">
        <v>2.3921927569513635</v>
      </c>
      <c r="FM344" s="1979">
        <v>1.5115041757386145</v>
      </c>
      <c r="FN344" s="1979">
        <v>1.5115041757386145</v>
      </c>
      <c r="FO344" s="1979">
        <v>1.5115041757386145</v>
      </c>
      <c r="FP344" s="1979">
        <v>1.5115041757386145</v>
      </c>
      <c r="FQ344" s="1979">
        <v>1.5115041757386145</v>
      </c>
      <c r="FR344" s="1998">
        <v>8.1198212572277306</v>
      </c>
      <c r="FS344" s="1998">
        <v>8.1198212572277306</v>
      </c>
      <c r="FT344" s="1998">
        <v>8.1198212572277306</v>
      </c>
      <c r="FU344" s="1998">
        <v>8.1198212572277306</v>
      </c>
      <c r="FV344" s="1998">
        <v>8.1198212572277306</v>
      </c>
      <c r="FW344" s="1979">
        <v>8.4799072816005001</v>
      </c>
      <c r="FX344" s="1979">
        <v>8.4799072816005001</v>
      </c>
      <c r="FY344" s="1979">
        <v>8.4799072816005001</v>
      </c>
      <c r="FZ344" s="1979">
        <v>8.4799072816005001</v>
      </c>
      <c r="GA344" s="1979">
        <v>8.4799072816005001</v>
      </c>
      <c r="GB344" s="1998">
        <v>1.3861479372000356</v>
      </c>
      <c r="GC344" s="1998">
        <v>1.3861479372000356</v>
      </c>
      <c r="GD344" s="1998">
        <v>1.3861479372000356</v>
      </c>
      <c r="GE344" s="1998">
        <v>1.3861479372000356</v>
      </c>
      <c r="GF344" s="1998">
        <v>1.3861479372000356</v>
      </c>
      <c r="GG344" s="1979">
        <v>1.4313071575784038</v>
      </c>
      <c r="GH344" s="1979">
        <v>1.4313071575784038</v>
      </c>
      <c r="GI344" s="1979">
        <v>1.4313071575784038</v>
      </c>
      <c r="GJ344" s="1979">
        <v>1.4313071575784038</v>
      </c>
      <c r="GK344" s="2021">
        <v>1.4313071575784038</v>
      </c>
    </row>
    <row r="345" spans="1:193">
      <c r="A345" s="2020"/>
      <c r="B345" s="2">
        <v>39</v>
      </c>
      <c r="C345" s="2" t="str">
        <f>$AF$18</f>
        <v/>
      </c>
      <c r="D345" s="1998">
        <f>IF(Construction!$F$31=Construction!$R$22,Oeko!BQ345,Oeko!ED345)</f>
        <v>1</v>
      </c>
      <c r="E345" s="1998">
        <f>IF(Construction!$F$31=Construction!$R$22,Oeko!BR345,Oeko!EE345)</f>
        <v>1</v>
      </c>
      <c r="F345" s="1998">
        <f>IF(Construction!$F$31=Construction!$R$22,Oeko!BS345,Oeko!EF345)</f>
        <v>1</v>
      </c>
      <c r="G345" s="1998">
        <f>IF(Construction!$F$31=Construction!$R$22,Oeko!BT345,Oeko!EG345)</f>
        <v>1</v>
      </c>
      <c r="H345" s="1998">
        <f>IF(Construction!$F$31=Construction!$R$22,Oeko!BU345,Oeko!EH345)</f>
        <v>1</v>
      </c>
      <c r="I345" s="1979">
        <f>IF(Construction!$F$31=Construction!$R$22,Oeko!BV345,Oeko!EI345)</f>
        <v>1</v>
      </c>
      <c r="J345" s="1979">
        <f>IF(Construction!$F$31=Construction!$R$22,Oeko!BW345,Oeko!EJ345)</f>
        <v>1</v>
      </c>
      <c r="K345" s="1979">
        <f>IF(Construction!$F$31=Construction!$R$22,Oeko!BX345,Oeko!EK345)</f>
        <v>1</v>
      </c>
      <c r="L345" s="1979">
        <f>IF(Construction!$F$31=Construction!$R$22,Oeko!BY345,Oeko!EL345)</f>
        <v>1</v>
      </c>
      <c r="M345" s="1979">
        <f>IF(Construction!$F$31=Construction!$R$22,Oeko!BZ345,Oeko!EM345)</f>
        <v>1</v>
      </c>
      <c r="N345" s="1998">
        <f>IF(Construction!$F$31=Construction!$R$22,Oeko!CA345,Oeko!EN345)</f>
        <v>1</v>
      </c>
      <c r="O345" s="1998">
        <f>IF(Construction!$F$31=Construction!$R$22,Oeko!CB345,Oeko!EO345)</f>
        <v>1</v>
      </c>
      <c r="P345" s="1998">
        <f>IF(Construction!$F$31=Construction!$R$22,Oeko!CC345,Oeko!EP345)</f>
        <v>1</v>
      </c>
      <c r="Q345" s="1998">
        <f>IF(Construction!$F$31=Construction!$R$22,Oeko!CD345,Oeko!EQ345)</f>
        <v>1</v>
      </c>
      <c r="R345" s="1998">
        <f>IF(Construction!$F$31=Construction!$R$22,Oeko!CE345,Oeko!ER345)</f>
        <v>1</v>
      </c>
      <c r="S345" s="1979">
        <f>IF(Construction!$F$31=Construction!$R$22,Oeko!CF345,Oeko!ES345)</f>
        <v>1</v>
      </c>
      <c r="T345" s="1979">
        <f>IF(Construction!$F$31=Construction!$R$22,Oeko!CG345,Oeko!ET345)</f>
        <v>1</v>
      </c>
      <c r="U345" s="1979">
        <f>IF(Construction!$F$31=Construction!$R$22,Oeko!CH345,Oeko!EU345)</f>
        <v>1</v>
      </c>
      <c r="V345" s="1979">
        <f>IF(Construction!$F$31=Construction!$R$22,Oeko!CI345,Oeko!EV345)</f>
        <v>1</v>
      </c>
      <c r="W345" s="1979">
        <f>IF(Construction!$F$31=Construction!$R$22,Oeko!CJ345,Oeko!EW345)</f>
        <v>1</v>
      </c>
      <c r="X345" s="1998">
        <f>IF(Construction!$F$31=Construction!$R$22,Oeko!CK345,Oeko!EX345)</f>
        <v>1</v>
      </c>
      <c r="Y345" s="1998">
        <f>IF(Construction!$F$31=Construction!$R$22,Oeko!CL345,Oeko!EY345)</f>
        <v>1</v>
      </c>
      <c r="Z345" s="1998">
        <f>IF(Construction!$F$31=Construction!$R$22,Oeko!CM345,Oeko!EZ345)</f>
        <v>1</v>
      </c>
      <c r="AA345" s="1998">
        <f>IF(Construction!$F$31=Construction!$R$22,Oeko!CN345,Oeko!FA345)</f>
        <v>1</v>
      </c>
      <c r="AB345" s="1998">
        <f>IF(Construction!$F$31=Construction!$R$22,Oeko!CO345,Oeko!FB345)</f>
        <v>1</v>
      </c>
      <c r="AC345" s="1979">
        <f>IF(Construction!$F$31=Construction!$R$22,Oeko!CP345,Oeko!FC345)</f>
        <v>1</v>
      </c>
      <c r="AD345" s="1979">
        <f>IF(Construction!$F$31=Construction!$R$22,Oeko!CQ345,Oeko!FD345)</f>
        <v>1</v>
      </c>
      <c r="AE345" s="1979">
        <f>IF(Construction!$F$31=Construction!$R$22,Oeko!CR345,Oeko!FE345)</f>
        <v>1</v>
      </c>
      <c r="AF345" s="1979">
        <f>IF(Construction!$F$31=Construction!$R$22,Oeko!CS345,Oeko!FF345)</f>
        <v>1</v>
      </c>
      <c r="AG345" s="1979">
        <f>IF(Construction!$F$31=Construction!$R$22,Oeko!CT345,Oeko!FG345)</f>
        <v>1</v>
      </c>
      <c r="AH345" s="1998">
        <f>IF(Construction!$F$31=Construction!$R$22,Oeko!CU345,Oeko!FH345)</f>
        <v>1</v>
      </c>
      <c r="AI345" s="1998">
        <f>IF(Construction!$F$31=Construction!$R$22,Oeko!CV345,Oeko!FI345)</f>
        <v>1</v>
      </c>
      <c r="AJ345" s="1998">
        <f>IF(Construction!$F$31=Construction!$R$22,Oeko!CW345,Oeko!FJ345)</f>
        <v>1</v>
      </c>
      <c r="AK345" s="1998">
        <f>IF(Construction!$F$31=Construction!$R$22,Oeko!CX345,Oeko!FK345)</f>
        <v>1</v>
      </c>
      <c r="AL345" s="1998">
        <f>IF(Construction!$F$31=Construction!$R$22,Oeko!CY345,Oeko!FL345)</f>
        <v>1</v>
      </c>
      <c r="AM345" s="1979">
        <f>IF(Construction!$F$31=Construction!$R$22,Oeko!CZ345,Oeko!FM345)</f>
        <v>1</v>
      </c>
      <c r="AN345" s="1979">
        <f>IF(Construction!$F$31=Construction!$R$22,Oeko!DA345,Oeko!FN345)</f>
        <v>1</v>
      </c>
      <c r="AO345" s="1979">
        <f>IF(Construction!$F$31=Construction!$R$22,Oeko!DB345,Oeko!FO345)</f>
        <v>1</v>
      </c>
      <c r="AP345" s="1979">
        <f>IF(Construction!$F$31=Construction!$R$22,Oeko!DC345,Oeko!FP345)</f>
        <v>1</v>
      </c>
      <c r="AQ345" s="1979">
        <f>IF(Construction!$F$31=Construction!$R$22,Oeko!DD345,Oeko!FQ345)</f>
        <v>1</v>
      </c>
      <c r="AR345" s="1998">
        <f>IF(Construction!$F$31=Construction!$R$22,Oeko!DE345,Oeko!FR345)</f>
        <v>1</v>
      </c>
      <c r="AS345" s="1998">
        <f>IF(Construction!$F$31=Construction!$R$22,Oeko!DF345,Oeko!FS345)</f>
        <v>1</v>
      </c>
      <c r="AT345" s="1998">
        <f>IF(Construction!$F$31=Construction!$R$22,Oeko!DG345,Oeko!FT345)</f>
        <v>1</v>
      </c>
      <c r="AU345" s="1998">
        <f>IF(Construction!$F$31=Construction!$R$22,Oeko!DH345,Oeko!FU345)</f>
        <v>1</v>
      </c>
      <c r="AV345" s="1998">
        <f>IF(Construction!$F$31=Construction!$R$22,Oeko!DI345,Oeko!FV345)</f>
        <v>1</v>
      </c>
      <c r="AW345" s="1979">
        <f>IF(Construction!$F$31=Construction!$R$22,Oeko!DJ345,Oeko!FW345)</f>
        <v>1</v>
      </c>
      <c r="AX345" s="1979">
        <f>IF(Construction!$F$31=Construction!$R$22,Oeko!DK345,Oeko!FX345)</f>
        <v>1</v>
      </c>
      <c r="AY345" s="1979">
        <f>IF(Construction!$F$31=Construction!$R$22,Oeko!DL345,Oeko!FY345)</f>
        <v>1</v>
      </c>
      <c r="AZ345" s="1979">
        <f>IF(Construction!$F$31=Construction!$R$22,Oeko!DM345,Oeko!FZ345)</f>
        <v>1</v>
      </c>
      <c r="BA345" s="1979">
        <f>IF(Construction!$F$31=Construction!$R$22,Oeko!DN345,Oeko!GA345)</f>
        <v>1</v>
      </c>
      <c r="BB345" s="1998">
        <f>IF(Construction!$F$31=Construction!$R$22,Oeko!DO345,Oeko!GB345)</f>
        <v>1</v>
      </c>
      <c r="BC345" s="1998">
        <f>IF(Construction!$F$31=Construction!$R$22,Oeko!DP345,Oeko!GC345)</f>
        <v>1</v>
      </c>
      <c r="BD345" s="1998">
        <f>IF(Construction!$F$31=Construction!$R$22,Oeko!DQ345,Oeko!GD345)</f>
        <v>1</v>
      </c>
      <c r="BE345" s="1998">
        <f>IF(Construction!$F$31=Construction!$R$22,Oeko!DR345,Oeko!GE345)</f>
        <v>1</v>
      </c>
      <c r="BF345" s="1998">
        <f>IF(Construction!$F$31=Construction!$R$22,Oeko!DS345,Oeko!GF345)</f>
        <v>1</v>
      </c>
      <c r="BG345" s="1979">
        <f>IF(Construction!$F$31=Construction!$R$22,Oeko!DT345,Oeko!GG345)</f>
        <v>1</v>
      </c>
      <c r="BH345" s="1979">
        <f>IF(Construction!$F$31=Construction!$R$22,Oeko!DU345,Oeko!GH345)</f>
        <v>1</v>
      </c>
      <c r="BI345" s="1979">
        <f>IF(Construction!$F$31=Construction!$R$22,Oeko!DV345,Oeko!GI345)</f>
        <v>1</v>
      </c>
      <c r="BJ345" s="1979">
        <f>IF(Construction!$F$31=Construction!$R$22,Oeko!DW345,Oeko!GJ345)</f>
        <v>1</v>
      </c>
      <c r="BK345" s="2021">
        <f>IF(Construction!$F$31=Construction!$R$22,Oeko!DX345,Oeko!GK345)</f>
        <v>1</v>
      </c>
      <c r="BN345" s="2022"/>
      <c r="BO345" s="2">
        <v>39</v>
      </c>
      <c r="BP345" s="2" t="str">
        <f>$AF$18</f>
        <v/>
      </c>
      <c r="BQ345" s="1998">
        <v>1</v>
      </c>
      <c r="BR345" s="1998">
        <v>1</v>
      </c>
      <c r="BS345" s="1998">
        <v>1</v>
      </c>
      <c r="BT345" s="1998">
        <v>1</v>
      </c>
      <c r="BU345" s="1998">
        <v>1</v>
      </c>
      <c r="BV345" s="1979">
        <v>1</v>
      </c>
      <c r="BW345" s="1979">
        <v>1</v>
      </c>
      <c r="BX345" s="1979">
        <v>1</v>
      </c>
      <c r="BY345" s="1979">
        <v>1</v>
      </c>
      <c r="BZ345" s="1979">
        <v>1</v>
      </c>
      <c r="CA345" s="1998">
        <v>1</v>
      </c>
      <c r="CB345" s="1998">
        <v>1</v>
      </c>
      <c r="CC345" s="1998">
        <v>1</v>
      </c>
      <c r="CD345" s="1998">
        <v>1</v>
      </c>
      <c r="CE345" s="1998">
        <v>1</v>
      </c>
      <c r="CF345" s="1979">
        <v>1</v>
      </c>
      <c r="CG345" s="1979">
        <v>1</v>
      </c>
      <c r="CH345" s="1979">
        <v>1</v>
      </c>
      <c r="CI345" s="1979">
        <v>1</v>
      </c>
      <c r="CJ345" s="1979">
        <v>1</v>
      </c>
      <c r="CK345" s="1998">
        <v>1</v>
      </c>
      <c r="CL345" s="1998">
        <v>1</v>
      </c>
      <c r="CM345" s="1998">
        <v>1</v>
      </c>
      <c r="CN345" s="1998">
        <v>1</v>
      </c>
      <c r="CO345" s="1998">
        <v>1</v>
      </c>
      <c r="CP345" s="1979">
        <v>1</v>
      </c>
      <c r="CQ345" s="1979">
        <v>1</v>
      </c>
      <c r="CR345" s="1979">
        <v>1</v>
      </c>
      <c r="CS345" s="1979">
        <v>1</v>
      </c>
      <c r="CT345" s="1979">
        <v>1</v>
      </c>
      <c r="CU345" s="1998">
        <v>1</v>
      </c>
      <c r="CV345" s="1998">
        <v>1</v>
      </c>
      <c r="CW345" s="1998">
        <v>1</v>
      </c>
      <c r="CX345" s="1998">
        <v>1</v>
      </c>
      <c r="CY345" s="1998">
        <v>1</v>
      </c>
      <c r="CZ345" s="1979">
        <v>1</v>
      </c>
      <c r="DA345" s="1979">
        <v>1</v>
      </c>
      <c r="DB345" s="1979">
        <v>1</v>
      </c>
      <c r="DC345" s="1979">
        <v>1</v>
      </c>
      <c r="DD345" s="1979">
        <v>1</v>
      </c>
      <c r="DE345" s="1998">
        <v>1</v>
      </c>
      <c r="DF345" s="1998">
        <v>1</v>
      </c>
      <c r="DG345" s="1998">
        <v>1</v>
      </c>
      <c r="DH345" s="1998">
        <v>1</v>
      </c>
      <c r="DI345" s="1998">
        <v>1</v>
      </c>
      <c r="DJ345" s="1979">
        <v>1</v>
      </c>
      <c r="DK345" s="1979">
        <v>1</v>
      </c>
      <c r="DL345" s="1979">
        <v>1</v>
      </c>
      <c r="DM345" s="1979">
        <v>1</v>
      </c>
      <c r="DN345" s="1979">
        <v>1</v>
      </c>
      <c r="DO345" s="1998">
        <v>1</v>
      </c>
      <c r="DP345" s="1998">
        <v>1</v>
      </c>
      <c r="DQ345" s="1998">
        <v>1</v>
      </c>
      <c r="DR345" s="1998">
        <v>1</v>
      </c>
      <c r="DS345" s="1998">
        <v>1</v>
      </c>
      <c r="DT345" s="1979">
        <v>1</v>
      </c>
      <c r="DU345" s="1979">
        <v>1</v>
      </c>
      <c r="DV345" s="1979">
        <v>1</v>
      </c>
      <c r="DW345" s="1979">
        <v>1</v>
      </c>
      <c r="DX345" s="2021">
        <v>1</v>
      </c>
      <c r="EA345" s="2022"/>
      <c r="EB345" s="2">
        <v>39</v>
      </c>
      <c r="EC345" s="2" t="str">
        <f>$AF$18</f>
        <v/>
      </c>
      <c r="ED345" s="1998">
        <v>1.3605609674202821</v>
      </c>
      <c r="EE345" s="1998">
        <v>1.3605609674202821</v>
      </c>
      <c r="EF345" s="1998">
        <v>1.3605609674202821</v>
      </c>
      <c r="EG345" s="1998">
        <v>1.3605609674202821</v>
      </c>
      <c r="EH345" s="1998">
        <v>1.3605609674202821</v>
      </c>
      <c r="EI345" s="1979">
        <v>2.0966679740137137</v>
      </c>
      <c r="EJ345" s="1979">
        <v>2.0966679740137137</v>
      </c>
      <c r="EK345" s="1979">
        <v>2.0966679740137137</v>
      </c>
      <c r="EL345" s="1979">
        <v>2.0966679740137137</v>
      </c>
      <c r="EM345" s="1979">
        <v>2.0966679740137137</v>
      </c>
      <c r="EN345" s="1998">
        <v>1.4337071065592959</v>
      </c>
      <c r="EO345" s="1998">
        <v>1.4337071065592959</v>
      </c>
      <c r="EP345" s="1998">
        <v>1.4337071065592959</v>
      </c>
      <c r="EQ345" s="1998">
        <v>1.4337071065592959</v>
      </c>
      <c r="ER345" s="1998">
        <v>1.4337071065592959</v>
      </c>
      <c r="ES345" s="1979">
        <v>1.8379162318633464</v>
      </c>
      <c r="ET345" s="1979">
        <v>1.8379162318633464</v>
      </c>
      <c r="EU345" s="1979">
        <v>1.8379162318633464</v>
      </c>
      <c r="EV345" s="1979">
        <v>1.8379162318633464</v>
      </c>
      <c r="EW345" s="1979">
        <v>1.8379162318633464</v>
      </c>
      <c r="EX345" s="1998">
        <v>1.4662053104562123</v>
      </c>
      <c r="EY345" s="1998">
        <v>1.4662053104562123</v>
      </c>
      <c r="EZ345" s="1998">
        <v>1.4662053104562123</v>
      </c>
      <c r="FA345" s="1998">
        <v>1.4662053104562123</v>
      </c>
      <c r="FB345" s="1998">
        <v>1.4662053104562123</v>
      </c>
      <c r="FC345" s="1979">
        <v>1.6277744053108218</v>
      </c>
      <c r="FD345" s="1979">
        <v>1.6277744053108218</v>
      </c>
      <c r="FE345" s="1979">
        <v>1.6277744053108218</v>
      </c>
      <c r="FF345" s="1979">
        <v>1.6277744053108218</v>
      </c>
      <c r="FG345" s="1979">
        <v>1.6277744053108218</v>
      </c>
      <c r="FH345" s="1998">
        <v>2.3921927569513635</v>
      </c>
      <c r="FI345" s="1998">
        <v>2.3921927569513635</v>
      </c>
      <c r="FJ345" s="1998">
        <v>2.3921927569513635</v>
      </c>
      <c r="FK345" s="1998">
        <v>2.3921927569513635</v>
      </c>
      <c r="FL345" s="1998">
        <v>2.3921927569513635</v>
      </c>
      <c r="FM345" s="1979">
        <v>1.5115041757386145</v>
      </c>
      <c r="FN345" s="1979">
        <v>1.5115041757386145</v>
      </c>
      <c r="FO345" s="1979">
        <v>1.5115041757386145</v>
      </c>
      <c r="FP345" s="1979">
        <v>1.5115041757386145</v>
      </c>
      <c r="FQ345" s="1979">
        <v>1.5115041757386145</v>
      </c>
      <c r="FR345" s="1998">
        <v>8.1198212572277306</v>
      </c>
      <c r="FS345" s="1998">
        <v>8.1198212572277306</v>
      </c>
      <c r="FT345" s="1998">
        <v>8.1198212572277306</v>
      </c>
      <c r="FU345" s="1998">
        <v>8.1198212572277306</v>
      </c>
      <c r="FV345" s="1998">
        <v>8.1198212572277306</v>
      </c>
      <c r="FW345" s="1979">
        <v>8.4799072816005001</v>
      </c>
      <c r="FX345" s="1979">
        <v>8.4799072816005001</v>
      </c>
      <c r="FY345" s="1979">
        <v>8.4799072816005001</v>
      </c>
      <c r="FZ345" s="1979">
        <v>8.4799072816005001</v>
      </c>
      <c r="GA345" s="1979">
        <v>8.4799072816005001</v>
      </c>
      <c r="GB345" s="1998">
        <v>1.3861479372000356</v>
      </c>
      <c r="GC345" s="1998">
        <v>1.3861479372000356</v>
      </c>
      <c r="GD345" s="1998">
        <v>1.3861479372000356</v>
      </c>
      <c r="GE345" s="1998">
        <v>1.3861479372000356</v>
      </c>
      <c r="GF345" s="1998">
        <v>1.3861479372000356</v>
      </c>
      <c r="GG345" s="1979">
        <v>1.4313071575784038</v>
      </c>
      <c r="GH345" s="1979">
        <v>1.4313071575784038</v>
      </c>
      <c r="GI345" s="1979">
        <v>1.4313071575784038</v>
      </c>
      <c r="GJ345" s="1979">
        <v>1.4313071575784038</v>
      </c>
      <c r="GK345" s="2021">
        <v>1.4313071575784038</v>
      </c>
    </row>
    <row r="346" spans="1:193">
      <c r="A346" s="2023" t="str">
        <f>Uebersetzung!$D631</f>
        <v>Contruction massive légère</v>
      </c>
      <c r="B346" s="2">
        <v>1</v>
      </c>
      <c r="C346" s="2" t="s">
        <v>4327</v>
      </c>
      <c r="D346" s="2002">
        <f>IF(Construction!$F$31=Construction!$R$22,Oeko!BQ346,Oeko!ED346)</f>
        <v>1.09375</v>
      </c>
      <c r="E346" s="2002">
        <f>IF(Construction!$F$31=Construction!$R$22,Oeko!BR346,Oeko!EE346)</f>
        <v>1.09375</v>
      </c>
      <c r="F346" s="2002">
        <f>IF(Construction!$F$31=Construction!$R$22,Oeko!BS346,Oeko!EF346)</f>
        <v>1.09375</v>
      </c>
      <c r="G346" s="2002">
        <f>IF(Construction!$F$31=Construction!$R$22,Oeko!BT346,Oeko!EG346)</f>
        <v>1.09375</v>
      </c>
      <c r="H346" s="2002">
        <f>IF(Construction!$F$31=Construction!$R$22,Oeko!BU346,Oeko!EH346)</f>
        <v>1.09375</v>
      </c>
      <c r="I346" s="2004">
        <f>IF(Construction!$F$31=Construction!$R$22,Oeko!BV346,Oeko!EI346)</f>
        <v>1.5999999999999999</v>
      </c>
      <c r="J346" s="2004">
        <f>IF(Construction!$F$31=Construction!$R$22,Oeko!BW346,Oeko!EJ346)</f>
        <v>1.5999999999999999</v>
      </c>
      <c r="K346" s="2004">
        <f>IF(Construction!$F$31=Construction!$R$22,Oeko!BX346,Oeko!EK346)</f>
        <v>1.5999999999999999</v>
      </c>
      <c r="L346" s="2004">
        <f>IF(Construction!$F$31=Construction!$R$22,Oeko!BY346,Oeko!EL346)</f>
        <v>1.5999999999999999</v>
      </c>
      <c r="M346" s="2004">
        <f>IF(Construction!$F$31=Construction!$R$22,Oeko!BZ346,Oeko!EM346)</f>
        <v>1.5999999999999999</v>
      </c>
      <c r="N346" s="2002">
        <f>IF(Construction!$F$31=Construction!$R$22,Oeko!CA346,Oeko!EN346)</f>
        <v>1.0389610389610389</v>
      </c>
      <c r="O346" s="2002">
        <f>IF(Construction!$F$31=Construction!$R$22,Oeko!CB346,Oeko!EO346)</f>
        <v>1.0389610389610389</v>
      </c>
      <c r="P346" s="2002">
        <f>IF(Construction!$F$31=Construction!$R$22,Oeko!CC346,Oeko!EP346)</f>
        <v>1.0389610389610389</v>
      </c>
      <c r="Q346" s="2002">
        <f>IF(Construction!$F$31=Construction!$R$22,Oeko!CD346,Oeko!EQ346)</f>
        <v>1.0389610389610389</v>
      </c>
      <c r="R346" s="2002">
        <f>IF(Construction!$F$31=Construction!$R$22,Oeko!CE346,Oeko!ER346)</f>
        <v>1.0389610389610389</v>
      </c>
      <c r="S346" s="2004">
        <f>IF(Construction!$F$31=Construction!$R$22,Oeko!CF346,Oeko!ES346)</f>
        <v>1.3500000000000003</v>
      </c>
      <c r="T346" s="2004">
        <f>IF(Construction!$F$31=Construction!$R$22,Oeko!CG346,Oeko!ET346)</f>
        <v>1.3500000000000003</v>
      </c>
      <c r="U346" s="2004">
        <f>IF(Construction!$F$31=Construction!$R$22,Oeko!CH346,Oeko!EU346)</f>
        <v>1.3500000000000003</v>
      </c>
      <c r="V346" s="2004">
        <f>IF(Construction!$F$31=Construction!$R$22,Oeko!CI346,Oeko!EV346)</f>
        <v>1.3500000000000003</v>
      </c>
      <c r="W346" s="2004">
        <f>IF(Construction!$F$31=Construction!$R$22,Oeko!CJ346,Oeko!EW346)</f>
        <v>1.3500000000000003</v>
      </c>
      <c r="X346" s="2002">
        <f>IF(Construction!$F$31=Construction!$R$22,Oeko!CK346,Oeko!EX346)</f>
        <v>1.0285714285714285</v>
      </c>
      <c r="Y346" s="2002">
        <f>IF(Construction!$F$31=Construction!$R$22,Oeko!CL346,Oeko!EY346)</f>
        <v>1.0285714285714285</v>
      </c>
      <c r="Z346" s="2002">
        <f>IF(Construction!$F$31=Construction!$R$22,Oeko!CM346,Oeko!EZ346)</f>
        <v>1.0285714285714285</v>
      </c>
      <c r="AA346" s="2002">
        <f>IF(Construction!$F$31=Construction!$R$22,Oeko!CN346,Oeko!FA346)</f>
        <v>1.0285714285714285</v>
      </c>
      <c r="AB346" s="2002">
        <f>IF(Construction!$F$31=Construction!$R$22,Oeko!CO346,Oeko!FB346)</f>
        <v>1.0285714285714285</v>
      </c>
      <c r="AC346" s="2004">
        <f>IF(Construction!$F$31=Construction!$R$22,Oeko!CP346,Oeko!FC346)</f>
        <v>1.0000000000000002</v>
      </c>
      <c r="AD346" s="2004">
        <f>IF(Construction!$F$31=Construction!$R$22,Oeko!CQ346,Oeko!FD346)</f>
        <v>1.0000000000000002</v>
      </c>
      <c r="AE346" s="2004">
        <f>IF(Construction!$F$31=Construction!$R$22,Oeko!CR346,Oeko!FE346)</f>
        <v>1.0000000000000002</v>
      </c>
      <c r="AF346" s="2004">
        <f>IF(Construction!$F$31=Construction!$R$22,Oeko!CS346,Oeko!FF346)</f>
        <v>1.0000000000000002</v>
      </c>
      <c r="AG346" s="2004">
        <f>IF(Construction!$F$31=Construction!$R$22,Oeko!CT346,Oeko!FG346)</f>
        <v>1.0000000000000002</v>
      </c>
      <c r="AH346" s="2002">
        <f>IF(Construction!$F$31=Construction!$R$22,Oeko!CU346,Oeko!FH346)</f>
        <v>1.4999999999999998</v>
      </c>
      <c r="AI346" s="2002">
        <f>IF(Construction!$F$31=Construction!$R$22,Oeko!CV346,Oeko!FI346)</f>
        <v>1.4999999999999998</v>
      </c>
      <c r="AJ346" s="2002">
        <f>IF(Construction!$F$31=Construction!$R$22,Oeko!CW346,Oeko!FJ346)</f>
        <v>1.4999999999999998</v>
      </c>
      <c r="AK346" s="2002">
        <f>IF(Construction!$F$31=Construction!$R$22,Oeko!CX346,Oeko!FK346)</f>
        <v>1.4999999999999998</v>
      </c>
      <c r="AL346" s="2002">
        <f>IF(Construction!$F$31=Construction!$R$22,Oeko!CY346,Oeko!FL346)</f>
        <v>1.4999999999999998</v>
      </c>
      <c r="AM346" s="2004">
        <f>IF(Construction!$F$31=Construction!$R$22,Oeko!CZ346,Oeko!FM346)</f>
        <v>1.2222222222222223</v>
      </c>
      <c r="AN346" s="2004">
        <f>IF(Construction!$F$31=Construction!$R$22,Oeko!DA346,Oeko!FN346)</f>
        <v>1.2222222222222223</v>
      </c>
      <c r="AO346" s="2004">
        <f>IF(Construction!$F$31=Construction!$R$22,Oeko!DB346,Oeko!FO346)</f>
        <v>1.2222222222222223</v>
      </c>
      <c r="AP346" s="2004">
        <f>IF(Construction!$F$31=Construction!$R$22,Oeko!DC346,Oeko!FP346)</f>
        <v>1.2222222222222223</v>
      </c>
      <c r="AQ346" s="2004">
        <f>IF(Construction!$F$31=Construction!$R$22,Oeko!DD346,Oeko!FQ346)</f>
        <v>1.2222222222222223</v>
      </c>
      <c r="AR346" s="2002">
        <f>IF(Construction!$F$31=Construction!$R$22,Oeko!DE346,Oeko!FR346)</f>
        <v>13.798045313008366</v>
      </c>
      <c r="AS346" s="2002">
        <f>IF(Construction!$F$31=Construction!$R$22,Oeko!DF346,Oeko!FS346)</f>
        <v>13.798045313008366</v>
      </c>
      <c r="AT346" s="2002">
        <f>IF(Construction!$F$31=Construction!$R$22,Oeko!DG346,Oeko!FT346)</f>
        <v>13.798045313008366</v>
      </c>
      <c r="AU346" s="2002">
        <f>IF(Construction!$F$31=Construction!$R$22,Oeko!DH346,Oeko!FU346)</f>
        <v>13.798045313008366</v>
      </c>
      <c r="AV346" s="2002">
        <f>IF(Construction!$F$31=Construction!$R$22,Oeko!DI346,Oeko!FV346)</f>
        <v>13.798045313008366</v>
      </c>
      <c r="AW346" s="2004">
        <f>IF(Construction!$F$31=Construction!$R$22,Oeko!DJ346,Oeko!FW346)</f>
        <v>13.770696286005787</v>
      </c>
      <c r="AX346" s="2004">
        <f>IF(Construction!$F$31=Construction!$R$22,Oeko!DK346,Oeko!FX346)</f>
        <v>13.770696286005787</v>
      </c>
      <c r="AY346" s="2004">
        <f>IF(Construction!$F$31=Construction!$R$22,Oeko!DL346,Oeko!FY346)</f>
        <v>13.770696286005787</v>
      </c>
      <c r="AZ346" s="2004">
        <f>IF(Construction!$F$31=Construction!$R$22,Oeko!DM346,Oeko!FZ346)</f>
        <v>13.770696286005787</v>
      </c>
      <c r="BA346" s="2004">
        <f>IF(Construction!$F$31=Construction!$R$22,Oeko!DN346,Oeko!GA346)</f>
        <v>13.770696286005787</v>
      </c>
      <c r="BB346" s="2002">
        <f>IF(Construction!$F$31=Construction!$R$22,Oeko!DO346,Oeko!GB346)</f>
        <v>0.97975662301212196</v>
      </c>
      <c r="BC346" s="2002">
        <f>IF(Construction!$F$31=Construction!$R$22,Oeko!DP346,Oeko!GC346)</f>
        <v>0.97975662301212196</v>
      </c>
      <c r="BD346" s="2002">
        <f>IF(Construction!$F$31=Construction!$R$22,Oeko!DQ346,Oeko!GD346)</f>
        <v>0.97975662301212196</v>
      </c>
      <c r="BE346" s="2002">
        <f>IF(Construction!$F$31=Construction!$R$22,Oeko!DR346,Oeko!GE346)</f>
        <v>0.97975662301212196</v>
      </c>
      <c r="BF346" s="2002">
        <f>IF(Construction!$F$31=Construction!$R$22,Oeko!DS346,Oeko!GF346)</f>
        <v>0.97975662301212196</v>
      </c>
      <c r="BG346" s="2004">
        <f>IF(Construction!$F$31=Construction!$R$22,Oeko!DT346,Oeko!GG346)</f>
        <v>0.97614876347816082</v>
      </c>
      <c r="BH346" s="2004">
        <f>IF(Construction!$F$31=Construction!$R$22,Oeko!DU346,Oeko!GH346)</f>
        <v>0.97614876347816082</v>
      </c>
      <c r="BI346" s="2004">
        <f>IF(Construction!$F$31=Construction!$R$22,Oeko!DV346,Oeko!GI346)</f>
        <v>0.97614876347816082</v>
      </c>
      <c r="BJ346" s="2004">
        <f>IF(Construction!$F$31=Construction!$R$22,Oeko!DW346,Oeko!GJ346)</f>
        <v>0.97614876347816082</v>
      </c>
      <c r="BK346" s="2024">
        <f>IF(Construction!$F$31=Construction!$R$22,Oeko!DX346,Oeko!GK346)</f>
        <v>0.97614876347816082</v>
      </c>
      <c r="BN346" s="2025" t="str">
        <f>Uebersetzung!$D631</f>
        <v>Contruction massive légère</v>
      </c>
      <c r="BO346" s="2">
        <v>1</v>
      </c>
      <c r="BP346" s="2" t="s">
        <v>4327</v>
      </c>
      <c r="BQ346" s="2002">
        <v>1.09375</v>
      </c>
      <c r="BR346" s="2002">
        <v>1.09375</v>
      </c>
      <c r="BS346" s="2002">
        <v>1.09375</v>
      </c>
      <c r="BT346" s="2002">
        <v>1.09375</v>
      </c>
      <c r="BU346" s="2002">
        <v>1.09375</v>
      </c>
      <c r="BV346" s="2004">
        <v>1.5999999999999999</v>
      </c>
      <c r="BW346" s="2004">
        <v>1.5999999999999999</v>
      </c>
      <c r="BX346" s="2004">
        <v>1.5999999999999999</v>
      </c>
      <c r="BY346" s="2004">
        <v>1.5999999999999999</v>
      </c>
      <c r="BZ346" s="2004">
        <v>1.5999999999999999</v>
      </c>
      <c r="CA346" s="2002">
        <v>1.0389610389610389</v>
      </c>
      <c r="CB346" s="2002">
        <v>1.0389610389610389</v>
      </c>
      <c r="CC346" s="2002">
        <v>1.0389610389610389</v>
      </c>
      <c r="CD346" s="2002">
        <v>1.0389610389610389</v>
      </c>
      <c r="CE346" s="2002">
        <v>1.0389610389610389</v>
      </c>
      <c r="CF346" s="2004">
        <v>1.3500000000000003</v>
      </c>
      <c r="CG346" s="2004">
        <v>1.3500000000000003</v>
      </c>
      <c r="CH346" s="2004">
        <v>1.3500000000000003</v>
      </c>
      <c r="CI346" s="2004">
        <v>1.3500000000000003</v>
      </c>
      <c r="CJ346" s="2004">
        <v>1.3500000000000003</v>
      </c>
      <c r="CK346" s="2002">
        <v>1.0285714285714285</v>
      </c>
      <c r="CL346" s="2002">
        <v>1.0285714285714285</v>
      </c>
      <c r="CM346" s="2002">
        <v>1.0285714285714285</v>
      </c>
      <c r="CN346" s="2002">
        <v>1.0285714285714285</v>
      </c>
      <c r="CO346" s="2002">
        <v>1.0285714285714285</v>
      </c>
      <c r="CP346" s="2004">
        <v>1.0000000000000002</v>
      </c>
      <c r="CQ346" s="2004">
        <v>1.0000000000000002</v>
      </c>
      <c r="CR346" s="2004">
        <v>1.0000000000000002</v>
      </c>
      <c r="CS346" s="2004">
        <v>1.0000000000000002</v>
      </c>
      <c r="CT346" s="2004">
        <v>1.0000000000000002</v>
      </c>
      <c r="CU346" s="2002">
        <v>1.4999999999999998</v>
      </c>
      <c r="CV346" s="2002">
        <v>1.4999999999999998</v>
      </c>
      <c r="CW346" s="2002">
        <v>1.4999999999999998</v>
      </c>
      <c r="CX346" s="2002">
        <v>1.4999999999999998</v>
      </c>
      <c r="CY346" s="2002">
        <v>1.4999999999999998</v>
      </c>
      <c r="CZ346" s="2004">
        <v>1.2222222222222223</v>
      </c>
      <c r="DA346" s="2004">
        <v>1.2222222222222223</v>
      </c>
      <c r="DB346" s="2004">
        <v>1.2222222222222223</v>
      </c>
      <c r="DC346" s="2004">
        <v>1.2222222222222223</v>
      </c>
      <c r="DD346" s="2004">
        <v>1.2222222222222223</v>
      </c>
      <c r="DE346" s="2002">
        <v>13.798045313008366</v>
      </c>
      <c r="DF346" s="2002">
        <v>13.798045313008366</v>
      </c>
      <c r="DG346" s="2002">
        <v>13.798045313008366</v>
      </c>
      <c r="DH346" s="2002">
        <v>13.798045313008366</v>
      </c>
      <c r="DI346" s="2002">
        <v>13.798045313008366</v>
      </c>
      <c r="DJ346" s="2004">
        <v>13.770696286005787</v>
      </c>
      <c r="DK346" s="2004">
        <v>13.770696286005787</v>
      </c>
      <c r="DL346" s="2004">
        <v>13.770696286005787</v>
      </c>
      <c r="DM346" s="2004">
        <v>13.770696286005787</v>
      </c>
      <c r="DN346" s="2004">
        <v>13.770696286005787</v>
      </c>
      <c r="DO346" s="2002">
        <v>0.97975662301212196</v>
      </c>
      <c r="DP346" s="2002">
        <v>0.97975662301212196</v>
      </c>
      <c r="DQ346" s="2002">
        <v>0.97975662301212196</v>
      </c>
      <c r="DR346" s="2002">
        <v>0.97975662301212196</v>
      </c>
      <c r="DS346" s="2002">
        <v>0.97975662301212196</v>
      </c>
      <c r="DT346" s="2004">
        <v>0.97614876347816082</v>
      </c>
      <c r="DU346" s="2004">
        <v>0.97614876347816082</v>
      </c>
      <c r="DV346" s="2004">
        <v>0.97614876347816082</v>
      </c>
      <c r="DW346" s="2004">
        <v>0.97614876347816082</v>
      </c>
      <c r="DX346" s="2024">
        <v>0.97614876347816082</v>
      </c>
      <c r="EA346" s="2025" t="str">
        <f>Uebersetzung!$D631</f>
        <v>Contruction massive légère</v>
      </c>
      <c r="EB346" s="2">
        <v>1</v>
      </c>
      <c r="EC346" s="2" t="s">
        <v>4327</v>
      </c>
      <c r="ED346" s="2002">
        <v>1.4462181403417813</v>
      </c>
      <c r="EE346" s="2002">
        <v>1.4642601740905083</v>
      </c>
      <c r="EF346" s="2002">
        <v>1.4977668081952884</v>
      </c>
      <c r="EG346" s="2002">
        <v>1.5390057424780932</v>
      </c>
      <c r="EH346" s="2002">
        <v>1.5766362700111538</v>
      </c>
      <c r="EI346" s="2004">
        <v>2.3033504523851835</v>
      </c>
      <c r="EJ346" s="2004">
        <v>2.3401120166601412</v>
      </c>
      <c r="EK346" s="2004">
        <v>2.3994960820273814</v>
      </c>
      <c r="EL346" s="2004">
        <v>2.4701913979407619</v>
      </c>
      <c r="EM346" s="2004">
        <v>2.5210920253983962</v>
      </c>
      <c r="EN346" s="2002">
        <v>1.4408060683064978</v>
      </c>
      <c r="EO346" s="2002">
        <v>1.4760619141645994</v>
      </c>
      <c r="EP346" s="2002">
        <v>1.4775309077420204</v>
      </c>
      <c r="EQ346" s="2002">
        <v>1.4789999013194415</v>
      </c>
      <c r="ER346" s="2002">
        <v>1.4804688948968623</v>
      </c>
      <c r="ES346" s="2004">
        <v>1.8832901155925885</v>
      </c>
      <c r="ET346" s="2004">
        <v>1.9288885943567193</v>
      </c>
      <c r="EU346" s="2004">
        <v>1.9310094538341207</v>
      </c>
      <c r="EV346" s="2004">
        <v>1.9331303133115221</v>
      </c>
      <c r="EW346" s="2004">
        <v>1.9352511727889234</v>
      </c>
      <c r="EX346" s="2002">
        <v>1.4704373516917477</v>
      </c>
      <c r="EY346" s="2002">
        <v>1.504371103330171</v>
      </c>
      <c r="EZ346" s="2002">
        <v>1.5067949427329155</v>
      </c>
      <c r="FA346" s="2002">
        <v>1.50921878213566</v>
      </c>
      <c r="FB346" s="2002">
        <v>1.5116426215384045</v>
      </c>
      <c r="FC346" s="2004">
        <v>1.3591793350505834</v>
      </c>
      <c r="FD346" s="2004">
        <v>1.3862792061507132</v>
      </c>
      <c r="FE346" s="2004">
        <v>1.3886357166811591</v>
      </c>
      <c r="FF346" s="2004">
        <v>1.3909922272116051</v>
      </c>
      <c r="FG346" s="2004">
        <v>1.3933487377420513</v>
      </c>
      <c r="FH346" s="2002">
        <v>2.6152186085335827</v>
      </c>
      <c r="FI346" s="2002">
        <v>2.6187533743292515</v>
      </c>
      <c r="FJ346" s="2002">
        <v>2.6222881401249212</v>
      </c>
      <c r="FK346" s="2002">
        <v>2.62582290592059</v>
      </c>
      <c r="FL346" s="2002">
        <v>2.6293576717162588</v>
      </c>
      <c r="FM346" s="2004">
        <v>1.591943014379001</v>
      </c>
      <c r="FN346" s="2004">
        <v>1.6131516091530151</v>
      </c>
      <c r="FO346" s="2004">
        <v>1.6516412811503003</v>
      </c>
      <c r="FP346" s="2004">
        <v>1.6987714917592209</v>
      </c>
      <c r="FQ346" s="2004">
        <v>1.7404031777971007</v>
      </c>
      <c r="FR346" s="2002">
        <v>20.475862538996754</v>
      </c>
      <c r="FS346" s="2002">
        <v>20.492120158536594</v>
      </c>
      <c r="FT346" s="2002">
        <v>20.508377778076433</v>
      </c>
      <c r="FU346" s="2002">
        <v>20.524635397616269</v>
      </c>
      <c r="FV346" s="2002">
        <v>20.540893017156108</v>
      </c>
      <c r="FW346" s="2004">
        <v>20.417023878686056</v>
      </c>
      <c r="FX346" s="2004">
        <v>20.433249274090834</v>
      </c>
      <c r="FY346" s="2004">
        <v>20.449474669495601</v>
      </c>
      <c r="FZ346" s="2004">
        <v>20.465700064900375</v>
      </c>
      <c r="GA346" s="2004">
        <v>20.481925460305153</v>
      </c>
      <c r="GB346" s="2002">
        <v>1.355514929614847</v>
      </c>
      <c r="GC346" s="2002">
        <v>1.3566693330145481</v>
      </c>
      <c r="GD346" s="2002">
        <v>1.3578237364142494</v>
      </c>
      <c r="GE346" s="2002">
        <v>1.3589781398139504</v>
      </c>
      <c r="GF346" s="2002">
        <v>1.3612869466133528</v>
      </c>
      <c r="GG346" s="2004">
        <v>1.3764018057109197</v>
      </c>
      <c r="GH346" s="2004">
        <v>1.3781270343412335</v>
      </c>
      <c r="GI346" s="2004">
        <v>1.3798522629715471</v>
      </c>
      <c r="GJ346" s="2004">
        <v>1.3815774916018606</v>
      </c>
      <c r="GK346" s="2024">
        <v>1.3850279488624877</v>
      </c>
    </row>
    <row r="347" spans="1:193">
      <c r="A347" s="2020"/>
      <c r="B347" s="2">
        <v>2</v>
      </c>
      <c r="C347" s="2" t="s">
        <v>4328</v>
      </c>
      <c r="D347" s="1979">
        <f>IF(Construction!$F$31=Construction!$R$22,Oeko!BQ347,Oeko!ED347)</f>
        <v>1.0694444444444444</v>
      </c>
      <c r="E347" s="1979">
        <f>IF(Construction!$F$31=Construction!$R$22,Oeko!BR347,Oeko!EE347)</f>
        <v>1.0694444444444444</v>
      </c>
      <c r="F347" s="1979">
        <f>IF(Construction!$F$31=Construction!$R$22,Oeko!BS347,Oeko!EF347)</f>
        <v>1.0694444444444444</v>
      </c>
      <c r="G347" s="1979">
        <f>IF(Construction!$F$31=Construction!$R$22,Oeko!BT347,Oeko!EG347)</f>
        <v>1.0694444444444444</v>
      </c>
      <c r="H347" s="1979">
        <f>IF(Construction!$F$31=Construction!$R$22,Oeko!BU347,Oeko!EH347)</f>
        <v>1.0694444444444444</v>
      </c>
      <c r="I347" s="1998">
        <f>IF(Construction!$F$31=Construction!$R$22,Oeko!BV347,Oeko!EI347)</f>
        <v>1.5999999999999996</v>
      </c>
      <c r="J347" s="1998">
        <f>IF(Construction!$F$31=Construction!$R$22,Oeko!BW347,Oeko!EJ347)</f>
        <v>1.5999999999999996</v>
      </c>
      <c r="K347" s="1998">
        <f>IF(Construction!$F$31=Construction!$R$22,Oeko!BX347,Oeko!EK347)</f>
        <v>1.5999999999999996</v>
      </c>
      <c r="L347" s="1998">
        <f>IF(Construction!$F$31=Construction!$R$22,Oeko!BY347,Oeko!EL347)</f>
        <v>1.5999999999999996</v>
      </c>
      <c r="M347" s="1998">
        <f>IF(Construction!$F$31=Construction!$R$22,Oeko!BZ347,Oeko!EM347)</f>
        <v>1.5999999999999996</v>
      </c>
      <c r="N347" s="1979">
        <f>IF(Construction!$F$31=Construction!$R$22,Oeko!CA347,Oeko!EN347)</f>
        <v>1.0389610389610391</v>
      </c>
      <c r="O347" s="1979">
        <f>IF(Construction!$F$31=Construction!$R$22,Oeko!CB347,Oeko!EO347)</f>
        <v>1.0389610389610391</v>
      </c>
      <c r="P347" s="1979">
        <f>IF(Construction!$F$31=Construction!$R$22,Oeko!CC347,Oeko!EP347)</f>
        <v>1.0389610389610391</v>
      </c>
      <c r="Q347" s="1979">
        <f>IF(Construction!$F$31=Construction!$R$22,Oeko!CD347,Oeko!EQ347)</f>
        <v>1.0389610389610391</v>
      </c>
      <c r="R347" s="1979">
        <f>IF(Construction!$F$31=Construction!$R$22,Oeko!CE347,Oeko!ER347)</f>
        <v>1.0389610389610391</v>
      </c>
      <c r="S347" s="1998">
        <f>IF(Construction!$F$31=Construction!$R$22,Oeko!CF347,Oeko!ES347)</f>
        <v>1.3333333333333335</v>
      </c>
      <c r="T347" s="1998">
        <f>IF(Construction!$F$31=Construction!$R$22,Oeko!CG347,Oeko!ET347)</f>
        <v>1.3333333333333335</v>
      </c>
      <c r="U347" s="1998">
        <f>IF(Construction!$F$31=Construction!$R$22,Oeko!CH347,Oeko!EU347)</f>
        <v>1.3333333333333335</v>
      </c>
      <c r="V347" s="1998">
        <f>IF(Construction!$F$31=Construction!$R$22,Oeko!CI347,Oeko!EV347)</f>
        <v>1.3333333333333335</v>
      </c>
      <c r="W347" s="1998">
        <f>IF(Construction!$F$31=Construction!$R$22,Oeko!CJ347,Oeko!EW347)</f>
        <v>1.3333333333333335</v>
      </c>
      <c r="X347" s="1979">
        <f>IF(Construction!$F$31=Construction!$R$22,Oeko!CK347,Oeko!EX347)</f>
        <v>1.0285714285714285</v>
      </c>
      <c r="Y347" s="1979">
        <f>IF(Construction!$F$31=Construction!$R$22,Oeko!CL347,Oeko!EY347)</f>
        <v>1.0285714285714285</v>
      </c>
      <c r="Z347" s="1979">
        <f>IF(Construction!$F$31=Construction!$R$22,Oeko!CM347,Oeko!EZ347)</f>
        <v>1.0285714285714285</v>
      </c>
      <c r="AA347" s="1979">
        <f>IF(Construction!$F$31=Construction!$R$22,Oeko!CN347,Oeko!FA347)</f>
        <v>1.0285714285714285</v>
      </c>
      <c r="AB347" s="1979">
        <f>IF(Construction!$F$31=Construction!$R$22,Oeko!CO347,Oeko!FB347)</f>
        <v>1.0285714285714285</v>
      </c>
      <c r="AC347" s="1998">
        <f>IF(Construction!$F$31=Construction!$R$22,Oeko!CP347,Oeko!FC347)</f>
        <v>1.0000000000000002</v>
      </c>
      <c r="AD347" s="1998">
        <f>IF(Construction!$F$31=Construction!$R$22,Oeko!CQ347,Oeko!FD347)</f>
        <v>1.0000000000000002</v>
      </c>
      <c r="AE347" s="1998">
        <f>IF(Construction!$F$31=Construction!$R$22,Oeko!CR347,Oeko!FE347)</f>
        <v>1.0000000000000002</v>
      </c>
      <c r="AF347" s="1998">
        <f>IF(Construction!$F$31=Construction!$R$22,Oeko!CS347,Oeko!FF347)</f>
        <v>1.0000000000000002</v>
      </c>
      <c r="AG347" s="1998">
        <f>IF(Construction!$F$31=Construction!$R$22,Oeko!CT347,Oeko!FG347)</f>
        <v>1.0000000000000002</v>
      </c>
      <c r="AH347" s="1979">
        <f>IF(Construction!$F$31=Construction!$R$22,Oeko!CU347,Oeko!FH347)</f>
        <v>1.5</v>
      </c>
      <c r="AI347" s="1979">
        <f>IF(Construction!$F$31=Construction!$R$22,Oeko!CV347,Oeko!FI347)</f>
        <v>1.5</v>
      </c>
      <c r="AJ347" s="1979">
        <f>IF(Construction!$F$31=Construction!$R$22,Oeko!CW347,Oeko!FJ347)</f>
        <v>1.5</v>
      </c>
      <c r="AK347" s="1979">
        <f>IF(Construction!$F$31=Construction!$R$22,Oeko!CX347,Oeko!FK347)</f>
        <v>1.5</v>
      </c>
      <c r="AL347" s="1979">
        <f>IF(Construction!$F$31=Construction!$R$22,Oeko!CY347,Oeko!FL347)</f>
        <v>1.5</v>
      </c>
      <c r="AM347" s="1998">
        <f>IF(Construction!$F$31=Construction!$R$22,Oeko!CZ347,Oeko!FM347)</f>
        <v>1.2</v>
      </c>
      <c r="AN347" s="1998">
        <f>IF(Construction!$F$31=Construction!$R$22,Oeko!DA347,Oeko!FN347)</f>
        <v>1.2</v>
      </c>
      <c r="AO347" s="1998">
        <f>IF(Construction!$F$31=Construction!$R$22,Oeko!DB347,Oeko!FO347)</f>
        <v>1.2</v>
      </c>
      <c r="AP347" s="1998">
        <f>IF(Construction!$F$31=Construction!$R$22,Oeko!DC347,Oeko!FP347)</f>
        <v>1.2</v>
      </c>
      <c r="AQ347" s="1998">
        <f>IF(Construction!$F$31=Construction!$R$22,Oeko!DD347,Oeko!FQ347)</f>
        <v>1.2</v>
      </c>
      <c r="AR347" s="1979">
        <f>IF(Construction!$F$31=Construction!$R$22,Oeko!DE347,Oeko!FR347)</f>
        <v>13.414766276535909</v>
      </c>
      <c r="AS347" s="1979">
        <f>IF(Construction!$F$31=Construction!$R$22,Oeko!DF347,Oeko!FS347)</f>
        <v>13.414766276535909</v>
      </c>
      <c r="AT347" s="1979">
        <f>IF(Construction!$F$31=Construction!$R$22,Oeko!DG347,Oeko!FT347)</f>
        <v>13.414766276535909</v>
      </c>
      <c r="AU347" s="1979">
        <f>IF(Construction!$F$31=Construction!$R$22,Oeko!DH347,Oeko!FU347)</f>
        <v>13.414766276535909</v>
      </c>
      <c r="AV347" s="1979">
        <f>IF(Construction!$F$31=Construction!$R$22,Oeko!DI347,Oeko!FV347)</f>
        <v>13.414766276535909</v>
      </c>
      <c r="AW347" s="1998">
        <f>IF(Construction!$F$31=Construction!$R$22,Oeko!DJ347,Oeko!FW347)</f>
        <v>12.852649866938734</v>
      </c>
      <c r="AX347" s="1998">
        <f>IF(Construction!$F$31=Construction!$R$22,Oeko!DK347,Oeko!FX347)</f>
        <v>12.852649866938734</v>
      </c>
      <c r="AY347" s="1998">
        <f>IF(Construction!$F$31=Construction!$R$22,Oeko!DL347,Oeko!FY347)</f>
        <v>12.852649866938734</v>
      </c>
      <c r="AZ347" s="1998">
        <f>IF(Construction!$F$31=Construction!$R$22,Oeko!DM347,Oeko!FZ347)</f>
        <v>12.852649866938734</v>
      </c>
      <c r="BA347" s="1998">
        <f>IF(Construction!$F$31=Construction!$R$22,Oeko!DN347,Oeko!GA347)</f>
        <v>12.852649866938734</v>
      </c>
      <c r="BB347" s="1979">
        <f>IF(Construction!$F$31=Construction!$R$22,Oeko!DO347,Oeko!GB347)</f>
        <v>0.97975662301212174</v>
      </c>
      <c r="BC347" s="1979">
        <f>IF(Construction!$F$31=Construction!$R$22,Oeko!DP347,Oeko!GC347)</f>
        <v>0.97975662301212174</v>
      </c>
      <c r="BD347" s="1979">
        <f>IF(Construction!$F$31=Construction!$R$22,Oeko!DQ347,Oeko!GD347)</f>
        <v>0.97975662301212174</v>
      </c>
      <c r="BE347" s="1979">
        <f>IF(Construction!$F$31=Construction!$R$22,Oeko!DR347,Oeko!GE347)</f>
        <v>0.97975662301212174</v>
      </c>
      <c r="BF347" s="1979">
        <f>IF(Construction!$F$31=Construction!$R$22,Oeko!DS347,Oeko!GF347)</f>
        <v>0.97975662301212174</v>
      </c>
      <c r="BG347" s="1998">
        <f>IF(Construction!$F$31=Construction!$R$22,Oeko!DT347,Oeko!GG347)</f>
        <v>0.9761487634781606</v>
      </c>
      <c r="BH347" s="1998">
        <f>IF(Construction!$F$31=Construction!$R$22,Oeko!DU347,Oeko!GH347)</f>
        <v>0.9761487634781606</v>
      </c>
      <c r="BI347" s="1998">
        <f>IF(Construction!$F$31=Construction!$R$22,Oeko!DV347,Oeko!GI347)</f>
        <v>0.9761487634781606</v>
      </c>
      <c r="BJ347" s="1998">
        <f>IF(Construction!$F$31=Construction!$R$22,Oeko!DW347,Oeko!GJ347)</f>
        <v>0.9761487634781606</v>
      </c>
      <c r="BK347" s="2026">
        <f>IF(Construction!$F$31=Construction!$R$22,Oeko!DX347,Oeko!GK347)</f>
        <v>0.9761487634781606</v>
      </c>
      <c r="BN347" s="2022"/>
      <c r="BO347" s="2">
        <v>2</v>
      </c>
      <c r="BP347" s="2" t="s">
        <v>4328</v>
      </c>
      <c r="BQ347" s="1979">
        <v>1.0694444444444444</v>
      </c>
      <c r="BR347" s="1979">
        <v>1.0694444444444444</v>
      </c>
      <c r="BS347" s="1979">
        <v>1.0694444444444444</v>
      </c>
      <c r="BT347" s="1979">
        <v>1.0694444444444444</v>
      </c>
      <c r="BU347" s="1979">
        <v>1.0694444444444444</v>
      </c>
      <c r="BV347" s="1998">
        <v>1.5999999999999996</v>
      </c>
      <c r="BW347" s="1998">
        <v>1.5999999999999996</v>
      </c>
      <c r="BX347" s="1998">
        <v>1.5999999999999996</v>
      </c>
      <c r="BY347" s="1998">
        <v>1.5999999999999996</v>
      </c>
      <c r="BZ347" s="1998">
        <v>1.5999999999999996</v>
      </c>
      <c r="CA347" s="1979">
        <v>1.0389610389610391</v>
      </c>
      <c r="CB347" s="1979">
        <v>1.0389610389610391</v>
      </c>
      <c r="CC347" s="1979">
        <v>1.0389610389610391</v>
      </c>
      <c r="CD347" s="1979">
        <v>1.0389610389610391</v>
      </c>
      <c r="CE347" s="1979">
        <v>1.0389610389610391</v>
      </c>
      <c r="CF347" s="1998">
        <v>1.3333333333333335</v>
      </c>
      <c r="CG347" s="1998">
        <v>1.3333333333333335</v>
      </c>
      <c r="CH347" s="1998">
        <v>1.3333333333333335</v>
      </c>
      <c r="CI347" s="1998">
        <v>1.3333333333333335</v>
      </c>
      <c r="CJ347" s="1998">
        <v>1.3333333333333335</v>
      </c>
      <c r="CK347" s="1979">
        <v>1.0285714285714285</v>
      </c>
      <c r="CL347" s="1979">
        <v>1.0285714285714285</v>
      </c>
      <c r="CM347" s="1979">
        <v>1.0285714285714285</v>
      </c>
      <c r="CN347" s="1979">
        <v>1.0285714285714285</v>
      </c>
      <c r="CO347" s="1979">
        <v>1.0285714285714285</v>
      </c>
      <c r="CP347" s="1998">
        <v>1.0000000000000002</v>
      </c>
      <c r="CQ347" s="1998">
        <v>1.0000000000000002</v>
      </c>
      <c r="CR347" s="1998">
        <v>1.0000000000000002</v>
      </c>
      <c r="CS347" s="1998">
        <v>1.0000000000000002</v>
      </c>
      <c r="CT347" s="1998">
        <v>1.0000000000000002</v>
      </c>
      <c r="CU347" s="1979">
        <v>1.5</v>
      </c>
      <c r="CV347" s="1979">
        <v>1.5</v>
      </c>
      <c r="CW347" s="1979">
        <v>1.5</v>
      </c>
      <c r="CX347" s="1979">
        <v>1.5</v>
      </c>
      <c r="CY347" s="1979">
        <v>1.5</v>
      </c>
      <c r="CZ347" s="1998">
        <v>1.2</v>
      </c>
      <c r="DA347" s="1998">
        <v>1.2</v>
      </c>
      <c r="DB347" s="1998">
        <v>1.2</v>
      </c>
      <c r="DC347" s="1998">
        <v>1.2</v>
      </c>
      <c r="DD347" s="1998">
        <v>1.2</v>
      </c>
      <c r="DE347" s="1979">
        <v>13.414766276535909</v>
      </c>
      <c r="DF347" s="1979">
        <v>13.414766276535909</v>
      </c>
      <c r="DG347" s="1979">
        <v>13.414766276535909</v>
      </c>
      <c r="DH347" s="1979">
        <v>13.414766276535909</v>
      </c>
      <c r="DI347" s="1979">
        <v>13.414766276535909</v>
      </c>
      <c r="DJ347" s="1998">
        <v>12.852649866938734</v>
      </c>
      <c r="DK347" s="1998">
        <v>12.852649866938734</v>
      </c>
      <c r="DL347" s="1998">
        <v>12.852649866938734</v>
      </c>
      <c r="DM347" s="1998">
        <v>12.852649866938734</v>
      </c>
      <c r="DN347" s="1998">
        <v>12.852649866938734</v>
      </c>
      <c r="DO347" s="1979">
        <v>0.97975662301212174</v>
      </c>
      <c r="DP347" s="1979">
        <v>0.97975662301212174</v>
      </c>
      <c r="DQ347" s="1979">
        <v>0.97975662301212174</v>
      </c>
      <c r="DR347" s="1979">
        <v>0.97975662301212174</v>
      </c>
      <c r="DS347" s="1979">
        <v>0.97975662301212174</v>
      </c>
      <c r="DT347" s="1998">
        <v>0.9761487634781606</v>
      </c>
      <c r="DU347" s="1998">
        <v>0.9761487634781606</v>
      </c>
      <c r="DV347" s="1998">
        <v>0.9761487634781606</v>
      </c>
      <c r="DW347" s="1998">
        <v>0.9761487634781606</v>
      </c>
      <c r="DX347" s="2026">
        <v>0.9761487634781606</v>
      </c>
      <c r="EA347" s="2022"/>
      <c r="EB347" s="2">
        <v>2</v>
      </c>
      <c r="EC347" s="2" t="s">
        <v>4328</v>
      </c>
      <c r="ED347" s="1979">
        <v>1.4320302136547263</v>
      </c>
      <c r="EE347" s="1979">
        <v>1.4505877340819888</v>
      </c>
      <c r="EF347" s="1979">
        <v>1.4842661970796134</v>
      </c>
      <c r="EG347" s="1979">
        <v>1.5255051313624186</v>
      </c>
      <c r="EH347" s="1979">
        <v>1.5619328566455639</v>
      </c>
      <c r="EI347" s="1998">
        <v>2.3167091127298547</v>
      </c>
      <c r="EJ347" s="1998">
        <v>2.3534706770048128</v>
      </c>
      <c r="EK347" s="1998">
        <v>2.412854742372053</v>
      </c>
      <c r="EL347" s="1998">
        <v>2.4835500582854335</v>
      </c>
      <c r="EM347" s="1998">
        <v>2.5344506857430678</v>
      </c>
      <c r="EN347" s="1979">
        <v>1.4424127800318021</v>
      </c>
      <c r="EO347" s="1979">
        <v>1.4776686258899039</v>
      </c>
      <c r="EP347" s="1979">
        <v>1.4791376194673249</v>
      </c>
      <c r="EQ347" s="1979">
        <v>1.4806066130447455</v>
      </c>
      <c r="ER347" s="1979">
        <v>1.4820756066221665</v>
      </c>
      <c r="ES347" s="1998">
        <v>1.8744588464396545</v>
      </c>
      <c r="ET347" s="1998">
        <v>1.9192325465181295</v>
      </c>
      <c r="EU347" s="1998">
        <v>1.9215890570485756</v>
      </c>
      <c r="EV347" s="1998">
        <v>1.9239455675790211</v>
      </c>
      <c r="EW347" s="1998">
        <v>1.9263020781094673</v>
      </c>
      <c r="EX347" s="1979">
        <v>1.4740731107958649</v>
      </c>
      <c r="EY347" s="1979">
        <v>1.5080068624342877</v>
      </c>
      <c r="EZ347" s="1979">
        <v>1.5104307018370322</v>
      </c>
      <c r="FA347" s="1979">
        <v>1.5128545412397767</v>
      </c>
      <c r="FB347" s="1979">
        <v>1.515278380642521</v>
      </c>
      <c r="FC347" s="1998">
        <v>1.3591793350505834</v>
      </c>
      <c r="FD347" s="1998">
        <v>1.3862792061507132</v>
      </c>
      <c r="FE347" s="1998">
        <v>1.3886357166811591</v>
      </c>
      <c r="FF347" s="1998">
        <v>1.3909922272116051</v>
      </c>
      <c r="FG347" s="1998">
        <v>1.3933487377420513</v>
      </c>
      <c r="FH347" s="1979">
        <v>2.6191952200537094</v>
      </c>
      <c r="FI347" s="1979">
        <v>2.6227299858493787</v>
      </c>
      <c r="FJ347" s="1979">
        <v>2.6262647516450479</v>
      </c>
      <c r="FK347" s="1979">
        <v>2.6297995174407167</v>
      </c>
      <c r="FL347" s="1979">
        <v>2.633334283236386</v>
      </c>
      <c r="FM347" s="1998">
        <v>1.5835456539353956</v>
      </c>
      <c r="FN347" s="1998">
        <v>1.6052255508154987</v>
      </c>
      <c r="FO347" s="1998">
        <v>1.6438723235148138</v>
      </c>
      <c r="FP347" s="1998">
        <v>1.691002534123734</v>
      </c>
      <c r="FQ347" s="1998">
        <v>1.731534515247406</v>
      </c>
      <c r="FR347" s="1979">
        <v>20.254820997515598</v>
      </c>
      <c r="FS347" s="1979">
        <v>20.273788220312078</v>
      </c>
      <c r="FT347" s="1979">
        <v>20.292755443108554</v>
      </c>
      <c r="FU347" s="1979">
        <v>20.31172266590503</v>
      </c>
      <c r="FV347" s="1979">
        <v>20.33068988870151</v>
      </c>
      <c r="FW347" s="1998">
        <v>19.880274251631178</v>
      </c>
      <c r="FX347" s="1998">
        <v>19.902989805197858</v>
      </c>
      <c r="FY347" s="1998">
        <v>19.925705358764546</v>
      </c>
      <c r="FZ347" s="1998">
        <v>19.948420912331226</v>
      </c>
      <c r="GA347" s="1998">
        <v>19.971136465897906</v>
      </c>
      <c r="GB347" s="1979">
        <v>1.3659045602121573</v>
      </c>
      <c r="GC347" s="1979">
        <v>1.3672898442917989</v>
      </c>
      <c r="GD347" s="1979">
        <v>1.36867512837144</v>
      </c>
      <c r="GE347" s="1979">
        <v>1.3700604124510813</v>
      </c>
      <c r="GF347" s="1979">
        <v>1.372830980610364</v>
      </c>
      <c r="GG347" s="1998">
        <v>1.3764018057109197</v>
      </c>
      <c r="GH347" s="1998">
        <v>1.3781270343412333</v>
      </c>
      <c r="GI347" s="1998">
        <v>1.3798522629715471</v>
      </c>
      <c r="GJ347" s="1998">
        <v>1.3815774916018606</v>
      </c>
      <c r="GK347" s="2026">
        <v>1.3850279488624875</v>
      </c>
    </row>
    <row r="348" spans="1:193">
      <c r="A348" s="2020"/>
      <c r="B348" s="2">
        <v>3</v>
      </c>
      <c r="C348" s="2" t="s">
        <v>4329</v>
      </c>
      <c r="D348" s="1979">
        <f>IF(Construction!$F$31=Construction!$R$22,Oeko!BQ348,Oeko!ED348)</f>
        <v>1.0606060606060606</v>
      </c>
      <c r="E348" s="1979">
        <f>IF(Construction!$F$31=Construction!$R$22,Oeko!BR348,Oeko!EE348)</f>
        <v>1.0606060606060606</v>
      </c>
      <c r="F348" s="1979">
        <f>IF(Construction!$F$31=Construction!$R$22,Oeko!BS348,Oeko!EF348)</f>
        <v>1.0606060606060606</v>
      </c>
      <c r="G348" s="1979">
        <f>IF(Construction!$F$31=Construction!$R$22,Oeko!BT348,Oeko!EG348)</f>
        <v>1.0606060606060606</v>
      </c>
      <c r="H348" s="1979">
        <f>IF(Construction!$F$31=Construction!$R$22,Oeko!BU348,Oeko!EH348)</f>
        <v>1.0606060606060606</v>
      </c>
      <c r="I348" s="1998">
        <f>IF(Construction!$F$31=Construction!$R$22,Oeko!BV348,Oeko!EI348)</f>
        <v>1.5</v>
      </c>
      <c r="J348" s="1998">
        <f>IF(Construction!$F$31=Construction!$R$22,Oeko!BW348,Oeko!EJ348)</f>
        <v>1.5</v>
      </c>
      <c r="K348" s="1998">
        <f>IF(Construction!$F$31=Construction!$R$22,Oeko!BX348,Oeko!EK348)</f>
        <v>1.5</v>
      </c>
      <c r="L348" s="1998">
        <f>IF(Construction!$F$31=Construction!$R$22,Oeko!BY348,Oeko!EL348)</f>
        <v>1.5</v>
      </c>
      <c r="M348" s="1998">
        <f>IF(Construction!$F$31=Construction!$R$22,Oeko!BZ348,Oeko!EM348)</f>
        <v>1.5</v>
      </c>
      <c r="N348" s="1979">
        <f>IF(Construction!$F$31=Construction!$R$22,Oeko!CA348,Oeko!EN348)</f>
        <v>1.0285714285714287</v>
      </c>
      <c r="O348" s="1979">
        <f>IF(Construction!$F$31=Construction!$R$22,Oeko!CB348,Oeko!EO348)</f>
        <v>1.0285714285714287</v>
      </c>
      <c r="P348" s="1979">
        <f>IF(Construction!$F$31=Construction!$R$22,Oeko!CC348,Oeko!EP348)</f>
        <v>1.0285714285714287</v>
      </c>
      <c r="Q348" s="1979">
        <f>IF(Construction!$F$31=Construction!$R$22,Oeko!CD348,Oeko!EQ348)</f>
        <v>1.0285714285714287</v>
      </c>
      <c r="R348" s="1979">
        <f>IF(Construction!$F$31=Construction!$R$22,Oeko!CE348,Oeko!ER348)</f>
        <v>1.0285714285714287</v>
      </c>
      <c r="S348" s="1998">
        <f>IF(Construction!$F$31=Construction!$R$22,Oeko!CF348,Oeko!ES348)</f>
        <v>1.3125000000000002</v>
      </c>
      <c r="T348" s="1998">
        <f>IF(Construction!$F$31=Construction!$R$22,Oeko!CG348,Oeko!ET348)</f>
        <v>1.3125000000000002</v>
      </c>
      <c r="U348" s="1998">
        <f>IF(Construction!$F$31=Construction!$R$22,Oeko!CH348,Oeko!EU348)</f>
        <v>1.3125000000000002</v>
      </c>
      <c r="V348" s="1998">
        <f>IF(Construction!$F$31=Construction!$R$22,Oeko!CI348,Oeko!EV348)</f>
        <v>1.3125000000000002</v>
      </c>
      <c r="W348" s="1998">
        <f>IF(Construction!$F$31=Construction!$R$22,Oeko!CJ348,Oeko!EW348)</f>
        <v>1.3125000000000002</v>
      </c>
      <c r="X348" s="1979">
        <f>IF(Construction!$F$31=Construction!$R$22,Oeko!CK348,Oeko!EX348)</f>
        <v>0.99999999999999989</v>
      </c>
      <c r="Y348" s="1979">
        <f>IF(Construction!$F$31=Construction!$R$22,Oeko!CL348,Oeko!EY348)</f>
        <v>0.99999999999999989</v>
      </c>
      <c r="Z348" s="1979">
        <f>IF(Construction!$F$31=Construction!$R$22,Oeko!CM348,Oeko!EZ348)</f>
        <v>0.99999999999999989</v>
      </c>
      <c r="AA348" s="1979">
        <f>IF(Construction!$F$31=Construction!$R$22,Oeko!CN348,Oeko!FA348)</f>
        <v>0.99999999999999989</v>
      </c>
      <c r="AB348" s="1979">
        <f>IF(Construction!$F$31=Construction!$R$22,Oeko!CO348,Oeko!FB348)</f>
        <v>0.99999999999999989</v>
      </c>
      <c r="AC348" s="1998">
        <f>IF(Construction!$F$31=Construction!$R$22,Oeko!CP348,Oeko!FC348)</f>
        <v>1.0000000000000002</v>
      </c>
      <c r="AD348" s="1998">
        <f>IF(Construction!$F$31=Construction!$R$22,Oeko!CQ348,Oeko!FD348)</f>
        <v>1.0000000000000002</v>
      </c>
      <c r="AE348" s="1998">
        <f>IF(Construction!$F$31=Construction!$R$22,Oeko!CR348,Oeko!FE348)</f>
        <v>1.0000000000000002</v>
      </c>
      <c r="AF348" s="1998">
        <f>IF(Construction!$F$31=Construction!$R$22,Oeko!CS348,Oeko!FF348)</f>
        <v>1.0000000000000002</v>
      </c>
      <c r="AG348" s="1998">
        <f>IF(Construction!$F$31=Construction!$R$22,Oeko!CT348,Oeko!FG348)</f>
        <v>1.0000000000000002</v>
      </c>
      <c r="AH348" s="1979">
        <f>IF(Construction!$F$31=Construction!$R$22,Oeko!CU348,Oeko!FH348)</f>
        <v>1.5</v>
      </c>
      <c r="AI348" s="1979">
        <f>IF(Construction!$F$31=Construction!$R$22,Oeko!CV348,Oeko!FI348)</f>
        <v>1.5</v>
      </c>
      <c r="AJ348" s="1979">
        <f>IF(Construction!$F$31=Construction!$R$22,Oeko!CW348,Oeko!FJ348)</f>
        <v>1.5</v>
      </c>
      <c r="AK348" s="1979">
        <f>IF(Construction!$F$31=Construction!$R$22,Oeko!CX348,Oeko!FK348)</f>
        <v>1.5</v>
      </c>
      <c r="AL348" s="1979">
        <f>IF(Construction!$F$31=Construction!$R$22,Oeko!CY348,Oeko!FL348)</f>
        <v>1.5</v>
      </c>
      <c r="AM348" s="1998">
        <f>IF(Construction!$F$31=Construction!$R$22,Oeko!CZ348,Oeko!FM348)</f>
        <v>1.1428571428571428</v>
      </c>
      <c r="AN348" s="1998">
        <f>IF(Construction!$F$31=Construction!$R$22,Oeko!DA348,Oeko!FN348)</f>
        <v>1.1428571428571428</v>
      </c>
      <c r="AO348" s="1998">
        <f>IF(Construction!$F$31=Construction!$R$22,Oeko!DB348,Oeko!FO348)</f>
        <v>1.1428571428571428</v>
      </c>
      <c r="AP348" s="1998">
        <f>IF(Construction!$F$31=Construction!$R$22,Oeko!DC348,Oeko!FP348)</f>
        <v>1.1428571428571428</v>
      </c>
      <c r="AQ348" s="1998">
        <f>IF(Construction!$F$31=Construction!$R$22,Oeko!DD348,Oeko!FQ348)</f>
        <v>1.1428571428571428</v>
      </c>
      <c r="AR348" s="1979">
        <f>IF(Construction!$F$31=Construction!$R$22,Oeko!DE348,Oeko!FR348)</f>
        <v>12.878175625474475</v>
      </c>
      <c r="AS348" s="1979">
        <f>IF(Construction!$F$31=Construction!$R$22,Oeko!DF348,Oeko!FS348)</f>
        <v>12.878175625474475</v>
      </c>
      <c r="AT348" s="1979">
        <f>IF(Construction!$F$31=Construction!$R$22,Oeko!DG348,Oeko!FT348)</f>
        <v>12.878175625474475</v>
      </c>
      <c r="AU348" s="1979">
        <f>IF(Construction!$F$31=Construction!$R$22,Oeko!DH348,Oeko!FU348)</f>
        <v>12.878175625474475</v>
      </c>
      <c r="AV348" s="1979">
        <f>IF(Construction!$F$31=Construction!$R$22,Oeko!DI348,Oeko!FV348)</f>
        <v>12.878175625474475</v>
      </c>
      <c r="AW348" s="1998">
        <f>IF(Construction!$F$31=Construction!$R$22,Oeko!DJ348,Oeko!FW348)</f>
        <v>12.852649866938734</v>
      </c>
      <c r="AX348" s="1998">
        <f>IF(Construction!$F$31=Construction!$R$22,Oeko!DK348,Oeko!FX348)</f>
        <v>12.852649866938734</v>
      </c>
      <c r="AY348" s="1998">
        <f>IF(Construction!$F$31=Construction!$R$22,Oeko!DL348,Oeko!FY348)</f>
        <v>12.852649866938734</v>
      </c>
      <c r="AZ348" s="1998">
        <f>IF(Construction!$F$31=Construction!$R$22,Oeko!DM348,Oeko!FZ348)</f>
        <v>12.852649866938734</v>
      </c>
      <c r="BA348" s="1998">
        <f>IF(Construction!$F$31=Construction!$R$22,Oeko!DN348,Oeko!GA348)</f>
        <v>12.852649866938734</v>
      </c>
      <c r="BB348" s="1979">
        <f>IF(Construction!$F$31=Construction!$R$22,Oeko!DO348,Oeko!GB348)</f>
        <v>0.97975662301212196</v>
      </c>
      <c r="BC348" s="1979">
        <f>IF(Construction!$F$31=Construction!$R$22,Oeko!DP348,Oeko!GC348)</f>
        <v>0.97975662301212196</v>
      </c>
      <c r="BD348" s="1979">
        <f>IF(Construction!$F$31=Construction!$R$22,Oeko!DQ348,Oeko!GD348)</f>
        <v>0.97975662301212196</v>
      </c>
      <c r="BE348" s="1979">
        <f>IF(Construction!$F$31=Construction!$R$22,Oeko!DR348,Oeko!GE348)</f>
        <v>0.97975662301212196</v>
      </c>
      <c r="BF348" s="1979">
        <f>IF(Construction!$F$31=Construction!$R$22,Oeko!DS348,Oeko!GF348)</f>
        <v>0.97975662301212196</v>
      </c>
      <c r="BG348" s="1998">
        <f>IF(Construction!$F$31=Construction!$R$22,Oeko!DT348,Oeko!GG348)</f>
        <v>0.9761487634781606</v>
      </c>
      <c r="BH348" s="1998">
        <f>IF(Construction!$F$31=Construction!$R$22,Oeko!DU348,Oeko!GH348)</f>
        <v>0.9761487634781606</v>
      </c>
      <c r="BI348" s="1998">
        <f>IF(Construction!$F$31=Construction!$R$22,Oeko!DV348,Oeko!GI348)</f>
        <v>0.9761487634781606</v>
      </c>
      <c r="BJ348" s="1998">
        <f>IF(Construction!$F$31=Construction!$R$22,Oeko!DW348,Oeko!GJ348)</f>
        <v>0.9761487634781606</v>
      </c>
      <c r="BK348" s="2026">
        <f>IF(Construction!$F$31=Construction!$R$22,Oeko!DX348,Oeko!GK348)</f>
        <v>0.9761487634781606</v>
      </c>
      <c r="BN348" s="2022"/>
      <c r="BO348" s="2">
        <v>3</v>
      </c>
      <c r="BP348" s="2" t="s">
        <v>4329</v>
      </c>
      <c r="BQ348" s="1979">
        <v>1.0606060606060606</v>
      </c>
      <c r="BR348" s="1979">
        <v>1.0606060606060606</v>
      </c>
      <c r="BS348" s="1979">
        <v>1.0606060606060606</v>
      </c>
      <c r="BT348" s="1979">
        <v>1.0606060606060606</v>
      </c>
      <c r="BU348" s="1979">
        <v>1.0606060606060606</v>
      </c>
      <c r="BV348" s="1998">
        <v>1.5</v>
      </c>
      <c r="BW348" s="1998">
        <v>1.5</v>
      </c>
      <c r="BX348" s="1998">
        <v>1.5</v>
      </c>
      <c r="BY348" s="1998">
        <v>1.5</v>
      </c>
      <c r="BZ348" s="1998">
        <v>1.5</v>
      </c>
      <c r="CA348" s="1979">
        <v>1.0285714285714287</v>
      </c>
      <c r="CB348" s="1979">
        <v>1.0285714285714287</v>
      </c>
      <c r="CC348" s="1979">
        <v>1.0285714285714287</v>
      </c>
      <c r="CD348" s="1979">
        <v>1.0285714285714287</v>
      </c>
      <c r="CE348" s="1979">
        <v>1.0285714285714287</v>
      </c>
      <c r="CF348" s="1998">
        <v>1.3125000000000002</v>
      </c>
      <c r="CG348" s="1998">
        <v>1.3125000000000002</v>
      </c>
      <c r="CH348" s="1998">
        <v>1.3125000000000002</v>
      </c>
      <c r="CI348" s="1998">
        <v>1.3125000000000002</v>
      </c>
      <c r="CJ348" s="1998">
        <v>1.3125000000000002</v>
      </c>
      <c r="CK348" s="1979">
        <v>0.99999999999999989</v>
      </c>
      <c r="CL348" s="1979">
        <v>0.99999999999999989</v>
      </c>
      <c r="CM348" s="1979">
        <v>0.99999999999999989</v>
      </c>
      <c r="CN348" s="1979">
        <v>0.99999999999999989</v>
      </c>
      <c r="CO348" s="1979">
        <v>0.99999999999999989</v>
      </c>
      <c r="CP348" s="1998">
        <v>1.0000000000000002</v>
      </c>
      <c r="CQ348" s="1998">
        <v>1.0000000000000002</v>
      </c>
      <c r="CR348" s="1998">
        <v>1.0000000000000002</v>
      </c>
      <c r="CS348" s="1998">
        <v>1.0000000000000002</v>
      </c>
      <c r="CT348" s="1998">
        <v>1.0000000000000002</v>
      </c>
      <c r="CU348" s="1979">
        <v>1.5</v>
      </c>
      <c r="CV348" s="1979">
        <v>1.5</v>
      </c>
      <c r="CW348" s="1979">
        <v>1.5</v>
      </c>
      <c r="CX348" s="1979">
        <v>1.5</v>
      </c>
      <c r="CY348" s="1979">
        <v>1.5</v>
      </c>
      <c r="CZ348" s="1998">
        <v>1.1428571428571428</v>
      </c>
      <c r="DA348" s="1998">
        <v>1.1428571428571428</v>
      </c>
      <c r="DB348" s="1998">
        <v>1.1428571428571428</v>
      </c>
      <c r="DC348" s="1998">
        <v>1.1428571428571428</v>
      </c>
      <c r="DD348" s="1998">
        <v>1.1428571428571428</v>
      </c>
      <c r="DE348" s="1979">
        <v>12.878175625474475</v>
      </c>
      <c r="DF348" s="1979">
        <v>12.878175625474475</v>
      </c>
      <c r="DG348" s="1979">
        <v>12.878175625474475</v>
      </c>
      <c r="DH348" s="1979">
        <v>12.878175625474475</v>
      </c>
      <c r="DI348" s="1979">
        <v>12.878175625474475</v>
      </c>
      <c r="DJ348" s="1998">
        <v>12.852649866938734</v>
      </c>
      <c r="DK348" s="1998">
        <v>12.852649866938734</v>
      </c>
      <c r="DL348" s="1998">
        <v>12.852649866938734</v>
      </c>
      <c r="DM348" s="1998">
        <v>12.852649866938734</v>
      </c>
      <c r="DN348" s="1998">
        <v>12.852649866938734</v>
      </c>
      <c r="DO348" s="1979">
        <v>0.97975662301212196</v>
      </c>
      <c r="DP348" s="1979">
        <v>0.97975662301212196</v>
      </c>
      <c r="DQ348" s="1979">
        <v>0.97975662301212196</v>
      </c>
      <c r="DR348" s="1979">
        <v>0.97975662301212196</v>
      </c>
      <c r="DS348" s="1979">
        <v>0.97975662301212196</v>
      </c>
      <c r="DT348" s="1998">
        <v>0.9761487634781606</v>
      </c>
      <c r="DU348" s="1998">
        <v>0.9761487634781606</v>
      </c>
      <c r="DV348" s="1998">
        <v>0.9761487634781606</v>
      </c>
      <c r="DW348" s="1998">
        <v>0.9761487634781606</v>
      </c>
      <c r="DX348" s="2026">
        <v>0.9761487634781606</v>
      </c>
      <c r="EA348" s="2022"/>
      <c r="EB348" s="2">
        <v>3</v>
      </c>
      <c r="EC348" s="2" t="s">
        <v>4329</v>
      </c>
      <c r="ED348" s="1979">
        <v>1.4269322636390267</v>
      </c>
      <c r="EE348" s="1979">
        <v>1.4456772337675745</v>
      </c>
      <c r="EF348" s="1979">
        <v>1.479418179998961</v>
      </c>
      <c r="EG348" s="1979">
        <v>1.5206571142817664</v>
      </c>
      <c r="EH348" s="1979">
        <v>1.5566474569285784</v>
      </c>
      <c r="EI348" s="1998">
        <v>2.2805116353416808</v>
      </c>
      <c r="EJ348" s="1998">
        <v>2.3193940590940398</v>
      </c>
      <c r="EK348" s="1998">
        <v>2.3794850776204139</v>
      </c>
      <c r="EL348" s="1998">
        <v>2.4501803935337949</v>
      </c>
      <c r="EM348" s="1998">
        <v>2.4961323488774925</v>
      </c>
      <c r="EN348" s="1979">
        <v>1.4386244595307267</v>
      </c>
      <c r="EO348" s="1979">
        <v>1.4733661576367314</v>
      </c>
      <c r="EP348" s="1979">
        <v>1.4749820505718945</v>
      </c>
      <c r="EQ348" s="1979">
        <v>1.4765979435070571</v>
      </c>
      <c r="ER348" s="1979">
        <v>1.4782138364422202</v>
      </c>
      <c r="ES348" s="1998">
        <v>1.9054127776510359</v>
      </c>
      <c r="ET348" s="1998">
        <v>1.9491555043724405</v>
      </c>
      <c r="EU348" s="1998">
        <v>1.9518065787191925</v>
      </c>
      <c r="EV348" s="1998">
        <v>1.9544576530659439</v>
      </c>
      <c r="EW348" s="1998">
        <v>1.9571087274126957</v>
      </c>
      <c r="EX348" s="1979">
        <v>1.458176342434621</v>
      </c>
      <c r="EY348" s="1979">
        <v>1.4906961877547762</v>
      </c>
      <c r="EZ348" s="1979">
        <v>1.4935240003913115</v>
      </c>
      <c r="FA348" s="1979">
        <v>1.4963518130278466</v>
      </c>
      <c r="FB348" s="1979">
        <v>1.4991796256643819</v>
      </c>
      <c r="FC348" s="1998">
        <v>1.3693594605421104</v>
      </c>
      <c r="FD348" s="1998">
        <v>1.39645933164224</v>
      </c>
      <c r="FE348" s="1998">
        <v>1.398815842172686</v>
      </c>
      <c r="FF348" s="1998">
        <v>1.4011723527031321</v>
      </c>
      <c r="FG348" s="1998">
        <v>1.4035288632335781</v>
      </c>
      <c r="FH348" s="1979">
        <v>2.6258229059205895</v>
      </c>
      <c r="FI348" s="1979">
        <v>2.6293576717162588</v>
      </c>
      <c r="FJ348" s="1979">
        <v>2.6328924375119276</v>
      </c>
      <c r="FK348" s="1979">
        <v>2.6364272033075964</v>
      </c>
      <c r="FL348" s="1979">
        <v>2.6399619691032656</v>
      </c>
      <c r="FM348" s="1998">
        <v>1.5589226421126934</v>
      </c>
      <c r="FN348" s="1998">
        <v>1.5818144586941689</v>
      </c>
      <c r="FO348" s="1998">
        <v>1.6208652046272745</v>
      </c>
      <c r="FP348" s="1998">
        <v>1.6679954152361951</v>
      </c>
      <c r="FQ348" s="1998">
        <v>1.7056995837233317</v>
      </c>
      <c r="FR348" s="1979">
        <v>19.988039090734052</v>
      </c>
      <c r="FS348" s="1979">
        <v>20.010799758089824</v>
      </c>
      <c r="FT348" s="1979">
        <v>20.0335604254456</v>
      </c>
      <c r="FU348" s="1979">
        <v>20.056321092801372</v>
      </c>
      <c r="FV348" s="1979">
        <v>20.079081760157145</v>
      </c>
      <c r="FW348" s="1998">
        <v>20.263599218068951</v>
      </c>
      <c r="FX348" s="1998">
        <v>20.286314771635631</v>
      </c>
      <c r="FY348" s="1998">
        <v>20.309030325202315</v>
      </c>
      <c r="FZ348" s="1998">
        <v>20.331745878768999</v>
      </c>
      <c r="GA348" s="1998">
        <v>20.354461432335679</v>
      </c>
      <c r="GB348" s="1979">
        <v>1.3814890061081229</v>
      </c>
      <c r="GC348" s="1979">
        <v>1.3832206112076746</v>
      </c>
      <c r="GD348" s="1979">
        <v>1.3849522163072265</v>
      </c>
      <c r="GE348" s="1979">
        <v>1.386683821406778</v>
      </c>
      <c r="GF348" s="1979">
        <v>1.3901470316058815</v>
      </c>
      <c r="GG348" s="1998">
        <v>1.4022802351656238</v>
      </c>
      <c r="GH348" s="1998">
        <v>1.404580540006042</v>
      </c>
      <c r="GI348" s="1998">
        <v>1.4068808448464603</v>
      </c>
      <c r="GJ348" s="1998">
        <v>1.4091811496868785</v>
      </c>
      <c r="GK348" s="2026">
        <v>1.4137817593677147</v>
      </c>
    </row>
    <row r="349" spans="1:193">
      <c r="A349" s="2020"/>
      <c r="B349" s="2">
        <v>4</v>
      </c>
      <c r="C349" s="2" t="s">
        <v>4330</v>
      </c>
      <c r="D349" s="1979">
        <f>IF(Construction!$F$31=Construction!$R$22,Oeko!BQ349,Oeko!ED349)</f>
        <v>1.0606060606060606</v>
      </c>
      <c r="E349" s="1979">
        <f>IF(Construction!$F$31=Construction!$R$22,Oeko!BR349,Oeko!EE349)</f>
        <v>1.0606060606060606</v>
      </c>
      <c r="F349" s="1979">
        <f>IF(Construction!$F$31=Construction!$R$22,Oeko!BS349,Oeko!EF349)</f>
        <v>1.0606060606060606</v>
      </c>
      <c r="G349" s="1979">
        <f>IF(Construction!$F$31=Construction!$R$22,Oeko!BT349,Oeko!EG349)</f>
        <v>1.0606060606060606</v>
      </c>
      <c r="H349" s="1979">
        <f>IF(Construction!$F$31=Construction!$R$22,Oeko!BU349,Oeko!EH349)</f>
        <v>1.0606060606060606</v>
      </c>
      <c r="I349" s="1998">
        <f>IF(Construction!$F$31=Construction!$R$22,Oeko!BV349,Oeko!EI349)</f>
        <v>1.5</v>
      </c>
      <c r="J349" s="1998">
        <f>IF(Construction!$F$31=Construction!$R$22,Oeko!BW349,Oeko!EJ349)</f>
        <v>1.5</v>
      </c>
      <c r="K349" s="1998">
        <f>IF(Construction!$F$31=Construction!$R$22,Oeko!BX349,Oeko!EK349)</f>
        <v>1.5</v>
      </c>
      <c r="L349" s="1998">
        <f>IF(Construction!$F$31=Construction!$R$22,Oeko!BY349,Oeko!EL349)</f>
        <v>1.5</v>
      </c>
      <c r="M349" s="1998">
        <f>IF(Construction!$F$31=Construction!$R$22,Oeko!BZ349,Oeko!EM349)</f>
        <v>1.5</v>
      </c>
      <c r="N349" s="1979">
        <f>IF(Construction!$F$31=Construction!$R$22,Oeko!CA349,Oeko!EN349)</f>
        <v>1.0158730158730158</v>
      </c>
      <c r="O349" s="1979">
        <f>IF(Construction!$F$31=Construction!$R$22,Oeko!CB349,Oeko!EO349)</f>
        <v>1.0158730158730158</v>
      </c>
      <c r="P349" s="1979">
        <f>IF(Construction!$F$31=Construction!$R$22,Oeko!CC349,Oeko!EP349)</f>
        <v>1.0158730158730158</v>
      </c>
      <c r="Q349" s="1979">
        <f>IF(Construction!$F$31=Construction!$R$22,Oeko!CD349,Oeko!EQ349)</f>
        <v>1.0158730158730158</v>
      </c>
      <c r="R349" s="1979">
        <f>IF(Construction!$F$31=Construction!$R$22,Oeko!CE349,Oeko!ER349)</f>
        <v>1.0158730158730158</v>
      </c>
      <c r="S349" s="1998">
        <f>IF(Construction!$F$31=Construction!$R$22,Oeko!CF349,Oeko!ES349)</f>
        <v>1.25</v>
      </c>
      <c r="T349" s="1998">
        <f>IF(Construction!$F$31=Construction!$R$22,Oeko!CG349,Oeko!ET349)</f>
        <v>1.25</v>
      </c>
      <c r="U349" s="1998">
        <f>IF(Construction!$F$31=Construction!$R$22,Oeko!CH349,Oeko!EU349)</f>
        <v>1.25</v>
      </c>
      <c r="V349" s="1998">
        <f>IF(Construction!$F$31=Construction!$R$22,Oeko!CI349,Oeko!EV349)</f>
        <v>1.25</v>
      </c>
      <c r="W349" s="1998">
        <f>IF(Construction!$F$31=Construction!$R$22,Oeko!CJ349,Oeko!EW349)</f>
        <v>1.25</v>
      </c>
      <c r="X349" s="1979">
        <f>IF(Construction!$F$31=Construction!$R$22,Oeko!CK349,Oeko!EX349)</f>
        <v>0.99999999999999989</v>
      </c>
      <c r="Y349" s="1979">
        <f>IF(Construction!$F$31=Construction!$R$22,Oeko!CL349,Oeko!EY349)</f>
        <v>0.99999999999999989</v>
      </c>
      <c r="Z349" s="1979">
        <f>IF(Construction!$F$31=Construction!$R$22,Oeko!CM349,Oeko!EZ349)</f>
        <v>0.99999999999999989</v>
      </c>
      <c r="AA349" s="1979">
        <f>IF(Construction!$F$31=Construction!$R$22,Oeko!CN349,Oeko!FA349)</f>
        <v>0.99999999999999989</v>
      </c>
      <c r="AB349" s="1979">
        <f>IF(Construction!$F$31=Construction!$R$22,Oeko!CO349,Oeko!FB349)</f>
        <v>0.99999999999999989</v>
      </c>
      <c r="AC349" s="1998">
        <f>IF(Construction!$F$31=Construction!$R$22,Oeko!CP349,Oeko!FC349)</f>
        <v>1.0000000000000002</v>
      </c>
      <c r="AD349" s="1998">
        <f>IF(Construction!$F$31=Construction!$R$22,Oeko!CQ349,Oeko!FD349)</f>
        <v>1.0000000000000002</v>
      </c>
      <c r="AE349" s="1998">
        <f>IF(Construction!$F$31=Construction!$R$22,Oeko!CR349,Oeko!FE349)</f>
        <v>1.0000000000000002</v>
      </c>
      <c r="AF349" s="1998">
        <f>IF(Construction!$F$31=Construction!$R$22,Oeko!CS349,Oeko!FF349)</f>
        <v>1.0000000000000002</v>
      </c>
      <c r="AG349" s="1998">
        <f>IF(Construction!$F$31=Construction!$R$22,Oeko!CT349,Oeko!FG349)</f>
        <v>1.0000000000000002</v>
      </c>
      <c r="AH349" s="1979">
        <f>IF(Construction!$F$31=Construction!$R$22,Oeko!CU349,Oeko!FH349)</f>
        <v>1.3333333333333333</v>
      </c>
      <c r="AI349" s="1979">
        <f>IF(Construction!$F$31=Construction!$R$22,Oeko!CV349,Oeko!FI349)</f>
        <v>1.3333333333333333</v>
      </c>
      <c r="AJ349" s="1979">
        <f>IF(Construction!$F$31=Construction!$R$22,Oeko!CW349,Oeko!FJ349)</f>
        <v>1.3333333333333333</v>
      </c>
      <c r="AK349" s="1979">
        <f>IF(Construction!$F$31=Construction!$R$22,Oeko!CX349,Oeko!FK349)</f>
        <v>1.3333333333333333</v>
      </c>
      <c r="AL349" s="1979">
        <f>IF(Construction!$F$31=Construction!$R$22,Oeko!CY349,Oeko!FL349)</f>
        <v>1.3333333333333333</v>
      </c>
      <c r="AM349" s="1998">
        <f>IF(Construction!$F$31=Construction!$R$22,Oeko!CZ349,Oeko!FM349)</f>
        <v>1.1428571428571428</v>
      </c>
      <c r="AN349" s="1998">
        <f>IF(Construction!$F$31=Construction!$R$22,Oeko!DA349,Oeko!FN349)</f>
        <v>1.1428571428571428</v>
      </c>
      <c r="AO349" s="1998">
        <f>IF(Construction!$F$31=Construction!$R$22,Oeko!DB349,Oeko!FO349)</f>
        <v>1.1428571428571428</v>
      </c>
      <c r="AP349" s="1998">
        <f>IF(Construction!$F$31=Construction!$R$22,Oeko!DC349,Oeko!FP349)</f>
        <v>1.1428571428571428</v>
      </c>
      <c r="AQ349" s="1998">
        <f>IF(Construction!$F$31=Construction!$R$22,Oeko!DD349,Oeko!FQ349)</f>
        <v>1.1428571428571428</v>
      </c>
      <c r="AR349" s="1979">
        <f>IF(Construction!$F$31=Construction!$R$22,Oeko!DE349,Oeko!FR349)</f>
        <v>12.073289648882321</v>
      </c>
      <c r="AS349" s="1979">
        <f>IF(Construction!$F$31=Construction!$R$22,Oeko!DF349,Oeko!FS349)</f>
        <v>12.073289648882321</v>
      </c>
      <c r="AT349" s="1979">
        <f>IF(Construction!$F$31=Construction!$R$22,Oeko!DG349,Oeko!FT349)</f>
        <v>12.073289648882321</v>
      </c>
      <c r="AU349" s="1979">
        <f>IF(Construction!$F$31=Construction!$R$22,Oeko!DH349,Oeko!FU349)</f>
        <v>12.073289648882321</v>
      </c>
      <c r="AV349" s="1979">
        <f>IF(Construction!$F$31=Construction!$R$22,Oeko!DI349,Oeko!FV349)</f>
        <v>12.073289648882321</v>
      </c>
      <c r="AW349" s="1998">
        <f>IF(Construction!$F$31=Construction!$R$22,Oeko!DJ349,Oeko!FW349)</f>
        <v>12.049359250255064</v>
      </c>
      <c r="AX349" s="1998">
        <f>IF(Construction!$F$31=Construction!$R$22,Oeko!DK349,Oeko!FX349)</f>
        <v>12.049359250255064</v>
      </c>
      <c r="AY349" s="1998">
        <f>IF(Construction!$F$31=Construction!$R$22,Oeko!DL349,Oeko!FY349)</f>
        <v>12.049359250255064</v>
      </c>
      <c r="AZ349" s="1998">
        <f>IF(Construction!$F$31=Construction!$R$22,Oeko!DM349,Oeko!FZ349)</f>
        <v>12.049359250255064</v>
      </c>
      <c r="BA349" s="1998">
        <f>IF(Construction!$F$31=Construction!$R$22,Oeko!DN349,Oeko!GA349)</f>
        <v>12.049359250255064</v>
      </c>
      <c r="BB349" s="1979">
        <f>IF(Construction!$F$31=Construction!$R$22,Oeko!DO349,Oeko!GB349)</f>
        <v>0.97975662301212196</v>
      </c>
      <c r="BC349" s="1979">
        <f>IF(Construction!$F$31=Construction!$R$22,Oeko!DP349,Oeko!GC349)</f>
        <v>0.97975662301212196</v>
      </c>
      <c r="BD349" s="1979">
        <f>IF(Construction!$F$31=Construction!$R$22,Oeko!DQ349,Oeko!GD349)</f>
        <v>0.97975662301212196</v>
      </c>
      <c r="BE349" s="1979">
        <f>IF(Construction!$F$31=Construction!$R$22,Oeko!DR349,Oeko!GE349)</f>
        <v>0.97975662301212196</v>
      </c>
      <c r="BF349" s="1979">
        <f>IF(Construction!$F$31=Construction!$R$22,Oeko!DS349,Oeko!GF349)</f>
        <v>0.97975662301212196</v>
      </c>
      <c r="BG349" s="1998">
        <f>IF(Construction!$F$31=Construction!$R$22,Oeko!DT349,Oeko!GG349)</f>
        <v>0.9761487634781606</v>
      </c>
      <c r="BH349" s="1998">
        <f>IF(Construction!$F$31=Construction!$R$22,Oeko!DU349,Oeko!GH349)</f>
        <v>0.9761487634781606</v>
      </c>
      <c r="BI349" s="1998">
        <f>IF(Construction!$F$31=Construction!$R$22,Oeko!DV349,Oeko!GI349)</f>
        <v>0.9761487634781606</v>
      </c>
      <c r="BJ349" s="1998">
        <f>IF(Construction!$F$31=Construction!$R$22,Oeko!DW349,Oeko!GJ349)</f>
        <v>0.9761487634781606</v>
      </c>
      <c r="BK349" s="2026">
        <f>IF(Construction!$F$31=Construction!$R$22,Oeko!DX349,Oeko!GK349)</f>
        <v>0.9761487634781606</v>
      </c>
      <c r="BN349" s="2022"/>
      <c r="BO349" s="2">
        <v>4</v>
      </c>
      <c r="BP349" s="2" t="s">
        <v>4330</v>
      </c>
      <c r="BQ349" s="1979">
        <v>1.0606060606060606</v>
      </c>
      <c r="BR349" s="1979">
        <v>1.0606060606060606</v>
      </c>
      <c r="BS349" s="1979">
        <v>1.0606060606060606</v>
      </c>
      <c r="BT349" s="1979">
        <v>1.0606060606060606</v>
      </c>
      <c r="BU349" s="1979">
        <v>1.0606060606060606</v>
      </c>
      <c r="BV349" s="1998">
        <v>1.5</v>
      </c>
      <c r="BW349" s="1998">
        <v>1.5</v>
      </c>
      <c r="BX349" s="1998">
        <v>1.5</v>
      </c>
      <c r="BY349" s="1998">
        <v>1.5</v>
      </c>
      <c r="BZ349" s="1998">
        <v>1.5</v>
      </c>
      <c r="CA349" s="1979">
        <v>1.0158730158730158</v>
      </c>
      <c r="CB349" s="1979">
        <v>1.0158730158730158</v>
      </c>
      <c r="CC349" s="1979">
        <v>1.0158730158730158</v>
      </c>
      <c r="CD349" s="1979">
        <v>1.0158730158730158</v>
      </c>
      <c r="CE349" s="1979">
        <v>1.0158730158730158</v>
      </c>
      <c r="CF349" s="1998">
        <v>1.25</v>
      </c>
      <c r="CG349" s="1998">
        <v>1.25</v>
      </c>
      <c r="CH349" s="1998">
        <v>1.25</v>
      </c>
      <c r="CI349" s="1998">
        <v>1.25</v>
      </c>
      <c r="CJ349" s="1998">
        <v>1.25</v>
      </c>
      <c r="CK349" s="1979">
        <v>0.99999999999999989</v>
      </c>
      <c r="CL349" s="1979">
        <v>0.99999999999999989</v>
      </c>
      <c r="CM349" s="1979">
        <v>0.99999999999999989</v>
      </c>
      <c r="CN349" s="1979">
        <v>0.99999999999999989</v>
      </c>
      <c r="CO349" s="1979">
        <v>0.99999999999999989</v>
      </c>
      <c r="CP349" s="1998">
        <v>1.0000000000000002</v>
      </c>
      <c r="CQ349" s="1998">
        <v>1.0000000000000002</v>
      </c>
      <c r="CR349" s="1998">
        <v>1.0000000000000002</v>
      </c>
      <c r="CS349" s="1998">
        <v>1.0000000000000002</v>
      </c>
      <c r="CT349" s="1998">
        <v>1.0000000000000002</v>
      </c>
      <c r="CU349" s="1979">
        <v>1.3333333333333333</v>
      </c>
      <c r="CV349" s="1979">
        <v>1.3333333333333333</v>
      </c>
      <c r="CW349" s="1979">
        <v>1.3333333333333333</v>
      </c>
      <c r="CX349" s="1979">
        <v>1.3333333333333333</v>
      </c>
      <c r="CY349" s="1979">
        <v>1.3333333333333333</v>
      </c>
      <c r="CZ349" s="1998">
        <v>1.1428571428571428</v>
      </c>
      <c r="DA349" s="1998">
        <v>1.1428571428571428</v>
      </c>
      <c r="DB349" s="1998">
        <v>1.1428571428571428</v>
      </c>
      <c r="DC349" s="1998">
        <v>1.1428571428571428</v>
      </c>
      <c r="DD349" s="1998">
        <v>1.1428571428571428</v>
      </c>
      <c r="DE349" s="1979">
        <v>12.073289648882321</v>
      </c>
      <c r="DF349" s="1979">
        <v>12.073289648882321</v>
      </c>
      <c r="DG349" s="1979">
        <v>12.073289648882321</v>
      </c>
      <c r="DH349" s="1979">
        <v>12.073289648882321</v>
      </c>
      <c r="DI349" s="1979">
        <v>12.073289648882321</v>
      </c>
      <c r="DJ349" s="1998">
        <v>12.049359250255064</v>
      </c>
      <c r="DK349" s="1998">
        <v>12.049359250255064</v>
      </c>
      <c r="DL349" s="1998">
        <v>12.049359250255064</v>
      </c>
      <c r="DM349" s="1998">
        <v>12.049359250255064</v>
      </c>
      <c r="DN349" s="1998">
        <v>12.049359250255064</v>
      </c>
      <c r="DO349" s="1979">
        <v>0.97975662301212196</v>
      </c>
      <c r="DP349" s="1979">
        <v>0.97975662301212196</v>
      </c>
      <c r="DQ349" s="1979">
        <v>0.97975662301212196</v>
      </c>
      <c r="DR349" s="1979">
        <v>0.97975662301212196</v>
      </c>
      <c r="DS349" s="1979">
        <v>0.97975662301212196</v>
      </c>
      <c r="DT349" s="1998">
        <v>0.9761487634781606</v>
      </c>
      <c r="DU349" s="1998">
        <v>0.9761487634781606</v>
      </c>
      <c r="DV349" s="1998">
        <v>0.9761487634781606</v>
      </c>
      <c r="DW349" s="1998">
        <v>0.9761487634781606</v>
      </c>
      <c r="DX349" s="2026">
        <v>0.9761487634781606</v>
      </c>
      <c r="EA349" s="2022"/>
      <c r="EB349" s="2">
        <v>4</v>
      </c>
      <c r="EC349" s="2" t="s">
        <v>4330</v>
      </c>
      <c r="ED349" s="1979">
        <v>1.4230396831421324</v>
      </c>
      <c r="EE349" s="1979">
        <v>1.44178465327068</v>
      </c>
      <c r="EF349" s="1979">
        <v>1.4755255995020671</v>
      </c>
      <c r="EG349" s="1979">
        <v>1.5167645337848719</v>
      </c>
      <c r="EH349" s="1979">
        <v>1.5527548764316843</v>
      </c>
      <c r="EI349" s="1998">
        <v>2.2937670070754397</v>
      </c>
      <c r="EJ349" s="1998">
        <v>2.3326494308277987</v>
      </c>
      <c r="EK349" s="1998">
        <v>2.3927404493541728</v>
      </c>
      <c r="EL349" s="1998">
        <v>2.4634357652675534</v>
      </c>
      <c r="EM349" s="1998">
        <v>2.5093877206112514</v>
      </c>
      <c r="EN349" s="1979">
        <v>1.4353969748689641</v>
      </c>
      <c r="EO349" s="1979">
        <v>1.4695102701668494</v>
      </c>
      <c r="EP349" s="1979">
        <v>1.4713057067614748</v>
      </c>
      <c r="EQ349" s="1979">
        <v>1.4731011433561005</v>
      </c>
      <c r="ER349" s="1979">
        <v>1.4748965799507259</v>
      </c>
      <c r="ES349" s="1998">
        <v>1.8722955183275347</v>
      </c>
      <c r="ET349" s="1998">
        <v>1.9129453249777288</v>
      </c>
      <c r="EU349" s="1998">
        <v>1.9164800907733979</v>
      </c>
      <c r="EV349" s="1998">
        <v>1.9200148565690671</v>
      </c>
      <c r="EW349" s="1998">
        <v>1.9235496223647361</v>
      </c>
      <c r="EX349" s="1979">
        <v>1.4624180613894238</v>
      </c>
      <c r="EY349" s="1979">
        <v>1.4949379067095792</v>
      </c>
      <c r="EZ349" s="1979">
        <v>1.4977657193461145</v>
      </c>
      <c r="FA349" s="1979">
        <v>1.5005935319826496</v>
      </c>
      <c r="FB349" s="1979">
        <v>1.5034213446191849</v>
      </c>
      <c r="FC349" s="1998">
        <v>1.3845825185687917</v>
      </c>
      <c r="FD349" s="1998">
        <v>1.410032832297609</v>
      </c>
      <c r="FE349" s="1998">
        <v>1.4128606449341443</v>
      </c>
      <c r="FF349" s="1998">
        <v>1.4156884575706794</v>
      </c>
      <c r="FG349" s="1998">
        <v>1.4185162702072147</v>
      </c>
      <c r="FH349" s="1979">
        <v>2.5345645762281954</v>
      </c>
      <c r="FI349" s="1979">
        <v>2.5392775972890873</v>
      </c>
      <c r="FJ349" s="1979">
        <v>2.5439906183499796</v>
      </c>
      <c r="FK349" s="1979">
        <v>2.5487036394108715</v>
      </c>
      <c r="FL349" s="1979">
        <v>2.5534166604717634</v>
      </c>
      <c r="FM349" s="1998">
        <v>1.567002106788508</v>
      </c>
      <c r="FN349" s="1998">
        <v>1.5898939233699838</v>
      </c>
      <c r="FO349" s="1998">
        <v>1.6289446693030896</v>
      </c>
      <c r="FP349" s="1998">
        <v>1.6760748799120102</v>
      </c>
      <c r="FQ349" s="1998">
        <v>1.7137790483991466</v>
      </c>
      <c r="FR349" s="1979">
        <v>19.534520916446645</v>
      </c>
      <c r="FS349" s="1979">
        <v>19.562971750641363</v>
      </c>
      <c r="FT349" s="1979">
        <v>19.591422584836078</v>
      </c>
      <c r="FU349" s="1979">
        <v>19.619873419030796</v>
      </c>
      <c r="FV349" s="1979">
        <v>19.64832425322551</v>
      </c>
      <c r="FW349" s="1998">
        <v>19.82132364914148</v>
      </c>
      <c r="FX349" s="1998">
        <v>19.849718091099835</v>
      </c>
      <c r="FY349" s="1998">
        <v>19.878112533058189</v>
      </c>
      <c r="FZ349" s="1998">
        <v>19.906506975016544</v>
      </c>
      <c r="GA349" s="1998">
        <v>19.934901416974895</v>
      </c>
      <c r="GB349" s="1979">
        <v>1.3814890061081229</v>
      </c>
      <c r="GC349" s="1979">
        <v>1.3832206112076744</v>
      </c>
      <c r="GD349" s="1979">
        <v>1.3849522163072265</v>
      </c>
      <c r="GE349" s="1979">
        <v>1.3866838214067778</v>
      </c>
      <c r="GF349" s="1979">
        <v>1.3901470316058815</v>
      </c>
      <c r="GG349" s="1998">
        <v>1.4229829787293873</v>
      </c>
      <c r="GH349" s="1998">
        <v>1.4247082073597006</v>
      </c>
      <c r="GI349" s="1998">
        <v>1.4264334359900146</v>
      </c>
      <c r="GJ349" s="1998">
        <v>1.4281586646203281</v>
      </c>
      <c r="GK349" s="2026">
        <v>1.4316091218809552</v>
      </c>
    </row>
    <row r="350" spans="1:193">
      <c r="A350" s="2020"/>
      <c r="B350" s="2">
        <v>5</v>
      </c>
      <c r="C350" s="2" t="s">
        <v>4331</v>
      </c>
      <c r="D350" s="1979">
        <f>IF(Construction!$F$31=Construction!$R$22,Oeko!BQ350,Oeko!ED350)</f>
        <v>1.0606060606060606</v>
      </c>
      <c r="E350" s="1979">
        <f>IF(Construction!$F$31=Construction!$R$22,Oeko!BR350,Oeko!EE350)</f>
        <v>1.0606060606060606</v>
      </c>
      <c r="F350" s="1979">
        <f>IF(Construction!$F$31=Construction!$R$22,Oeko!BS350,Oeko!EF350)</f>
        <v>1.0606060606060606</v>
      </c>
      <c r="G350" s="1979">
        <f>IF(Construction!$F$31=Construction!$R$22,Oeko!BT350,Oeko!EG350)</f>
        <v>1.0606060606060606</v>
      </c>
      <c r="H350" s="1979">
        <f>IF(Construction!$F$31=Construction!$R$22,Oeko!BU350,Oeko!EH350)</f>
        <v>1.0606060606060606</v>
      </c>
      <c r="I350" s="1998">
        <f>IF(Construction!$F$31=Construction!$R$22,Oeko!BV350,Oeko!EI350)</f>
        <v>1.4999999999999998</v>
      </c>
      <c r="J350" s="1998">
        <f>IF(Construction!$F$31=Construction!$R$22,Oeko!BW350,Oeko!EJ350)</f>
        <v>1.4999999999999998</v>
      </c>
      <c r="K350" s="1998">
        <f>IF(Construction!$F$31=Construction!$R$22,Oeko!BX350,Oeko!EK350)</f>
        <v>1.4999999999999998</v>
      </c>
      <c r="L350" s="1998">
        <f>IF(Construction!$F$31=Construction!$R$22,Oeko!BY350,Oeko!EL350)</f>
        <v>1.4999999999999998</v>
      </c>
      <c r="M350" s="1998">
        <f>IF(Construction!$F$31=Construction!$R$22,Oeko!BZ350,Oeko!EM350)</f>
        <v>1.4999999999999998</v>
      </c>
      <c r="N350" s="1979">
        <f>IF(Construction!$F$31=Construction!$R$22,Oeko!CA350,Oeko!EN350)</f>
        <v>1.015873015873016</v>
      </c>
      <c r="O350" s="1979">
        <f>IF(Construction!$F$31=Construction!$R$22,Oeko!CB350,Oeko!EO350)</f>
        <v>1.015873015873016</v>
      </c>
      <c r="P350" s="1979">
        <f>IF(Construction!$F$31=Construction!$R$22,Oeko!CC350,Oeko!EP350)</f>
        <v>1.015873015873016</v>
      </c>
      <c r="Q350" s="1979">
        <f>IF(Construction!$F$31=Construction!$R$22,Oeko!CD350,Oeko!EQ350)</f>
        <v>1.015873015873016</v>
      </c>
      <c r="R350" s="1979">
        <f>IF(Construction!$F$31=Construction!$R$22,Oeko!CE350,Oeko!ER350)</f>
        <v>1.015873015873016</v>
      </c>
      <c r="S350" s="1998">
        <f>IF(Construction!$F$31=Construction!$R$22,Oeko!CF350,Oeko!ES350)</f>
        <v>1.25</v>
      </c>
      <c r="T350" s="1998">
        <f>IF(Construction!$F$31=Construction!$R$22,Oeko!CG350,Oeko!ET350)</f>
        <v>1.25</v>
      </c>
      <c r="U350" s="1998">
        <f>IF(Construction!$F$31=Construction!$R$22,Oeko!CH350,Oeko!EU350)</f>
        <v>1.25</v>
      </c>
      <c r="V350" s="1998">
        <f>IF(Construction!$F$31=Construction!$R$22,Oeko!CI350,Oeko!EV350)</f>
        <v>1.25</v>
      </c>
      <c r="W350" s="1998">
        <f>IF(Construction!$F$31=Construction!$R$22,Oeko!CJ350,Oeko!EW350)</f>
        <v>1.25</v>
      </c>
      <c r="X350" s="1979">
        <f>IF(Construction!$F$31=Construction!$R$22,Oeko!CK350,Oeko!EX350)</f>
        <v>1</v>
      </c>
      <c r="Y350" s="1979">
        <f>IF(Construction!$F$31=Construction!$R$22,Oeko!CL350,Oeko!EY350)</f>
        <v>1</v>
      </c>
      <c r="Z350" s="1979">
        <f>IF(Construction!$F$31=Construction!$R$22,Oeko!CM350,Oeko!EZ350)</f>
        <v>1</v>
      </c>
      <c r="AA350" s="1979">
        <f>IF(Construction!$F$31=Construction!$R$22,Oeko!CN350,Oeko!FA350)</f>
        <v>1</v>
      </c>
      <c r="AB350" s="1979">
        <f>IF(Construction!$F$31=Construction!$R$22,Oeko!CO350,Oeko!FB350)</f>
        <v>1</v>
      </c>
      <c r="AC350" s="1998">
        <f>IF(Construction!$F$31=Construction!$R$22,Oeko!CP350,Oeko!FC350)</f>
        <v>1</v>
      </c>
      <c r="AD350" s="1998">
        <f>IF(Construction!$F$31=Construction!$R$22,Oeko!CQ350,Oeko!FD350)</f>
        <v>1</v>
      </c>
      <c r="AE350" s="1998">
        <f>IF(Construction!$F$31=Construction!$R$22,Oeko!CR350,Oeko!FE350)</f>
        <v>1</v>
      </c>
      <c r="AF350" s="1998">
        <f>IF(Construction!$F$31=Construction!$R$22,Oeko!CS350,Oeko!FF350)</f>
        <v>1</v>
      </c>
      <c r="AG350" s="1998">
        <f>IF(Construction!$F$31=Construction!$R$22,Oeko!CT350,Oeko!FG350)</f>
        <v>1</v>
      </c>
      <c r="AH350" s="1979">
        <f>IF(Construction!$F$31=Construction!$R$22,Oeko!CU350,Oeko!FH350)</f>
        <v>1.3333333333333333</v>
      </c>
      <c r="AI350" s="1979">
        <f>IF(Construction!$F$31=Construction!$R$22,Oeko!CV350,Oeko!FI350)</f>
        <v>1.3333333333333333</v>
      </c>
      <c r="AJ350" s="1979">
        <f>IF(Construction!$F$31=Construction!$R$22,Oeko!CW350,Oeko!FJ350)</f>
        <v>1.3333333333333333</v>
      </c>
      <c r="AK350" s="1979">
        <f>IF(Construction!$F$31=Construction!$R$22,Oeko!CX350,Oeko!FK350)</f>
        <v>1.3333333333333333</v>
      </c>
      <c r="AL350" s="1979">
        <f>IF(Construction!$F$31=Construction!$R$22,Oeko!CY350,Oeko!FL350)</f>
        <v>1.3333333333333333</v>
      </c>
      <c r="AM350" s="1998">
        <f>IF(Construction!$F$31=Construction!$R$22,Oeko!CZ350,Oeko!FM350)</f>
        <v>1.0666666666666667</v>
      </c>
      <c r="AN350" s="1998">
        <f>IF(Construction!$F$31=Construction!$R$22,Oeko!DA350,Oeko!FN350)</f>
        <v>1.0666666666666667</v>
      </c>
      <c r="AO350" s="1998">
        <f>IF(Construction!$F$31=Construction!$R$22,Oeko!DB350,Oeko!FO350)</f>
        <v>1.0666666666666667</v>
      </c>
      <c r="AP350" s="1998">
        <f>IF(Construction!$F$31=Construction!$R$22,Oeko!DC350,Oeko!FP350)</f>
        <v>1.0666666666666667</v>
      </c>
      <c r="AQ350" s="1998">
        <f>IF(Construction!$F$31=Construction!$R$22,Oeko!DD350,Oeko!FQ350)</f>
        <v>1.0666666666666667</v>
      </c>
      <c r="AR350" s="1979">
        <f>IF(Construction!$F$31=Construction!$R$22,Oeko!DE350,Oeko!FR350)</f>
        <v>12.073289648882321</v>
      </c>
      <c r="AS350" s="1979">
        <f>IF(Construction!$F$31=Construction!$R$22,Oeko!DF350,Oeko!FS350)</f>
        <v>12.073289648882321</v>
      </c>
      <c r="AT350" s="1979">
        <f>IF(Construction!$F$31=Construction!$R$22,Oeko!DG350,Oeko!FT350)</f>
        <v>12.073289648882321</v>
      </c>
      <c r="AU350" s="1979">
        <f>IF(Construction!$F$31=Construction!$R$22,Oeko!DH350,Oeko!FU350)</f>
        <v>12.073289648882321</v>
      </c>
      <c r="AV350" s="1979">
        <f>IF(Construction!$F$31=Construction!$R$22,Oeko!DI350,Oeko!FV350)</f>
        <v>12.073289648882321</v>
      </c>
      <c r="AW350" s="1998">
        <f>IF(Construction!$F$31=Construction!$R$22,Oeko!DJ350,Oeko!FW350)</f>
        <v>10.71054155578228</v>
      </c>
      <c r="AX350" s="1998">
        <f>IF(Construction!$F$31=Construction!$R$22,Oeko!DK350,Oeko!FX350)</f>
        <v>10.71054155578228</v>
      </c>
      <c r="AY350" s="1998">
        <f>IF(Construction!$F$31=Construction!$R$22,Oeko!DL350,Oeko!FY350)</f>
        <v>10.71054155578228</v>
      </c>
      <c r="AZ350" s="1998">
        <f>IF(Construction!$F$31=Construction!$R$22,Oeko!DM350,Oeko!FZ350)</f>
        <v>10.71054155578228</v>
      </c>
      <c r="BA350" s="1998">
        <f>IF(Construction!$F$31=Construction!$R$22,Oeko!DN350,Oeko!GA350)</f>
        <v>10.71054155578228</v>
      </c>
      <c r="BB350" s="1979">
        <f>IF(Construction!$F$31=Construction!$R$22,Oeko!DO350,Oeko!GB350)</f>
        <v>0.97975662301212196</v>
      </c>
      <c r="BC350" s="1979">
        <f>IF(Construction!$F$31=Construction!$R$22,Oeko!DP350,Oeko!GC350)</f>
        <v>0.97975662301212196</v>
      </c>
      <c r="BD350" s="1979">
        <f>IF(Construction!$F$31=Construction!$R$22,Oeko!DQ350,Oeko!GD350)</f>
        <v>0.97975662301212196</v>
      </c>
      <c r="BE350" s="1979">
        <f>IF(Construction!$F$31=Construction!$R$22,Oeko!DR350,Oeko!GE350)</f>
        <v>0.97975662301212196</v>
      </c>
      <c r="BF350" s="1979">
        <f>IF(Construction!$F$31=Construction!$R$22,Oeko!DS350,Oeko!GF350)</f>
        <v>0.97975662301212196</v>
      </c>
      <c r="BG350" s="1998">
        <f>IF(Construction!$F$31=Construction!$R$22,Oeko!DT350,Oeko!GG350)</f>
        <v>0.9761487634781606</v>
      </c>
      <c r="BH350" s="1998">
        <f>IF(Construction!$F$31=Construction!$R$22,Oeko!DU350,Oeko!GH350)</f>
        <v>0.9761487634781606</v>
      </c>
      <c r="BI350" s="1998">
        <f>IF(Construction!$F$31=Construction!$R$22,Oeko!DV350,Oeko!GI350)</f>
        <v>0.9761487634781606</v>
      </c>
      <c r="BJ350" s="1998">
        <f>IF(Construction!$F$31=Construction!$R$22,Oeko!DW350,Oeko!GJ350)</f>
        <v>0.9761487634781606</v>
      </c>
      <c r="BK350" s="2026">
        <f>IF(Construction!$F$31=Construction!$R$22,Oeko!DX350,Oeko!GK350)</f>
        <v>0.9761487634781606</v>
      </c>
      <c r="BN350" s="2022"/>
      <c r="BO350" s="2">
        <v>5</v>
      </c>
      <c r="BP350" s="2" t="s">
        <v>4331</v>
      </c>
      <c r="BQ350" s="1979">
        <v>1.0606060606060606</v>
      </c>
      <c r="BR350" s="1979">
        <v>1.0606060606060606</v>
      </c>
      <c r="BS350" s="1979">
        <v>1.0606060606060606</v>
      </c>
      <c r="BT350" s="1979">
        <v>1.0606060606060606</v>
      </c>
      <c r="BU350" s="1979">
        <v>1.0606060606060606</v>
      </c>
      <c r="BV350" s="1998">
        <v>1.4999999999999998</v>
      </c>
      <c r="BW350" s="1998">
        <v>1.4999999999999998</v>
      </c>
      <c r="BX350" s="1998">
        <v>1.4999999999999998</v>
      </c>
      <c r="BY350" s="1998">
        <v>1.4999999999999998</v>
      </c>
      <c r="BZ350" s="1998">
        <v>1.4999999999999998</v>
      </c>
      <c r="CA350" s="1979">
        <v>1.015873015873016</v>
      </c>
      <c r="CB350" s="1979">
        <v>1.015873015873016</v>
      </c>
      <c r="CC350" s="1979">
        <v>1.015873015873016</v>
      </c>
      <c r="CD350" s="1979">
        <v>1.015873015873016</v>
      </c>
      <c r="CE350" s="1979">
        <v>1.015873015873016</v>
      </c>
      <c r="CF350" s="1998">
        <v>1.25</v>
      </c>
      <c r="CG350" s="1998">
        <v>1.25</v>
      </c>
      <c r="CH350" s="1998">
        <v>1.25</v>
      </c>
      <c r="CI350" s="1998">
        <v>1.25</v>
      </c>
      <c r="CJ350" s="1998">
        <v>1.25</v>
      </c>
      <c r="CK350" s="1979">
        <v>1</v>
      </c>
      <c r="CL350" s="1979">
        <v>1</v>
      </c>
      <c r="CM350" s="1979">
        <v>1</v>
      </c>
      <c r="CN350" s="1979">
        <v>1</v>
      </c>
      <c r="CO350" s="1979">
        <v>1</v>
      </c>
      <c r="CP350" s="1998">
        <v>1</v>
      </c>
      <c r="CQ350" s="1998">
        <v>1</v>
      </c>
      <c r="CR350" s="1998">
        <v>1</v>
      </c>
      <c r="CS350" s="1998">
        <v>1</v>
      </c>
      <c r="CT350" s="1998">
        <v>1</v>
      </c>
      <c r="CU350" s="1979">
        <v>1.3333333333333333</v>
      </c>
      <c r="CV350" s="1979">
        <v>1.3333333333333333</v>
      </c>
      <c r="CW350" s="1979">
        <v>1.3333333333333333</v>
      </c>
      <c r="CX350" s="1979">
        <v>1.3333333333333333</v>
      </c>
      <c r="CY350" s="1979">
        <v>1.3333333333333333</v>
      </c>
      <c r="CZ350" s="1998">
        <v>1.0666666666666667</v>
      </c>
      <c r="DA350" s="1998">
        <v>1.0666666666666667</v>
      </c>
      <c r="DB350" s="1998">
        <v>1.0666666666666667</v>
      </c>
      <c r="DC350" s="1998">
        <v>1.0666666666666667</v>
      </c>
      <c r="DD350" s="1998">
        <v>1.0666666666666667</v>
      </c>
      <c r="DE350" s="1979">
        <v>12.073289648882321</v>
      </c>
      <c r="DF350" s="1979">
        <v>12.073289648882321</v>
      </c>
      <c r="DG350" s="1979">
        <v>12.073289648882321</v>
      </c>
      <c r="DH350" s="1979">
        <v>12.073289648882321</v>
      </c>
      <c r="DI350" s="1979">
        <v>12.073289648882321</v>
      </c>
      <c r="DJ350" s="1998">
        <v>10.71054155578228</v>
      </c>
      <c r="DK350" s="1998">
        <v>10.71054155578228</v>
      </c>
      <c r="DL350" s="1998">
        <v>10.71054155578228</v>
      </c>
      <c r="DM350" s="1998">
        <v>10.71054155578228</v>
      </c>
      <c r="DN350" s="1998">
        <v>10.71054155578228</v>
      </c>
      <c r="DO350" s="1979">
        <v>0.97975662301212196</v>
      </c>
      <c r="DP350" s="1979">
        <v>0.97975662301212196</v>
      </c>
      <c r="DQ350" s="1979">
        <v>0.97975662301212196</v>
      </c>
      <c r="DR350" s="1979">
        <v>0.97975662301212196</v>
      </c>
      <c r="DS350" s="1979">
        <v>0.97975662301212196</v>
      </c>
      <c r="DT350" s="1998">
        <v>0.9761487634781606</v>
      </c>
      <c r="DU350" s="1998">
        <v>0.9761487634781606</v>
      </c>
      <c r="DV350" s="1998">
        <v>0.9761487634781606</v>
      </c>
      <c r="DW350" s="1998">
        <v>0.9761487634781606</v>
      </c>
      <c r="DX350" s="2026">
        <v>0.9761487634781606</v>
      </c>
      <c r="EA350" s="2022"/>
      <c r="EB350" s="2">
        <v>5</v>
      </c>
      <c r="EC350" s="2" t="s">
        <v>4331</v>
      </c>
      <c r="ED350" s="1979">
        <v>1.4194282771971665</v>
      </c>
      <c r="EE350" s="1979">
        <v>1.4381732473257143</v>
      </c>
      <c r="EF350" s="1979">
        <v>1.4719141935571005</v>
      </c>
      <c r="EG350" s="1979">
        <v>1.513153127839906</v>
      </c>
      <c r="EH350" s="1979">
        <v>1.5491434704867184</v>
      </c>
      <c r="EI350" s="1998">
        <v>2.3026039215646121</v>
      </c>
      <c r="EJ350" s="1998">
        <v>2.3414863453169712</v>
      </c>
      <c r="EK350" s="1998">
        <v>2.4015773638433453</v>
      </c>
      <c r="EL350" s="1998">
        <v>2.4722726797567263</v>
      </c>
      <c r="EM350" s="1998">
        <v>2.5182246351004238</v>
      </c>
      <c r="EN350" s="1979">
        <v>1.4396050293876175</v>
      </c>
      <c r="EO350" s="1979">
        <v>1.473718324685503</v>
      </c>
      <c r="EP350" s="1979">
        <v>1.4755137612801286</v>
      </c>
      <c r="EQ350" s="1979">
        <v>1.4773091978747541</v>
      </c>
      <c r="ER350" s="1979">
        <v>1.4791046344693797</v>
      </c>
      <c r="ES350" s="1998">
        <v>1.8762721298476623</v>
      </c>
      <c r="ET350" s="1998">
        <v>1.9169219364978565</v>
      </c>
      <c r="EU350" s="1998">
        <v>1.9204567022935255</v>
      </c>
      <c r="EV350" s="1998">
        <v>1.9239914680891947</v>
      </c>
      <c r="EW350" s="1998">
        <v>1.9275262338848638</v>
      </c>
      <c r="EX350" s="1979">
        <v>1.4662053104562123</v>
      </c>
      <c r="EY350" s="1979">
        <v>1.4987251557763674</v>
      </c>
      <c r="EZ350" s="1979">
        <v>1.5015529684129028</v>
      </c>
      <c r="FA350" s="1979">
        <v>1.5043807810494378</v>
      </c>
      <c r="FB350" s="1979">
        <v>1.5072085936859732</v>
      </c>
      <c r="FC350" s="1998">
        <v>1.3997820114901687</v>
      </c>
      <c r="FD350" s="1998">
        <v>1.4227579891620177</v>
      </c>
      <c r="FE350" s="1998">
        <v>1.4262927549576867</v>
      </c>
      <c r="FF350" s="1998">
        <v>1.4298275207533555</v>
      </c>
      <c r="FG350" s="1998">
        <v>1.4333622865490248</v>
      </c>
      <c r="FH350" s="1979">
        <v>2.5398667249216991</v>
      </c>
      <c r="FI350" s="1979">
        <v>2.544579745982591</v>
      </c>
      <c r="FJ350" s="1979">
        <v>2.5492927670434828</v>
      </c>
      <c r="FK350" s="1979">
        <v>2.5540057881043752</v>
      </c>
      <c r="FL350" s="1979">
        <v>2.5587188091652675</v>
      </c>
      <c r="FM350" s="1998">
        <v>1.5374032102285651</v>
      </c>
      <c r="FN350" s="1998">
        <v>1.5619109197452037</v>
      </c>
      <c r="FO350" s="1998">
        <v>1.6015002966566969</v>
      </c>
      <c r="FP350" s="1998">
        <v>1.6486305072656173</v>
      </c>
      <c r="FQ350" s="1998">
        <v>1.6825642589040402</v>
      </c>
      <c r="FR350" s="1979">
        <v>19.59853529338476</v>
      </c>
      <c r="FS350" s="1979">
        <v>19.626986127579475</v>
      </c>
      <c r="FT350" s="1979">
        <v>19.655436961774189</v>
      </c>
      <c r="FU350" s="1979">
        <v>19.683887795968907</v>
      </c>
      <c r="FV350" s="1979">
        <v>19.712338630163622</v>
      </c>
      <c r="FW350" s="1998">
        <v>19.047690561268301</v>
      </c>
      <c r="FX350" s="1998">
        <v>19.085549817212772</v>
      </c>
      <c r="FY350" s="1998">
        <v>19.123409073157241</v>
      </c>
      <c r="FZ350" s="1998">
        <v>19.161268329101713</v>
      </c>
      <c r="GA350" s="1998">
        <v>19.199127585046185</v>
      </c>
      <c r="GB350" s="1979">
        <v>1.4074630826013985</v>
      </c>
      <c r="GC350" s="1979">
        <v>1.4097718894008009</v>
      </c>
      <c r="GD350" s="1979">
        <v>1.4120806962002033</v>
      </c>
      <c r="GE350" s="1979">
        <v>1.4143895029996054</v>
      </c>
      <c r="GF350" s="1979">
        <v>1.4190071165984099</v>
      </c>
      <c r="GG350" s="1998">
        <v>1.4850912094206774</v>
      </c>
      <c r="GH350" s="1998">
        <v>1.4868164380509907</v>
      </c>
      <c r="GI350" s="1998">
        <v>1.4885416666813047</v>
      </c>
      <c r="GJ350" s="1998">
        <v>1.4902668953116183</v>
      </c>
      <c r="GK350" s="2026">
        <v>1.4937173525722456</v>
      </c>
    </row>
    <row r="351" spans="1:193">
      <c r="A351" s="2020"/>
      <c r="B351" s="2">
        <v>6</v>
      </c>
      <c r="C351" s="2" t="s">
        <v>4332</v>
      </c>
      <c r="D351" s="1979">
        <f>IF(Construction!$F$31=Construction!$R$22,Oeko!BQ351,Oeko!ED351)</f>
        <v>1</v>
      </c>
      <c r="E351" s="1979">
        <f>IF(Construction!$F$31=Construction!$R$22,Oeko!BR351,Oeko!EE351)</f>
        <v>1</v>
      </c>
      <c r="F351" s="1979">
        <f>IF(Construction!$F$31=Construction!$R$22,Oeko!BS351,Oeko!EF351)</f>
        <v>1</v>
      </c>
      <c r="G351" s="1979">
        <f>IF(Construction!$F$31=Construction!$R$22,Oeko!BT351,Oeko!EG351)</f>
        <v>1</v>
      </c>
      <c r="H351" s="1979">
        <f>IF(Construction!$F$31=Construction!$R$22,Oeko!BU351,Oeko!EH351)</f>
        <v>1</v>
      </c>
      <c r="I351" s="1998">
        <f>IF(Construction!$F$31=Construction!$R$22,Oeko!BV351,Oeko!EI351)</f>
        <v>1.333333333333333</v>
      </c>
      <c r="J351" s="1998">
        <f>IF(Construction!$F$31=Construction!$R$22,Oeko!BW351,Oeko!EJ351)</f>
        <v>1.333333333333333</v>
      </c>
      <c r="K351" s="1998">
        <f>IF(Construction!$F$31=Construction!$R$22,Oeko!BX351,Oeko!EK351)</f>
        <v>1.333333333333333</v>
      </c>
      <c r="L351" s="1998">
        <f>IF(Construction!$F$31=Construction!$R$22,Oeko!BY351,Oeko!EL351)</f>
        <v>1.333333333333333</v>
      </c>
      <c r="M351" s="1998">
        <f>IF(Construction!$F$31=Construction!$R$22,Oeko!BZ351,Oeko!EM351)</f>
        <v>1.333333333333333</v>
      </c>
      <c r="N351" s="1979">
        <f>IF(Construction!$F$31=Construction!$R$22,Oeko!CA351,Oeko!EN351)</f>
        <v>1</v>
      </c>
      <c r="O351" s="1979">
        <f>IF(Construction!$F$31=Construction!$R$22,Oeko!CB351,Oeko!EO351)</f>
        <v>1</v>
      </c>
      <c r="P351" s="1979">
        <f>IF(Construction!$F$31=Construction!$R$22,Oeko!CC351,Oeko!EP351)</f>
        <v>1</v>
      </c>
      <c r="Q351" s="1979">
        <f>IF(Construction!$F$31=Construction!$R$22,Oeko!CD351,Oeko!EQ351)</f>
        <v>1</v>
      </c>
      <c r="R351" s="1979">
        <f>IF(Construction!$F$31=Construction!$R$22,Oeko!CE351,Oeko!ER351)</f>
        <v>1</v>
      </c>
      <c r="S351" s="1998">
        <f>IF(Construction!$F$31=Construction!$R$22,Oeko!CF351,Oeko!ES351)</f>
        <v>1.2000000000000002</v>
      </c>
      <c r="T351" s="1998">
        <f>IF(Construction!$F$31=Construction!$R$22,Oeko!CG351,Oeko!ET351)</f>
        <v>1.2000000000000002</v>
      </c>
      <c r="U351" s="1998">
        <f>IF(Construction!$F$31=Construction!$R$22,Oeko!CH351,Oeko!EU351)</f>
        <v>1.2000000000000002</v>
      </c>
      <c r="V351" s="1998">
        <f>IF(Construction!$F$31=Construction!$R$22,Oeko!CI351,Oeko!EV351)</f>
        <v>1.2000000000000002</v>
      </c>
      <c r="W351" s="1998">
        <f>IF(Construction!$F$31=Construction!$R$22,Oeko!CJ351,Oeko!EW351)</f>
        <v>1.2000000000000002</v>
      </c>
      <c r="X351" s="1979">
        <f>IF(Construction!$F$31=Construction!$R$22,Oeko!CK351,Oeko!EX351)</f>
        <v>0.96</v>
      </c>
      <c r="Y351" s="1979">
        <f>IF(Construction!$F$31=Construction!$R$22,Oeko!CL351,Oeko!EY351)</f>
        <v>0.96</v>
      </c>
      <c r="Z351" s="1979">
        <f>IF(Construction!$F$31=Construction!$R$22,Oeko!CM351,Oeko!EZ351)</f>
        <v>0.96</v>
      </c>
      <c r="AA351" s="1979">
        <f>IF(Construction!$F$31=Construction!$R$22,Oeko!CN351,Oeko!FA351)</f>
        <v>0.96</v>
      </c>
      <c r="AB351" s="1979">
        <f>IF(Construction!$F$31=Construction!$R$22,Oeko!CO351,Oeko!FB351)</f>
        <v>0.96</v>
      </c>
      <c r="AC351" s="1998">
        <f>IF(Construction!$F$31=Construction!$R$22,Oeko!CP351,Oeko!FC351)</f>
        <v>1.0000000000000002</v>
      </c>
      <c r="AD351" s="1998">
        <f>IF(Construction!$F$31=Construction!$R$22,Oeko!CQ351,Oeko!FD351)</f>
        <v>1.0000000000000002</v>
      </c>
      <c r="AE351" s="1998">
        <f>IF(Construction!$F$31=Construction!$R$22,Oeko!CR351,Oeko!FE351)</f>
        <v>1.0000000000000002</v>
      </c>
      <c r="AF351" s="1998">
        <f>IF(Construction!$F$31=Construction!$R$22,Oeko!CS351,Oeko!FF351)</f>
        <v>1.0000000000000002</v>
      </c>
      <c r="AG351" s="1998">
        <f>IF(Construction!$F$31=Construction!$R$22,Oeko!CT351,Oeko!FG351)</f>
        <v>1.0000000000000002</v>
      </c>
      <c r="AH351" s="1979">
        <f>IF(Construction!$F$31=Construction!$R$22,Oeko!CU351,Oeko!FH351)</f>
        <v>1.333333333333333</v>
      </c>
      <c r="AI351" s="1979">
        <f>IF(Construction!$F$31=Construction!$R$22,Oeko!CV351,Oeko!FI351)</f>
        <v>1.333333333333333</v>
      </c>
      <c r="AJ351" s="1979">
        <f>IF(Construction!$F$31=Construction!$R$22,Oeko!CW351,Oeko!FJ351)</f>
        <v>1.333333333333333</v>
      </c>
      <c r="AK351" s="1979">
        <f>IF(Construction!$F$31=Construction!$R$22,Oeko!CX351,Oeko!FK351)</f>
        <v>1.333333333333333</v>
      </c>
      <c r="AL351" s="1979">
        <f>IF(Construction!$F$31=Construction!$R$22,Oeko!CY351,Oeko!FL351)</f>
        <v>1.333333333333333</v>
      </c>
      <c r="AM351" s="1998">
        <f>IF(Construction!$F$31=Construction!$R$22,Oeko!CZ351,Oeko!FM351)</f>
        <v>1</v>
      </c>
      <c r="AN351" s="1998">
        <f>IF(Construction!$F$31=Construction!$R$22,Oeko!DA351,Oeko!FN351)</f>
        <v>1</v>
      </c>
      <c r="AO351" s="1998">
        <f>IF(Construction!$F$31=Construction!$R$22,Oeko!DB351,Oeko!FO351)</f>
        <v>1</v>
      </c>
      <c r="AP351" s="1998">
        <f>IF(Construction!$F$31=Construction!$R$22,Oeko!DC351,Oeko!FP351)</f>
        <v>1</v>
      </c>
      <c r="AQ351" s="1998">
        <f>IF(Construction!$F$31=Construction!$R$22,Oeko!DD351,Oeko!FQ351)</f>
        <v>1</v>
      </c>
      <c r="AR351" s="1979">
        <f>IF(Construction!$F$31=Construction!$R$22,Oeko!DE351,Oeko!FR351)</f>
        <v>10.73181302122873</v>
      </c>
      <c r="AS351" s="1979">
        <f>IF(Construction!$F$31=Construction!$R$22,Oeko!DF351,Oeko!FS351)</f>
        <v>10.73181302122873</v>
      </c>
      <c r="AT351" s="1979">
        <f>IF(Construction!$F$31=Construction!$R$22,Oeko!DG351,Oeko!FT351)</f>
        <v>10.73181302122873</v>
      </c>
      <c r="AU351" s="1979">
        <f>IF(Construction!$F$31=Construction!$R$22,Oeko!DH351,Oeko!FU351)</f>
        <v>10.73181302122873</v>
      </c>
      <c r="AV351" s="1979">
        <f>IF(Construction!$F$31=Construction!$R$22,Oeko!DI351,Oeko!FV351)</f>
        <v>10.73181302122873</v>
      </c>
      <c r="AW351" s="1998">
        <f>IF(Construction!$F$31=Construction!$R$22,Oeko!DJ351,Oeko!FW351)</f>
        <v>10.71054155578228</v>
      </c>
      <c r="AX351" s="1998">
        <f>IF(Construction!$F$31=Construction!$R$22,Oeko!DK351,Oeko!FX351)</f>
        <v>10.71054155578228</v>
      </c>
      <c r="AY351" s="1998">
        <f>IF(Construction!$F$31=Construction!$R$22,Oeko!DL351,Oeko!FY351)</f>
        <v>10.71054155578228</v>
      </c>
      <c r="AZ351" s="1998">
        <f>IF(Construction!$F$31=Construction!$R$22,Oeko!DM351,Oeko!FZ351)</f>
        <v>10.71054155578228</v>
      </c>
      <c r="BA351" s="1998">
        <f>IF(Construction!$F$31=Construction!$R$22,Oeko!DN351,Oeko!GA351)</f>
        <v>10.71054155578228</v>
      </c>
      <c r="BB351" s="1979">
        <f>IF(Construction!$F$31=Construction!$R$22,Oeko!DO351,Oeko!GB351)</f>
        <v>0.97975662301212196</v>
      </c>
      <c r="BC351" s="1979">
        <f>IF(Construction!$F$31=Construction!$R$22,Oeko!DP351,Oeko!GC351)</f>
        <v>0.97975662301212196</v>
      </c>
      <c r="BD351" s="1979">
        <f>IF(Construction!$F$31=Construction!$R$22,Oeko!DQ351,Oeko!GD351)</f>
        <v>0.97975662301212196</v>
      </c>
      <c r="BE351" s="1979">
        <f>IF(Construction!$F$31=Construction!$R$22,Oeko!DR351,Oeko!GE351)</f>
        <v>0.97975662301212196</v>
      </c>
      <c r="BF351" s="1979">
        <f>IF(Construction!$F$31=Construction!$R$22,Oeko!DS351,Oeko!GF351)</f>
        <v>0.97975662301212196</v>
      </c>
      <c r="BG351" s="1998">
        <f>IF(Construction!$F$31=Construction!$R$22,Oeko!DT351,Oeko!GG351)</f>
        <v>0.97614876347816082</v>
      </c>
      <c r="BH351" s="1998">
        <f>IF(Construction!$F$31=Construction!$R$22,Oeko!DU351,Oeko!GH351)</f>
        <v>0.97614876347816082</v>
      </c>
      <c r="BI351" s="1998">
        <f>IF(Construction!$F$31=Construction!$R$22,Oeko!DV351,Oeko!GI351)</f>
        <v>0.97614876347816082</v>
      </c>
      <c r="BJ351" s="1998">
        <f>IF(Construction!$F$31=Construction!$R$22,Oeko!DW351,Oeko!GJ351)</f>
        <v>0.97614876347816082</v>
      </c>
      <c r="BK351" s="2026">
        <f>IF(Construction!$F$31=Construction!$R$22,Oeko!DX351,Oeko!GK351)</f>
        <v>0.97614876347816082</v>
      </c>
      <c r="BN351" s="2022"/>
      <c r="BO351" s="2">
        <v>6</v>
      </c>
      <c r="BP351" s="2" t="s">
        <v>4332</v>
      </c>
      <c r="BQ351" s="1979">
        <v>1</v>
      </c>
      <c r="BR351" s="1979">
        <v>1</v>
      </c>
      <c r="BS351" s="1979">
        <v>1</v>
      </c>
      <c r="BT351" s="1979">
        <v>1</v>
      </c>
      <c r="BU351" s="1979">
        <v>1</v>
      </c>
      <c r="BV351" s="1998">
        <v>1.333333333333333</v>
      </c>
      <c r="BW351" s="1998">
        <v>1.333333333333333</v>
      </c>
      <c r="BX351" s="1998">
        <v>1.333333333333333</v>
      </c>
      <c r="BY351" s="1998">
        <v>1.333333333333333</v>
      </c>
      <c r="BZ351" s="1998">
        <v>1.333333333333333</v>
      </c>
      <c r="CA351" s="1979">
        <v>1</v>
      </c>
      <c r="CB351" s="1979">
        <v>1</v>
      </c>
      <c r="CC351" s="1979">
        <v>1</v>
      </c>
      <c r="CD351" s="1979">
        <v>1</v>
      </c>
      <c r="CE351" s="1979">
        <v>1</v>
      </c>
      <c r="CF351" s="1998">
        <v>1.2000000000000002</v>
      </c>
      <c r="CG351" s="1998">
        <v>1.2000000000000002</v>
      </c>
      <c r="CH351" s="1998">
        <v>1.2000000000000002</v>
      </c>
      <c r="CI351" s="1998">
        <v>1.2000000000000002</v>
      </c>
      <c r="CJ351" s="1998">
        <v>1.2000000000000002</v>
      </c>
      <c r="CK351" s="1979">
        <v>0.96</v>
      </c>
      <c r="CL351" s="1979">
        <v>0.96</v>
      </c>
      <c r="CM351" s="1979">
        <v>0.96</v>
      </c>
      <c r="CN351" s="1979">
        <v>0.96</v>
      </c>
      <c r="CO351" s="1979">
        <v>0.96</v>
      </c>
      <c r="CP351" s="1998">
        <v>1.0000000000000002</v>
      </c>
      <c r="CQ351" s="1998">
        <v>1.0000000000000002</v>
      </c>
      <c r="CR351" s="1998">
        <v>1.0000000000000002</v>
      </c>
      <c r="CS351" s="1998">
        <v>1.0000000000000002</v>
      </c>
      <c r="CT351" s="1998">
        <v>1.0000000000000002</v>
      </c>
      <c r="CU351" s="1979">
        <v>1.333333333333333</v>
      </c>
      <c r="CV351" s="1979">
        <v>1.333333333333333</v>
      </c>
      <c r="CW351" s="1979">
        <v>1.333333333333333</v>
      </c>
      <c r="CX351" s="1979">
        <v>1.333333333333333</v>
      </c>
      <c r="CY351" s="1979">
        <v>1.333333333333333</v>
      </c>
      <c r="CZ351" s="1998">
        <v>1</v>
      </c>
      <c r="DA351" s="1998">
        <v>1</v>
      </c>
      <c r="DB351" s="1998">
        <v>1</v>
      </c>
      <c r="DC351" s="1998">
        <v>1</v>
      </c>
      <c r="DD351" s="1998">
        <v>1</v>
      </c>
      <c r="DE351" s="1979">
        <v>10.73181302122873</v>
      </c>
      <c r="DF351" s="1979">
        <v>10.73181302122873</v>
      </c>
      <c r="DG351" s="1979">
        <v>10.73181302122873</v>
      </c>
      <c r="DH351" s="1979">
        <v>10.73181302122873</v>
      </c>
      <c r="DI351" s="1979">
        <v>10.73181302122873</v>
      </c>
      <c r="DJ351" s="1998">
        <v>10.71054155578228</v>
      </c>
      <c r="DK351" s="1998">
        <v>10.71054155578228</v>
      </c>
      <c r="DL351" s="1998">
        <v>10.71054155578228</v>
      </c>
      <c r="DM351" s="1998">
        <v>10.71054155578228</v>
      </c>
      <c r="DN351" s="1998">
        <v>10.71054155578228</v>
      </c>
      <c r="DO351" s="1979">
        <v>0.97975662301212196</v>
      </c>
      <c r="DP351" s="1979">
        <v>0.97975662301212196</v>
      </c>
      <c r="DQ351" s="1979">
        <v>0.97975662301212196</v>
      </c>
      <c r="DR351" s="1979">
        <v>0.97975662301212196</v>
      </c>
      <c r="DS351" s="1979">
        <v>0.97975662301212196</v>
      </c>
      <c r="DT351" s="1998">
        <v>0.97614876347816082</v>
      </c>
      <c r="DU351" s="1998">
        <v>0.97614876347816082</v>
      </c>
      <c r="DV351" s="1998">
        <v>0.97614876347816082</v>
      </c>
      <c r="DW351" s="1998">
        <v>0.97614876347816082</v>
      </c>
      <c r="DX351" s="2026">
        <v>0.97614876347816082</v>
      </c>
      <c r="EA351" s="2022"/>
      <c r="EB351" s="2">
        <v>6</v>
      </c>
      <c r="EC351" s="2" t="s">
        <v>4332</v>
      </c>
      <c r="ED351" s="1979">
        <v>1.3845801620582612</v>
      </c>
      <c r="EE351" s="1979">
        <v>1.4046105015670522</v>
      </c>
      <c r="EF351" s="1979">
        <v>1.4387799042585199</v>
      </c>
      <c r="EG351" s="1979">
        <v>1.4800188385413251</v>
      </c>
      <c r="EH351" s="1979">
        <v>1.5130099859675696</v>
      </c>
      <c r="EI351" s="1998">
        <v>2.2399986176401416</v>
      </c>
      <c r="EJ351" s="1998">
        <v>2.2824158071881699</v>
      </c>
      <c r="EK351" s="1998">
        <v>2.3436850809797667</v>
      </c>
      <c r="EL351" s="1998">
        <v>2.4143803968931477</v>
      </c>
      <c r="EM351" s="1998">
        <v>2.4520845653802845</v>
      </c>
      <c r="EN351" s="1979">
        <v>1.4337071065592959</v>
      </c>
      <c r="EO351" s="1979">
        <v>1.4670348983470329</v>
      </c>
      <c r="EP351" s="1979">
        <v>1.4690547645159866</v>
      </c>
      <c r="EQ351" s="1979">
        <v>1.4710746306849403</v>
      </c>
      <c r="ER351" s="1979">
        <v>1.4730944968538937</v>
      </c>
      <c r="ES351" s="1998">
        <v>1.855610685951715</v>
      </c>
      <c r="ET351" s="1998">
        <v>1.8937861565449412</v>
      </c>
      <c r="EU351" s="1998">
        <v>1.8980278754997442</v>
      </c>
      <c r="EV351" s="1998">
        <v>1.9022695944545469</v>
      </c>
      <c r="EW351" s="1998">
        <v>1.9065113134093497</v>
      </c>
      <c r="EX351" s="1979">
        <v>1.445555628354789</v>
      </c>
      <c r="EY351" s="1979">
        <v>1.4760960048293694</v>
      </c>
      <c r="EZ351" s="1979">
        <v>1.4794893799932118</v>
      </c>
      <c r="FA351" s="1979">
        <v>1.482882755157054</v>
      </c>
      <c r="FB351" s="1979">
        <v>1.4862761303208962</v>
      </c>
      <c r="FC351" s="1998">
        <v>1.4251144996924636</v>
      </c>
      <c r="FD351" s="1998">
        <v>1.4439665839360321</v>
      </c>
      <c r="FE351" s="1998">
        <v>1.4486796049969239</v>
      </c>
      <c r="FF351" s="1998">
        <v>1.4533926260578161</v>
      </c>
      <c r="FG351" s="1998">
        <v>1.4581056471187079</v>
      </c>
      <c r="FH351" s="1979">
        <v>2.5469362565130371</v>
      </c>
      <c r="FI351" s="1979">
        <v>2.5516492775739295</v>
      </c>
      <c r="FJ351" s="1979">
        <v>2.5563622986348213</v>
      </c>
      <c r="FK351" s="1979">
        <v>2.5610753196957137</v>
      </c>
      <c r="FL351" s="1979">
        <v>2.5657883407566056</v>
      </c>
      <c r="FM351" s="1998">
        <v>1.5115041757386145</v>
      </c>
      <c r="FN351" s="1998">
        <v>1.5374257915735208</v>
      </c>
      <c r="FO351" s="1998">
        <v>1.5774864705911036</v>
      </c>
      <c r="FP351" s="1998">
        <v>1.6246166812000238</v>
      </c>
      <c r="FQ351" s="1998">
        <v>1.6552513180958224</v>
      </c>
      <c r="FR351" s="1979">
        <v>18.864009795218443</v>
      </c>
      <c r="FS351" s="1979">
        <v>18.901944240811396</v>
      </c>
      <c r="FT351" s="1979">
        <v>18.939878686404352</v>
      </c>
      <c r="FU351" s="1979">
        <v>18.977813131997308</v>
      </c>
      <c r="FV351" s="1979">
        <v>19.015747577590261</v>
      </c>
      <c r="FW351" s="1998">
        <v>19.431015527706069</v>
      </c>
      <c r="FX351" s="1998">
        <v>19.468874783650541</v>
      </c>
      <c r="FY351" s="1998">
        <v>19.506734039595013</v>
      </c>
      <c r="FZ351" s="1998">
        <v>19.544593295539482</v>
      </c>
      <c r="GA351" s="1998">
        <v>19.582452551483954</v>
      </c>
      <c r="GB351" s="1979">
        <v>1.423047528497364</v>
      </c>
      <c r="GC351" s="1979">
        <v>1.4253563352967664</v>
      </c>
      <c r="GD351" s="1979">
        <v>1.4276651420961688</v>
      </c>
      <c r="GE351" s="1979">
        <v>1.4299739488955709</v>
      </c>
      <c r="GF351" s="1979">
        <v>1.4345915624943757</v>
      </c>
      <c r="GG351" s="1998">
        <v>1.4850912094206774</v>
      </c>
      <c r="GH351" s="1998">
        <v>1.486816438050991</v>
      </c>
      <c r="GI351" s="1998">
        <v>1.4885416666813047</v>
      </c>
      <c r="GJ351" s="1998">
        <v>1.4902668953116183</v>
      </c>
      <c r="GK351" s="2026">
        <v>1.4937173525722456</v>
      </c>
    </row>
    <row r="352" spans="1:193">
      <c r="A352" s="2020"/>
      <c r="B352" s="2">
        <v>7</v>
      </c>
      <c r="C352" s="2" t="s">
        <v>4333</v>
      </c>
      <c r="D352" s="1979">
        <f>IF(Construction!$F$31=Construction!$R$22,Oeko!BQ352,Oeko!ED352)</f>
        <v>1</v>
      </c>
      <c r="E352" s="1979">
        <f>IF(Construction!$F$31=Construction!$R$22,Oeko!BR352,Oeko!EE352)</f>
        <v>1</v>
      </c>
      <c r="F352" s="1979">
        <f>IF(Construction!$F$31=Construction!$R$22,Oeko!BS352,Oeko!EF352)</f>
        <v>1</v>
      </c>
      <c r="G352" s="1979">
        <f>IF(Construction!$F$31=Construction!$R$22,Oeko!BT352,Oeko!EG352)</f>
        <v>1</v>
      </c>
      <c r="H352" s="1979">
        <f>IF(Construction!$F$31=Construction!$R$22,Oeko!BU352,Oeko!EH352)</f>
        <v>1</v>
      </c>
      <c r="I352" s="1998">
        <f>IF(Construction!$F$31=Construction!$R$22,Oeko!BV352,Oeko!EI352)</f>
        <v>1.3333333333333333</v>
      </c>
      <c r="J352" s="1998">
        <f>IF(Construction!$F$31=Construction!$R$22,Oeko!BW352,Oeko!EJ352)</f>
        <v>1.3333333333333333</v>
      </c>
      <c r="K352" s="1998">
        <f>IF(Construction!$F$31=Construction!$R$22,Oeko!BX352,Oeko!EK352)</f>
        <v>1.3333333333333333</v>
      </c>
      <c r="L352" s="1998">
        <f>IF(Construction!$F$31=Construction!$R$22,Oeko!BY352,Oeko!EL352)</f>
        <v>1.3333333333333333</v>
      </c>
      <c r="M352" s="1998">
        <f>IF(Construction!$F$31=Construction!$R$22,Oeko!BZ352,Oeko!EM352)</f>
        <v>1.3333333333333333</v>
      </c>
      <c r="N352" s="1979">
        <f>IF(Construction!$F$31=Construction!$R$22,Oeko!CA352,Oeko!EN352)</f>
        <v>0.95238095238095233</v>
      </c>
      <c r="O352" s="1979">
        <f>IF(Construction!$F$31=Construction!$R$22,Oeko!CB352,Oeko!EO352)</f>
        <v>0.95238095238095233</v>
      </c>
      <c r="P352" s="1979">
        <f>IF(Construction!$F$31=Construction!$R$22,Oeko!CC352,Oeko!EP352)</f>
        <v>0.95238095238095233</v>
      </c>
      <c r="Q352" s="1979">
        <f>IF(Construction!$F$31=Construction!$R$22,Oeko!CD352,Oeko!EQ352)</f>
        <v>0.95238095238095233</v>
      </c>
      <c r="R352" s="1979">
        <f>IF(Construction!$F$31=Construction!$R$22,Oeko!CE352,Oeko!ER352)</f>
        <v>0.95238095238095233</v>
      </c>
      <c r="S352" s="1998">
        <f>IF(Construction!$F$31=Construction!$R$22,Oeko!CF352,Oeko!ES352)</f>
        <v>1.125</v>
      </c>
      <c r="T352" s="1998">
        <f>IF(Construction!$F$31=Construction!$R$22,Oeko!CG352,Oeko!ET352)</f>
        <v>1.125</v>
      </c>
      <c r="U352" s="1998">
        <f>IF(Construction!$F$31=Construction!$R$22,Oeko!CH352,Oeko!EU352)</f>
        <v>1.125</v>
      </c>
      <c r="V352" s="1998">
        <f>IF(Construction!$F$31=Construction!$R$22,Oeko!CI352,Oeko!EV352)</f>
        <v>1.125</v>
      </c>
      <c r="W352" s="1998">
        <f>IF(Construction!$F$31=Construction!$R$22,Oeko!CJ352,Oeko!EW352)</f>
        <v>1.125</v>
      </c>
      <c r="X352" s="1979">
        <f>IF(Construction!$F$31=Construction!$R$22,Oeko!CK352,Oeko!EX352)</f>
        <v>0.9</v>
      </c>
      <c r="Y352" s="1979">
        <f>IF(Construction!$F$31=Construction!$R$22,Oeko!CL352,Oeko!EY352)</f>
        <v>0.9</v>
      </c>
      <c r="Z352" s="1979">
        <f>IF(Construction!$F$31=Construction!$R$22,Oeko!CM352,Oeko!EZ352)</f>
        <v>0.9</v>
      </c>
      <c r="AA352" s="1979">
        <f>IF(Construction!$F$31=Construction!$R$22,Oeko!CN352,Oeko!FA352)</f>
        <v>0.9</v>
      </c>
      <c r="AB352" s="1979">
        <f>IF(Construction!$F$31=Construction!$R$22,Oeko!CO352,Oeko!FB352)</f>
        <v>0.9</v>
      </c>
      <c r="AC352" s="1998">
        <f>IF(Construction!$F$31=Construction!$R$22,Oeko!CP352,Oeko!FC352)</f>
        <v>1.0000000000000002</v>
      </c>
      <c r="AD352" s="1998">
        <f>IF(Construction!$F$31=Construction!$R$22,Oeko!CQ352,Oeko!FD352)</f>
        <v>1.0000000000000002</v>
      </c>
      <c r="AE352" s="1998">
        <f>IF(Construction!$F$31=Construction!$R$22,Oeko!CR352,Oeko!FE352)</f>
        <v>1.0000000000000002</v>
      </c>
      <c r="AF352" s="1998">
        <f>IF(Construction!$F$31=Construction!$R$22,Oeko!CS352,Oeko!FF352)</f>
        <v>1.0000000000000002</v>
      </c>
      <c r="AG352" s="1998">
        <f>IF(Construction!$F$31=Construction!$R$22,Oeko!CT352,Oeko!FG352)</f>
        <v>1.0000000000000002</v>
      </c>
      <c r="AH352" s="1979">
        <f>IF(Construction!$F$31=Construction!$R$22,Oeko!CU352,Oeko!FH352)</f>
        <v>1.333333333333333</v>
      </c>
      <c r="AI352" s="1979">
        <f>IF(Construction!$F$31=Construction!$R$22,Oeko!CV352,Oeko!FI352)</f>
        <v>1.333333333333333</v>
      </c>
      <c r="AJ352" s="1979">
        <f>IF(Construction!$F$31=Construction!$R$22,Oeko!CW352,Oeko!FJ352)</f>
        <v>1.333333333333333</v>
      </c>
      <c r="AK352" s="1979">
        <f>IF(Construction!$F$31=Construction!$R$22,Oeko!CX352,Oeko!FK352)</f>
        <v>1.333333333333333</v>
      </c>
      <c r="AL352" s="1979">
        <f>IF(Construction!$F$31=Construction!$R$22,Oeko!CY352,Oeko!FL352)</f>
        <v>1.333333333333333</v>
      </c>
      <c r="AM352" s="1998">
        <f>IF(Construction!$F$31=Construction!$R$22,Oeko!CZ352,Oeko!FM352)</f>
        <v>0.99999999999999989</v>
      </c>
      <c r="AN352" s="1998">
        <f>IF(Construction!$F$31=Construction!$R$22,Oeko!DA352,Oeko!FN352)</f>
        <v>0.99999999999999989</v>
      </c>
      <c r="AO352" s="1998">
        <f>IF(Construction!$F$31=Construction!$R$22,Oeko!DB352,Oeko!FO352)</f>
        <v>0.99999999999999989</v>
      </c>
      <c r="AP352" s="1998">
        <f>IF(Construction!$F$31=Construction!$R$22,Oeko!DC352,Oeko!FP352)</f>
        <v>0.99999999999999989</v>
      </c>
      <c r="AQ352" s="1998">
        <f>IF(Construction!$F$31=Construction!$R$22,Oeko!DD352,Oeko!FQ352)</f>
        <v>0.99999999999999989</v>
      </c>
      <c r="AR352" s="1979">
        <f>IF(Construction!$F$31=Construction!$R$22,Oeko!DE352,Oeko!FR352)</f>
        <v>10.73181302122873</v>
      </c>
      <c r="AS352" s="1979">
        <f>IF(Construction!$F$31=Construction!$R$22,Oeko!DF352,Oeko!FS352)</f>
        <v>10.73181302122873</v>
      </c>
      <c r="AT352" s="1979">
        <f>IF(Construction!$F$31=Construction!$R$22,Oeko!DG352,Oeko!FT352)</f>
        <v>10.73181302122873</v>
      </c>
      <c r="AU352" s="1979">
        <f>IF(Construction!$F$31=Construction!$R$22,Oeko!DH352,Oeko!FU352)</f>
        <v>10.73181302122873</v>
      </c>
      <c r="AV352" s="1979">
        <f>IF(Construction!$F$31=Construction!$R$22,Oeko!DI352,Oeko!FV352)</f>
        <v>10.73181302122873</v>
      </c>
      <c r="AW352" s="1998">
        <f>IF(Construction!$F$31=Construction!$R$22,Oeko!DJ352,Oeko!FW352)</f>
        <v>8.0329061668367086</v>
      </c>
      <c r="AX352" s="1998">
        <f>IF(Construction!$F$31=Construction!$R$22,Oeko!DK352,Oeko!FX352)</f>
        <v>8.0329061668367086</v>
      </c>
      <c r="AY352" s="1998">
        <f>IF(Construction!$F$31=Construction!$R$22,Oeko!DL352,Oeko!FY352)</f>
        <v>8.0329061668367086</v>
      </c>
      <c r="AZ352" s="1998">
        <f>IF(Construction!$F$31=Construction!$R$22,Oeko!DM352,Oeko!FZ352)</f>
        <v>8.0329061668367086</v>
      </c>
      <c r="BA352" s="1998">
        <f>IF(Construction!$F$31=Construction!$R$22,Oeko!DN352,Oeko!GA352)</f>
        <v>8.0329061668367086</v>
      </c>
      <c r="BB352" s="1979">
        <f>IF(Construction!$F$31=Construction!$R$22,Oeko!DO352,Oeko!GB352)</f>
        <v>0.97975662301212196</v>
      </c>
      <c r="BC352" s="1979">
        <f>IF(Construction!$F$31=Construction!$R$22,Oeko!DP352,Oeko!GC352)</f>
        <v>0.97975662301212196</v>
      </c>
      <c r="BD352" s="1979">
        <f>IF(Construction!$F$31=Construction!$R$22,Oeko!DQ352,Oeko!GD352)</f>
        <v>0.97975662301212196</v>
      </c>
      <c r="BE352" s="1979">
        <f>IF(Construction!$F$31=Construction!$R$22,Oeko!DR352,Oeko!GE352)</f>
        <v>0.97975662301212196</v>
      </c>
      <c r="BF352" s="1979">
        <f>IF(Construction!$F$31=Construction!$R$22,Oeko!DS352,Oeko!GF352)</f>
        <v>0.97975662301212196</v>
      </c>
      <c r="BG352" s="1998">
        <f>IF(Construction!$F$31=Construction!$R$22,Oeko!DT352,Oeko!GG352)</f>
        <v>0.9761487634781606</v>
      </c>
      <c r="BH352" s="1998">
        <f>IF(Construction!$F$31=Construction!$R$22,Oeko!DU352,Oeko!GH352)</f>
        <v>0.9761487634781606</v>
      </c>
      <c r="BI352" s="1998">
        <f>IF(Construction!$F$31=Construction!$R$22,Oeko!DV352,Oeko!GI352)</f>
        <v>0.9761487634781606</v>
      </c>
      <c r="BJ352" s="1998">
        <f>IF(Construction!$F$31=Construction!$R$22,Oeko!DW352,Oeko!GJ352)</f>
        <v>0.9761487634781606</v>
      </c>
      <c r="BK352" s="2026">
        <f>IF(Construction!$F$31=Construction!$R$22,Oeko!DX352,Oeko!GK352)</f>
        <v>0.9761487634781606</v>
      </c>
      <c r="BN352" s="2022"/>
      <c r="BO352" s="2">
        <v>7</v>
      </c>
      <c r="BP352" s="2" t="s">
        <v>4333</v>
      </c>
      <c r="BQ352" s="1979">
        <v>1</v>
      </c>
      <c r="BR352" s="1979">
        <v>1</v>
      </c>
      <c r="BS352" s="1979">
        <v>1</v>
      </c>
      <c r="BT352" s="1979">
        <v>1</v>
      </c>
      <c r="BU352" s="1979">
        <v>1</v>
      </c>
      <c r="BV352" s="1998">
        <v>1.3333333333333333</v>
      </c>
      <c r="BW352" s="1998">
        <v>1.3333333333333333</v>
      </c>
      <c r="BX352" s="1998">
        <v>1.3333333333333333</v>
      </c>
      <c r="BY352" s="1998">
        <v>1.3333333333333333</v>
      </c>
      <c r="BZ352" s="1998">
        <v>1.3333333333333333</v>
      </c>
      <c r="CA352" s="1979">
        <v>0.95238095238095233</v>
      </c>
      <c r="CB352" s="1979">
        <v>0.95238095238095233</v>
      </c>
      <c r="CC352" s="1979">
        <v>0.95238095238095233</v>
      </c>
      <c r="CD352" s="1979">
        <v>0.95238095238095233</v>
      </c>
      <c r="CE352" s="1979">
        <v>0.95238095238095233</v>
      </c>
      <c r="CF352" s="1998">
        <v>1.125</v>
      </c>
      <c r="CG352" s="1998">
        <v>1.125</v>
      </c>
      <c r="CH352" s="1998">
        <v>1.125</v>
      </c>
      <c r="CI352" s="1998">
        <v>1.125</v>
      </c>
      <c r="CJ352" s="1998">
        <v>1.125</v>
      </c>
      <c r="CK352" s="1979">
        <v>0.9</v>
      </c>
      <c r="CL352" s="1979">
        <v>0.9</v>
      </c>
      <c r="CM352" s="1979">
        <v>0.9</v>
      </c>
      <c r="CN352" s="1979">
        <v>0.9</v>
      </c>
      <c r="CO352" s="1979">
        <v>0.9</v>
      </c>
      <c r="CP352" s="1998">
        <v>1.0000000000000002</v>
      </c>
      <c r="CQ352" s="1998">
        <v>1.0000000000000002</v>
      </c>
      <c r="CR352" s="1998">
        <v>1.0000000000000002</v>
      </c>
      <c r="CS352" s="1998">
        <v>1.0000000000000002</v>
      </c>
      <c r="CT352" s="1998">
        <v>1.0000000000000002</v>
      </c>
      <c r="CU352" s="1979">
        <v>1.333333333333333</v>
      </c>
      <c r="CV352" s="1979">
        <v>1.333333333333333</v>
      </c>
      <c r="CW352" s="1979">
        <v>1.333333333333333</v>
      </c>
      <c r="CX352" s="1979">
        <v>1.333333333333333</v>
      </c>
      <c r="CY352" s="1979">
        <v>1.333333333333333</v>
      </c>
      <c r="CZ352" s="1998">
        <v>0.99999999999999989</v>
      </c>
      <c r="DA352" s="1998">
        <v>0.99999999999999989</v>
      </c>
      <c r="DB352" s="1998">
        <v>0.99999999999999989</v>
      </c>
      <c r="DC352" s="1998">
        <v>0.99999999999999989</v>
      </c>
      <c r="DD352" s="1998">
        <v>0.99999999999999989</v>
      </c>
      <c r="DE352" s="1979">
        <v>10.73181302122873</v>
      </c>
      <c r="DF352" s="1979">
        <v>10.73181302122873</v>
      </c>
      <c r="DG352" s="1979">
        <v>10.73181302122873</v>
      </c>
      <c r="DH352" s="1979">
        <v>10.73181302122873</v>
      </c>
      <c r="DI352" s="1979">
        <v>10.73181302122873</v>
      </c>
      <c r="DJ352" s="1998">
        <v>8.0329061668367086</v>
      </c>
      <c r="DK352" s="1998">
        <v>8.0329061668367086</v>
      </c>
      <c r="DL352" s="1998">
        <v>8.0329061668367086</v>
      </c>
      <c r="DM352" s="1998">
        <v>8.0329061668367086</v>
      </c>
      <c r="DN352" s="1998">
        <v>8.0329061668367086</v>
      </c>
      <c r="DO352" s="1979">
        <v>0.97975662301212196</v>
      </c>
      <c r="DP352" s="1979">
        <v>0.97975662301212196</v>
      </c>
      <c r="DQ352" s="1979">
        <v>0.97975662301212196</v>
      </c>
      <c r="DR352" s="1979">
        <v>0.97975662301212196</v>
      </c>
      <c r="DS352" s="1979">
        <v>0.97975662301212196</v>
      </c>
      <c r="DT352" s="1998">
        <v>0.9761487634781606</v>
      </c>
      <c r="DU352" s="1998">
        <v>0.9761487634781606</v>
      </c>
      <c r="DV352" s="1998">
        <v>0.9761487634781606</v>
      </c>
      <c r="DW352" s="1998">
        <v>0.9761487634781606</v>
      </c>
      <c r="DX352" s="2026">
        <v>0.9761487634781606</v>
      </c>
      <c r="EA352" s="2022"/>
      <c r="EB352" s="2">
        <v>7</v>
      </c>
      <c r="EC352" s="2" t="s">
        <v>4333</v>
      </c>
      <c r="ED352" s="1979">
        <v>1.3783761870304538</v>
      </c>
      <c r="EE352" s="1979">
        <v>1.3984065265392449</v>
      </c>
      <c r="EF352" s="1979">
        <v>1.4325759292307125</v>
      </c>
      <c r="EG352" s="1979">
        <v>1.4738148635135178</v>
      </c>
      <c r="EH352" s="1979">
        <v>1.5068060109397625</v>
      </c>
      <c r="EI352" s="1998">
        <v>2.2643670788072541</v>
      </c>
      <c r="EJ352" s="1998">
        <v>2.3067842683552819</v>
      </c>
      <c r="EK352" s="1998">
        <v>2.3680535421468791</v>
      </c>
      <c r="EL352" s="1998">
        <v>2.4387488580602596</v>
      </c>
      <c r="EM352" s="1998">
        <v>2.4764530265473965</v>
      </c>
      <c r="EN352" s="1979">
        <v>1.4181774803982095</v>
      </c>
      <c r="EO352" s="1979">
        <v>1.4491487616555006</v>
      </c>
      <c r="EP352" s="1979">
        <v>1.451841916547439</v>
      </c>
      <c r="EQ352" s="1979">
        <v>1.4545350714393772</v>
      </c>
      <c r="ER352" s="1979">
        <v>1.4572282263313154</v>
      </c>
      <c r="ES352" s="1998">
        <v>1.8224645222010594</v>
      </c>
      <c r="ET352" s="1998">
        <v>1.8569284887088324</v>
      </c>
      <c r="EU352" s="1998">
        <v>1.8622306374023361</v>
      </c>
      <c r="EV352" s="1998">
        <v>1.8675327860958397</v>
      </c>
      <c r="EW352" s="1998">
        <v>1.8728349347893429</v>
      </c>
      <c r="EX352" s="1979">
        <v>1.4216253884668804</v>
      </c>
      <c r="EY352" s="1979">
        <v>1.4491965616730988</v>
      </c>
      <c r="EZ352" s="1979">
        <v>1.4534382806279018</v>
      </c>
      <c r="FA352" s="1979">
        <v>1.4576799995827048</v>
      </c>
      <c r="FB352" s="1979">
        <v>1.4619217185375077</v>
      </c>
      <c r="FC352" s="1998">
        <v>1.4251144996924636</v>
      </c>
      <c r="FD352" s="1998">
        <v>1.4439665839360318</v>
      </c>
      <c r="FE352" s="1998">
        <v>1.4486796049969239</v>
      </c>
      <c r="FF352" s="1998">
        <v>1.4533926260578161</v>
      </c>
      <c r="FG352" s="1998">
        <v>1.4581056471187079</v>
      </c>
      <c r="FH352" s="1979">
        <v>2.5544119568448718</v>
      </c>
      <c r="FI352" s="1979">
        <v>2.5591249779057637</v>
      </c>
      <c r="FJ352" s="1979">
        <v>2.5638379989666555</v>
      </c>
      <c r="FK352" s="1979">
        <v>2.5685510200275479</v>
      </c>
      <c r="FL352" s="1979">
        <v>2.5732640410884398</v>
      </c>
      <c r="FM352" s="1998">
        <v>1.5424333764507188</v>
      </c>
      <c r="FN352" s="1998">
        <v>1.568354992285625</v>
      </c>
      <c r="FO352" s="1998">
        <v>1.6084156713032076</v>
      </c>
      <c r="FP352" s="1998">
        <v>1.655545881912128</v>
      </c>
      <c r="FQ352" s="1998">
        <v>1.6861805188079266</v>
      </c>
      <c r="FR352" s="1979">
        <v>19.120067302970892</v>
      </c>
      <c r="FS352" s="1979">
        <v>19.158001748563844</v>
      </c>
      <c r="FT352" s="1979">
        <v>19.195936194156801</v>
      </c>
      <c r="FU352" s="1979">
        <v>19.233870639749757</v>
      </c>
      <c r="FV352" s="1979">
        <v>19.271805085342709</v>
      </c>
      <c r="FW352" s="1998">
        <v>17.11709941908417</v>
      </c>
      <c r="FX352" s="1998">
        <v>17.173888303000872</v>
      </c>
      <c r="FY352" s="1998">
        <v>17.230677186917582</v>
      </c>
      <c r="FZ352" s="1998">
        <v>17.287466070834292</v>
      </c>
      <c r="GA352" s="1998">
        <v>17.344254954750991</v>
      </c>
      <c r="GB352" s="1979">
        <v>1.4698008661852608</v>
      </c>
      <c r="GC352" s="1979">
        <v>1.472109672984663</v>
      </c>
      <c r="GD352" s="1979">
        <v>1.4744184797840656</v>
      </c>
      <c r="GE352" s="1979">
        <v>1.4767272865834675</v>
      </c>
      <c r="GF352" s="1979">
        <v>1.4813449001822723</v>
      </c>
      <c r="GG352" s="1998">
        <v>1.5109696388753817</v>
      </c>
      <c r="GH352" s="1998">
        <v>1.5132699437157997</v>
      </c>
      <c r="GI352" s="1998">
        <v>1.5155702485562181</v>
      </c>
      <c r="GJ352" s="1998">
        <v>1.5178705533966359</v>
      </c>
      <c r="GK352" s="2026">
        <v>1.5224711630774725</v>
      </c>
    </row>
    <row r="353" spans="1:193">
      <c r="A353" s="2020"/>
      <c r="B353" s="2">
        <v>8</v>
      </c>
      <c r="C353" s="2" t="s">
        <v>4334</v>
      </c>
      <c r="D353" s="1979">
        <f>IF(Construction!$F$31=Construction!$R$22,Oeko!BQ353,Oeko!ED353)</f>
        <v>0.99999999999999989</v>
      </c>
      <c r="E353" s="1979">
        <f>IF(Construction!$F$31=Construction!$R$22,Oeko!BR353,Oeko!EE353)</f>
        <v>0.99999999999999989</v>
      </c>
      <c r="F353" s="1979">
        <f>IF(Construction!$F$31=Construction!$R$22,Oeko!BS353,Oeko!EF353)</f>
        <v>0.99999999999999989</v>
      </c>
      <c r="G353" s="1979">
        <f>IF(Construction!$F$31=Construction!$R$22,Oeko!BT353,Oeko!EG353)</f>
        <v>0.99999999999999989</v>
      </c>
      <c r="H353" s="1979">
        <f>IF(Construction!$F$31=Construction!$R$22,Oeko!BU353,Oeko!EH353)</f>
        <v>0.99999999999999989</v>
      </c>
      <c r="I353" s="1998">
        <f>IF(Construction!$F$31=Construction!$R$22,Oeko!BV353,Oeko!EI353)</f>
        <v>1.3333333333333333</v>
      </c>
      <c r="J353" s="1998">
        <f>IF(Construction!$F$31=Construction!$R$22,Oeko!BW353,Oeko!EJ353)</f>
        <v>1.3333333333333333</v>
      </c>
      <c r="K353" s="1998">
        <f>IF(Construction!$F$31=Construction!$R$22,Oeko!BX353,Oeko!EK353)</f>
        <v>1.3333333333333333</v>
      </c>
      <c r="L353" s="1998">
        <f>IF(Construction!$F$31=Construction!$R$22,Oeko!BY353,Oeko!EL353)</f>
        <v>1.3333333333333333</v>
      </c>
      <c r="M353" s="1998">
        <f>IF(Construction!$F$31=Construction!$R$22,Oeko!BZ353,Oeko!EM353)</f>
        <v>1.3333333333333333</v>
      </c>
      <c r="N353" s="1979">
        <f>IF(Construction!$F$31=Construction!$R$22,Oeko!CA353,Oeko!EN353)</f>
        <v>0.91428571428571437</v>
      </c>
      <c r="O353" s="1979">
        <f>IF(Construction!$F$31=Construction!$R$22,Oeko!CB353,Oeko!EO353)</f>
        <v>0.91428571428571437</v>
      </c>
      <c r="P353" s="1979">
        <f>IF(Construction!$F$31=Construction!$R$22,Oeko!CC353,Oeko!EP353)</f>
        <v>0.91428571428571437</v>
      </c>
      <c r="Q353" s="1979">
        <f>IF(Construction!$F$31=Construction!$R$22,Oeko!CD353,Oeko!EQ353)</f>
        <v>0.91428571428571437</v>
      </c>
      <c r="R353" s="1979">
        <f>IF(Construction!$F$31=Construction!$R$22,Oeko!CE353,Oeko!ER353)</f>
        <v>0.91428571428571437</v>
      </c>
      <c r="S353" s="1998">
        <f>IF(Construction!$F$31=Construction!$R$22,Oeko!CF353,Oeko!ES353)</f>
        <v>1.1250000000000002</v>
      </c>
      <c r="T353" s="1998">
        <f>IF(Construction!$F$31=Construction!$R$22,Oeko!CG353,Oeko!ET353)</f>
        <v>1.1250000000000002</v>
      </c>
      <c r="U353" s="1998">
        <f>IF(Construction!$F$31=Construction!$R$22,Oeko!CH353,Oeko!EU353)</f>
        <v>1.1250000000000002</v>
      </c>
      <c r="V353" s="1998">
        <f>IF(Construction!$F$31=Construction!$R$22,Oeko!CI353,Oeko!EV353)</f>
        <v>1.1250000000000002</v>
      </c>
      <c r="W353" s="1998">
        <f>IF(Construction!$F$31=Construction!$R$22,Oeko!CJ353,Oeko!EW353)</f>
        <v>1.1250000000000002</v>
      </c>
      <c r="X353" s="1979">
        <f>IF(Construction!$F$31=Construction!$R$22,Oeko!CK353,Oeko!EX353)</f>
        <v>0.89999999999999991</v>
      </c>
      <c r="Y353" s="1979">
        <f>IF(Construction!$F$31=Construction!$R$22,Oeko!CL353,Oeko!EY353)</f>
        <v>0.89999999999999991</v>
      </c>
      <c r="Z353" s="1979">
        <f>IF(Construction!$F$31=Construction!$R$22,Oeko!CM353,Oeko!EZ353)</f>
        <v>0.89999999999999991</v>
      </c>
      <c r="AA353" s="1979">
        <f>IF(Construction!$F$31=Construction!$R$22,Oeko!CN353,Oeko!FA353)</f>
        <v>0.89999999999999991</v>
      </c>
      <c r="AB353" s="1979">
        <f>IF(Construction!$F$31=Construction!$R$22,Oeko!CO353,Oeko!FB353)</f>
        <v>0.89999999999999991</v>
      </c>
      <c r="AC353" s="1998">
        <f>IF(Construction!$F$31=Construction!$R$22,Oeko!CP353,Oeko!FC353)</f>
        <v>1.0000000000000002</v>
      </c>
      <c r="AD353" s="1998">
        <f>IF(Construction!$F$31=Construction!$R$22,Oeko!CQ353,Oeko!FD353)</f>
        <v>1.0000000000000002</v>
      </c>
      <c r="AE353" s="1998">
        <f>IF(Construction!$F$31=Construction!$R$22,Oeko!CR353,Oeko!FE353)</f>
        <v>1.0000000000000002</v>
      </c>
      <c r="AF353" s="1998">
        <f>IF(Construction!$F$31=Construction!$R$22,Oeko!CS353,Oeko!FF353)</f>
        <v>1.0000000000000002</v>
      </c>
      <c r="AG353" s="1998">
        <f>IF(Construction!$F$31=Construction!$R$22,Oeko!CT353,Oeko!FG353)</f>
        <v>1.0000000000000002</v>
      </c>
      <c r="AH353" s="1979">
        <f>IF(Construction!$F$31=Construction!$R$22,Oeko!CU353,Oeko!FH353)</f>
        <v>1.333333333333333</v>
      </c>
      <c r="AI353" s="1979">
        <f>IF(Construction!$F$31=Construction!$R$22,Oeko!CV353,Oeko!FI353)</f>
        <v>1.333333333333333</v>
      </c>
      <c r="AJ353" s="1979">
        <f>IF(Construction!$F$31=Construction!$R$22,Oeko!CW353,Oeko!FJ353)</f>
        <v>1.333333333333333</v>
      </c>
      <c r="AK353" s="1979">
        <f>IF(Construction!$F$31=Construction!$R$22,Oeko!CX353,Oeko!FK353)</f>
        <v>1.333333333333333</v>
      </c>
      <c r="AL353" s="1979">
        <f>IF(Construction!$F$31=Construction!$R$22,Oeko!CY353,Oeko!FL353)</f>
        <v>1.333333333333333</v>
      </c>
      <c r="AM353" s="1998">
        <f>IF(Construction!$F$31=Construction!$R$22,Oeko!CZ353,Oeko!FM353)</f>
        <v>1</v>
      </c>
      <c r="AN353" s="1998">
        <f>IF(Construction!$F$31=Construction!$R$22,Oeko!DA353,Oeko!FN353)</f>
        <v>1</v>
      </c>
      <c r="AO353" s="1998">
        <f>IF(Construction!$F$31=Construction!$R$22,Oeko!DB353,Oeko!FO353)</f>
        <v>1</v>
      </c>
      <c r="AP353" s="1998">
        <f>IF(Construction!$F$31=Construction!$R$22,Oeko!DC353,Oeko!FP353)</f>
        <v>1</v>
      </c>
      <c r="AQ353" s="1998">
        <f>IF(Construction!$F$31=Construction!$R$22,Oeko!DD353,Oeko!FQ353)</f>
        <v>1</v>
      </c>
      <c r="AR353" s="1979">
        <f>IF(Construction!$F$31=Construction!$R$22,Oeko!DE353,Oeko!FR353)</f>
        <v>8.0488597659215451</v>
      </c>
      <c r="AS353" s="1979">
        <f>IF(Construction!$F$31=Construction!$R$22,Oeko!DF353,Oeko!FS353)</f>
        <v>8.0488597659215451</v>
      </c>
      <c r="AT353" s="1979">
        <f>IF(Construction!$F$31=Construction!$R$22,Oeko!DG353,Oeko!FT353)</f>
        <v>8.0488597659215451</v>
      </c>
      <c r="AU353" s="1979">
        <f>IF(Construction!$F$31=Construction!$R$22,Oeko!DH353,Oeko!FU353)</f>
        <v>8.0488597659215451</v>
      </c>
      <c r="AV353" s="1979">
        <f>IF(Construction!$F$31=Construction!$R$22,Oeko!DI353,Oeko!FV353)</f>
        <v>8.0488597659215451</v>
      </c>
      <c r="AW353" s="1998">
        <f>IF(Construction!$F$31=Construction!$R$22,Oeko!DJ353,Oeko!FW353)</f>
        <v>8.0329061668367086</v>
      </c>
      <c r="AX353" s="1998">
        <f>IF(Construction!$F$31=Construction!$R$22,Oeko!DK353,Oeko!FX353)</f>
        <v>8.0329061668367086</v>
      </c>
      <c r="AY353" s="1998">
        <f>IF(Construction!$F$31=Construction!$R$22,Oeko!DL353,Oeko!FY353)</f>
        <v>8.0329061668367086</v>
      </c>
      <c r="AZ353" s="1998">
        <f>IF(Construction!$F$31=Construction!$R$22,Oeko!DM353,Oeko!FZ353)</f>
        <v>8.0329061668367086</v>
      </c>
      <c r="BA353" s="1998">
        <f>IF(Construction!$F$31=Construction!$R$22,Oeko!DN353,Oeko!GA353)</f>
        <v>8.0329061668367086</v>
      </c>
      <c r="BB353" s="1979">
        <f>IF(Construction!$F$31=Construction!$R$22,Oeko!DO353,Oeko!GB353)</f>
        <v>0.97975662301212196</v>
      </c>
      <c r="BC353" s="1979">
        <f>IF(Construction!$F$31=Construction!$R$22,Oeko!DP353,Oeko!GC353)</f>
        <v>0.97975662301212196</v>
      </c>
      <c r="BD353" s="1979">
        <f>IF(Construction!$F$31=Construction!$R$22,Oeko!DQ353,Oeko!GD353)</f>
        <v>0.97975662301212196</v>
      </c>
      <c r="BE353" s="1979">
        <f>IF(Construction!$F$31=Construction!$R$22,Oeko!DR353,Oeko!GE353)</f>
        <v>0.97975662301212196</v>
      </c>
      <c r="BF353" s="1979">
        <f>IF(Construction!$F$31=Construction!$R$22,Oeko!DS353,Oeko!GF353)</f>
        <v>0.97975662301212196</v>
      </c>
      <c r="BG353" s="1998">
        <f>IF(Construction!$F$31=Construction!$R$22,Oeko!DT353,Oeko!GG353)</f>
        <v>0.97614876347816082</v>
      </c>
      <c r="BH353" s="1998">
        <f>IF(Construction!$F$31=Construction!$R$22,Oeko!DU353,Oeko!GH353)</f>
        <v>0.97614876347816082</v>
      </c>
      <c r="BI353" s="1998">
        <f>IF(Construction!$F$31=Construction!$R$22,Oeko!DV353,Oeko!GI353)</f>
        <v>0.97614876347816082</v>
      </c>
      <c r="BJ353" s="1998">
        <f>IF(Construction!$F$31=Construction!$R$22,Oeko!DW353,Oeko!GJ353)</f>
        <v>0.97614876347816082</v>
      </c>
      <c r="BK353" s="2026">
        <f>IF(Construction!$F$31=Construction!$R$22,Oeko!DX353,Oeko!GK353)</f>
        <v>0.97614876347816082</v>
      </c>
      <c r="BN353" s="2022"/>
      <c r="BO353" s="2">
        <v>8</v>
      </c>
      <c r="BP353" s="2" t="s">
        <v>4334</v>
      </c>
      <c r="BQ353" s="1979">
        <v>0.99999999999999989</v>
      </c>
      <c r="BR353" s="1979">
        <v>0.99999999999999989</v>
      </c>
      <c r="BS353" s="1979">
        <v>0.99999999999999989</v>
      </c>
      <c r="BT353" s="1979">
        <v>0.99999999999999989</v>
      </c>
      <c r="BU353" s="1979">
        <v>0.99999999999999989</v>
      </c>
      <c r="BV353" s="1998">
        <v>1.3333333333333333</v>
      </c>
      <c r="BW353" s="1998">
        <v>1.3333333333333333</v>
      </c>
      <c r="BX353" s="1998">
        <v>1.3333333333333333</v>
      </c>
      <c r="BY353" s="1998">
        <v>1.3333333333333333</v>
      </c>
      <c r="BZ353" s="1998">
        <v>1.3333333333333333</v>
      </c>
      <c r="CA353" s="1979">
        <v>0.91428571428571437</v>
      </c>
      <c r="CB353" s="1979">
        <v>0.91428571428571437</v>
      </c>
      <c r="CC353" s="1979">
        <v>0.91428571428571437</v>
      </c>
      <c r="CD353" s="1979">
        <v>0.91428571428571437</v>
      </c>
      <c r="CE353" s="1979">
        <v>0.91428571428571437</v>
      </c>
      <c r="CF353" s="1998">
        <v>1.1250000000000002</v>
      </c>
      <c r="CG353" s="1998">
        <v>1.1250000000000002</v>
      </c>
      <c r="CH353" s="1998">
        <v>1.1250000000000002</v>
      </c>
      <c r="CI353" s="1998">
        <v>1.1250000000000002</v>
      </c>
      <c r="CJ353" s="1998">
        <v>1.1250000000000002</v>
      </c>
      <c r="CK353" s="1979">
        <v>0.89999999999999991</v>
      </c>
      <c r="CL353" s="1979">
        <v>0.89999999999999991</v>
      </c>
      <c r="CM353" s="1979">
        <v>0.89999999999999991</v>
      </c>
      <c r="CN353" s="1979">
        <v>0.89999999999999991</v>
      </c>
      <c r="CO353" s="1979">
        <v>0.89999999999999991</v>
      </c>
      <c r="CP353" s="1998">
        <v>1.0000000000000002</v>
      </c>
      <c r="CQ353" s="1998">
        <v>1.0000000000000002</v>
      </c>
      <c r="CR353" s="1998">
        <v>1.0000000000000002</v>
      </c>
      <c r="CS353" s="1998">
        <v>1.0000000000000002</v>
      </c>
      <c r="CT353" s="1998">
        <v>1.0000000000000002</v>
      </c>
      <c r="CU353" s="1979">
        <v>1.333333333333333</v>
      </c>
      <c r="CV353" s="1979">
        <v>1.333333333333333</v>
      </c>
      <c r="CW353" s="1979">
        <v>1.333333333333333</v>
      </c>
      <c r="CX353" s="1979">
        <v>1.333333333333333</v>
      </c>
      <c r="CY353" s="1979">
        <v>1.333333333333333</v>
      </c>
      <c r="CZ353" s="1998">
        <v>1</v>
      </c>
      <c r="DA353" s="1998">
        <v>1</v>
      </c>
      <c r="DB353" s="1998">
        <v>1</v>
      </c>
      <c r="DC353" s="1998">
        <v>1</v>
      </c>
      <c r="DD353" s="1998">
        <v>1</v>
      </c>
      <c r="DE353" s="1979">
        <v>8.0488597659215451</v>
      </c>
      <c r="DF353" s="1979">
        <v>8.0488597659215451</v>
      </c>
      <c r="DG353" s="1979">
        <v>8.0488597659215451</v>
      </c>
      <c r="DH353" s="1979">
        <v>8.0488597659215451</v>
      </c>
      <c r="DI353" s="1979">
        <v>8.0488597659215451</v>
      </c>
      <c r="DJ353" s="1998">
        <v>8.0329061668367086</v>
      </c>
      <c r="DK353" s="1998">
        <v>8.0329061668367086</v>
      </c>
      <c r="DL353" s="1998">
        <v>8.0329061668367086</v>
      </c>
      <c r="DM353" s="1998">
        <v>8.0329061668367086</v>
      </c>
      <c r="DN353" s="1998">
        <v>8.0329061668367086</v>
      </c>
      <c r="DO353" s="1979">
        <v>0.97975662301212196</v>
      </c>
      <c r="DP353" s="1979">
        <v>0.97975662301212196</v>
      </c>
      <c r="DQ353" s="1979">
        <v>0.97975662301212196</v>
      </c>
      <c r="DR353" s="1979">
        <v>0.97975662301212196</v>
      </c>
      <c r="DS353" s="1979">
        <v>0.97975662301212196</v>
      </c>
      <c r="DT353" s="1998">
        <v>0.97614876347816082</v>
      </c>
      <c r="DU353" s="1998">
        <v>0.97614876347816082</v>
      </c>
      <c r="DV353" s="1998">
        <v>0.97614876347816082</v>
      </c>
      <c r="DW353" s="1998">
        <v>0.97614876347816082</v>
      </c>
      <c r="DX353" s="2026">
        <v>0.97614876347816082</v>
      </c>
      <c r="EA353" s="2022"/>
      <c r="EB353" s="2">
        <v>8</v>
      </c>
      <c r="EC353" s="2" t="s">
        <v>4334</v>
      </c>
      <c r="ED353" s="1979">
        <v>1.3762929036503153</v>
      </c>
      <c r="EE353" s="1979">
        <v>1.3963232431591059</v>
      </c>
      <c r="EF353" s="1979">
        <v>1.4304926458505736</v>
      </c>
      <c r="EG353" s="1979">
        <v>1.4717315801333788</v>
      </c>
      <c r="EH353" s="1979">
        <v>1.5047227275596233</v>
      </c>
      <c r="EI353" s="1998">
        <v>2.2547268084554295</v>
      </c>
      <c r="EJ353" s="1998">
        <v>2.2971439980034583</v>
      </c>
      <c r="EK353" s="1998">
        <v>2.3584132717950546</v>
      </c>
      <c r="EL353" s="1998">
        <v>2.4291085877084355</v>
      </c>
      <c r="EM353" s="1998">
        <v>2.4668127561955719</v>
      </c>
      <c r="EN353" s="1979">
        <v>1.4070522648636679</v>
      </c>
      <c r="EO353" s="1979">
        <v>1.4361383376966017</v>
      </c>
      <c r="EP353" s="1979">
        <v>1.4393701235669278</v>
      </c>
      <c r="EQ353" s="1979">
        <v>1.442601909437254</v>
      </c>
      <c r="ER353" s="1979">
        <v>1.4458336953075799</v>
      </c>
      <c r="ES353" s="1998">
        <v>1.8438388091217452</v>
      </c>
      <c r="ET353" s="1998">
        <v>1.8783027756295188</v>
      </c>
      <c r="EU353" s="1998">
        <v>1.8836049243230224</v>
      </c>
      <c r="EV353" s="1998">
        <v>1.8889070730165258</v>
      </c>
      <c r="EW353" s="1998">
        <v>1.8942092217100295</v>
      </c>
      <c r="EX353" s="1979">
        <v>1.4375318345473909</v>
      </c>
      <c r="EY353" s="1979">
        <v>1.4651030077536096</v>
      </c>
      <c r="EZ353" s="1979">
        <v>1.4693447267084123</v>
      </c>
      <c r="FA353" s="1979">
        <v>1.4735864456632151</v>
      </c>
      <c r="FB353" s="1979">
        <v>1.477828164618018</v>
      </c>
      <c r="FC353" s="1998">
        <v>1.4251144996924636</v>
      </c>
      <c r="FD353" s="1998">
        <v>1.4439665839360318</v>
      </c>
      <c r="FE353" s="1998">
        <v>1.4486796049969239</v>
      </c>
      <c r="FF353" s="1998">
        <v>1.4533926260578161</v>
      </c>
      <c r="FG353" s="1998">
        <v>1.4581056471187079</v>
      </c>
      <c r="FH353" s="1979">
        <v>2.5613278029668329</v>
      </c>
      <c r="FI353" s="1979">
        <v>2.5660408240277253</v>
      </c>
      <c r="FJ353" s="1979">
        <v>2.5707538450886172</v>
      </c>
      <c r="FK353" s="1979">
        <v>2.575466866149509</v>
      </c>
      <c r="FL353" s="1979">
        <v>2.5801798872104009</v>
      </c>
      <c r="FM353" s="1998">
        <v>1.5821994916519955</v>
      </c>
      <c r="FN353" s="1998">
        <v>1.6081211074869013</v>
      </c>
      <c r="FO353" s="1998">
        <v>1.6481817865044843</v>
      </c>
      <c r="FP353" s="1998">
        <v>1.6953119971134045</v>
      </c>
      <c r="FQ353" s="1998">
        <v>1.7259466340092033</v>
      </c>
      <c r="FR353" s="1979">
        <v>18.696584463294087</v>
      </c>
      <c r="FS353" s="1979">
        <v>18.75348613168352</v>
      </c>
      <c r="FT353" s="1979">
        <v>18.810387800072949</v>
      </c>
      <c r="FU353" s="1979">
        <v>18.867289468462388</v>
      </c>
      <c r="FV353" s="1979">
        <v>18.924191136851817</v>
      </c>
      <c r="FW353" s="1998">
        <v>19.033724251273018</v>
      </c>
      <c r="FX353" s="1998">
        <v>19.09051313518972</v>
      </c>
      <c r="FY353" s="1998">
        <v>19.14730201910643</v>
      </c>
      <c r="FZ353" s="1998">
        <v>19.20409090302314</v>
      </c>
      <c r="GA353" s="1998">
        <v>19.260879786939839</v>
      </c>
      <c r="GB353" s="1979">
        <v>1.4698008661852611</v>
      </c>
      <c r="GC353" s="1979">
        <v>1.4721096729846634</v>
      </c>
      <c r="GD353" s="1979">
        <v>1.4744184797840658</v>
      </c>
      <c r="GE353" s="1979">
        <v>1.476727286583468</v>
      </c>
      <c r="GF353" s="1979">
        <v>1.4813449001822725</v>
      </c>
      <c r="GG353" s="1998">
        <v>1.5109696388753817</v>
      </c>
      <c r="GH353" s="1998">
        <v>1.5132699437157997</v>
      </c>
      <c r="GI353" s="1998">
        <v>1.5155702485562181</v>
      </c>
      <c r="GJ353" s="1998">
        <v>1.5178705533966359</v>
      </c>
      <c r="GK353" s="2026">
        <v>1.5224711630774723</v>
      </c>
    </row>
    <row r="354" spans="1:193">
      <c r="A354" s="2020"/>
      <c r="B354" s="2">
        <v>9</v>
      </c>
      <c r="C354" s="2" t="s">
        <v>4335</v>
      </c>
      <c r="D354" s="1979">
        <f>IF(Construction!$F$31=Construction!$R$22,Oeko!BQ354,Oeko!ED354)</f>
        <v>0.99999999999999989</v>
      </c>
      <c r="E354" s="1979">
        <f>IF(Construction!$F$31=Construction!$R$22,Oeko!BR354,Oeko!EE354)</f>
        <v>0.99999999999999989</v>
      </c>
      <c r="F354" s="1979">
        <f>IF(Construction!$F$31=Construction!$R$22,Oeko!BS354,Oeko!EF354)</f>
        <v>0.99999999999999989</v>
      </c>
      <c r="G354" s="1979">
        <f>IF(Construction!$F$31=Construction!$R$22,Oeko!BT354,Oeko!EG354)</f>
        <v>0.99999999999999989</v>
      </c>
      <c r="H354" s="1979">
        <f>IF(Construction!$F$31=Construction!$R$22,Oeko!BU354,Oeko!EH354)</f>
        <v>0.99999999999999989</v>
      </c>
      <c r="I354" s="1998">
        <f>IF(Construction!$F$31=Construction!$R$22,Oeko!BV354,Oeko!EI354)</f>
        <v>1.333333333333333</v>
      </c>
      <c r="J354" s="1998">
        <f>IF(Construction!$F$31=Construction!$R$22,Oeko!BW354,Oeko!EJ354)</f>
        <v>1.333333333333333</v>
      </c>
      <c r="K354" s="1998">
        <f>IF(Construction!$F$31=Construction!$R$22,Oeko!BX354,Oeko!EK354)</f>
        <v>1.333333333333333</v>
      </c>
      <c r="L354" s="1998">
        <f>IF(Construction!$F$31=Construction!$R$22,Oeko!BY354,Oeko!EL354)</f>
        <v>1.333333333333333</v>
      </c>
      <c r="M354" s="1998">
        <f>IF(Construction!$F$31=Construction!$R$22,Oeko!BZ354,Oeko!EM354)</f>
        <v>1.333333333333333</v>
      </c>
      <c r="N354" s="1979">
        <f>IF(Construction!$F$31=Construction!$R$22,Oeko!CA354,Oeko!EN354)</f>
        <v>0.85714285714285721</v>
      </c>
      <c r="O354" s="1979">
        <f>IF(Construction!$F$31=Construction!$R$22,Oeko!CB354,Oeko!EO354)</f>
        <v>0.85714285714285721</v>
      </c>
      <c r="P354" s="1979">
        <f>IF(Construction!$F$31=Construction!$R$22,Oeko!CC354,Oeko!EP354)</f>
        <v>0.85714285714285721</v>
      </c>
      <c r="Q354" s="1979">
        <f>IF(Construction!$F$31=Construction!$R$22,Oeko!CD354,Oeko!EQ354)</f>
        <v>0.85714285714285721</v>
      </c>
      <c r="R354" s="1979">
        <f>IF(Construction!$F$31=Construction!$R$22,Oeko!CE354,Oeko!ER354)</f>
        <v>0.85714285714285721</v>
      </c>
      <c r="S354" s="1998">
        <f>IF(Construction!$F$31=Construction!$R$22,Oeko!CF354,Oeko!ES354)</f>
        <v>1.125</v>
      </c>
      <c r="T354" s="1998">
        <f>IF(Construction!$F$31=Construction!$R$22,Oeko!CG354,Oeko!ET354)</f>
        <v>1.125</v>
      </c>
      <c r="U354" s="1998">
        <f>IF(Construction!$F$31=Construction!$R$22,Oeko!CH354,Oeko!EU354)</f>
        <v>1.125</v>
      </c>
      <c r="V354" s="1998">
        <f>IF(Construction!$F$31=Construction!$R$22,Oeko!CI354,Oeko!EV354)</f>
        <v>1.125</v>
      </c>
      <c r="W354" s="1998">
        <f>IF(Construction!$F$31=Construction!$R$22,Oeko!CJ354,Oeko!EW354)</f>
        <v>1.125</v>
      </c>
      <c r="X354" s="1979">
        <f>IF(Construction!$F$31=Construction!$R$22,Oeko!CK354,Oeko!EX354)</f>
        <v>0.9</v>
      </c>
      <c r="Y354" s="1979">
        <f>IF(Construction!$F$31=Construction!$R$22,Oeko!CL354,Oeko!EY354)</f>
        <v>0.9</v>
      </c>
      <c r="Z354" s="1979">
        <f>IF(Construction!$F$31=Construction!$R$22,Oeko!CM354,Oeko!EZ354)</f>
        <v>0.9</v>
      </c>
      <c r="AA354" s="1979">
        <f>IF(Construction!$F$31=Construction!$R$22,Oeko!CN354,Oeko!FA354)</f>
        <v>0.9</v>
      </c>
      <c r="AB354" s="1979">
        <f>IF(Construction!$F$31=Construction!$R$22,Oeko!CO354,Oeko!FB354)</f>
        <v>0.9</v>
      </c>
      <c r="AC354" s="1998">
        <f>IF(Construction!$F$31=Construction!$R$22,Oeko!CP354,Oeko!FC354)</f>
        <v>1</v>
      </c>
      <c r="AD354" s="1998">
        <f>IF(Construction!$F$31=Construction!$R$22,Oeko!CQ354,Oeko!FD354)</f>
        <v>1</v>
      </c>
      <c r="AE354" s="1998">
        <f>IF(Construction!$F$31=Construction!$R$22,Oeko!CR354,Oeko!FE354)</f>
        <v>1</v>
      </c>
      <c r="AF354" s="1998">
        <f>IF(Construction!$F$31=Construction!$R$22,Oeko!CS354,Oeko!FF354)</f>
        <v>1</v>
      </c>
      <c r="AG354" s="1998">
        <f>IF(Construction!$F$31=Construction!$R$22,Oeko!CT354,Oeko!FG354)</f>
        <v>1</v>
      </c>
      <c r="AH354" s="1979">
        <f>IF(Construction!$F$31=Construction!$R$22,Oeko!CU354,Oeko!FH354)</f>
        <v>1.333333333333333</v>
      </c>
      <c r="AI354" s="1979">
        <f>IF(Construction!$F$31=Construction!$R$22,Oeko!CV354,Oeko!FI354)</f>
        <v>1.333333333333333</v>
      </c>
      <c r="AJ354" s="1979">
        <f>IF(Construction!$F$31=Construction!$R$22,Oeko!CW354,Oeko!FJ354)</f>
        <v>1.333333333333333</v>
      </c>
      <c r="AK354" s="1979">
        <f>IF(Construction!$F$31=Construction!$R$22,Oeko!CX354,Oeko!FK354)</f>
        <v>1.333333333333333</v>
      </c>
      <c r="AL354" s="1979">
        <f>IF(Construction!$F$31=Construction!$R$22,Oeko!CY354,Oeko!FL354)</f>
        <v>1.333333333333333</v>
      </c>
      <c r="AM354" s="1998">
        <f>IF(Construction!$F$31=Construction!$R$22,Oeko!CZ354,Oeko!FM354)</f>
        <v>1</v>
      </c>
      <c r="AN354" s="1998">
        <f>IF(Construction!$F$31=Construction!$R$22,Oeko!DA354,Oeko!FN354)</f>
        <v>1</v>
      </c>
      <c r="AO354" s="1998">
        <f>IF(Construction!$F$31=Construction!$R$22,Oeko!DB354,Oeko!FO354)</f>
        <v>1</v>
      </c>
      <c r="AP354" s="1998">
        <f>IF(Construction!$F$31=Construction!$R$22,Oeko!DC354,Oeko!FP354)</f>
        <v>1</v>
      </c>
      <c r="AQ354" s="1998">
        <f>IF(Construction!$F$31=Construction!$R$22,Oeko!DD354,Oeko!FQ354)</f>
        <v>1</v>
      </c>
      <c r="AR354" s="1979">
        <f>IF(Construction!$F$31=Construction!$R$22,Oeko!DE354,Oeko!FR354)</f>
        <v>8.0488597659215468</v>
      </c>
      <c r="AS354" s="1979">
        <f>IF(Construction!$F$31=Construction!$R$22,Oeko!DF354,Oeko!FS354)</f>
        <v>8.0488597659215468</v>
      </c>
      <c r="AT354" s="1979">
        <f>IF(Construction!$F$31=Construction!$R$22,Oeko!DG354,Oeko!FT354)</f>
        <v>8.0488597659215468</v>
      </c>
      <c r="AU354" s="1979">
        <f>IF(Construction!$F$31=Construction!$R$22,Oeko!DH354,Oeko!FU354)</f>
        <v>8.0488597659215468</v>
      </c>
      <c r="AV354" s="1979">
        <f>IF(Construction!$F$31=Construction!$R$22,Oeko!DI354,Oeko!FV354)</f>
        <v>8.0488597659215468</v>
      </c>
      <c r="AW354" s="1998">
        <f>IF(Construction!$F$31=Construction!$R$22,Oeko!DJ354,Oeko!FW354)</f>
        <v>8.0329061668367086</v>
      </c>
      <c r="AX354" s="1998">
        <f>IF(Construction!$F$31=Construction!$R$22,Oeko!DK354,Oeko!FX354)</f>
        <v>8.0329061668367086</v>
      </c>
      <c r="AY354" s="1998">
        <f>IF(Construction!$F$31=Construction!$R$22,Oeko!DL354,Oeko!FY354)</f>
        <v>8.0329061668367086</v>
      </c>
      <c r="AZ354" s="1998">
        <f>IF(Construction!$F$31=Construction!$R$22,Oeko!DM354,Oeko!FZ354)</f>
        <v>8.0329061668367086</v>
      </c>
      <c r="BA354" s="1998">
        <f>IF(Construction!$F$31=Construction!$R$22,Oeko!DN354,Oeko!GA354)</f>
        <v>8.0329061668367086</v>
      </c>
      <c r="BB354" s="1979">
        <f>IF(Construction!$F$31=Construction!$R$22,Oeko!DO354,Oeko!GB354)</f>
        <v>0.97975662301212196</v>
      </c>
      <c r="BC354" s="1979">
        <f>IF(Construction!$F$31=Construction!$R$22,Oeko!DP354,Oeko!GC354)</f>
        <v>0.97975662301212196</v>
      </c>
      <c r="BD354" s="1979">
        <f>IF(Construction!$F$31=Construction!$R$22,Oeko!DQ354,Oeko!GD354)</f>
        <v>0.97975662301212196</v>
      </c>
      <c r="BE354" s="1979">
        <f>IF(Construction!$F$31=Construction!$R$22,Oeko!DR354,Oeko!GE354)</f>
        <v>0.97975662301212196</v>
      </c>
      <c r="BF354" s="1979">
        <f>IF(Construction!$F$31=Construction!$R$22,Oeko!DS354,Oeko!GF354)</f>
        <v>0.97975662301212196</v>
      </c>
      <c r="BG354" s="1998">
        <f>IF(Construction!$F$31=Construction!$R$22,Oeko!DT354,Oeko!GG354)</f>
        <v>0.97614876347816082</v>
      </c>
      <c r="BH354" s="1998">
        <f>IF(Construction!$F$31=Construction!$R$22,Oeko!DU354,Oeko!GH354)</f>
        <v>0.97614876347816082</v>
      </c>
      <c r="BI354" s="1998">
        <f>IF(Construction!$F$31=Construction!$R$22,Oeko!DV354,Oeko!GI354)</f>
        <v>0.97614876347816082</v>
      </c>
      <c r="BJ354" s="1998">
        <f>IF(Construction!$F$31=Construction!$R$22,Oeko!DW354,Oeko!GJ354)</f>
        <v>0.97614876347816082</v>
      </c>
      <c r="BK354" s="2026">
        <f>IF(Construction!$F$31=Construction!$R$22,Oeko!DX354,Oeko!GK354)</f>
        <v>0.97614876347816082</v>
      </c>
      <c r="BN354" s="2022"/>
      <c r="BO354" s="2">
        <v>9</v>
      </c>
      <c r="BP354" s="2" t="s">
        <v>4335</v>
      </c>
      <c r="BQ354" s="1979">
        <v>0.99999999999999989</v>
      </c>
      <c r="BR354" s="1979">
        <v>0.99999999999999989</v>
      </c>
      <c r="BS354" s="1979">
        <v>0.99999999999999989</v>
      </c>
      <c r="BT354" s="1979">
        <v>0.99999999999999989</v>
      </c>
      <c r="BU354" s="1979">
        <v>0.99999999999999989</v>
      </c>
      <c r="BV354" s="1998">
        <v>1.333333333333333</v>
      </c>
      <c r="BW354" s="1998">
        <v>1.333333333333333</v>
      </c>
      <c r="BX354" s="1998">
        <v>1.333333333333333</v>
      </c>
      <c r="BY354" s="1998">
        <v>1.333333333333333</v>
      </c>
      <c r="BZ354" s="1998">
        <v>1.333333333333333</v>
      </c>
      <c r="CA354" s="1979">
        <v>0.85714285714285721</v>
      </c>
      <c r="CB354" s="1979">
        <v>0.85714285714285721</v>
      </c>
      <c r="CC354" s="1979">
        <v>0.85714285714285721</v>
      </c>
      <c r="CD354" s="1979">
        <v>0.85714285714285721</v>
      </c>
      <c r="CE354" s="1979">
        <v>0.85714285714285721</v>
      </c>
      <c r="CF354" s="1998">
        <v>1.125</v>
      </c>
      <c r="CG354" s="1998">
        <v>1.125</v>
      </c>
      <c r="CH354" s="1998">
        <v>1.125</v>
      </c>
      <c r="CI354" s="1998">
        <v>1.125</v>
      </c>
      <c r="CJ354" s="1998">
        <v>1.125</v>
      </c>
      <c r="CK354" s="1979">
        <v>0.9</v>
      </c>
      <c r="CL354" s="1979">
        <v>0.9</v>
      </c>
      <c r="CM354" s="1979">
        <v>0.9</v>
      </c>
      <c r="CN354" s="1979">
        <v>0.9</v>
      </c>
      <c r="CO354" s="1979">
        <v>0.9</v>
      </c>
      <c r="CP354" s="1998">
        <v>1</v>
      </c>
      <c r="CQ354" s="1998">
        <v>1</v>
      </c>
      <c r="CR354" s="1998">
        <v>1</v>
      </c>
      <c r="CS354" s="1998">
        <v>1</v>
      </c>
      <c r="CT354" s="1998">
        <v>1</v>
      </c>
      <c r="CU354" s="1979">
        <v>1.333333333333333</v>
      </c>
      <c r="CV354" s="1979">
        <v>1.333333333333333</v>
      </c>
      <c r="CW354" s="1979">
        <v>1.333333333333333</v>
      </c>
      <c r="CX354" s="1979">
        <v>1.333333333333333</v>
      </c>
      <c r="CY354" s="1979">
        <v>1.333333333333333</v>
      </c>
      <c r="CZ354" s="1998">
        <v>1</v>
      </c>
      <c r="DA354" s="1998">
        <v>1</v>
      </c>
      <c r="DB354" s="1998">
        <v>1</v>
      </c>
      <c r="DC354" s="1998">
        <v>1</v>
      </c>
      <c r="DD354" s="1998">
        <v>1</v>
      </c>
      <c r="DE354" s="1979">
        <v>8.0488597659215468</v>
      </c>
      <c r="DF354" s="1979">
        <v>8.0488597659215468</v>
      </c>
      <c r="DG354" s="1979">
        <v>8.0488597659215468</v>
      </c>
      <c r="DH354" s="1979">
        <v>8.0488597659215468</v>
      </c>
      <c r="DI354" s="1979">
        <v>8.0488597659215468</v>
      </c>
      <c r="DJ354" s="1998">
        <v>8.0329061668367086</v>
      </c>
      <c r="DK354" s="1998">
        <v>8.0329061668367086</v>
      </c>
      <c r="DL354" s="1998">
        <v>8.0329061668367086</v>
      </c>
      <c r="DM354" s="1998">
        <v>8.0329061668367086</v>
      </c>
      <c r="DN354" s="1998">
        <v>8.0329061668367086</v>
      </c>
      <c r="DO354" s="1979">
        <v>0.97975662301212196</v>
      </c>
      <c r="DP354" s="1979">
        <v>0.97975662301212196</v>
      </c>
      <c r="DQ354" s="1979">
        <v>0.97975662301212196</v>
      </c>
      <c r="DR354" s="1979">
        <v>0.97975662301212196</v>
      </c>
      <c r="DS354" s="1979">
        <v>0.97975662301212196</v>
      </c>
      <c r="DT354" s="1998">
        <v>0.97614876347816082</v>
      </c>
      <c r="DU354" s="1998">
        <v>0.97614876347816082</v>
      </c>
      <c r="DV354" s="1998">
        <v>0.97614876347816082</v>
      </c>
      <c r="DW354" s="1998">
        <v>0.97614876347816082</v>
      </c>
      <c r="DX354" s="2026">
        <v>0.97614876347816082</v>
      </c>
      <c r="EA354" s="2022"/>
      <c r="EB354" s="2">
        <v>9</v>
      </c>
      <c r="EC354" s="2" t="s">
        <v>4335</v>
      </c>
      <c r="ED354" s="1979">
        <v>1.3715338464729889</v>
      </c>
      <c r="EE354" s="1979">
        <v>1.39156418598178</v>
      </c>
      <c r="EF354" s="1979">
        <v>1.4257335886732474</v>
      </c>
      <c r="EG354" s="1979">
        <v>1.4669725229560528</v>
      </c>
      <c r="EH354" s="1979">
        <v>1.4999636703822976</v>
      </c>
      <c r="EI354" s="1998">
        <v>2.2761496314594845</v>
      </c>
      <c r="EJ354" s="1998">
        <v>2.3185668210075123</v>
      </c>
      <c r="EK354" s="1998">
        <v>2.3798360947991095</v>
      </c>
      <c r="EL354" s="1998">
        <v>2.45053141071249</v>
      </c>
      <c r="EM354" s="1998">
        <v>2.4882355791996265</v>
      </c>
      <c r="EN354" s="1979">
        <v>1.3925285838857351</v>
      </c>
      <c r="EO354" s="1979">
        <v>1.4187868440821336</v>
      </c>
      <c r="EP354" s="1979">
        <v>1.422826576420041</v>
      </c>
      <c r="EQ354" s="1979">
        <v>1.4268663087579485</v>
      </c>
      <c r="ER354" s="1979">
        <v>1.4309060410958561</v>
      </c>
      <c r="ES354" s="1998">
        <v>1.8597452552022562</v>
      </c>
      <c r="ET354" s="1998">
        <v>1.8942092217100295</v>
      </c>
      <c r="EU354" s="1998">
        <v>1.8995113704035331</v>
      </c>
      <c r="EV354" s="1998">
        <v>1.9048135190970363</v>
      </c>
      <c r="EW354" s="1998">
        <v>1.91011566779054</v>
      </c>
      <c r="EX354" s="1979">
        <v>1.4454850575876461</v>
      </c>
      <c r="EY354" s="1979">
        <v>1.4730562307938648</v>
      </c>
      <c r="EZ354" s="1979">
        <v>1.4772979497486678</v>
      </c>
      <c r="FA354" s="1979">
        <v>1.4815396687034708</v>
      </c>
      <c r="FB354" s="1979">
        <v>1.4857813876582731</v>
      </c>
      <c r="FC354" s="1998">
        <v>1.4251144996924636</v>
      </c>
      <c r="FD354" s="1998">
        <v>1.4439665839360321</v>
      </c>
      <c r="FE354" s="1998">
        <v>1.4486796049969237</v>
      </c>
      <c r="FF354" s="1998">
        <v>1.4533926260578158</v>
      </c>
      <c r="FG354" s="1998">
        <v>1.4581056471187079</v>
      </c>
      <c r="FH354" s="1979">
        <v>2.5734469999805554</v>
      </c>
      <c r="FI354" s="1979">
        <v>2.5781600210414473</v>
      </c>
      <c r="FJ354" s="1979">
        <v>2.5828730421023387</v>
      </c>
      <c r="FK354" s="1979">
        <v>2.5875860631632315</v>
      </c>
      <c r="FL354" s="1979">
        <v>2.5922990842241234</v>
      </c>
      <c r="FM354" s="1998">
        <v>1.617547149608686</v>
      </c>
      <c r="FN354" s="1998">
        <v>1.6434687654435922</v>
      </c>
      <c r="FO354" s="1998">
        <v>1.6835294444611746</v>
      </c>
      <c r="FP354" s="1998">
        <v>1.7306596550700952</v>
      </c>
      <c r="FQ354" s="1998">
        <v>1.7612942919658936</v>
      </c>
      <c r="FR354" s="1979">
        <v>18.888627594108421</v>
      </c>
      <c r="FS354" s="1979">
        <v>18.945529262497853</v>
      </c>
      <c r="FT354" s="1979">
        <v>19.002430930887286</v>
      </c>
      <c r="FU354" s="1979">
        <v>19.059332599276722</v>
      </c>
      <c r="FV354" s="1979">
        <v>19.116234267666151</v>
      </c>
      <c r="FW354" s="1998">
        <v>19.277105182344616</v>
      </c>
      <c r="FX354" s="1998">
        <v>19.333894066261323</v>
      </c>
      <c r="FY354" s="1998">
        <v>19.390682950178032</v>
      </c>
      <c r="FZ354" s="1998">
        <v>19.447471834094735</v>
      </c>
      <c r="GA354" s="1998">
        <v>19.504260718011441</v>
      </c>
      <c r="GB354" s="1979">
        <v>1.5217490191718126</v>
      </c>
      <c r="GC354" s="1979">
        <v>1.5252122293709158</v>
      </c>
      <c r="GD354" s="1979">
        <v>1.5286754395700199</v>
      </c>
      <c r="GE354" s="1979">
        <v>1.532138649769123</v>
      </c>
      <c r="GF354" s="1979">
        <v>1.5390650701673299</v>
      </c>
      <c r="GG354" s="1998">
        <v>1.5627264977847901</v>
      </c>
      <c r="GH354" s="1998">
        <v>1.5661769550454174</v>
      </c>
      <c r="GI354" s="1998">
        <v>1.5696274123060445</v>
      </c>
      <c r="GJ354" s="1998">
        <v>1.5730778695666718</v>
      </c>
      <c r="GK354" s="2026">
        <v>1.5799787840879262</v>
      </c>
    </row>
    <row r="355" spans="1:193">
      <c r="A355" s="2020"/>
      <c r="B355" s="2">
        <v>10</v>
      </c>
      <c r="C355" s="2" t="s">
        <v>4336</v>
      </c>
      <c r="D355" s="1979">
        <f>IF(Construction!$F$31=Construction!$R$22,Oeko!BQ355,Oeko!ED355)</f>
        <v>0.99999999999999989</v>
      </c>
      <c r="E355" s="1979">
        <f>IF(Construction!$F$31=Construction!$R$22,Oeko!BR355,Oeko!EE355)</f>
        <v>0.99999999999999989</v>
      </c>
      <c r="F355" s="1979">
        <f>IF(Construction!$F$31=Construction!$R$22,Oeko!BS355,Oeko!EF355)</f>
        <v>0.99999999999999989</v>
      </c>
      <c r="G355" s="1979">
        <f>IF(Construction!$F$31=Construction!$R$22,Oeko!BT355,Oeko!EG355)</f>
        <v>0.99999999999999989</v>
      </c>
      <c r="H355" s="1979">
        <f>IF(Construction!$F$31=Construction!$R$22,Oeko!BU355,Oeko!EH355)</f>
        <v>0.99999999999999989</v>
      </c>
      <c r="I355" s="1998">
        <f>IF(Construction!$F$31=Construction!$R$22,Oeko!BV355,Oeko!EI355)</f>
        <v>1</v>
      </c>
      <c r="J355" s="1998">
        <f>IF(Construction!$F$31=Construction!$R$22,Oeko!BW355,Oeko!EJ355)</f>
        <v>1</v>
      </c>
      <c r="K355" s="1998">
        <f>IF(Construction!$F$31=Construction!$R$22,Oeko!BX355,Oeko!EK355)</f>
        <v>1</v>
      </c>
      <c r="L355" s="1998">
        <f>IF(Construction!$F$31=Construction!$R$22,Oeko!BY355,Oeko!EL355)</f>
        <v>1</v>
      </c>
      <c r="M355" s="1998">
        <f>IF(Construction!$F$31=Construction!$R$22,Oeko!BZ355,Oeko!EM355)</f>
        <v>1</v>
      </c>
      <c r="N355" s="1979">
        <f>IF(Construction!$F$31=Construction!$R$22,Oeko!CA355,Oeko!EN355)</f>
        <v>0.76190476190476186</v>
      </c>
      <c r="O355" s="1979">
        <f>IF(Construction!$F$31=Construction!$R$22,Oeko!CB355,Oeko!EO355)</f>
        <v>0.76190476190476186</v>
      </c>
      <c r="P355" s="1979">
        <f>IF(Construction!$F$31=Construction!$R$22,Oeko!CC355,Oeko!EP355)</f>
        <v>0.76190476190476186</v>
      </c>
      <c r="Q355" s="1979">
        <f>IF(Construction!$F$31=Construction!$R$22,Oeko!CD355,Oeko!EQ355)</f>
        <v>0.76190476190476186</v>
      </c>
      <c r="R355" s="1979">
        <f>IF(Construction!$F$31=Construction!$R$22,Oeko!CE355,Oeko!ER355)</f>
        <v>0.76190476190476186</v>
      </c>
      <c r="S355" s="1998">
        <f>IF(Construction!$F$31=Construction!$R$22,Oeko!CF355,Oeko!ES355)</f>
        <v>1.1250000000000002</v>
      </c>
      <c r="T355" s="1998">
        <f>IF(Construction!$F$31=Construction!$R$22,Oeko!CG355,Oeko!ET355)</f>
        <v>1.1250000000000002</v>
      </c>
      <c r="U355" s="1998">
        <f>IF(Construction!$F$31=Construction!$R$22,Oeko!CH355,Oeko!EU355)</f>
        <v>1.1250000000000002</v>
      </c>
      <c r="V355" s="1998">
        <f>IF(Construction!$F$31=Construction!$R$22,Oeko!CI355,Oeko!EV355)</f>
        <v>1.1250000000000002</v>
      </c>
      <c r="W355" s="1998">
        <f>IF(Construction!$F$31=Construction!$R$22,Oeko!CJ355,Oeko!EW355)</f>
        <v>1.1250000000000002</v>
      </c>
      <c r="X355" s="1979">
        <f>IF(Construction!$F$31=Construction!$R$22,Oeko!CK355,Oeko!EX355)</f>
        <v>0.8</v>
      </c>
      <c r="Y355" s="1979">
        <f>IF(Construction!$F$31=Construction!$R$22,Oeko!CL355,Oeko!EY355)</f>
        <v>0.8</v>
      </c>
      <c r="Z355" s="1979">
        <f>IF(Construction!$F$31=Construction!$R$22,Oeko!CM355,Oeko!EZ355)</f>
        <v>0.8</v>
      </c>
      <c r="AA355" s="1979">
        <f>IF(Construction!$F$31=Construction!$R$22,Oeko!CN355,Oeko!FA355)</f>
        <v>0.8</v>
      </c>
      <c r="AB355" s="1979">
        <f>IF(Construction!$F$31=Construction!$R$22,Oeko!CO355,Oeko!FB355)</f>
        <v>0.8</v>
      </c>
      <c r="AC355" s="1998">
        <f>IF(Construction!$F$31=Construction!$R$22,Oeko!CP355,Oeko!FC355)</f>
        <v>1.0000000000000002</v>
      </c>
      <c r="AD355" s="1998">
        <f>IF(Construction!$F$31=Construction!$R$22,Oeko!CQ355,Oeko!FD355)</f>
        <v>1.0000000000000002</v>
      </c>
      <c r="AE355" s="1998">
        <f>IF(Construction!$F$31=Construction!$R$22,Oeko!CR355,Oeko!FE355)</f>
        <v>1.0000000000000002</v>
      </c>
      <c r="AF355" s="1998">
        <f>IF(Construction!$F$31=Construction!$R$22,Oeko!CS355,Oeko!FF355)</f>
        <v>1.0000000000000002</v>
      </c>
      <c r="AG355" s="1998">
        <f>IF(Construction!$F$31=Construction!$R$22,Oeko!CT355,Oeko!FG355)</f>
        <v>1.0000000000000002</v>
      </c>
      <c r="AH355" s="1979">
        <f>IF(Construction!$F$31=Construction!$R$22,Oeko!CU355,Oeko!FH355)</f>
        <v>1</v>
      </c>
      <c r="AI355" s="1979">
        <f>IF(Construction!$F$31=Construction!$R$22,Oeko!CV355,Oeko!FI355)</f>
        <v>1</v>
      </c>
      <c r="AJ355" s="1979">
        <f>IF(Construction!$F$31=Construction!$R$22,Oeko!CW355,Oeko!FJ355)</f>
        <v>1</v>
      </c>
      <c r="AK355" s="1979">
        <f>IF(Construction!$F$31=Construction!$R$22,Oeko!CX355,Oeko!FK355)</f>
        <v>1</v>
      </c>
      <c r="AL355" s="1979">
        <f>IF(Construction!$F$31=Construction!$R$22,Oeko!CY355,Oeko!FL355)</f>
        <v>1</v>
      </c>
      <c r="AM355" s="1998">
        <f>IF(Construction!$F$31=Construction!$R$22,Oeko!CZ355,Oeko!FM355)</f>
        <v>0.88888888888888884</v>
      </c>
      <c r="AN355" s="1998">
        <f>IF(Construction!$F$31=Construction!$R$22,Oeko!DA355,Oeko!FN355)</f>
        <v>0.88888888888888884</v>
      </c>
      <c r="AO355" s="1998">
        <f>IF(Construction!$F$31=Construction!$R$22,Oeko!DB355,Oeko!FO355)</f>
        <v>0.88888888888888884</v>
      </c>
      <c r="AP355" s="1998">
        <f>IF(Construction!$F$31=Construction!$R$22,Oeko!DC355,Oeko!FP355)</f>
        <v>0.88888888888888884</v>
      </c>
      <c r="AQ355" s="1998">
        <f>IF(Construction!$F$31=Construction!$R$22,Oeko!DD355,Oeko!FQ355)</f>
        <v>0.88888888888888884</v>
      </c>
      <c r="AR355" s="1979">
        <f>IF(Construction!$F$31=Construction!$R$22,Oeko!DE355,Oeko!FR355)</f>
        <v>8.0488597659215468</v>
      </c>
      <c r="AS355" s="1979">
        <f>IF(Construction!$F$31=Construction!$R$22,Oeko!DF355,Oeko!FS355)</f>
        <v>8.0488597659215468</v>
      </c>
      <c r="AT355" s="1979">
        <f>IF(Construction!$F$31=Construction!$R$22,Oeko!DG355,Oeko!FT355)</f>
        <v>8.0488597659215468</v>
      </c>
      <c r="AU355" s="1979">
        <f>IF(Construction!$F$31=Construction!$R$22,Oeko!DH355,Oeko!FU355)</f>
        <v>8.0488597659215468</v>
      </c>
      <c r="AV355" s="1979">
        <f>IF(Construction!$F$31=Construction!$R$22,Oeko!DI355,Oeko!FV355)</f>
        <v>8.0488597659215468</v>
      </c>
      <c r="AW355" s="1998">
        <f>IF(Construction!$F$31=Construction!$R$22,Oeko!DJ355,Oeko!FW355)</f>
        <v>8.0329061668367068</v>
      </c>
      <c r="AX355" s="1998">
        <f>IF(Construction!$F$31=Construction!$R$22,Oeko!DK355,Oeko!FX355)</f>
        <v>8.0329061668367068</v>
      </c>
      <c r="AY355" s="1998">
        <f>IF(Construction!$F$31=Construction!$R$22,Oeko!DL355,Oeko!FY355)</f>
        <v>8.0329061668367068</v>
      </c>
      <c r="AZ355" s="1998">
        <f>IF(Construction!$F$31=Construction!$R$22,Oeko!DM355,Oeko!FZ355)</f>
        <v>8.0329061668367068</v>
      </c>
      <c r="BA355" s="1998">
        <f>IF(Construction!$F$31=Construction!$R$22,Oeko!DN355,Oeko!GA355)</f>
        <v>8.0329061668367068</v>
      </c>
      <c r="BB355" s="1979">
        <f>IF(Construction!$F$31=Construction!$R$22,Oeko!DO355,Oeko!GB355)</f>
        <v>0.97975662301212196</v>
      </c>
      <c r="BC355" s="1979">
        <f>IF(Construction!$F$31=Construction!$R$22,Oeko!DP355,Oeko!GC355)</f>
        <v>0.97975662301212196</v>
      </c>
      <c r="BD355" s="1979">
        <f>IF(Construction!$F$31=Construction!$R$22,Oeko!DQ355,Oeko!GD355)</f>
        <v>0.97975662301212196</v>
      </c>
      <c r="BE355" s="1979">
        <f>IF(Construction!$F$31=Construction!$R$22,Oeko!DR355,Oeko!GE355)</f>
        <v>0.97975662301212196</v>
      </c>
      <c r="BF355" s="1979">
        <f>IF(Construction!$F$31=Construction!$R$22,Oeko!DS355,Oeko!GF355)</f>
        <v>0.97975662301212196</v>
      </c>
      <c r="BG355" s="1998">
        <f>IF(Construction!$F$31=Construction!$R$22,Oeko!DT355,Oeko!GG355)</f>
        <v>0.9761487634781606</v>
      </c>
      <c r="BH355" s="1998">
        <f>IF(Construction!$F$31=Construction!$R$22,Oeko!DU355,Oeko!GH355)</f>
        <v>0.9761487634781606</v>
      </c>
      <c r="BI355" s="1998">
        <f>IF(Construction!$F$31=Construction!$R$22,Oeko!DV355,Oeko!GI355)</f>
        <v>0.9761487634781606</v>
      </c>
      <c r="BJ355" s="1998">
        <f>IF(Construction!$F$31=Construction!$R$22,Oeko!DW355,Oeko!GJ355)</f>
        <v>0.9761487634781606</v>
      </c>
      <c r="BK355" s="2026">
        <f>IF(Construction!$F$31=Construction!$R$22,Oeko!DX355,Oeko!GK355)</f>
        <v>0.9761487634781606</v>
      </c>
      <c r="BN355" s="2022"/>
      <c r="BO355" s="2">
        <v>10</v>
      </c>
      <c r="BP355" s="2" t="s">
        <v>4336</v>
      </c>
      <c r="BQ355" s="1979">
        <v>0.99999999999999989</v>
      </c>
      <c r="BR355" s="1979">
        <v>0.99999999999999989</v>
      </c>
      <c r="BS355" s="1979">
        <v>0.99999999999999989</v>
      </c>
      <c r="BT355" s="1979">
        <v>0.99999999999999989</v>
      </c>
      <c r="BU355" s="1979">
        <v>0.99999999999999989</v>
      </c>
      <c r="BV355" s="1998">
        <v>1</v>
      </c>
      <c r="BW355" s="1998">
        <v>1</v>
      </c>
      <c r="BX355" s="1998">
        <v>1</v>
      </c>
      <c r="BY355" s="1998">
        <v>1</v>
      </c>
      <c r="BZ355" s="1998">
        <v>1</v>
      </c>
      <c r="CA355" s="1979">
        <v>0.76190476190476186</v>
      </c>
      <c r="CB355" s="1979">
        <v>0.76190476190476186</v>
      </c>
      <c r="CC355" s="1979">
        <v>0.76190476190476186</v>
      </c>
      <c r="CD355" s="1979">
        <v>0.76190476190476186</v>
      </c>
      <c r="CE355" s="1979">
        <v>0.76190476190476186</v>
      </c>
      <c r="CF355" s="1998">
        <v>1.1250000000000002</v>
      </c>
      <c r="CG355" s="1998">
        <v>1.1250000000000002</v>
      </c>
      <c r="CH355" s="1998">
        <v>1.1250000000000002</v>
      </c>
      <c r="CI355" s="1998">
        <v>1.1250000000000002</v>
      </c>
      <c r="CJ355" s="1998">
        <v>1.1250000000000002</v>
      </c>
      <c r="CK355" s="1979">
        <v>0.8</v>
      </c>
      <c r="CL355" s="1979">
        <v>0.8</v>
      </c>
      <c r="CM355" s="1979">
        <v>0.8</v>
      </c>
      <c r="CN355" s="1979">
        <v>0.8</v>
      </c>
      <c r="CO355" s="1979">
        <v>0.8</v>
      </c>
      <c r="CP355" s="1998">
        <v>1.0000000000000002</v>
      </c>
      <c r="CQ355" s="1998">
        <v>1.0000000000000002</v>
      </c>
      <c r="CR355" s="1998">
        <v>1.0000000000000002</v>
      </c>
      <c r="CS355" s="1998">
        <v>1.0000000000000002</v>
      </c>
      <c r="CT355" s="1998">
        <v>1.0000000000000002</v>
      </c>
      <c r="CU355" s="1979">
        <v>1</v>
      </c>
      <c r="CV355" s="1979">
        <v>1</v>
      </c>
      <c r="CW355" s="1979">
        <v>1</v>
      </c>
      <c r="CX355" s="1979">
        <v>1</v>
      </c>
      <c r="CY355" s="1979">
        <v>1</v>
      </c>
      <c r="CZ355" s="1998">
        <v>0.88888888888888884</v>
      </c>
      <c r="DA355" s="1998">
        <v>0.88888888888888884</v>
      </c>
      <c r="DB355" s="1998">
        <v>0.88888888888888884</v>
      </c>
      <c r="DC355" s="1998">
        <v>0.88888888888888884</v>
      </c>
      <c r="DD355" s="1998">
        <v>0.88888888888888884</v>
      </c>
      <c r="DE355" s="1979">
        <v>8.0488597659215468</v>
      </c>
      <c r="DF355" s="1979">
        <v>8.0488597659215468</v>
      </c>
      <c r="DG355" s="1979">
        <v>8.0488597659215468</v>
      </c>
      <c r="DH355" s="1979">
        <v>8.0488597659215468</v>
      </c>
      <c r="DI355" s="1979">
        <v>8.0488597659215468</v>
      </c>
      <c r="DJ355" s="1998">
        <v>8.0329061668367068</v>
      </c>
      <c r="DK355" s="1998">
        <v>8.0329061668367068</v>
      </c>
      <c r="DL355" s="1998">
        <v>8.0329061668367068</v>
      </c>
      <c r="DM355" s="1998">
        <v>8.0329061668367068</v>
      </c>
      <c r="DN355" s="1998">
        <v>8.0329061668367068</v>
      </c>
      <c r="DO355" s="1979">
        <v>0.97975662301212196</v>
      </c>
      <c r="DP355" s="1979">
        <v>0.97975662301212196</v>
      </c>
      <c r="DQ355" s="1979">
        <v>0.97975662301212196</v>
      </c>
      <c r="DR355" s="1979">
        <v>0.97975662301212196</v>
      </c>
      <c r="DS355" s="1979">
        <v>0.97975662301212196</v>
      </c>
      <c r="DT355" s="1998">
        <v>0.9761487634781606</v>
      </c>
      <c r="DU355" s="1998">
        <v>0.9761487634781606</v>
      </c>
      <c r="DV355" s="1998">
        <v>0.9761487634781606</v>
      </c>
      <c r="DW355" s="1998">
        <v>0.9761487634781606</v>
      </c>
      <c r="DX355" s="2026">
        <v>0.9761487634781606</v>
      </c>
      <c r="EA355" s="2022"/>
      <c r="EB355" s="2">
        <v>10</v>
      </c>
      <c r="EC355" s="2" t="s">
        <v>4336</v>
      </c>
      <c r="ED355" s="1979">
        <v>1.3695721891745403</v>
      </c>
      <c r="EE355" s="1979">
        <v>1.3896025286833318</v>
      </c>
      <c r="EF355" s="1979">
        <v>1.4237719313747994</v>
      </c>
      <c r="EG355" s="1979">
        <v>1.4650108656576046</v>
      </c>
      <c r="EH355" s="1979">
        <v>1.4980020130838492</v>
      </c>
      <c r="EI355" s="1998">
        <v>2.0730135049332938</v>
      </c>
      <c r="EJ355" s="1998">
        <v>2.1225002260726602</v>
      </c>
      <c r="EK355" s="1998">
        <v>2.1861260103947031</v>
      </c>
      <c r="EL355" s="1998">
        <v>2.2568213263080836</v>
      </c>
      <c r="EM355" s="1998">
        <v>2.2780299210820982</v>
      </c>
      <c r="EN355" s="1979">
        <v>1.358223118077744</v>
      </c>
      <c r="EO355" s="1979">
        <v>1.3797683572132504</v>
      </c>
      <c r="EP355" s="1979">
        <v>1.3851546669971273</v>
      </c>
      <c r="EQ355" s="1979">
        <v>1.3905409767810037</v>
      </c>
      <c r="ER355" s="1979">
        <v>1.3959272865648804</v>
      </c>
      <c r="ES355" s="1998">
        <v>1.8696867840025757</v>
      </c>
      <c r="ET355" s="1998">
        <v>1.9041507505103485</v>
      </c>
      <c r="EU355" s="1998">
        <v>1.9094528992038522</v>
      </c>
      <c r="EV355" s="1998">
        <v>1.9147550478973556</v>
      </c>
      <c r="EW355" s="1998">
        <v>1.9200571965908593</v>
      </c>
      <c r="EX355" s="1979">
        <v>1.4121153928360077</v>
      </c>
      <c r="EY355" s="1979">
        <v>1.43473789392829</v>
      </c>
      <c r="EZ355" s="1979">
        <v>1.4403935192013604</v>
      </c>
      <c r="FA355" s="1979">
        <v>1.4460491444744306</v>
      </c>
      <c r="FB355" s="1979">
        <v>1.451704769747501</v>
      </c>
      <c r="FC355" s="1998">
        <v>1.4251144996924634</v>
      </c>
      <c r="FD355" s="1998">
        <v>1.4439665839360321</v>
      </c>
      <c r="FE355" s="1998">
        <v>1.4486796049969237</v>
      </c>
      <c r="FF355" s="1998">
        <v>1.4533926260578161</v>
      </c>
      <c r="FG355" s="1998">
        <v>1.4581056471187077</v>
      </c>
      <c r="FH355" s="1979">
        <v>2.3921927569513635</v>
      </c>
      <c r="FI355" s="1979">
        <v>2.3992622885427015</v>
      </c>
      <c r="FJ355" s="1979">
        <v>2.4063318201340396</v>
      </c>
      <c r="FK355" s="1979">
        <v>2.4134013517253781</v>
      </c>
      <c r="FL355" s="1979">
        <v>2.4204708833167157</v>
      </c>
      <c r="FM355" s="1998">
        <v>1.6332948553865858</v>
      </c>
      <c r="FN355" s="1998">
        <v>1.661572981751938</v>
      </c>
      <c r="FO355" s="1998">
        <v>1.7024191642796691</v>
      </c>
      <c r="FP355" s="1998">
        <v>1.7495493748885895</v>
      </c>
      <c r="FQ355" s="1998">
        <v>1.7746854872133475</v>
      </c>
      <c r="FR355" s="1979">
        <v>19.187361353152941</v>
      </c>
      <c r="FS355" s="1979">
        <v>19.244263021542373</v>
      </c>
      <c r="FT355" s="1979">
        <v>19.301164689931806</v>
      </c>
      <c r="FU355" s="1979">
        <v>19.358066358321235</v>
      </c>
      <c r="FV355" s="1979">
        <v>19.414968026710671</v>
      </c>
      <c r="FW355" s="1998">
        <v>19.490063497032267</v>
      </c>
      <c r="FX355" s="1998">
        <v>19.546852380948977</v>
      </c>
      <c r="FY355" s="1998">
        <v>19.603641264865679</v>
      </c>
      <c r="FZ355" s="1998">
        <v>19.660430148782389</v>
      </c>
      <c r="GA355" s="1998">
        <v>19.717219032699095</v>
      </c>
      <c r="GB355" s="1979">
        <v>1.5217490191718128</v>
      </c>
      <c r="GC355" s="1979">
        <v>1.5252122293709163</v>
      </c>
      <c r="GD355" s="1979">
        <v>1.5286754395700197</v>
      </c>
      <c r="GE355" s="1979">
        <v>1.5321386497691232</v>
      </c>
      <c r="GF355" s="1979">
        <v>1.5390650701673303</v>
      </c>
      <c r="GG355" s="1998">
        <v>1.5627264977847901</v>
      </c>
      <c r="GH355" s="1998">
        <v>1.5661769550454172</v>
      </c>
      <c r="GI355" s="1998">
        <v>1.5696274123060447</v>
      </c>
      <c r="GJ355" s="1998">
        <v>1.5730778695666718</v>
      </c>
      <c r="GK355" s="2026">
        <v>1.5799787840879262</v>
      </c>
    </row>
    <row r="356" spans="1:193">
      <c r="A356" s="2020"/>
      <c r="B356" s="2">
        <v>11</v>
      </c>
      <c r="C356" s="2" t="s">
        <v>4337</v>
      </c>
      <c r="D356" s="1979">
        <f>IF(Construction!$F$31=Construction!$R$22,Oeko!BQ356,Oeko!ED356)</f>
        <v>0.9722222222222221</v>
      </c>
      <c r="E356" s="1979">
        <f>IF(Construction!$F$31=Construction!$R$22,Oeko!BR356,Oeko!EE356)</f>
        <v>0.9722222222222221</v>
      </c>
      <c r="F356" s="1979">
        <f>IF(Construction!$F$31=Construction!$R$22,Oeko!BS356,Oeko!EF356)</f>
        <v>0.9722222222222221</v>
      </c>
      <c r="G356" s="1979">
        <f>IF(Construction!$F$31=Construction!$R$22,Oeko!BT356,Oeko!EG356)</f>
        <v>0.9722222222222221</v>
      </c>
      <c r="H356" s="1979">
        <f>IF(Construction!$F$31=Construction!$R$22,Oeko!BU356,Oeko!EH356)</f>
        <v>0.9722222222222221</v>
      </c>
      <c r="I356" s="1998">
        <f>IF(Construction!$F$31=Construction!$R$22,Oeko!BV356,Oeko!EI356)</f>
        <v>1</v>
      </c>
      <c r="J356" s="1998">
        <f>IF(Construction!$F$31=Construction!$R$22,Oeko!BW356,Oeko!EJ356)</f>
        <v>1</v>
      </c>
      <c r="K356" s="1998">
        <f>IF(Construction!$F$31=Construction!$R$22,Oeko!BX356,Oeko!EK356)</f>
        <v>1</v>
      </c>
      <c r="L356" s="1998">
        <f>IF(Construction!$F$31=Construction!$R$22,Oeko!BY356,Oeko!EL356)</f>
        <v>1</v>
      </c>
      <c r="M356" s="1998">
        <f>IF(Construction!$F$31=Construction!$R$22,Oeko!BZ356,Oeko!EM356)</f>
        <v>1</v>
      </c>
      <c r="N356" s="1979">
        <f>IF(Construction!$F$31=Construction!$R$22,Oeko!CA356,Oeko!EN356)</f>
        <v>0.76190476190476186</v>
      </c>
      <c r="O356" s="1979">
        <f>IF(Construction!$F$31=Construction!$R$22,Oeko!CB356,Oeko!EO356)</f>
        <v>0.76190476190476186</v>
      </c>
      <c r="P356" s="1979">
        <f>IF(Construction!$F$31=Construction!$R$22,Oeko!CC356,Oeko!EP356)</f>
        <v>0.76190476190476186</v>
      </c>
      <c r="Q356" s="1979">
        <f>IF(Construction!$F$31=Construction!$R$22,Oeko!CD356,Oeko!EQ356)</f>
        <v>0.76190476190476186</v>
      </c>
      <c r="R356" s="1979">
        <f>IF(Construction!$F$31=Construction!$R$22,Oeko!CE356,Oeko!ER356)</f>
        <v>0.76190476190476186</v>
      </c>
      <c r="S356" s="1998">
        <f>IF(Construction!$F$31=Construction!$R$22,Oeko!CF356,Oeko!ES356)</f>
        <v>1</v>
      </c>
      <c r="T356" s="1998">
        <f>IF(Construction!$F$31=Construction!$R$22,Oeko!CG356,Oeko!ET356)</f>
        <v>1</v>
      </c>
      <c r="U356" s="1998">
        <f>IF(Construction!$F$31=Construction!$R$22,Oeko!CH356,Oeko!EU356)</f>
        <v>1</v>
      </c>
      <c r="V356" s="1998">
        <f>IF(Construction!$F$31=Construction!$R$22,Oeko!CI356,Oeko!EV356)</f>
        <v>1</v>
      </c>
      <c r="W356" s="1998">
        <f>IF(Construction!$F$31=Construction!$R$22,Oeko!CJ356,Oeko!EW356)</f>
        <v>1</v>
      </c>
      <c r="X356" s="1979">
        <f>IF(Construction!$F$31=Construction!$R$22,Oeko!CK356,Oeko!EX356)</f>
        <v>0.79999999999999982</v>
      </c>
      <c r="Y356" s="1979">
        <f>IF(Construction!$F$31=Construction!$R$22,Oeko!CL356,Oeko!EY356)</f>
        <v>0.79999999999999982</v>
      </c>
      <c r="Z356" s="1979">
        <f>IF(Construction!$F$31=Construction!$R$22,Oeko!CM356,Oeko!EZ356)</f>
        <v>0.79999999999999982</v>
      </c>
      <c r="AA356" s="1979">
        <f>IF(Construction!$F$31=Construction!$R$22,Oeko!CN356,Oeko!FA356)</f>
        <v>0.79999999999999982</v>
      </c>
      <c r="AB356" s="1979">
        <f>IF(Construction!$F$31=Construction!$R$22,Oeko!CO356,Oeko!FB356)</f>
        <v>0.79999999999999982</v>
      </c>
      <c r="AC356" s="1998">
        <f>IF(Construction!$F$31=Construction!$R$22,Oeko!CP356,Oeko!FC356)</f>
        <v>1.0000000000000002</v>
      </c>
      <c r="AD356" s="1998">
        <f>IF(Construction!$F$31=Construction!$R$22,Oeko!CQ356,Oeko!FD356)</f>
        <v>1.0000000000000002</v>
      </c>
      <c r="AE356" s="1998">
        <f>IF(Construction!$F$31=Construction!$R$22,Oeko!CR356,Oeko!FE356)</f>
        <v>1.0000000000000002</v>
      </c>
      <c r="AF356" s="1998">
        <f>IF(Construction!$F$31=Construction!$R$22,Oeko!CS356,Oeko!FF356)</f>
        <v>1.0000000000000002</v>
      </c>
      <c r="AG356" s="1998">
        <f>IF(Construction!$F$31=Construction!$R$22,Oeko!CT356,Oeko!FG356)</f>
        <v>1.0000000000000002</v>
      </c>
      <c r="AH356" s="1979">
        <f>IF(Construction!$F$31=Construction!$R$22,Oeko!CU356,Oeko!FH356)</f>
        <v>0.99999999999999978</v>
      </c>
      <c r="AI356" s="1979">
        <f>IF(Construction!$F$31=Construction!$R$22,Oeko!CV356,Oeko!FI356)</f>
        <v>0.99999999999999978</v>
      </c>
      <c r="AJ356" s="1979">
        <f>IF(Construction!$F$31=Construction!$R$22,Oeko!CW356,Oeko!FJ356)</f>
        <v>0.99999999999999978</v>
      </c>
      <c r="AK356" s="1979">
        <f>IF(Construction!$F$31=Construction!$R$22,Oeko!CX356,Oeko!FK356)</f>
        <v>0.99999999999999978</v>
      </c>
      <c r="AL356" s="1979">
        <f>IF(Construction!$F$31=Construction!$R$22,Oeko!CY356,Oeko!FL356)</f>
        <v>0.99999999999999978</v>
      </c>
      <c r="AM356" s="1998">
        <f>IF(Construction!$F$31=Construction!$R$22,Oeko!CZ356,Oeko!FM356)</f>
        <v>0.88888888888888884</v>
      </c>
      <c r="AN356" s="1998">
        <f>IF(Construction!$F$31=Construction!$R$22,Oeko!DA356,Oeko!FN356)</f>
        <v>0.88888888888888884</v>
      </c>
      <c r="AO356" s="1998">
        <f>IF(Construction!$F$31=Construction!$R$22,Oeko!DB356,Oeko!FO356)</f>
        <v>0.88888888888888884</v>
      </c>
      <c r="AP356" s="1998">
        <f>IF(Construction!$F$31=Construction!$R$22,Oeko!DC356,Oeko!FP356)</f>
        <v>0.88888888888888884</v>
      </c>
      <c r="AQ356" s="1998">
        <f>IF(Construction!$F$31=Construction!$R$22,Oeko!DD356,Oeko!FQ356)</f>
        <v>0.88888888888888884</v>
      </c>
      <c r="AR356" s="1979">
        <f>IF(Construction!$F$31=Construction!$R$22,Oeko!DE356,Oeko!FR356)</f>
        <v>8.0488597659215451</v>
      </c>
      <c r="AS356" s="1979">
        <f>IF(Construction!$F$31=Construction!$R$22,Oeko!DF356,Oeko!FS356)</f>
        <v>8.0488597659215451</v>
      </c>
      <c r="AT356" s="1979">
        <f>IF(Construction!$F$31=Construction!$R$22,Oeko!DG356,Oeko!FT356)</f>
        <v>8.0488597659215451</v>
      </c>
      <c r="AU356" s="1979">
        <f>IF(Construction!$F$31=Construction!$R$22,Oeko!DH356,Oeko!FU356)</f>
        <v>8.0488597659215451</v>
      </c>
      <c r="AV356" s="1979">
        <f>IF(Construction!$F$31=Construction!$R$22,Oeko!DI356,Oeko!FV356)</f>
        <v>8.0488597659215451</v>
      </c>
      <c r="AW356" s="1998">
        <f>IF(Construction!$F$31=Construction!$R$22,Oeko!DJ356,Oeko!FW356)</f>
        <v>8.0329061668367086</v>
      </c>
      <c r="AX356" s="1998">
        <f>IF(Construction!$F$31=Construction!$R$22,Oeko!DK356,Oeko!FX356)</f>
        <v>8.0329061668367086</v>
      </c>
      <c r="AY356" s="1998">
        <f>IF(Construction!$F$31=Construction!$R$22,Oeko!DL356,Oeko!FY356)</f>
        <v>8.0329061668367086</v>
      </c>
      <c r="AZ356" s="1998">
        <f>IF(Construction!$F$31=Construction!$R$22,Oeko!DM356,Oeko!FZ356)</f>
        <v>8.0329061668367086</v>
      </c>
      <c r="BA356" s="1998">
        <f>IF(Construction!$F$31=Construction!$R$22,Oeko!DN356,Oeko!GA356)</f>
        <v>8.0329061668367086</v>
      </c>
      <c r="BB356" s="1979">
        <f>IF(Construction!$F$31=Construction!$R$22,Oeko!DO356,Oeko!GB356)</f>
        <v>0.97975662301212196</v>
      </c>
      <c r="BC356" s="1979">
        <f>IF(Construction!$F$31=Construction!$R$22,Oeko!DP356,Oeko!GC356)</f>
        <v>0.97975662301212196</v>
      </c>
      <c r="BD356" s="1979">
        <f>IF(Construction!$F$31=Construction!$R$22,Oeko!DQ356,Oeko!GD356)</f>
        <v>0.97975662301212196</v>
      </c>
      <c r="BE356" s="1979">
        <f>IF(Construction!$F$31=Construction!$R$22,Oeko!DR356,Oeko!GE356)</f>
        <v>0.97975662301212196</v>
      </c>
      <c r="BF356" s="1979">
        <f>IF(Construction!$F$31=Construction!$R$22,Oeko!DS356,Oeko!GF356)</f>
        <v>0.97975662301212196</v>
      </c>
      <c r="BG356" s="1998">
        <f>IF(Construction!$F$31=Construction!$R$22,Oeko!DT356,Oeko!GG356)</f>
        <v>0.9761487634781606</v>
      </c>
      <c r="BH356" s="1998">
        <f>IF(Construction!$F$31=Construction!$R$22,Oeko!DU356,Oeko!GH356)</f>
        <v>0.9761487634781606</v>
      </c>
      <c r="BI356" s="1998">
        <f>IF(Construction!$F$31=Construction!$R$22,Oeko!DV356,Oeko!GI356)</f>
        <v>0.9761487634781606</v>
      </c>
      <c r="BJ356" s="1998">
        <f>IF(Construction!$F$31=Construction!$R$22,Oeko!DW356,Oeko!GJ356)</f>
        <v>0.9761487634781606</v>
      </c>
      <c r="BK356" s="2026">
        <f>IF(Construction!$F$31=Construction!$R$22,Oeko!DX356,Oeko!GK356)</f>
        <v>0.9761487634781606</v>
      </c>
      <c r="BN356" s="2022"/>
      <c r="BO356" s="2">
        <v>11</v>
      </c>
      <c r="BP356" s="2" t="s">
        <v>4337</v>
      </c>
      <c r="BQ356" s="1979">
        <v>0.9722222222222221</v>
      </c>
      <c r="BR356" s="1979">
        <v>0.9722222222222221</v>
      </c>
      <c r="BS356" s="1979">
        <v>0.9722222222222221</v>
      </c>
      <c r="BT356" s="1979">
        <v>0.9722222222222221</v>
      </c>
      <c r="BU356" s="1979">
        <v>0.9722222222222221</v>
      </c>
      <c r="BV356" s="1998">
        <v>1</v>
      </c>
      <c r="BW356" s="1998">
        <v>1</v>
      </c>
      <c r="BX356" s="1998">
        <v>1</v>
      </c>
      <c r="BY356" s="1998">
        <v>1</v>
      </c>
      <c r="BZ356" s="1998">
        <v>1</v>
      </c>
      <c r="CA356" s="1979">
        <v>0.76190476190476186</v>
      </c>
      <c r="CB356" s="1979">
        <v>0.76190476190476186</v>
      </c>
      <c r="CC356" s="1979">
        <v>0.76190476190476186</v>
      </c>
      <c r="CD356" s="1979">
        <v>0.76190476190476186</v>
      </c>
      <c r="CE356" s="1979">
        <v>0.76190476190476186</v>
      </c>
      <c r="CF356" s="1998">
        <v>1</v>
      </c>
      <c r="CG356" s="1998">
        <v>1</v>
      </c>
      <c r="CH356" s="1998">
        <v>1</v>
      </c>
      <c r="CI356" s="1998">
        <v>1</v>
      </c>
      <c r="CJ356" s="1998">
        <v>1</v>
      </c>
      <c r="CK356" s="1979">
        <v>0.79999999999999982</v>
      </c>
      <c r="CL356" s="1979">
        <v>0.79999999999999982</v>
      </c>
      <c r="CM356" s="1979">
        <v>0.79999999999999982</v>
      </c>
      <c r="CN356" s="1979">
        <v>0.79999999999999982</v>
      </c>
      <c r="CO356" s="1979">
        <v>0.79999999999999982</v>
      </c>
      <c r="CP356" s="1998">
        <v>1.0000000000000002</v>
      </c>
      <c r="CQ356" s="1998">
        <v>1.0000000000000002</v>
      </c>
      <c r="CR356" s="1998">
        <v>1.0000000000000002</v>
      </c>
      <c r="CS356" s="1998">
        <v>1.0000000000000002</v>
      </c>
      <c r="CT356" s="1998">
        <v>1.0000000000000002</v>
      </c>
      <c r="CU356" s="1979">
        <v>0.99999999999999978</v>
      </c>
      <c r="CV356" s="1979">
        <v>0.99999999999999978</v>
      </c>
      <c r="CW356" s="1979">
        <v>0.99999999999999978</v>
      </c>
      <c r="CX356" s="1979">
        <v>0.99999999999999978</v>
      </c>
      <c r="CY356" s="1979">
        <v>0.99999999999999978</v>
      </c>
      <c r="CZ356" s="1998">
        <v>0.88888888888888884</v>
      </c>
      <c r="DA356" s="1998">
        <v>0.88888888888888884</v>
      </c>
      <c r="DB356" s="1998">
        <v>0.88888888888888884</v>
      </c>
      <c r="DC356" s="1998">
        <v>0.88888888888888884</v>
      </c>
      <c r="DD356" s="1998">
        <v>0.88888888888888884</v>
      </c>
      <c r="DE356" s="1979">
        <v>8.0488597659215451</v>
      </c>
      <c r="DF356" s="1979">
        <v>8.0488597659215451</v>
      </c>
      <c r="DG356" s="1979">
        <v>8.0488597659215451</v>
      </c>
      <c r="DH356" s="1979">
        <v>8.0488597659215451</v>
      </c>
      <c r="DI356" s="1979">
        <v>8.0488597659215451</v>
      </c>
      <c r="DJ356" s="1998">
        <v>8.0329061668367086</v>
      </c>
      <c r="DK356" s="1998">
        <v>8.0329061668367086</v>
      </c>
      <c r="DL356" s="1998">
        <v>8.0329061668367086</v>
      </c>
      <c r="DM356" s="1998">
        <v>8.0329061668367086</v>
      </c>
      <c r="DN356" s="1998">
        <v>8.0329061668367086</v>
      </c>
      <c r="DO356" s="1979">
        <v>0.97975662301212196</v>
      </c>
      <c r="DP356" s="1979">
        <v>0.97975662301212196</v>
      </c>
      <c r="DQ356" s="1979">
        <v>0.97975662301212196</v>
      </c>
      <c r="DR356" s="1979">
        <v>0.97975662301212196</v>
      </c>
      <c r="DS356" s="1979">
        <v>0.97975662301212196</v>
      </c>
      <c r="DT356" s="1998">
        <v>0.9761487634781606</v>
      </c>
      <c r="DU356" s="1998">
        <v>0.9761487634781606</v>
      </c>
      <c r="DV356" s="1998">
        <v>0.9761487634781606</v>
      </c>
      <c r="DW356" s="1998">
        <v>0.9761487634781606</v>
      </c>
      <c r="DX356" s="2026">
        <v>0.9761487634781606</v>
      </c>
      <c r="EA356" s="2022"/>
      <c r="EB356" s="2">
        <v>11</v>
      </c>
      <c r="EC356" s="2" t="s">
        <v>4337</v>
      </c>
      <c r="ED356" s="1979">
        <v>1.3519895685690972</v>
      </c>
      <c r="EE356" s="1979">
        <v>1.3726090357105001</v>
      </c>
      <c r="EF356" s="1979">
        <v>1.4069748142795049</v>
      </c>
      <c r="EG356" s="1979">
        <v>1.4482137485623099</v>
      </c>
      <c r="EH356" s="1979">
        <v>1.4798302648457942</v>
      </c>
      <c r="EI356" s="1998">
        <v>2.0966679740137137</v>
      </c>
      <c r="EJ356" s="1998">
        <v>2.1461546951530805</v>
      </c>
      <c r="EK356" s="1998">
        <v>2.2097804794751235</v>
      </c>
      <c r="EL356" s="1998">
        <v>2.280475795388504</v>
      </c>
      <c r="EM356" s="1998">
        <v>2.3016843901625181</v>
      </c>
      <c r="EN356" s="1979">
        <v>1.3683224489225128</v>
      </c>
      <c r="EO356" s="1979">
        <v>1.3898676880580194</v>
      </c>
      <c r="EP356" s="1979">
        <v>1.3952539978418961</v>
      </c>
      <c r="EQ356" s="1979">
        <v>1.4006403076257725</v>
      </c>
      <c r="ER356" s="1979">
        <v>1.4060266174096494</v>
      </c>
      <c r="ES356" s="1998">
        <v>1.8379162318633464</v>
      </c>
      <c r="ET356" s="1998">
        <v>1.8661943582286991</v>
      </c>
      <c r="EU356" s="1998">
        <v>1.8732638898200367</v>
      </c>
      <c r="EV356" s="1998">
        <v>1.8803334214113749</v>
      </c>
      <c r="EW356" s="1998">
        <v>1.8874029530027132</v>
      </c>
      <c r="EX356" s="1979">
        <v>1.4253707645697666</v>
      </c>
      <c r="EY356" s="1979">
        <v>1.4479932656620487</v>
      </c>
      <c r="EZ356" s="1979">
        <v>1.4536488909351188</v>
      </c>
      <c r="FA356" s="1979">
        <v>1.4593045162081895</v>
      </c>
      <c r="FB356" s="1979">
        <v>1.4649601414812599</v>
      </c>
      <c r="FC356" s="1998">
        <v>1.4757794760970533</v>
      </c>
      <c r="FD356" s="1998">
        <v>1.4863837734840604</v>
      </c>
      <c r="FE356" s="1998">
        <v>1.4934533050753984</v>
      </c>
      <c r="FF356" s="1998">
        <v>1.5005228366667367</v>
      </c>
      <c r="FG356" s="1998">
        <v>1.5075923682580747</v>
      </c>
      <c r="FH356" s="1979">
        <v>2.4103715524719473</v>
      </c>
      <c r="FI356" s="1979">
        <v>2.417441084063285</v>
      </c>
      <c r="FJ356" s="1979">
        <v>2.4245106156546234</v>
      </c>
      <c r="FK356" s="1979">
        <v>2.4315801472459615</v>
      </c>
      <c r="FL356" s="1979">
        <v>2.4386496788372996</v>
      </c>
      <c r="FM356" s="1998">
        <v>1.6536551063696394</v>
      </c>
      <c r="FN356" s="1998">
        <v>1.6819332327349916</v>
      </c>
      <c r="FO356" s="1998">
        <v>1.7227794152627232</v>
      </c>
      <c r="FP356" s="1998">
        <v>1.7699096258716434</v>
      </c>
      <c r="FQ356" s="1998">
        <v>1.7950457381964011</v>
      </c>
      <c r="FR356" s="1979">
        <v>19.400742609613314</v>
      </c>
      <c r="FS356" s="1979">
        <v>19.457644278002743</v>
      </c>
      <c r="FT356" s="1979">
        <v>19.514545946392175</v>
      </c>
      <c r="FU356" s="1979">
        <v>19.571447614781611</v>
      </c>
      <c r="FV356" s="1979">
        <v>19.628349283171044</v>
      </c>
      <c r="FW356" s="1998">
        <v>19.660430148782389</v>
      </c>
      <c r="FX356" s="1998">
        <v>19.717219032699091</v>
      </c>
      <c r="FY356" s="1998">
        <v>19.774007916615798</v>
      </c>
      <c r="FZ356" s="1998">
        <v>19.830796800532507</v>
      </c>
      <c r="GA356" s="1998">
        <v>19.887585684449213</v>
      </c>
      <c r="GB356" s="1979">
        <v>1.5217490191718128</v>
      </c>
      <c r="GC356" s="1979">
        <v>1.5252122293709163</v>
      </c>
      <c r="GD356" s="1979">
        <v>1.5286754395700197</v>
      </c>
      <c r="GE356" s="1979">
        <v>1.5321386497691232</v>
      </c>
      <c r="GF356" s="1979">
        <v>1.5390650701673303</v>
      </c>
      <c r="GG356" s="1998">
        <v>1.5627264977847901</v>
      </c>
      <c r="GH356" s="1998">
        <v>1.5661769550454174</v>
      </c>
      <c r="GI356" s="1998">
        <v>1.5696274123060447</v>
      </c>
      <c r="GJ356" s="1998">
        <v>1.5730778695666718</v>
      </c>
      <c r="GK356" s="2026">
        <v>1.5799787840879262</v>
      </c>
    </row>
    <row r="357" spans="1:193">
      <c r="A357" s="2020"/>
      <c r="B357" s="2">
        <v>12</v>
      </c>
      <c r="C357" s="2" t="s">
        <v>4338</v>
      </c>
      <c r="D357" s="1979">
        <f>IF(Construction!$F$31=Construction!$R$22,Oeko!BQ357,Oeko!ED357)</f>
        <v>0.93333333333333335</v>
      </c>
      <c r="E357" s="1979">
        <f>IF(Construction!$F$31=Construction!$R$22,Oeko!BR357,Oeko!EE357)</f>
        <v>0.93333333333333335</v>
      </c>
      <c r="F357" s="1979">
        <f>IF(Construction!$F$31=Construction!$R$22,Oeko!BS357,Oeko!EF357)</f>
        <v>0.93333333333333335</v>
      </c>
      <c r="G357" s="1979">
        <f>IF(Construction!$F$31=Construction!$R$22,Oeko!BT357,Oeko!EG357)</f>
        <v>0.93333333333333335</v>
      </c>
      <c r="H357" s="1979">
        <f>IF(Construction!$F$31=Construction!$R$22,Oeko!BU357,Oeko!EH357)</f>
        <v>0.93333333333333335</v>
      </c>
      <c r="I357" s="1998">
        <f>IF(Construction!$F$31=Construction!$R$22,Oeko!BV357,Oeko!EI357)</f>
        <v>0.99999999999999978</v>
      </c>
      <c r="J357" s="1998">
        <f>IF(Construction!$F$31=Construction!$R$22,Oeko!BW357,Oeko!EJ357)</f>
        <v>0.99999999999999978</v>
      </c>
      <c r="K357" s="1998">
        <f>IF(Construction!$F$31=Construction!$R$22,Oeko!BX357,Oeko!EK357)</f>
        <v>0.99999999999999978</v>
      </c>
      <c r="L357" s="1998">
        <f>IF(Construction!$F$31=Construction!$R$22,Oeko!BY357,Oeko!EL357)</f>
        <v>0.99999999999999978</v>
      </c>
      <c r="M357" s="1998">
        <f>IF(Construction!$F$31=Construction!$R$22,Oeko!BZ357,Oeko!EM357)</f>
        <v>0.99999999999999978</v>
      </c>
      <c r="N357" s="1979">
        <f>IF(Construction!$F$31=Construction!$R$22,Oeko!CA357,Oeko!EN357)</f>
        <v>0.5714285714285714</v>
      </c>
      <c r="O357" s="1979">
        <f>IF(Construction!$F$31=Construction!$R$22,Oeko!CB357,Oeko!EO357)</f>
        <v>0.5714285714285714</v>
      </c>
      <c r="P357" s="1979">
        <f>IF(Construction!$F$31=Construction!$R$22,Oeko!CC357,Oeko!EP357)</f>
        <v>0.5714285714285714</v>
      </c>
      <c r="Q357" s="1979">
        <f>IF(Construction!$F$31=Construction!$R$22,Oeko!CD357,Oeko!EQ357)</f>
        <v>0.5714285714285714</v>
      </c>
      <c r="R357" s="1979">
        <f>IF(Construction!$F$31=Construction!$R$22,Oeko!CE357,Oeko!ER357)</f>
        <v>0.5714285714285714</v>
      </c>
      <c r="S357" s="1998">
        <f>IF(Construction!$F$31=Construction!$R$22,Oeko!CF357,Oeko!ES357)</f>
        <v>0.75000000000000011</v>
      </c>
      <c r="T357" s="1998">
        <f>IF(Construction!$F$31=Construction!$R$22,Oeko!CG357,Oeko!ET357)</f>
        <v>0.75000000000000011</v>
      </c>
      <c r="U357" s="1998">
        <f>IF(Construction!$F$31=Construction!$R$22,Oeko!CH357,Oeko!EU357)</f>
        <v>0.75000000000000011</v>
      </c>
      <c r="V357" s="1998">
        <f>IF(Construction!$F$31=Construction!$R$22,Oeko!CI357,Oeko!EV357)</f>
        <v>0.75000000000000011</v>
      </c>
      <c r="W357" s="1998">
        <f>IF(Construction!$F$31=Construction!$R$22,Oeko!CJ357,Oeko!EW357)</f>
        <v>0.75000000000000011</v>
      </c>
      <c r="X357" s="1979">
        <f>IF(Construction!$F$31=Construction!$R$22,Oeko!CK357,Oeko!EX357)</f>
        <v>0.6</v>
      </c>
      <c r="Y357" s="1979">
        <f>IF(Construction!$F$31=Construction!$R$22,Oeko!CL357,Oeko!EY357)</f>
        <v>0.6</v>
      </c>
      <c r="Z357" s="1979">
        <f>IF(Construction!$F$31=Construction!$R$22,Oeko!CM357,Oeko!EZ357)</f>
        <v>0.6</v>
      </c>
      <c r="AA357" s="1979">
        <f>IF(Construction!$F$31=Construction!$R$22,Oeko!CN357,Oeko!FA357)</f>
        <v>0.6</v>
      </c>
      <c r="AB357" s="1979">
        <f>IF(Construction!$F$31=Construction!$R$22,Oeko!CO357,Oeko!FB357)</f>
        <v>0.6</v>
      </c>
      <c r="AC357" s="1998">
        <f>IF(Construction!$F$31=Construction!$R$22,Oeko!CP357,Oeko!FC357)</f>
        <v>1</v>
      </c>
      <c r="AD357" s="1998">
        <f>IF(Construction!$F$31=Construction!$R$22,Oeko!CQ357,Oeko!FD357)</f>
        <v>1</v>
      </c>
      <c r="AE357" s="1998">
        <f>IF(Construction!$F$31=Construction!$R$22,Oeko!CR357,Oeko!FE357)</f>
        <v>1</v>
      </c>
      <c r="AF357" s="1998">
        <f>IF(Construction!$F$31=Construction!$R$22,Oeko!CS357,Oeko!FF357)</f>
        <v>1</v>
      </c>
      <c r="AG357" s="1998">
        <f>IF(Construction!$F$31=Construction!$R$22,Oeko!CT357,Oeko!FG357)</f>
        <v>1</v>
      </c>
      <c r="AH357" s="1979">
        <f>IF(Construction!$F$31=Construction!$R$22,Oeko!CU357,Oeko!FH357)</f>
        <v>0.99999999999999978</v>
      </c>
      <c r="AI357" s="1979">
        <f>IF(Construction!$F$31=Construction!$R$22,Oeko!CV357,Oeko!FI357)</f>
        <v>0.99999999999999978</v>
      </c>
      <c r="AJ357" s="1979">
        <f>IF(Construction!$F$31=Construction!$R$22,Oeko!CW357,Oeko!FJ357)</f>
        <v>0.99999999999999978</v>
      </c>
      <c r="AK357" s="1979">
        <f>IF(Construction!$F$31=Construction!$R$22,Oeko!CX357,Oeko!FK357)</f>
        <v>0.99999999999999978</v>
      </c>
      <c r="AL357" s="1979">
        <f>IF(Construction!$F$31=Construction!$R$22,Oeko!CY357,Oeko!FL357)</f>
        <v>0.99999999999999978</v>
      </c>
      <c r="AM357" s="1998">
        <f>IF(Construction!$F$31=Construction!$R$22,Oeko!CZ357,Oeko!FM357)</f>
        <v>0.88888888888888884</v>
      </c>
      <c r="AN357" s="1998">
        <f>IF(Construction!$F$31=Construction!$R$22,Oeko!DA357,Oeko!FN357)</f>
        <v>0.88888888888888884</v>
      </c>
      <c r="AO357" s="1998">
        <f>IF(Construction!$F$31=Construction!$R$22,Oeko!DB357,Oeko!FO357)</f>
        <v>0.88888888888888884</v>
      </c>
      <c r="AP357" s="1998">
        <f>IF(Construction!$F$31=Construction!$R$22,Oeko!DC357,Oeko!FP357)</f>
        <v>0.88888888888888884</v>
      </c>
      <c r="AQ357" s="1998">
        <f>IF(Construction!$F$31=Construction!$R$22,Oeko!DD357,Oeko!FQ357)</f>
        <v>0.88888888888888884</v>
      </c>
      <c r="AR357" s="1979">
        <f>IF(Construction!$F$31=Construction!$R$22,Oeko!DE357,Oeko!FR357)</f>
        <v>8.0488597659215451</v>
      </c>
      <c r="AS357" s="1979">
        <f>IF(Construction!$F$31=Construction!$R$22,Oeko!DF357,Oeko!FS357)</f>
        <v>8.0488597659215451</v>
      </c>
      <c r="AT357" s="1979">
        <f>IF(Construction!$F$31=Construction!$R$22,Oeko!DG357,Oeko!FT357)</f>
        <v>8.0488597659215451</v>
      </c>
      <c r="AU357" s="1979">
        <f>IF(Construction!$F$31=Construction!$R$22,Oeko!DH357,Oeko!FU357)</f>
        <v>8.0488597659215451</v>
      </c>
      <c r="AV357" s="1979">
        <f>IF(Construction!$F$31=Construction!$R$22,Oeko!DI357,Oeko!FV357)</f>
        <v>8.0488597659215451</v>
      </c>
      <c r="AW357" s="1998">
        <f>IF(Construction!$F$31=Construction!$R$22,Oeko!DJ357,Oeko!FW357)</f>
        <v>8.0329061668367068</v>
      </c>
      <c r="AX357" s="1998">
        <f>IF(Construction!$F$31=Construction!$R$22,Oeko!DK357,Oeko!FX357)</f>
        <v>8.0329061668367068</v>
      </c>
      <c r="AY357" s="1998">
        <f>IF(Construction!$F$31=Construction!$R$22,Oeko!DL357,Oeko!FY357)</f>
        <v>8.0329061668367068</v>
      </c>
      <c r="AZ357" s="1998">
        <f>IF(Construction!$F$31=Construction!$R$22,Oeko!DM357,Oeko!FZ357)</f>
        <v>8.0329061668367068</v>
      </c>
      <c r="BA357" s="1998">
        <f>IF(Construction!$F$31=Construction!$R$22,Oeko!DN357,Oeko!GA357)</f>
        <v>8.0329061668367068</v>
      </c>
      <c r="BB357" s="1979">
        <f>IF(Construction!$F$31=Construction!$R$22,Oeko!DO357,Oeko!GB357)</f>
        <v>0.97975662301212196</v>
      </c>
      <c r="BC357" s="1979">
        <f>IF(Construction!$F$31=Construction!$R$22,Oeko!DP357,Oeko!GC357)</f>
        <v>0.97975662301212196</v>
      </c>
      <c r="BD357" s="1979">
        <f>IF(Construction!$F$31=Construction!$R$22,Oeko!DQ357,Oeko!GD357)</f>
        <v>0.97975662301212196</v>
      </c>
      <c r="BE357" s="1979">
        <f>IF(Construction!$F$31=Construction!$R$22,Oeko!DR357,Oeko!GE357)</f>
        <v>0.97975662301212196</v>
      </c>
      <c r="BF357" s="1979">
        <f>IF(Construction!$F$31=Construction!$R$22,Oeko!DS357,Oeko!GF357)</f>
        <v>0.97975662301212196</v>
      </c>
      <c r="BG357" s="1998">
        <f>IF(Construction!$F$31=Construction!$R$22,Oeko!DT357,Oeko!GG357)</f>
        <v>0.97614876347816082</v>
      </c>
      <c r="BH357" s="1998">
        <f>IF(Construction!$F$31=Construction!$R$22,Oeko!DU357,Oeko!GH357)</f>
        <v>0.97614876347816082</v>
      </c>
      <c r="BI357" s="1998">
        <f>IF(Construction!$F$31=Construction!$R$22,Oeko!DV357,Oeko!GI357)</f>
        <v>0.97614876347816082</v>
      </c>
      <c r="BJ357" s="1998">
        <f>IF(Construction!$F$31=Construction!$R$22,Oeko!DW357,Oeko!GJ357)</f>
        <v>0.97614876347816082</v>
      </c>
      <c r="BK357" s="2026">
        <f>IF(Construction!$F$31=Construction!$R$22,Oeko!DX357,Oeko!GK357)</f>
        <v>0.97614876347816082</v>
      </c>
      <c r="BN357" s="2022"/>
      <c r="BO357" s="2">
        <v>12</v>
      </c>
      <c r="BP357" s="2" t="s">
        <v>4338</v>
      </c>
      <c r="BQ357" s="1979">
        <v>0.93333333333333335</v>
      </c>
      <c r="BR357" s="1979">
        <v>0.93333333333333335</v>
      </c>
      <c r="BS357" s="1979">
        <v>0.93333333333333335</v>
      </c>
      <c r="BT357" s="1979">
        <v>0.93333333333333335</v>
      </c>
      <c r="BU357" s="1979">
        <v>0.93333333333333335</v>
      </c>
      <c r="BV357" s="1998">
        <v>0.99999999999999978</v>
      </c>
      <c r="BW357" s="1998">
        <v>0.99999999999999978</v>
      </c>
      <c r="BX357" s="1998">
        <v>0.99999999999999978</v>
      </c>
      <c r="BY357" s="1998">
        <v>0.99999999999999978</v>
      </c>
      <c r="BZ357" s="1998">
        <v>0.99999999999999978</v>
      </c>
      <c r="CA357" s="1979">
        <v>0.5714285714285714</v>
      </c>
      <c r="CB357" s="1979">
        <v>0.5714285714285714</v>
      </c>
      <c r="CC357" s="1979">
        <v>0.5714285714285714</v>
      </c>
      <c r="CD357" s="1979">
        <v>0.5714285714285714</v>
      </c>
      <c r="CE357" s="1979">
        <v>0.5714285714285714</v>
      </c>
      <c r="CF357" s="1998">
        <v>0.75000000000000011</v>
      </c>
      <c r="CG357" s="1998">
        <v>0.75000000000000011</v>
      </c>
      <c r="CH357" s="1998">
        <v>0.75000000000000011</v>
      </c>
      <c r="CI357" s="1998">
        <v>0.75000000000000011</v>
      </c>
      <c r="CJ357" s="1998">
        <v>0.75000000000000011</v>
      </c>
      <c r="CK357" s="1979">
        <v>0.6</v>
      </c>
      <c r="CL357" s="1979">
        <v>0.6</v>
      </c>
      <c r="CM357" s="1979">
        <v>0.6</v>
      </c>
      <c r="CN357" s="1979">
        <v>0.6</v>
      </c>
      <c r="CO357" s="1979">
        <v>0.6</v>
      </c>
      <c r="CP357" s="1998">
        <v>1</v>
      </c>
      <c r="CQ357" s="1998">
        <v>1</v>
      </c>
      <c r="CR357" s="1998">
        <v>1</v>
      </c>
      <c r="CS357" s="1998">
        <v>1</v>
      </c>
      <c r="CT357" s="1998">
        <v>1</v>
      </c>
      <c r="CU357" s="1979">
        <v>0.99999999999999978</v>
      </c>
      <c r="CV357" s="1979">
        <v>0.99999999999999978</v>
      </c>
      <c r="CW357" s="1979">
        <v>0.99999999999999978</v>
      </c>
      <c r="CX357" s="1979">
        <v>0.99999999999999978</v>
      </c>
      <c r="CY357" s="1979">
        <v>0.99999999999999978</v>
      </c>
      <c r="CZ357" s="1998">
        <v>0.88888888888888884</v>
      </c>
      <c r="DA357" s="1998">
        <v>0.88888888888888884</v>
      </c>
      <c r="DB357" s="1998">
        <v>0.88888888888888884</v>
      </c>
      <c r="DC357" s="1998">
        <v>0.88888888888888884</v>
      </c>
      <c r="DD357" s="1998">
        <v>0.88888888888888884</v>
      </c>
      <c r="DE357" s="1979">
        <v>8.0488597659215451</v>
      </c>
      <c r="DF357" s="1979">
        <v>8.0488597659215451</v>
      </c>
      <c r="DG357" s="1979">
        <v>8.0488597659215451</v>
      </c>
      <c r="DH357" s="1979">
        <v>8.0488597659215451</v>
      </c>
      <c r="DI357" s="1979">
        <v>8.0488597659215451</v>
      </c>
      <c r="DJ357" s="1998">
        <v>8.0329061668367068</v>
      </c>
      <c r="DK357" s="1998">
        <v>8.0329061668367068</v>
      </c>
      <c r="DL357" s="1998">
        <v>8.0329061668367068</v>
      </c>
      <c r="DM357" s="1998">
        <v>8.0329061668367068</v>
      </c>
      <c r="DN357" s="1998">
        <v>8.0329061668367068</v>
      </c>
      <c r="DO357" s="1979">
        <v>0.97975662301212196</v>
      </c>
      <c r="DP357" s="1979">
        <v>0.97975662301212196</v>
      </c>
      <c r="DQ357" s="1979">
        <v>0.97975662301212196</v>
      </c>
      <c r="DR357" s="1979">
        <v>0.97975662301212196</v>
      </c>
      <c r="DS357" s="1979">
        <v>0.97975662301212196</v>
      </c>
      <c r="DT357" s="1998">
        <v>0.97614876347816082</v>
      </c>
      <c r="DU357" s="1998">
        <v>0.97614876347816082</v>
      </c>
      <c r="DV357" s="1998">
        <v>0.97614876347816082</v>
      </c>
      <c r="DW357" s="1998">
        <v>0.97614876347816082</v>
      </c>
      <c r="DX357" s="2026">
        <v>0.97614876347816082</v>
      </c>
      <c r="EA357" s="2022"/>
      <c r="EB357" s="2">
        <v>12</v>
      </c>
      <c r="EC357" s="2" t="s">
        <v>4338</v>
      </c>
      <c r="ED357" s="1979">
        <v>1.339784269624664</v>
      </c>
      <c r="EE357" s="1979">
        <v>1.361228515451723</v>
      </c>
      <c r="EF357" s="1979">
        <v>1.3958692202492797</v>
      </c>
      <c r="EG357" s="1979">
        <v>1.4371081545320852</v>
      </c>
      <c r="EH357" s="1979">
        <v>1.466800187215705</v>
      </c>
      <c r="EI357" s="1998">
        <v>2.1198681850801924</v>
      </c>
      <c r="EJ357" s="1998">
        <v>2.1693549062195592</v>
      </c>
      <c r="EK357" s="1998">
        <v>2.2329806905416021</v>
      </c>
      <c r="EL357" s="1998">
        <v>2.303676006454983</v>
      </c>
      <c r="EM357" s="1998">
        <v>2.3248846012289972</v>
      </c>
      <c r="EN357" s="1979">
        <v>1.3047611827289154</v>
      </c>
      <c r="EO357" s="1979">
        <v>1.3168803797426381</v>
      </c>
      <c r="EP357" s="1979">
        <v>1.3249598444184529</v>
      </c>
      <c r="EQ357" s="1979">
        <v>1.3330393090942683</v>
      </c>
      <c r="ER357" s="1979">
        <v>1.3411187737700832</v>
      </c>
      <c r="ES357" s="1998">
        <v>1.7934628628815013</v>
      </c>
      <c r="ET357" s="1998">
        <v>1.8093693089620118</v>
      </c>
      <c r="EU357" s="1998">
        <v>1.8199736063490188</v>
      </c>
      <c r="EV357" s="1998">
        <v>1.8305779037360261</v>
      </c>
      <c r="EW357" s="1998">
        <v>1.841182201123033</v>
      </c>
      <c r="EX357" s="1979">
        <v>1.3851421785340072</v>
      </c>
      <c r="EY357" s="1979">
        <v>1.3978673353984157</v>
      </c>
      <c r="EZ357" s="1979">
        <v>1.4063507733080216</v>
      </c>
      <c r="FA357" s="1979">
        <v>1.4148342112176271</v>
      </c>
      <c r="FB357" s="1979">
        <v>1.4233176491272328</v>
      </c>
      <c r="FC357" s="1998">
        <v>1.6277744053108223</v>
      </c>
      <c r="FD357" s="1998">
        <v>1.6136353421281457</v>
      </c>
      <c r="FE357" s="1998">
        <v>1.6277744053108223</v>
      </c>
      <c r="FF357" s="1998">
        <v>1.6419134684934982</v>
      </c>
      <c r="FG357" s="1998">
        <v>1.6560525316761745</v>
      </c>
      <c r="FH357" s="1979">
        <v>2.4899037828745008</v>
      </c>
      <c r="FI357" s="1979">
        <v>2.4969733144658388</v>
      </c>
      <c r="FJ357" s="1979">
        <v>2.5040428460571764</v>
      </c>
      <c r="FK357" s="1979">
        <v>2.5111123776485149</v>
      </c>
      <c r="FL357" s="1979">
        <v>2.518181909239853</v>
      </c>
      <c r="FM357" s="1998">
        <v>1.7059696401455418</v>
      </c>
      <c r="FN357" s="1998">
        <v>1.7342477665108937</v>
      </c>
      <c r="FO357" s="1998">
        <v>1.7750939490386248</v>
      </c>
      <c r="FP357" s="1998">
        <v>1.8222241596475452</v>
      </c>
      <c r="FQ357" s="1998">
        <v>1.8473602719723032</v>
      </c>
      <c r="FR357" s="1979">
        <v>19.955533876410282</v>
      </c>
      <c r="FS357" s="1979">
        <v>20.012435544799711</v>
      </c>
      <c r="FT357" s="1979">
        <v>20.069337213189144</v>
      </c>
      <c r="FU357" s="1979">
        <v>20.126238881578576</v>
      </c>
      <c r="FV357" s="1979">
        <v>20.183140549968012</v>
      </c>
      <c r="FW357" s="1998">
        <v>20.299305092845337</v>
      </c>
      <c r="FX357" s="1998">
        <v>20.356093976762047</v>
      </c>
      <c r="FY357" s="1998">
        <v>20.412882860678753</v>
      </c>
      <c r="FZ357" s="1998">
        <v>20.469671744595455</v>
      </c>
      <c r="GA357" s="1998">
        <v>20.526460628512165</v>
      </c>
      <c r="GB357" s="1979">
        <v>1.6152556945476062</v>
      </c>
      <c r="GC357" s="1979">
        <v>1.6221821149458131</v>
      </c>
      <c r="GD357" s="1979">
        <v>1.6291085353440198</v>
      </c>
      <c r="GE357" s="1979">
        <v>1.6360349557422269</v>
      </c>
      <c r="GF357" s="1979">
        <v>1.6498877965386407</v>
      </c>
      <c r="GG357" s="1998">
        <v>1.7179970745130155</v>
      </c>
      <c r="GH357" s="1998">
        <v>1.7248979890342699</v>
      </c>
      <c r="GI357" s="1998">
        <v>1.7317989035555246</v>
      </c>
      <c r="GJ357" s="1998">
        <v>1.738699818076779</v>
      </c>
      <c r="GK357" s="2026">
        <v>1.7525016471192878</v>
      </c>
    </row>
    <row r="358" spans="1:193">
      <c r="A358" s="2020"/>
      <c r="B358" s="2">
        <v>13</v>
      </c>
      <c r="C358" s="2" t="str">
        <f>CONCATENATE($U$8," ",EI$7)</f>
        <v xml:space="preserve">Proportion de fenêtres </v>
      </c>
      <c r="D358" s="1979">
        <f>IF(Construction!$F$31=Construction!$R$22,Oeko!BQ358,Oeko!ED358)</f>
        <v>0</v>
      </c>
      <c r="E358" s="1979">
        <f>IF(Construction!$F$31=Construction!$R$22,Oeko!BR358,Oeko!EE358)</f>
        <v>0</v>
      </c>
      <c r="F358" s="1979">
        <f>IF(Construction!$F$31=Construction!$R$22,Oeko!BS358,Oeko!EF358)</f>
        <v>0</v>
      </c>
      <c r="G358" s="1979">
        <f>IF(Construction!$F$31=Construction!$R$22,Oeko!BT358,Oeko!EG358)</f>
        <v>0</v>
      </c>
      <c r="H358" s="1979">
        <f>IF(Construction!$F$31=Construction!$R$22,Oeko!BU358,Oeko!EH358)</f>
        <v>0</v>
      </c>
      <c r="I358" s="1998">
        <f>IF(Construction!$F$31=Construction!$R$22,Oeko!BV358,Oeko!EI358)</f>
        <v>0</v>
      </c>
      <c r="J358" s="1998">
        <f>IF(Construction!$F$31=Construction!$R$22,Oeko!BW358,Oeko!EJ358)</f>
        <v>0</v>
      </c>
      <c r="K358" s="1998">
        <f>IF(Construction!$F$31=Construction!$R$22,Oeko!BX358,Oeko!EK358)</f>
        <v>0</v>
      </c>
      <c r="L358" s="1998">
        <f>IF(Construction!$F$31=Construction!$R$22,Oeko!BY358,Oeko!EL358)</f>
        <v>0</v>
      </c>
      <c r="M358" s="1998">
        <f>IF(Construction!$F$31=Construction!$R$22,Oeko!BZ358,Oeko!EM358)</f>
        <v>0</v>
      </c>
      <c r="N358" s="1979">
        <f>IF(Construction!$F$31=Construction!$R$22,Oeko!CA358,Oeko!EN358)</f>
        <v>0</v>
      </c>
      <c r="O358" s="1979">
        <f>IF(Construction!$F$31=Construction!$R$22,Oeko!CB358,Oeko!EO358)</f>
        <v>0</v>
      </c>
      <c r="P358" s="1979">
        <f>IF(Construction!$F$31=Construction!$R$22,Oeko!CC358,Oeko!EP358)</f>
        <v>0</v>
      </c>
      <c r="Q358" s="1979">
        <f>IF(Construction!$F$31=Construction!$R$22,Oeko!CD358,Oeko!EQ358)</f>
        <v>0</v>
      </c>
      <c r="R358" s="1979">
        <f>IF(Construction!$F$31=Construction!$R$22,Oeko!CE358,Oeko!ER358)</f>
        <v>0</v>
      </c>
      <c r="S358" s="1998">
        <f>IF(Construction!$F$31=Construction!$R$22,Oeko!CF358,Oeko!ES358)</f>
        <v>0</v>
      </c>
      <c r="T358" s="1998">
        <f>IF(Construction!$F$31=Construction!$R$22,Oeko!CG358,Oeko!ET358)</f>
        <v>0</v>
      </c>
      <c r="U358" s="1998">
        <f>IF(Construction!$F$31=Construction!$R$22,Oeko!CH358,Oeko!EU358)</f>
        <v>0</v>
      </c>
      <c r="V358" s="1998">
        <f>IF(Construction!$F$31=Construction!$R$22,Oeko!CI358,Oeko!EV358)</f>
        <v>0</v>
      </c>
      <c r="W358" s="1998">
        <f>IF(Construction!$F$31=Construction!$R$22,Oeko!CJ358,Oeko!EW358)</f>
        <v>0</v>
      </c>
      <c r="X358" s="1979">
        <f>IF(Construction!$F$31=Construction!$R$22,Oeko!CK358,Oeko!EX358)</f>
        <v>1</v>
      </c>
      <c r="Y358" s="1979">
        <f>IF(Construction!$F$31=Construction!$R$22,Oeko!CL358,Oeko!EY358)</f>
        <v>1</v>
      </c>
      <c r="Z358" s="1979">
        <f>IF(Construction!$F$31=Construction!$R$22,Oeko!CM358,Oeko!EZ358)</f>
        <v>1</v>
      </c>
      <c r="AA358" s="1979">
        <f>IF(Construction!$F$31=Construction!$R$22,Oeko!CN358,Oeko!FA358)</f>
        <v>1</v>
      </c>
      <c r="AB358" s="1979">
        <f>IF(Construction!$F$31=Construction!$R$22,Oeko!CO358,Oeko!FB358)</f>
        <v>1</v>
      </c>
      <c r="AC358" s="1998">
        <f>IF(Construction!$F$31=Construction!$R$22,Oeko!CP358,Oeko!FC358)</f>
        <v>0</v>
      </c>
      <c r="AD358" s="1998">
        <f>IF(Construction!$F$31=Construction!$R$22,Oeko!CQ358,Oeko!FD358)</f>
        <v>0</v>
      </c>
      <c r="AE358" s="1998">
        <f>IF(Construction!$F$31=Construction!$R$22,Oeko!CR358,Oeko!FE358)</f>
        <v>0</v>
      </c>
      <c r="AF358" s="1998">
        <f>IF(Construction!$F$31=Construction!$R$22,Oeko!CS358,Oeko!FF358)</f>
        <v>0</v>
      </c>
      <c r="AG358" s="1998">
        <f>IF(Construction!$F$31=Construction!$R$22,Oeko!CT358,Oeko!FG358)</f>
        <v>0</v>
      </c>
      <c r="AH358" s="1979">
        <f>IF(Construction!$F$31=Construction!$R$22,Oeko!CU358,Oeko!FH358)</f>
        <v>1</v>
      </c>
      <c r="AI358" s="1979">
        <f>IF(Construction!$F$31=Construction!$R$22,Oeko!CV358,Oeko!FI358)</f>
        <v>1</v>
      </c>
      <c r="AJ358" s="1979">
        <f>IF(Construction!$F$31=Construction!$R$22,Oeko!CW358,Oeko!FJ358)</f>
        <v>1</v>
      </c>
      <c r="AK358" s="1979">
        <f>IF(Construction!$F$31=Construction!$R$22,Oeko!CX358,Oeko!FK358)</f>
        <v>1</v>
      </c>
      <c r="AL358" s="1979">
        <f>IF(Construction!$F$31=Construction!$R$22,Oeko!CY358,Oeko!FL358)</f>
        <v>1</v>
      </c>
      <c r="AM358" s="1998">
        <f>IF(Construction!$F$31=Construction!$R$22,Oeko!CZ358,Oeko!FM358)</f>
        <v>1</v>
      </c>
      <c r="AN358" s="1998">
        <f>IF(Construction!$F$31=Construction!$R$22,Oeko!DA358,Oeko!FN358)</f>
        <v>1</v>
      </c>
      <c r="AO358" s="1998">
        <f>IF(Construction!$F$31=Construction!$R$22,Oeko!DB358,Oeko!FO358)</f>
        <v>1</v>
      </c>
      <c r="AP358" s="1998">
        <f>IF(Construction!$F$31=Construction!$R$22,Oeko!DC358,Oeko!FP358)</f>
        <v>1</v>
      </c>
      <c r="AQ358" s="1998">
        <f>IF(Construction!$F$31=Construction!$R$22,Oeko!DD358,Oeko!FQ358)</f>
        <v>1</v>
      </c>
      <c r="AR358" s="1979">
        <f>IF(Construction!$F$31=Construction!$R$22,Oeko!DE358,Oeko!FR358)</f>
        <v>8.0488597659215451</v>
      </c>
      <c r="AS358" s="1979">
        <f>IF(Construction!$F$31=Construction!$R$22,Oeko!DF358,Oeko!FS358)</f>
        <v>8.0488597659215451</v>
      </c>
      <c r="AT358" s="1979">
        <f>IF(Construction!$F$31=Construction!$R$22,Oeko!DG358,Oeko!FT358)</f>
        <v>8.0488597659215451</v>
      </c>
      <c r="AU358" s="1979">
        <f>IF(Construction!$F$31=Construction!$R$22,Oeko!DH358,Oeko!FU358)</f>
        <v>8.0488597659215451</v>
      </c>
      <c r="AV358" s="1979">
        <f>IF(Construction!$F$31=Construction!$R$22,Oeko!DI358,Oeko!FV358)</f>
        <v>8.0488597659215451</v>
      </c>
      <c r="AW358" s="1998">
        <f>IF(Construction!$F$31=Construction!$R$22,Oeko!DJ358,Oeko!FW358)</f>
        <v>8.0329061668367086</v>
      </c>
      <c r="AX358" s="1998">
        <f>IF(Construction!$F$31=Construction!$R$22,Oeko!DK358,Oeko!FX358)</f>
        <v>8.0329061668367086</v>
      </c>
      <c r="AY358" s="1998">
        <f>IF(Construction!$F$31=Construction!$R$22,Oeko!DL358,Oeko!FY358)</f>
        <v>8.0329061668367086</v>
      </c>
      <c r="AZ358" s="1998">
        <f>IF(Construction!$F$31=Construction!$R$22,Oeko!DM358,Oeko!FZ358)</f>
        <v>8.0329061668367086</v>
      </c>
      <c r="BA358" s="1998">
        <f>IF(Construction!$F$31=Construction!$R$22,Oeko!DN358,Oeko!GA358)</f>
        <v>8.0329061668367086</v>
      </c>
      <c r="BB358" s="1979">
        <f>IF(Construction!$F$31=Construction!$R$22,Oeko!DO358,Oeko!GB358)</f>
        <v>0.97975662301212196</v>
      </c>
      <c r="BC358" s="1979">
        <f>IF(Construction!$F$31=Construction!$R$22,Oeko!DP358,Oeko!GC358)</f>
        <v>0.97975662301212196</v>
      </c>
      <c r="BD358" s="1979">
        <f>IF(Construction!$F$31=Construction!$R$22,Oeko!DQ358,Oeko!GD358)</f>
        <v>0.97975662301212196</v>
      </c>
      <c r="BE358" s="1979">
        <f>IF(Construction!$F$31=Construction!$R$22,Oeko!DR358,Oeko!GE358)</f>
        <v>0.97975662301212196</v>
      </c>
      <c r="BF358" s="1979">
        <f>IF(Construction!$F$31=Construction!$R$22,Oeko!DS358,Oeko!GF358)</f>
        <v>0.97975662301212196</v>
      </c>
      <c r="BG358" s="1998">
        <f>IF(Construction!$F$31=Construction!$R$22,Oeko!DT358,Oeko!GG358)</f>
        <v>0.97614876347816082</v>
      </c>
      <c r="BH358" s="1998">
        <f>IF(Construction!$F$31=Construction!$R$22,Oeko!DU358,Oeko!GH358)</f>
        <v>0.97614876347816082</v>
      </c>
      <c r="BI358" s="1998">
        <f>IF(Construction!$F$31=Construction!$R$22,Oeko!DV358,Oeko!GI358)</f>
        <v>0.97614876347816082</v>
      </c>
      <c r="BJ358" s="1998">
        <f>IF(Construction!$F$31=Construction!$R$22,Oeko!DW358,Oeko!GJ358)</f>
        <v>0.97614876347816082</v>
      </c>
      <c r="BK358" s="2026">
        <f>IF(Construction!$F$31=Construction!$R$22,Oeko!DX358,Oeko!GK358)</f>
        <v>0.97614876347816082</v>
      </c>
      <c r="BN358" s="2022"/>
      <c r="BO358" s="2">
        <v>13</v>
      </c>
      <c r="BP358" s="2" t="str">
        <f>CONCATENATE($U$8," ",GV$7)</f>
        <v xml:space="preserve">Proportion de fenêtres </v>
      </c>
      <c r="BQ358" s="1979">
        <v>0</v>
      </c>
      <c r="BR358" s="1979">
        <v>0</v>
      </c>
      <c r="BS358" s="1979">
        <v>0</v>
      </c>
      <c r="BT358" s="1979">
        <v>0</v>
      </c>
      <c r="BU358" s="1979">
        <v>0</v>
      </c>
      <c r="BV358" s="1998">
        <v>0</v>
      </c>
      <c r="BW358" s="1998">
        <v>0</v>
      </c>
      <c r="BX358" s="1998">
        <v>0</v>
      </c>
      <c r="BY358" s="1998">
        <v>0</v>
      </c>
      <c r="BZ358" s="1998">
        <v>0</v>
      </c>
      <c r="CA358" s="1979">
        <v>0</v>
      </c>
      <c r="CB358" s="1979">
        <v>0</v>
      </c>
      <c r="CC358" s="1979">
        <v>0</v>
      </c>
      <c r="CD358" s="1979">
        <v>0</v>
      </c>
      <c r="CE358" s="1979">
        <v>0</v>
      </c>
      <c r="CF358" s="1998">
        <v>0</v>
      </c>
      <c r="CG358" s="1998">
        <v>0</v>
      </c>
      <c r="CH358" s="1998">
        <v>0</v>
      </c>
      <c r="CI358" s="1998">
        <v>0</v>
      </c>
      <c r="CJ358" s="1998">
        <v>0</v>
      </c>
      <c r="CK358" s="1979">
        <v>1</v>
      </c>
      <c r="CL358" s="1979">
        <v>1</v>
      </c>
      <c r="CM358" s="1979">
        <v>1</v>
      </c>
      <c r="CN358" s="1979">
        <v>1</v>
      </c>
      <c r="CO358" s="1979">
        <v>1</v>
      </c>
      <c r="CP358" s="1998">
        <v>0</v>
      </c>
      <c r="CQ358" s="1998">
        <v>0</v>
      </c>
      <c r="CR358" s="1998">
        <v>0</v>
      </c>
      <c r="CS358" s="1998">
        <v>0</v>
      </c>
      <c r="CT358" s="1998">
        <v>0</v>
      </c>
      <c r="CU358" s="1979">
        <v>1</v>
      </c>
      <c r="CV358" s="1979">
        <v>1</v>
      </c>
      <c r="CW358" s="1979">
        <v>1</v>
      </c>
      <c r="CX358" s="1979">
        <v>1</v>
      </c>
      <c r="CY358" s="1979">
        <v>1</v>
      </c>
      <c r="CZ358" s="1998">
        <v>1</v>
      </c>
      <c r="DA358" s="1998">
        <v>1</v>
      </c>
      <c r="DB358" s="1998">
        <v>1</v>
      </c>
      <c r="DC358" s="1998">
        <v>1</v>
      </c>
      <c r="DD358" s="1998">
        <v>1</v>
      </c>
      <c r="DE358" s="1979">
        <v>8.0488597659215451</v>
      </c>
      <c r="DF358" s="1979">
        <v>8.0488597659215451</v>
      </c>
      <c r="DG358" s="1979">
        <v>8.0488597659215451</v>
      </c>
      <c r="DH358" s="1979">
        <v>8.0488597659215451</v>
      </c>
      <c r="DI358" s="1979">
        <v>8.0488597659215451</v>
      </c>
      <c r="DJ358" s="1998">
        <v>8.0329061668367086</v>
      </c>
      <c r="DK358" s="1998">
        <v>8.0329061668367086</v>
      </c>
      <c r="DL358" s="1998">
        <v>8.0329061668367086</v>
      </c>
      <c r="DM358" s="1998">
        <v>8.0329061668367086</v>
      </c>
      <c r="DN358" s="1998">
        <v>8.0329061668367086</v>
      </c>
      <c r="DO358" s="1979">
        <v>0.97975662301212196</v>
      </c>
      <c r="DP358" s="1979">
        <v>0.97975662301212196</v>
      </c>
      <c r="DQ358" s="1979">
        <v>0.97975662301212196</v>
      </c>
      <c r="DR358" s="1979">
        <v>0.97975662301212196</v>
      </c>
      <c r="DS358" s="1979">
        <v>0.97975662301212196</v>
      </c>
      <c r="DT358" s="1998">
        <v>0.97614876347816082</v>
      </c>
      <c r="DU358" s="1998">
        <v>0.97614876347816082</v>
      </c>
      <c r="DV358" s="1998">
        <v>0.97614876347816082</v>
      </c>
      <c r="DW358" s="1998">
        <v>0.97614876347816082</v>
      </c>
      <c r="DX358" s="2026">
        <v>0.97614876347816082</v>
      </c>
      <c r="EA358" s="2022"/>
      <c r="EB358" s="2">
        <v>13</v>
      </c>
      <c r="EC358" s="2" t="str">
        <f>CONCATENATE($U$8," ",JI$7)</f>
        <v xml:space="preserve">Proportion de fenêtres </v>
      </c>
      <c r="ED358" s="1979">
        <v>0</v>
      </c>
      <c r="EE358" s="1979">
        <v>0</v>
      </c>
      <c r="EF358" s="1979">
        <v>0</v>
      </c>
      <c r="EG358" s="1979">
        <v>0</v>
      </c>
      <c r="EH358" s="1979">
        <v>0</v>
      </c>
      <c r="EI358" s="1998">
        <v>0</v>
      </c>
      <c r="EJ358" s="1998">
        <v>0</v>
      </c>
      <c r="EK358" s="1998">
        <v>0</v>
      </c>
      <c r="EL358" s="1998">
        <v>0</v>
      </c>
      <c r="EM358" s="1998">
        <v>0</v>
      </c>
      <c r="EN358" s="1979">
        <v>0</v>
      </c>
      <c r="EO358" s="1979">
        <v>0</v>
      </c>
      <c r="EP358" s="1979">
        <v>0</v>
      </c>
      <c r="EQ358" s="1979">
        <v>0</v>
      </c>
      <c r="ER358" s="1979">
        <v>0</v>
      </c>
      <c r="ES358" s="1998">
        <v>0</v>
      </c>
      <c r="ET358" s="1998">
        <v>0</v>
      </c>
      <c r="EU358" s="1998">
        <v>0</v>
      </c>
      <c r="EV358" s="1998">
        <v>0</v>
      </c>
      <c r="EW358" s="1998">
        <v>0</v>
      </c>
      <c r="EX358" s="1979">
        <v>1.4662053104562123</v>
      </c>
      <c r="EY358" s="1979">
        <v>1.4987251557763674</v>
      </c>
      <c r="EZ358" s="1979">
        <v>1.5015529684129028</v>
      </c>
      <c r="FA358" s="1979">
        <v>1.5043807810494378</v>
      </c>
      <c r="FB358" s="1979">
        <v>1.5072085936859732</v>
      </c>
      <c r="FC358" s="1998">
        <v>0</v>
      </c>
      <c r="FD358" s="1998">
        <v>0</v>
      </c>
      <c r="FE358" s="1998">
        <v>0</v>
      </c>
      <c r="FF358" s="1998">
        <v>0</v>
      </c>
      <c r="FG358" s="1998">
        <v>0</v>
      </c>
      <c r="FH358" s="1979">
        <v>2.3921927569513635</v>
      </c>
      <c r="FI358" s="1979">
        <v>2.3992622885427015</v>
      </c>
      <c r="FJ358" s="1979">
        <v>2.4063318201340396</v>
      </c>
      <c r="FK358" s="1979">
        <v>2.4134013517253781</v>
      </c>
      <c r="FL358" s="1979">
        <v>2.4204708833167157</v>
      </c>
      <c r="FM358" s="1998">
        <v>1.5115041757386145</v>
      </c>
      <c r="FN358" s="1998">
        <v>1.5374257915735208</v>
      </c>
      <c r="FO358" s="1998">
        <v>1.5774864705911036</v>
      </c>
      <c r="FP358" s="1998">
        <v>1.6246166812000238</v>
      </c>
      <c r="FQ358" s="1998">
        <v>1.6552513180958224</v>
      </c>
      <c r="FR358" s="1979">
        <v>18.696584463294087</v>
      </c>
      <c r="FS358" s="1979">
        <v>18.75348613168352</v>
      </c>
      <c r="FT358" s="1979">
        <v>18.810387800072949</v>
      </c>
      <c r="FU358" s="1979">
        <v>18.867289468462388</v>
      </c>
      <c r="FV358" s="1979">
        <v>18.924191136851817</v>
      </c>
      <c r="FW358" s="1998">
        <v>19.033724251273018</v>
      </c>
      <c r="FX358" s="1998">
        <v>19.09051313518972</v>
      </c>
      <c r="FY358" s="1998">
        <v>19.14730201910643</v>
      </c>
      <c r="FZ358" s="1998">
        <v>19.20409090302314</v>
      </c>
      <c r="GA358" s="1998">
        <v>19.260879786939839</v>
      </c>
      <c r="GB358" s="1979">
        <v>1.6775934781314683</v>
      </c>
      <c r="GC358" s="1979">
        <v>1.6845198985296752</v>
      </c>
      <c r="GD358" s="1979">
        <v>1.6914463189278821</v>
      </c>
      <c r="GE358" s="1979">
        <v>1.698372739326089</v>
      </c>
      <c r="GF358" s="1979">
        <v>1.7122255801225028</v>
      </c>
      <c r="GG358" s="1998">
        <v>1.7179970745130155</v>
      </c>
      <c r="GH358" s="1998">
        <v>1.7248979890342699</v>
      </c>
      <c r="GI358" s="1998">
        <v>1.7317989035555246</v>
      </c>
      <c r="GJ358" s="1998">
        <v>1.738699818076779</v>
      </c>
      <c r="GK358" s="2026">
        <v>1.7525016471192878</v>
      </c>
    </row>
    <row r="359" spans="1:193">
      <c r="A359" s="2020"/>
      <c r="B359" s="2">
        <v>14</v>
      </c>
      <c r="C359" s="2" t="str">
        <f>CONCATENATE($U$8," ",EI$8)</f>
        <v xml:space="preserve">Proportion de fenêtres </v>
      </c>
      <c r="D359" s="1979">
        <f>IF(Construction!$F$31=Construction!$R$22,Oeko!BQ359,Oeko!ED359)</f>
        <v>0</v>
      </c>
      <c r="E359" s="1979">
        <f>IF(Construction!$F$31=Construction!$R$22,Oeko!BR359,Oeko!EE359)</f>
        <v>0</v>
      </c>
      <c r="F359" s="1979">
        <f>IF(Construction!$F$31=Construction!$R$22,Oeko!BS359,Oeko!EF359)</f>
        <v>0</v>
      </c>
      <c r="G359" s="1979">
        <f>IF(Construction!$F$31=Construction!$R$22,Oeko!BT359,Oeko!EG359)</f>
        <v>0</v>
      </c>
      <c r="H359" s="1979">
        <f>IF(Construction!$F$31=Construction!$R$22,Oeko!BU359,Oeko!EH359)</f>
        <v>0</v>
      </c>
      <c r="I359" s="1998">
        <f>IF(Construction!$F$31=Construction!$R$22,Oeko!BV359,Oeko!EI359)</f>
        <v>0</v>
      </c>
      <c r="J359" s="1998">
        <f>IF(Construction!$F$31=Construction!$R$22,Oeko!BW359,Oeko!EJ359)</f>
        <v>0</v>
      </c>
      <c r="K359" s="1998">
        <f>IF(Construction!$F$31=Construction!$R$22,Oeko!BX359,Oeko!EK359)</f>
        <v>0</v>
      </c>
      <c r="L359" s="1998">
        <f>IF(Construction!$F$31=Construction!$R$22,Oeko!BY359,Oeko!EL359)</f>
        <v>0</v>
      </c>
      <c r="M359" s="1998">
        <f>IF(Construction!$F$31=Construction!$R$22,Oeko!BZ359,Oeko!EM359)</f>
        <v>0</v>
      </c>
      <c r="N359" s="1979">
        <f>IF(Construction!$F$31=Construction!$R$22,Oeko!CA359,Oeko!EN359)</f>
        <v>0</v>
      </c>
      <c r="O359" s="1979">
        <f>IF(Construction!$F$31=Construction!$R$22,Oeko!CB359,Oeko!EO359)</f>
        <v>0</v>
      </c>
      <c r="P359" s="1979">
        <f>IF(Construction!$F$31=Construction!$R$22,Oeko!CC359,Oeko!EP359)</f>
        <v>0</v>
      </c>
      <c r="Q359" s="1979">
        <f>IF(Construction!$F$31=Construction!$R$22,Oeko!CD359,Oeko!EQ359)</f>
        <v>0</v>
      </c>
      <c r="R359" s="1979">
        <f>IF(Construction!$F$31=Construction!$R$22,Oeko!CE359,Oeko!ER359)</f>
        <v>0</v>
      </c>
      <c r="S359" s="1998">
        <f>IF(Construction!$F$31=Construction!$R$22,Oeko!CF359,Oeko!ES359)</f>
        <v>0</v>
      </c>
      <c r="T359" s="1998">
        <f>IF(Construction!$F$31=Construction!$R$22,Oeko!CG359,Oeko!ET359)</f>
        <v>0</v>
      </c>
      <c r="U359" s="1998">
        <f>IF(Construction!$F$31=Construction!$R$22,Oeko!CH359,Oeko!EU359)</f>
        <v>0</v>
      </c>
      <c r="V359" s="1998">
        <f>IF(Construction!$F$31=Construction!$R$22,Oeko!CI359,Oeko!EV359)</f>
        <v>0</v>
      </c>
      <c r="W359" s="1998">
        <f>IF(Construction!$F$31=Construction!$R$22,Oeko!CJ359,Oeko!EW359)</f>
        <v>0</v>
      </c>
      <c r="X359" s="1979">
        <f>IF(Construction!$F$31=Construction!$R$22,Oeko!CK359,Oeko!EX359)</f>
        <v>1</v>
      </c>
      <c r="Y359" s="1979">
        <f>IF(Construction!$F$31=Construction!$R$22,Oeko!CL359,Oeko!EY359)</f>
        <v>1</v>
      </c>
      <c r="Z359" s="1979">
        <f>IF(Construction!$F$31=Construction!$R$22,Oeko!CM359,Oeko!EZ359)</f>
        <v>1</v>
      </c>
      <c r="AA359" s="1979">
        <f>IF(Construction!$F$31=Construction!$R$22,Oeko!CN359,Oeko!FA359)</f>
        <v>1</v>
      </c>
      <c r="AB359" s="1979">
        <f>IF(Construction!$F$31=Construction!$R$22,Oeko!CO359,Oeko!FB359)</f>
        <v>1</v>
      </c>
      <c r="AC359" s="1998">
        <f>IF(Construction!$F$31=Construction!$R$22,Oeko!CP359,Oeko!FC359)</f>
        <v>0</v>
      </c>
      <c r="AD359" s="1998">
        <f>IF(Construction!$F$31=Construction!$R$22,Oeko!CQ359,Oeko!FD359)</f>
        <v>0</v>
      </c>
      <c r="AE359" s="1998">
        <f>IF(Construction!$F$31=Construction!$R$22,Oeko!CR359,Oeko!FE359)</f>
        <v>0</v>
      </c>
      <c r="AF359" s="1998">
        <f>IF(Construction!$F$31=Construction!$R$22,Oeko!CS359,Oeko!FF359)</f>
        <v>0</v>
      </c>
      <c r="AG359" s="1998">
        <f>IF(Construction!$F$31=Construction!$R$22,Oeko!CT359,Oeko!FG359)</f>
        <v>0</v>
      </c>
      <c r="AH359" s="1979">
        <f>IF(Construction!$F$31=Construction!$R$22,Oeko!CU359,Oeko!FH359)</f>
        <v>1</v>
      </c>
      <c r="AI359" s="1979">
        <f>IF(Construction!$F$31=Construction!$R$22,Oeko!CV359,Oeko!FI359)</f>
        <v>1</v>
      </c>
      <c r="AJ359" s="1979">
        <f>IF(Construction!$F$31=Construction!$R$22,Oeko!CW359,Oeko!FJ359)</f>
        <v>1</v>
      </c>
      <c r="AK359" s="1979">
        <f>IF(Construction!$F$31=Construction!$R$22,Oeko!CX359,Oeko!FK359)</f>
        <v>1</v>
      </c>
      <c r="AL359" s="1979">
        <f>IF(Construction!$F$31=Construction!$R$22,Oeko!CY359,Oeko!FL359)</f>
        <v>1</v>
      </c>
      <c r="AM359" s="1998">
        <f>IF(Construction!$F$31=Construction!$R$22,Oeko!CZ359,Oeko!FM359)</f>
        <v>1</v>
      </c>
      <c r="AN359" s="1998">
        <f>IF(Construction!$F$31=Construction!$R$22,Oeko!DA359,Oeko!FN359)</f>
        <v>1</v>
      </c>
      <c r="AO359" s="1998">
        <f>IF(Construction!$F$31=Construction!$R$22,Oeko!DB359,Oeko!FO359)</f>
        <v>1</v>
      </c>
      <c r="AP359" s="1998">
        <f>IF(Construction!$F$31=Construction!$R$22,Oeko!DC359,Oeko!FP359)</f>
        <v>1</v>
      </c>
      <c r="AQ359" s="1998">
        <f>IF(Construction!$F$31=Construction!$R$22,Oeko!DD359,Oeko!FQ359)</f>
        <v>1</v>
      </c>
      <c r="AR359" s="1979">
        <f>IF(Construction!$F$31=Construction!$R$22,Oeko!DE359,Oeko!FR359)</f>
        <v>8.0488597659215451</v>
      </c>
      <c r="AS359" s="1979">
        <f>IF(Construction!$F$31=Construction!$R$22,Oeko!DF359,Oeko!FS359)</f>
        <v>8.0488597659215451</v>
      </c>
      <c r="AT359" s="1979">
        <f>IF(Construction!$F$31=Construction!$R$22,Oeko!DG359,Oeko!FT359)</f>
        <v>8.0488597659215451</v>
      </c>
      <c r="AU359" s="1979">
        <f>IF(Construction!$F$31=Construction!$R$22,Oeko!DH359,Oeko!FU359)</f>
        <v>8.0488597659215451</v>
      </c>
      <c r="AV359" s="1979">
        <f>IF(Construction!$F$31=Construction!$R$22,Oeko!DI359,Oeko!FV359)</f>
        <v>8.0488597659215451</v>
      </c>
      <c r="AW359" s="1998">
        <f>IF(Construction!$F$31=Construction!$R$22,Oeko!DJ359,Oeko!FW359)</f>
        <v>8.0329061668367086</v>
      </c>
      <c r="AX359" s="1998">
        <f>IF(Construction!$F$31=Construction!$R$22,Oeko!DK359,Oeko!FX359)</f>
        <v>8.0329061668367086</v>
      </c>
      <c r="AY359" s="1998">
        <f>IF(Construction!$F$31=Construction!$R$22,Oeko!DL359,Oeko!FY359)</f>
        <v>8.0329061668367086</v>
      </c>
      <c r="AZ359" s="1998">
        <f>IF(Construction!$F$31=Construction!$R$22,Oeko!DM359,Oeko!FZ359)</f>
        <v>8.0329061668367086</v>
      </c>
      <c r="BA359" s="1998">
        <f>IF(Construction!$F$31=Construction!$R$22,Oeko!DN359,Oeko!GA359)</f>
        <v>8.0329061668367086</v>
      </c>
      <c r="BB359" s="1979">
        <f>IF(Construction!$F$31=Construction!$R$22,Oeko!DO359,Oeko!GB359)</f>
        <v>0.97975662301212196</v>
      </c>
      <c r="BC359" s="1979">
        <f>IF(Construction!$F$31=Construction!$R$22,Oeko!DP359,Oeko!GC359)</f>
        <v>0.97975662301212196</v>
      </c>
      <c r="BD359" s="1979">
        <f>IF(Construction!$F$31=Construction!$R$22,Oeko!DQ359,Oeko!GD359)</f>
        <v>0.97975662301212196</v>
      </c>
      <c r="BE359" s="1979">
        <f>IF(Construction!$F$31=Construction!$R$22,Oeko!DR359,Oeko!GE359)</f>
        <v>0.97975662301212196</v>
      </c>
      <c r="BF359" s="1979">
        <f>IF(Construction!$F$31=Construction!$R$22,Oeko!DS359,Oeko!GF359)</f>
        <v>0.97975662301212196</v>
      </c>
      <c r="BG359" s="1998">
        <f>IF(Construction!$F$31=Construction!$R$22,Oeko!DT359,Oeko!GG359)</f>
        <v>0.97614876347816082</v>
      </c>
      <c r="BH359" s="1998">
        <f>IF(Construction!$F$31=Construction!$R$22,Oeko!DU359,Oeko!GH359)</f>
        <v>0.97614876347816082</v>
      </c>
      <c r="BI359" s="1998">
        <f>IF(Construction!$F$31=Construction!$R$22,Oeko!DV359,Oeko!GI359)</f>
        <v>0.97614876347816082</v>
      </c>
      <c r="BJ359" s="1998">
        <f>IF(Construction!$F$31=Construction!$R$22,Oeko!DW359,Oeko!GJ359)</f>
        <v>0.97614876347816082</v>
      </c>
      <c r="BK359" s="2026">
        <f>IF(Construction!$F$31=Construction!$R$22,Oeko!DX359,Oeko!GK359)</f>
        <v>0.97614876347816082</v>
      </c>
      <c r="BN359" s="2022"/>
      <c r="BO359" s="2">
        <v>14</v>
      </c>
      <c r="BP359" s="2" t="str">
        <f>CONCATENATE($U$8," ",GV$8)</f>
        <v xml:space="preserve">Proportion de fenêtres </v>
      </c>
      <c r="BQ359" s="1979">
        <v>0</v>
      </c>
      <c r="BR359" s="1979">
        <v>0</v>
      </c>
      <c r="BS359" s="1979">
        <v>0</v>
      </c>
      <c r="BT359" s="1979">
        <v>0</v>
      </c>
      <c r="BU359" s="1979">
        <v>0</v>
      </c>
      <c r="BV359" s="1998">
        <v>0</v>
      </c>
      <c r="BW359" s="1998">
        <v>0</v>
      </c>
      <c r="BX359" s="1998">
        <v>0</v>
      </c>
      <c r="BY359" s="1998">
        <v>0</v>
      </c>
      <c r="BZ359" s="1998">
        <v>0</v>
      </c>
      <c r="CA359" s="1979">
        <v>0</v>
      </c>
      <c r="CB359" s="1979">
        <v>0</v>
      </c>
      <c r="CC359" s="1979">
        <v>0</v>
      </c>
      <c r="CD359" s="1979">
        <v>0</v>
      </c>
      <c r="CE359" s="1979">
        <v>0</v>
      </c>
      <c r="CF359" s="1998">
        <v>0</v>
      </c>
      <c r="CG359" s="1998">
        <v>0</v>
      </c>
      <c r="CH359" s="1998">
        <v>0</v>
      </c>
      <c r="CI359" s="1998">
        <v>0</v>
      </c>
      <c r="CJ359" s="1998">
        <v>0</v>
      </c>
      <c r="CK359" s="1979">
        <v>1</v>
      </c>
      <c r="CL359" s="1979">
        <v>1</v>
      </c>
      <c r="CM359" s="1979">
        <v>1</v>
      </c>
      <c r="CN359" s="1979">
        <v>1</v>
      </c>
      <c r="CO359" s="1979">
        <v>1</v>
      </c>
      <c r="CP359" s="1998">
        <v>0</v>
      </c>
      <c r="CQ359" s="1998">
        <v>0</v>
      </c>
      <c r="CR359" s="1998">
        <v>0</v>
      </c>
      <c r="CS359" s="1998">
        <v>0</v>
      </c>
      <c r="CT359" s="1998">
        <v>0</v>
      </c>
      <c r="CU359" s="1979">
        <v>1</v>
      </c>
      <c r="CV359" s="1979">
        <v>1</v>
      </c>
      <c r="CW359" s="1979">
        <v>1</v>
      </c>
      <c r="CX359" s="1979">
        <v>1</v>
      </c>
      <c r="CY359" s="1979">
        <v>1</v>
      </c>
      <c r="CZ359" s="1998">
        <v>1</v>
      </c>
      <c r="DA359" s="1998">
        <v>1</v>
      </c>
      <c r="DB359" s="1998">
        <v>1</v>
      </c>
      <c r="DC359" s="1998">
        <v>1</v>
      </c>
      <c r="DD359" s="1998">
        <v>1</v>
      </c>
      <c r="DE359" s="1979">
        <v>8.0488597659215451</v>
      </c>
      <c r="DF359" s="1979">
        <v>8.0488597659215451</v>
      </c>
      <c r="DG359" s="1979">
        <v>8.0488597659215451</v>
      </c>
      <c r="DH359" s="1979">
        <v>8.0488597659215451</v>
      </c>
      <c r="DI359" s="1979">
        <v>8.0488597659215451</v>
      </c>
      <c r="DJ359" s="1998">
        <v>8.0329061668367086</v>
      </c>
      <c r="DK359" s="1998">
        <v>8.0329061668367086</v>
      </c>
      <c r="DL359" s="1998">
        <v>8.0329061668367086</v>
      </c>
      <c r="DM359" s="1998">
        <v>8.0329061668367086</v>
      </c>
      <c r="DN359" s="1998">
        <v>8.0329061668367086</v>
      </c>
      <c r="DO359" s="1979">
        <v>0.97975662301212196</v>
      </c>
      <c r="DP359" s="1979">
        <v>0.97975662301212196</v>
      </c>
      <c r="DQ359" s="1979">
        <v>0.97975662301212196</v>
      </c>
      <c r="DR359" s="1979">
        <v>0.97975662301212196</v>
      </c>
      <c r="DS359" s="1979">
        <v>0.97975662301212196</v>
      </c>
      <c r="DT359" s="1998">
        <v>0.97614876347816082</v>
      </c>
      <c r="DU359" s="1998">
        <v>0.97614876347816082</v>
      </c>
      <c r="DV359" s="1998">
        <v>0.97614876347816082</v>
      </c>
      <c r="DW359" s="1998">
        <v>0.97614876347816082</v>
      </c>
      <c r="DX359" s="2026">
        <v>0.97614876347816082</v>
      </c>
      <c r="EA359" s="2022"/>
      <c r="EB359" s="2">
        <v>14</v>
      </c>
      <c r="EC359" s="2" t="str">
        <f>CONCATENATE($U$8," ",JI$8)</f>
        <v xml:space="preserve">Proportion de fenêtres </v>
      </c>
      <c r="ED359" s="1979">
        <v>0</v>
      </c>
      <c r="EE359" s="1979">
        <v>0</v>
      </c>
      <c r="EF359" s="1979">
        <v>0</v>
      </c>
      <c r="EG359" s="1979">
        <v>0</v>
      </c>
      <c r="EH359" s="1979">
        <v>0</v>
      </c>
      <c r="EI359" s="1998">
        <v>0</v>
      </c>
      <c r="EJ359" s="1998">
        <v>0</v>
      </c>
      <c r="EK359" s="1998">
        <v>0</v>
      </c>
      <c r="EL359" s="1998">
        <v>0</v>
      </c>
      <c r="EM359" s="1998">
        <v>0</v>
      </c>
      <c r="EN359" s="1979">
        <v>0</v>
      </c>
      <c r="EO359" s="1979">
        <v>0</v>
      </c>
      <c r="EP359" s="1979">
        <v>0</v>
      </c>
      <c r="EQ359" s="1979">
        <v>0</v>
      </c>
      <c r="ER359" s="1979">
        <v>0</v>
      </c>
      <c r="ES359" s="1998">
        <v>0</v>
      </c>
      <c r="ET359" s="1998">
        <v>0</v>
      </c>
      <c r="EU359" s="1998">
        <v>0</v>
      </c>
      <c r="EV359" s="1998">
        <v>0</v>
      </c>
      <c r="EW359" s="1998">
        <v>0</v>
      </c>
      <c r="EX359" s="1979">
        <v>1.4662053104562123</v>
      </c>
      <c r="EY359" s="1979">
        <v>1.4987251557763674</v>
      </c>
      <c r="EZ359" s="1979">
        <v>1.5015529684129028</v>
      </c>
      <c r="FA359" s="1979">
        <v>1.5043807810494378</v>
      </c>
      <c r="FB359" s="1979">
        <v>1.5072085936859732</v>
      </c>
      <c r="FC359" s="1998">
        <v>0</v>
      </c>
      <c r="FD359" s="1998">
        <v>0</v>
      </c>
      <c r="FE359" s="1998">
        <v>0</v>
      </c>
      <c r="FF359" s="1998">
        <v>0</v>
      </c>
      <c r="FG359" s="1998">
        <v>0</v>
      </c>
      <c r="FH359" s="1979">
        <v>2.3921927569513635</v>
      </c>
      <c r="FI359" s="1979">
        <v>2.3992622885427015</v>
      </c>
      <c r="FJ359" s="1979">
        <v>2.4063318201340396</v>
      </c>
      <c r="FK359" s="1979">
        <v>2.4134013517253781</v>
      </c>
      <c r="FL359" s="1979">
        <v>2.4204708833167157</v>
      </c>
      <c r="FM359" s="1998">
        <v>1.5115041757386145</v>
      </c>
      <c r="FN359" s="1998">
        <v>1.5374257915735208</v>
      </c>
      <c r="FO359" s="1998">
        <v>1.5774864705911036</v>
      </c>
      <c r="FP359" s="1998">
        <v>1.6246166812000238</v>
      </c>
      <c r="FQ359" s="1998">
        <v>1.6552513180958224</v>
      </c>
      <c r="FR359" s="1979">
        <v>18.696584463294087</v>
      </c>
      <c r="FS359" s="1979">
        <v>18.75348613168352</v>
      </c>
      <c r="FT359" s="1979">
        <v>18.810387800072949</v>
      </c>
      <c r="FU359" s="1979">
        <v>18.867289468462388</v>
      </c>
      <c r="FV359" s="1979">
        <v>18.924191136851817</v>
      </c>
      <c r="FW359" s="1998">
        <v>19.033724251273018</v>
      </c>
      <c r="FX359" s="1998">
        <v>19.09051313518972</v>
      </c>
      <c r="FY359" s="1998">
        <v>19.14730201910643</v>
      </c>
      <c r="FZ359" s="1998">
        <v>19.20409090302314</v>
      </c>
      <c r="GA359" s="1998">
        <v>19.260879786939839</v>
      </c>
      <c r="GB359" s="1979">
        <v>1.6775934781314683</v>
      </c>
      <c r="GC359" s="1979">
        <v>1.6845198985296752</v>
      </c>
      <c r="GD359" s="1979">
        <v>1.6914463189278821</v>
      </c>
      <c r="GE359" s="1979">
        <v>1.698372739326089</v>
      </c>
      <c r="GF359" s="1979">
        <v>1.7122255801225028</v>
      </c>
      <c r="GG359" s="1998">
        <v>1.7179970745130155</v>
      </c>
      <c r="GH359" s="1998">
        <v>1.7248979890342699</v>
      </c>
      <c r="GI359" s="1998">
        <v>1.7317989035555246</v>
      </c>
      <c r="GJ359" s="1998">
        <v>1.738699818076779</v>
      </c>
      <c r="GK359" s="2026">
        <v>1.7525016471192878</v>
      </c>
    </row>
    <row r="360" spans="1:193">
      <c r="A360" s="2020"/>
      <c r="B360" s="2">
        <v>15</v>
      </c>
      <c r="C360" s="2" t="str">
        <f>CONCATENATE($U$8," ",EI$9)</f>
        <v xml:space="preserve">Proportion de fenêtres </v>
      </c>
      <c r="D360" s="1979">
        <f>IF(Construction!$F$31=Construction!$R$22,Oeko!BQ360,Oeko!ED360)</f>
        <v>0</v>
      </c>
      <c r="E360" s="1979">
        <f>IF(Construction!$F$31=Construction!$R$22,Oeko!BR360,Oeko!EE360)</f>
        <v>0</v>
      </c>
      <c r="F360" s="1979">
        <f>IF(Construction!$F$31=Construction!$R$22,Oeko!BS360,Oeko!EF360)</f>
        <v>0</v>
      </c>
      <c r="G360" s="1979">
        <f>IF(Construction!$F$31=Construction!$R$22,Oeko!BT360,Oeko!EG360)</f>
        <v>0</v>
      </c>
      <c r="H360" s="1979">
        <f>IF(Construction!$F$31=Construction!$R$22,Oeko!BU360,Oeko!EH360)</f>
        <v>0</v>
      </c>
      <c r="I360" s="1998">
        <f>IF(Construction!$F$31=Construction!$R$22,Oeko!BV360,Oeko!EI360)</f>
        <v>0</v>
      </c>
      <c r="J360" s="1998">
        <f>IF(Construction!$F$31=Construction!$R$22,Oeko!BW360,Oeko!EJ360)</f>
        <v>0</v>
      </c>
      <c r="K360" s="1998">
        <f>IF(Construction!$F$31=Construction!$R$22,Oeko!BX360,Oeko!EK360)</f>
        <v>0</v>
      </c>
      <c r="L360" s="1998">
        <f>IF(Construction!$F$31=Construction!$R$22,Oeko!BY360,Oeko!EL360)</f>
        <v>0</v>
      </c>
      <c r="M360" s="1998">
        <f>IF(Construction!$F$31=Construction!$R$22,Oeko!BZ360,Oeko!EM360)</f>
        <v>0</v>
      </c>
      <c r="N360" s="1979">
        <f>IF(Construction!$F$31=Construction!$R$22,Oeko!CA360,Oeko!EN360)</f>
        <v>0</v>
      </c>
      <c r="O360" s="1979">
        <f>IF(Construction!$F$31=Construction!$R$22,Oeko!CB360,Oeko!EO360)</f>
        <v>0</v>
      </c>
      <c r="P360" s="1979">
        <f>IF(Construction!$F$31=Construction!$R$22,Oeko!CC360,Oeko!EP360)</f>
        <v>0</v>
      </c>
      <c r="Q360" s="1979">
        <f>IF(Construction!$F$31=Construction!$R$22,Oeko!CD360,Oeko!EQ360)</f>
        <v>0</v>
      </c>
      <c r="R360" s="1979">
        <f>IF(Construction!$F$31=Construction!$R$22,Oeko!CE360,Oeko!ER360)</f>
        <v>0</v>
      </c>
      <c r="S360" s="1998">
        <f>IF(Construction!$F$31=Construction!$R$22,Oeko!CF360,Oeko!ES360)</f>
        <v>0</v>
      </c>
      <c r="T360" s="1998">
        <f>IF(Construction!$F$31=Construction!$R$22,Oeko!CG360,Oeko!ET360)</f>
        <v>0</v>
      </c>
      <c r="U360" s="1998">
        <f>IF(Construction!$F$31=Construction!$R$22,Oeko!CH360,Oeko!EU360)</f>
        <v>0</v>
      </c>
      <c r="V360" s="1998">
        <f>IF(Construction!$F$31=Construction!$R$22,Oeko!CI360,Oeko!EV360)</f>
        <v>0</v>
      </c>
      <c r="W360" s="1998">
        <f>IF(Construction!$F$31=Construction!$R$22,Oeko!CJ360,Oeko!EW360)</f>
        <v>0</v>
      </c>
      <c r="X360" s="1979">
        <f>IF(Construction!$F$31=Construction!$R$22,Oeko!CK360,Oeko!EX360)</f>
        <v>1</v>
      </c>
      <c r="Y360" s="1979">
        <f>IF(Construction!$F$31=Construction!$R$22,Oeko!CL360,Oeko!EY360)</f>
        <v>1</v>
      </c>
      <c r="Z360" s="1979">
        <f>IF(Construction!$F$31=Construction!$R$22,Oeko!CM360,Oeko!EZ360)</f>
        <v>1</v>
      </c>
      <c r="AA360" s="1979">
        <f>IF(Construction!$F$31=Construction!$R$22,Oeko!CN360,Oeko!FA360)</f>
        <v>1</v>
      </c>
      <c r="AB360" s="1979">
        <f>IF(Construction!$F$31=Construction!$R$22,Oeko!CO360,Oeko!FB360)</f>
        <v>1</v>
      </c>
      <c r="AC360" s="1998">
        <f>IF(Construction!$F$31=Construction!$R$22,Oeko!CP360,Oeko!FC360)</f>
        <v>0</v>
      </c>
      <c r="AD360" s="1998">
        <f>IF(Construction!$F$31=Construction!$R$22,Oeko!CQ360,Oeko!FD360)</f>
        <v>0</v>
      </c>
      <c r="AE360" s="1998">
        <f>IF(Construction!$F$31=Construction!$R$22,Oeko!CR360,Oeko!FE360)</f>
        <v>0</v>
      </c>
      <c r="AF360" s="1998">
        <f>IF(Construction!$F$31=Construction!$R$22,Oeko!CS360,Oeko!FF360)</f>
        <v>0</v>
      </c>
      <c r="AG360" s="1998">
        <f>IF(Construction!$F$31=Construction!$R$22,Oeko!CT360,Oeko!FG360)</f>
        <v>0</v>
      </c>
      <c r="AH360" s="1979">
        <f>IF(Construction!$F$31=Construction!$R$22,Oeko!CU360,Oeko!FH360)</f>
        <v>1</v>
      </c>
      <c r="AI360" s="1979">
        <f>IF(Construction!$F$31=Construction!$R$22,Oeko!CV360,Oeko!FI360)</f>
        <v>1</v>
      </c>
      <c r="AJ360" s="1979">
        <f>IF(Construction!$F$31=Construction!$R$22,Oeko!CW360,Oeko!FJ360)</f>
        <v>1</v>
      </c>
      <c r="AK360" s="1979">
        <f>IF(Construction!$F$31=Construction!$R$22,Oeko!CX360,Oeko!FK360)</f>
        <v>1</v>
      </c>
      <c r="AL360" s="1979">
        <f>IF(Construction!$F$31=Construction!$R$22,Oeko!CY360,Oeko!FL360)</f>
        <v>1</v>
      </c>
      <c r="AM360" s="1998">
        <f>IF(Construction!$F$31=Construction!$R$22,Oeko!CZ360,Oeko!FM360)</f>
        <v>1</v>
      </c>
      <c r="AN360" s="1998">
        <f>IF(Construction!$F$31=Construction!$R$22,Oeko!DA360,Oeko!FN360)</f>
        <v>1</v>
      </c>
      <c r="AO360" s="1998">
        <f>IF(Construction!$F$31=Construction!$R$22,Oeko!DB360,Oeko!FO360)</f>
        <v>1</v>
      </c>
      <c r="AP360" s="1998">
        <f>IF(Construction!$F$31=Construction!$R$22,Oeko!DC360,Oeko!FP360)</f>
        <v>1</v>
      </c>
      <c r="AQ360" s="1998">
        <f>IF(Construction!$F$31=Construction!$R$22,Oeko!DD360,Oeko!FQ360)</f>
        <v>1</v>
      </c>
      <c r="AR360" s="1979">
        <f>IF(Construction!$F$31=Construction!$R$22,Oeko!DE360,Oeko!FR360)</f>
        <v>8.0488597659215451</v>
      </c>
      <c r="AS360" s="1979">
        <f>IF(Construction!$F$31=Construction!$R$22,Oeko!DF360,Oeko!FS360)</f>
        <v>8.0488597659215451</v>
      </c>
      <c r="AT360" s="1979">
        <f>IF(Construction!$F$31=Construction!$R$22,Oeko!DG360,Oeko!FT360)</f>
        <v>8.0488597659215451</v>
      </c>
      <c r="AU360" s="1979">
        <f>IF(Construction!$F$31=Construction!$R$22,Oeko!DH360,Oeko!FU360)</f>
        <v>8.0488597659215451</v>
      </c>
      <c r="AV360" s="1979">
        <f>IF(Construction!$F$31=Construction!$R$22,Oeko!DI360,Oeko!FV360)</f>
        <v>8.0488597659215451</v>
      </c>
      <c r="AW360" s="1998">
        <f>IF(Construction!$F$31=Construction!$R$22,Oeko!DJ360,Oeko!FW360)</f>
        <v>8.0329061668367086</v>
      </c>
      <c r="AX360" s="1998">
        <f>IF(Construction!$F$31=Construction!$R$22,Oeko!DK360,Oeko!FX360)</f>
        <v>8.0329061668367086</v>
      </c>
      <c r="AY360" s="1998">
        <f>IF(Construction!$F$31=Construction!$R$22,Oeko!DL360,Oeko!FY360)</f>
        <v>8.0329061668367086</v>
      </c>
      <c r="AZ360" s="1998">
        <f>IF(Construction!$F$31=Construction!$R$22,Oeko!DM360,Oeko!FZ360)</f>
        <v>8.0329061668367086</v>
      </c>
      <c r="BA360" s="1998">
        <f>IF(Construction!$F$31=Construction!$R$22,Oeko!DN360,Oeko!GA360)</f>
        <v>8.0329061668367086</v>
      </c>
      <c r="BB360" s="1979">
        <f>IF(Construction!$F$31=Construction!$R$22,Oeko!DO360,Oeko!GB360)</f>
        <v>0.97975662301212196</v>
      </c>
      <c r="BC360" s="1979">
        <f>IF(Construction!$F$31=Construction!$R$22,Oeko!DP360,Oeko!GC360)</f>
        <v>0.97975662301212196</v>
      </c>
      <c r="BD360" s="1979">
        <f>IF(Construction!$F$31=Construction!$R$22,Oeko!DQ360,Oeko!GD360)</f>
        <v>0.97975662301212196</v>
      </c>
      <c r="BE360" s="1979">
        <f>IF(Construction!$F$31=Construction!$R$22,Oeko!DR360,Oeko!GE360)</f>
        <v>0.97975662301212196</v>
      </c>
      <c r="BF360" s="1979">
        <f>IF(Construction!$F$31=Construction!$R$22,Oeko!DS360,Oeko!GF360)</f>
        <v>0.97975662301212196</v>
      </c>
      <c r="BG360" s="1998">
        <f>IF(Construction!$F$31=Construction!$R$22,Oeko!DT360,Oeko!GG360)</f>
        <v>0.97614876347816082</v>
      </c>
      <c r="BH360" s="1998">
        <f>IF(Construction!$F$31=Construction!$R$22,Oeko!DU360,Oeko!GH360)</f>
        <v>0.97614876347816082</v>
      </c>
      <c r="BI360" s="1998">
        <f>IF(Construction!$F$31=Construction!$R$22,Oeko!DV360,Oeko!GI360)</f>
        <v>0.97614876347816082</v>
      </c>
      <c r="BJ360" s="1998">
        <f>IF(Construction!$F$31=Construction!$R$22,Oeko!DW360,Oeko!GJ360)</f>
        <v>0.97614876347816082</v>
      </c>
      <c r="BK360" s="2026">
        <f>IF(Construction!$F$31=Construction!$R$22,Oeko!DX360,Oeko!GK360)</f>
        <v>0.97614876347816082</v>
      </c>
      <c r="BN360" s="2022"/>
      <c r="BO360" s="2">
        <v>15</v>
      </c>
      <c r="BP360" s="2" t="str">
        <f>CONCATENATE($U$8," ",GV$9)</f>
        <v xml:space="preserve">Proportion de fenêtres </v>
      </c>
      <c r="BQ360" s="1979">
        <v>0</v>
      </c>
      <c r="BR360" s="1979">
        <v>0</v>
      </c>
      <c r="BS360" s="1979">
        <v>0</v>
      </c>
      <c r="BT360" s="1979">
        <v>0</v>
      </c>
      <c r="BU360" s="1979">
        <v>0</v>
      </c>
      <c r="BV360" s="1998">
        <v>0</v>
      </c>
      <c r="BW360" s="1998">
        <v>0</v>
      </c>
      <c r="BX360" s="1998">
        <v>0</v>
      </c>
      <c r="BY360" s="1998">
        <v>0</v>
      </c>
      <c r="BZ360" s="1998">
        <v>0</v>
      </c>
      <c r="CA360" s="1979">
        <v>0</v>
      </c>
      <c r="CB360" s="1979">
        <v>0</v>
      </c>
      <c r="CC360" s="1979">
        <v>0</v>
      </c>
      <c r="CD360" s="1979">
        <v>0</v>
      </c>
      <c r="CE360" s="1979">
        <v>0</v>
      </c>
      <c r="CF360" s="1998">
        <v>0</v>
      </c>
      <c r="CG360" s="1998">
        <v>0</v>
      </c>
      <c r="CH360" s="1998">
        <v>0</v>
      </c>
      <c r="CI360" s="1998">
        <v>0</v>
      </c>
      <c r="CJ360" s="1998">
        <v>0</v>
      </c>
      <c r="CK360" s="1979">
        <v>1</v>
      </c>
      <c r="CL360" s="1979">
        <v>1</v>
      </c>
      <c r="CM360" s="1979">
        <v>1</v>
      </c>
      <c r="CN360" s="1979">
        <v>1</v>
      </c>
      <c r="CO360" s="1979">
        <v>1</v>
      </c>
      <c r="CP360" s="1998">
        <v>0</v>
      </c>
      <c r="CQ360" s="1998">
        <v>0</v>
      </c>
      <c r="CR360" s="1998">
        <v>0</v>
      </c>
      <c r="CS360" s="1998">
        <v>0</v>
      </c>
      <c r="CT360" s="1998">
        <v>0</v>
      </c>
      <c r="CU360" s="1979">
        <v>1</v>
      </c>
      <c r="CV360" s="1979">
        <v>1</v>
      </c>
      <c r="CW360" s="1979">
        <v>1</v>
      </c>
      <c r="CX360" s="1979">
        <v>1</v>
      </c>
      <c r="CY360" s="1979">
        <v>1</v>
      </c>
      <c r="CZ360" s="1998">
        <v>1</v>
      </c>
      <c r="DA360" s="1998">
        <v>1</v>
      </c>
      <c r="DB360" s="1998">
        <v>1</v>
      </c>
      <c r="DC360" s="1998">
        <v>1</v>
      </c>
      <c r="DD360" s="1998">
        <v>1</v>
      </c>
      <c r="DE360" s="1979">
        <v>8.0488597659215451</v>
      </c>
      <c r="DF360" s="1979">
        <v>8.0488597659215451</v>
      </c>
      <c r="DG360" s="1979">
        <v>8.0488597659215451</v>
      </c>
      <c r="DH360" s="1979">
        <v>8.0488597659215451</v>
      </c>
      <c r="DI360" s="1979">
        <v>8.0488597659215451</v>
      </c>
      <c r="DJ360" s="1998">
        <v>8.0329061668367086</v>
      </c>
      <c r="DK360" s="1998">
        <v>8.0329061668367086</v>
      </c>
      <c r="DL360" s="1998">
        <v>8.0329061668367086</v>
      </c>
      <c r="DM360" s="1998">
        <v>8.0329061668367086</v>
      </c>
      <c r="DN360" s="1998">
        <v>8.0329061668367086</v>
      </c>
      <c r="DO360" s="1979">
        <v>0.97975662301212196</v>
      </c>
      <c r="DP360" s="1979">
        <v>0.97975662301212196</v>
      </c>
      <c r="DQ360" s="1979">
        <v>0.97975662301212196</v>
      </c>
      <c r="DR360" s="1979">
        <v>0.97975662301212196</v>
      </c>
      <c r="DS360" s="1979">
        <v>0.97975662301212196</v>
      </c>
      <c r="DT360" s="1998">
        <v>0.97614876347816082</v>
      </c>
      <c r="DU360" s="1998">
        <v>0.97614876347816082</v>
      </c>
      <c r="DV360" s="1998">
        <v>0.97614876347816082</v>
      </c>
      <c r="DW360" s="1998">
        <v>0.97614876347816082</v>
      </c>
      <c r="DX360" s="2026">
        <v>0.97614876347816082</v>
      </c>
      <c r="EA360" s="2022"/>
      <c r="EB360" s="2">
        <v>15</v>
      </c>
      <c r="EC360" s="2" t="str">
        <f>CONCATENATE($U$8," ",JI$9)</f>
        <v xml:space="preserve">Proportion de fenêtres </v>
      </c>
      <c r="ED360" s="1979">
        <v>0</v>
      </c>
      <c r="EE360" s="1979">
        <v>0</v>
      </c>
      <c r="EF360" s="1979">
        <v>0</v>
      </c>
      <c r="EG360" s="1979">
        <v>0</v>
      </c>
      <c r="EH360" s="1979">
        <v>0</v>
      </c>
      <c r="EI360" s="1998">
        <v>0</v>
      </c>
      <c r="EJ360" s="1998">
        <v>0</v>
      </c>
      <c r="EK360" s="1998">
        <v>0</v>
      </c>
      <c r="EL360" s="1998">
        <v>0</v>
      </c>
      <c r="EM360" s="1998">
        <v>0</v>
      </c>
      <c r="EN360" s="1979">
        <v>0</v>
      </c>
      <c r="EO360" s="1979">
        <v>0</v>
      </c>
      <c r="EP360" s="1979">
        <v>0</v>
      </c>
      <c r="EQ360" s="1979">
        <v>0</v>
      </c>
      <c r="ER360" s="1979">
        <v>0</v>
      </c>
      <c r="ES360" s="1998">
        <v>0</v>
      </c>
      <c r="ET360" s="1998">
        <v>0</v>
      </c>
      <c r="EU360" s="1998">
        <v>0</v>
      </c>
      <c r="EV360" s="1998">
        <v>0</v>
      </c>
      <c r="EW360" s="1998">
        <v>0</v>
      </c>
      <c r="EX360" s="1979">
        <v>1.4662053104562123</v>
      </c>
      <c r="EY360" s="1979">
        <v>1.4987251557763674</v>
      </c>
      <c r="EZ360" s="1979">
        <v>1.5015529684129028</v>
      </c>
      <c r="FA360" s="1979">
        <v>1.5043807810494378</v>
      </c>
      <c r="FB360" s="1979">
        <v>1.5072085936859732</v>
      </c>
      <c r="FC360" s="1998">
        <v>0</v>
      </c>
      <c r="FD360" s="1998">
        <v>0</v>
      </c>
      <c r="FE360" s="1998">
        <v>0</v>
      </c>
      <c r="FF360" s="1998">
        <v>0</v>
      </c>
      <c r="FG360" s="1998">
        <v>0</v>
      </c>
      <c r="FH360" s="1979">
        <v>2.3921927569513635</v>
      </c>
      <c r="FI360" s="1979">
        <v>2.3992622885427015</v>
      </c>
      <c r="FJ360" s="1979">
        <v>2.4063318201340396</v>
      </c>
      <c r="FK360" s="1979">
        <v>2.4134013517253781</v>
      </c>
      <c r="FL360" s="1979">
        <v>2.4204708833167157</v>
      </c>
      <c r="FM360" s="1998">
        <v>1.5115041757386145</v>
      </c>
      <c r="FN360" s="1998">
        <v>1.5374257915735208</v>
      </c>
      <c r="FO360" s="1998">
        <v>1.5774864705911036</v>
      </c>
      <c r="FP360" s="1998">
        <v>1.6246166812000238</v>
      </c>
      <c r="FQ360" s="1998">
        <v>1.6552513180958224</v>
      </c>
      <c r="FR360" s="1979">
        <v>18.696584463294087</v>
      </c>
      <c r="FS360" s="1979">
        <v>18.75348613168352</v>
      </c>
      <c r="FT360" s="1979">
        <v>18.810387800072949</v>
      </c>
      <c r="FU360" s="1979">
        <v>18.867289468462388</v>
      </c>
      <c r="FV360" s="1979">
        <v>18.924191136851817</v>
      </c>
      <c r="FW360" s="1998">
        <v>19.033724251273018</v>
      </c>
      <c r="FX360" s="1998">
        <v>19.09051313518972</v>
      </c>
      <c r="FY360" s="1998">
        <v>19.14730201910643</v>
      </c>
      <c r="FZ360" s="1998">
        <v>19.20409090302314</v>
      </c>
      <c r="GA360" s="1998">
        <v>19.260879786939839</v>
      </c>
      <c r="GB360" s="1979">
        <v>1.6775934781314683</v>
      </c>
      <c r="GC360" s="1979">
        <v>1.6845198985296752</v>
      </c>
      <c r="GD360" s="1979">
        <v>1.6914463189278821</v>
      </c>
      <c r="GE360" s="1979">
        <v>1.698372739326089</v>
      </c>
      <c r="GF360" s="1979">
        <v>1.7122255801225028</v>
      </c>
      <c r="GG360" s="1998">
        <v>1.7179970745130155</v>
      </c>
      <c r="GH360" s="1998">
        <v>1.7248979890342699</v>
      </c>
      <c r="GI360" s="1998">
        <v>1.7317989035555246</v>
      </c>
      <c r="GJ360" s="1998">
        <v>1.738699818076779</v>
      </c>
      <c r="GK360" s="2026">
        <v>1.7525016471192878</v>
      </c>
    </row>
    <row r="361" spans="1:193">
      <c r="A361" s="2020"/>
      <c r="B361" s="2">
        <v>16</v>
      </c>
      <c r="C361" s="2" t="str">
        <f>CONCATENATE($U$8," ",EI$10)</f>
        <v xml:space="preserve">Proportion de fenêtres </v>
      </c>
      <c r="D361" s="1979">
        <f>IF(Construction!$F$31=Construction!$R$22,Oeko!BQ361,Oeko!ED361)</f>
        <v>1</v>
      </c>
      <c r="E361" s="1979">
        <f>IF(Construction!$F$31=Construction!$R$22,Oeko!BR361,Oeko!EE361)</f>
        <v>1</v>
      </c>
      <c r="F361" s="1979">
        <f>IF(Construction!$F$31=Construction!$R$22,Oeko!BS361,Oeko!EF361)</f>
        <v>1</v>
      </c>
      <c r="G361" s="1979">
        <f>IF(Construction!$F$31=Construction!$R$22,Oeko!BT361,Oeko!EG361)</f>
        <v>1</v>
      </c>
      <c r="H361" s="1979">
        <f>IF(Construction!$F$31=Construction!$R$22,Oeko!BU361,Oeko!EH361)</f>
        <v>1</v>
      </c>
      <c r="I361" s="1998">
        <f>IF(Construction!$F$31=Construction!$R$22,Oeko!BV361,Oeko!EI361)</f>
        <v>1</v>
      </c>
      <c r="J361" s="1998">
        <f>IF(Construction!$F$31=Construction!$R$22,Oeko!BW361,Oeko!EJ361)</f>
        <v>1</v>
      </c>
      <c r="K361" s="1998">
        <f>IF(Construction!$F$31=Construction!$R$22,Oeko!BX361,Oeko!EK361)</f>
        <v>1</v>
      </c>
      <c r="L361" s="1998">
        <f>IF(Construction!$F$31=Construction!$R$22,Oeko!BY361,Oeko!EL361)</f>
        <v>1</v>
      </c>
      <c r="M361" s="1998">
        <f>IF(Construction!$F$31=Construction!$R$22,Oeko!BZ361,Oeko!EM361)</f>
        <v>1</v>
      </c>
      <c r="N361" s="1979">
        <f>IF(Construction!$F$31=Construction!$R$22,Oeko!CA361,Oeko!EN361)</f>
        <v>1</v>
      </c>
      <c r="O361" s="1979">
        <f>IF(Construction!$F$31=Construction!$R$22,Oeko!CB361,Oeko!EO361)</f>
        <v>1</v>
      </c>
      <c r="P361" s="1979">
        <f>IF(Construction!$F$31=Construction!$R$22,Oeko!CC361,Oeko!EP361)</f>
        <v>1</v>
      </c>
      <c r="Q361" s="1979">
        <f>IF(Construction!$F$31=Construction!$R$22,Oeko!CD361,Oeko!EQ361)</f>
        <v>1</v>
      </c>
      <c r="R361" s="1979">
        <f>IF(Construction!$F$31=Construction!$R$22,Oeko!CE361,Oeko!ER361)</f>
        <v>1</v>
      </c>
      <c r="S361" s="1998">
        <f>IF(Construction!$F$31=Construction!$R$22,Oeko!CF361,Oeko!ES361)</f>
        <v>1</v>
      </c>
      <c r="T361" s="1998">
        <f>IF(Construction!$F$31=Construction!$R$22,Oeko!CG361,Oeko!ET361)</f>
        <v>1</v>
      </c>
      <c r="U361" s="1998">
        <f>IF(Construction!$F$31=Construction!$R$22,Oeko!CH361,Oeko!EU361)</f>
        <v>1</v>
      </c>
      <c r="V361" s="1998">
        <f>IF(Construction!$F$31=Construction!$R$22,Oeko!CI361,Oeko!EV361)</f>
        <v>1</v>
      </c>
      <c r="W361" s="1998">
        <f>IF(Construction!$F$31=Construction!$R$22,Oeko!CJ361,Oeko!EW361)</f>
        <v>1</v>
      </c>
      <c r="X361" s="1979">
        <f>IF(Construction!$F$31=Construction!$R$22,Oeko!CK361,Oeko!EX361)</f>
        <v>1</v>
      </c>
      <c r="Y361" s="1979">
        <f>IF(Construction!$F$31=Construction!$R$22,Oeko!CL361,Oeko!EY361)</f>
        <v>1</v>
      </c>
      <c r="Z361" s="1979">
        <f>IF(Construction!$F$31=Construction!$R$22,Oeko!CM361,Oeko!EZ361)</f>
        <v>1</v>
      </c>
      <c r="AA361" s="1979">
        <f>IF(Construction!$F$31=Construction!$R$22,Oeko!CN361,Oeko!FA361)</f>
        <v>1</v>
      </c>
      <c r="AB361" s="1979">
        <f>IF(Construction!$F$31=Construction!$R$22,Oeko!CO361,Oeko!FB361)</f>
        <v>1</v>
      </c>
      <c r="AC361" s="1998">
        <f>IF(Construction!$F$31=Construction!$R$22,Oeko!CP361,Oeko!FC361)</f>
        <v>1</v>
      </c>
      <c r="AD361" s="1998">
        <f>IF(Construction!$F$31=Construction!$R$22,Oeko!CQ361,Oeko!FD361)</f>
        <v>1</v>
      </c>
      <c r="AE361" s="1998">
        <f>IF(Construction!$F$31=Construction!$R$22,Oeko!CR361,Oeko!FE361)</f>
        <v>1</v>
      </c>
      <c r="AF361" s="1998">
        <f>IF(Construction!$F$31=Construction!$R$22,Oeko!CS361,Oeko!FF361)</f>
        <v>1</v>
      </c>
      <c r="AG361" s="1998">
        <f>IF(Construction!$F$31=Construction!$R$22,Oeko!CT361,Oeko!FG361)</f>
        <v>1</v>
      </c>
      <c r="AH361" s="1979">
        <f>IF(Construction!$F$31=Construction!$R$22,Oeko!CU361,Oeko!FH361)</f>
        <v>1</v>
      </c>
      <c r="AI361" s="1979">
        <f>IF(Construction!$F$31=Construction!$R$22,Oeko!CV361,Oeko!FI361)</f>
        <v>1</v>
      </c>
      <c r="AJ361" s="1979">
        <f>IF(Construction!$F$31=Construction!$R$22,Oeko!CW361,Oeko!FJ361)</f>
        <v>1</v>
      </c>
      <c r="AK361" s="1979">
        <f>IF(Construction!$F$31=Construction!$R$22,Oeko!CX361,Oeko!FK361)</f>
        <v>1</v>
      </c>
      <c r="AL361" s="1979">
        <f>IF(Construction!$F$31=Construction!$R$22,Oeko!CY361,Oeko!FL361)</f>
        <v>1</v>
      </c>
      <c r="AM361" s="1998">
        <f>IF(Construction!$F$31=Construction!$R$22,Oeko!CZ361,Oeko!FM361)</f>
        <v>1</v>
      </c>
      <c r="AN361" s="1998">
        <f>IF(Construction!$F$31=Construction!$R$22,Oeko!DA361,Oeko!FN361)</f>
        <v>1</v>
      </c>
      <c r="AO361" s="1998">
        <f>IF(Construction!$F$31=Construction!$R$22,Oeko!DB361,Oeko!FO361)</f>
        <v>1</v>
      </c>
      <c r="AP361" s="1998">
        <f>IF(Construction!$F$31=Construction!$R$22,Oeko!DC361,Oeko!FP361)</f>
        <v>1</v>
      </c>
      <c r="AQ361" s="1998">
        <f>IF(Construction!$F$31=Construction!$R$22,Oeko!DD361,Oeko!FQ361)</f>
        <v>1</v>
      </c>
      <c r="AR361" s="1979">
        <f>IF(Construction!$F$31=Construction!$R$22,Oeko!DE361,Oeko!FR361)</f>
        <v>8.0488597659215451</v>
      </c>
      <c r="AS361" s="1979">
        <f>IF(Construction!$F$31=Construction!$R$22,Oeko!DF361,Oeko!FS361)</f>
        <v>8.0488597659215451</v>
      </c>
      <c r="AT361" s="1979">
        <f>IF(Construction!$F$31=Construction!$R$22,Oeko!DG361,Oeko!FT361)</f>
        <v>8.0488597659215451</v>
      </c>
      <c r="AU361" s="1979">
        <f>IF(Construction!$F$31=Construction!$R$22,Oeko!DH361,Oeko!FU361)</f>
        <v>8.0488597659215451</v>
      </c>
      <c r="AV361" s="1979">
        <f>IF(Construction!$F$31=Construction!$R$22,Oeko!DI361,Oeko!FV361)</f>
        <v>8.0488597659215451</v>
      </c>
      <c r="AW361" s="1998">
        <f>IF(Construction!$F$31=Construction!$R$22,Oeko!DJ361,Oeko!FW361)</f>
        <v>8.0329061668367086</v>
      </c>
      <c r="AX361" s="1998">
        <f>IF(Construction!$F$31=Construction!$R$22,Oeko!DK361,Oeko!FX361)</f>
        <v>8.0329061668367086</v>
      </c>
      <c r="AY361" s="1998">
        <f>IF(Construction!$F$31=Construction!$R$22,Oeko!DL361,Oeko!FY361)</f>
        <v>8.0329061668367086</v>
      </c>
      <c r="AZ361" s="1998">
        <f>IF(Construction!$F$31=Construction!$R$22,Oeko!DM361,Oeko!FZ361)</f>
        <v>8.0329061668367086</v>
      </c>
      <c r="BA361" s="1998">
        <f>IF(Construction!$F$31=Construction!$R$22,Oeko!DN361,Oeko!GA361)</f>
        <v>8.0329061668367086</v>
      </c>
      <c r="BB361" s="1979">
        <f>IF(Construction!$F$31=Construction!$R$22,Oeko!DO361,Oeko!GB361)</f>
        <v>0.97975662301212196</v>
      </c>
      <c r="BC361" s="1979">
        <f>IF(Construction!$F$31=Construction!$R$22,Oeko!DP361,Oeko!GC361)</f>
        <v>0.97975662301212196</v>
      </c>
      <c r="BD361" s="1979">
        <f>IF(Construction!$F$31=Construction!$R$22,Oeko!DQ361,Oeko!GD361)</f>
        <v>0.97975662301212196</v>
      </c>
      <c r="BE361" s="1979">
        <f>IF(Construction!$F$31=Construction!$R$22,Oeko!DR361,Oeko!GE361)</f>
        <v>0.97975662301212196</v>
      </c>
      <c r="BF361" s="1979">
        <f>IF(Construction!$F$31=Construction!$R$22,Oeko!DS361,Oeko!GF361)</f>
        <v>0.97975662301212196</v>
      </c>
      <c r="BG361" s="1998">
        <f>IF(Construction!$F$31=Construction!$R$22,Oeko!DT361,Oeko!GG361)</f>
        <v>0.97614876347816082</v>
      </c>
      <c r="BH361" s="1998">
        <f>IF(Construction!$F$31=Construction!$R$22,Oeko!DU361,Oeko!GH361)</f>
        <v>0.97614876347816082</v>
      </c>
      <c r="BI361" s="1998">
        <f>IF(Construction!$F$31=Construction!$R$22,Oeko!DV361,Oeko!GI361)</f>
        <v>0.97614876347816082</v>
      </c>
      <c r="BJ361" s="1998">
        <f>IF(Construction!$F$31=Construction!$R$22,Oeko!DW361,Oeko!GJ361)</f>
        <v>0.97614876347816082</v>
      </c>
      <c r="BK361" s="2026">
        <f>IF(Construction!$F$31=Construction!$R$22,Oeko!DX361,Oeko!GK361)</f>
        <v>0.97614876347816082</v>
      </c>
      <c r="BN361" s="2022"/>
      <c r="BO361" s="2">
        <v>16</v>
      </c>
      <c r="BP361" s="2" t="str">
        <f>CONCATENATE($U$8," ",GV$10)</f>
        <v xml:space="preserve">Proportion de fenêtres </v>
      </c>
      <c r="BQ361" s="1979">
        <v>1</v>
      </c>
      <c r="BR361" s="1979">
        <v>1</v>
      </c>
      <c r="BS361" s="1979">
        <v>1</v>
      </c>
      <c r="BT361" s="1979">
        <v>1</v>
      </c>
      <c r="BU361" s="1979">
        <v>1</v>
      </c>
      <c r="BV361" s="1998">
        <v>1</v>
      </c>
      <c r="BW361" s="1998">
        <v>1</v>
      </c>
      <c r="BX361" s="1998">
        <v>1</v>
      </c>
      <c r="BY361" s="1998">
        <v>1</v>
      </c>
      <c r="BZ361" s="1998">
        <v>1</v>
      </c>
      <c r="CA361" s="1979">
        <v>1</v>
      </c>
      <c r="CB361" s="1979">
        <v>1</v>
      </c>
      <c r="CC361" s="1979">
        <v>1</v>
      </c>
      <c r="CD361" s="1979">
        <v>1</v>
      </c>
      <c r="CE361" s="1979">
        <v>1</v>
      </c>
      <c r="CF361" s="1998">
        <v>1</v>
      </c>
      <c r="CG361" s="1998">
        <v>1</v>
      </c>
      <c r="CH361" s="1998">
        <v>1</v>
      </c>
      <c r="CI361" s="1998">
        <v>1</v>
      </c>
      <c r="CJ361" s="1998">
        <v>1</v>
      </c>
      <c r="CK361" s="1979">
        <v>1</v>
      </c>
      <c r="CL361" s="1979">
        <v>1</v>
      </c>
      <c r="CM361" s="1979">
        <v>1</v>
      </c>
      <c r="CN361" s="1979">
        <v>1</v>
      </c>
      <c r="CO361" s="1979">
        <v>1</v>
      </c>
      <c r="CP361" s="1998">
        <v>1</v>
      </c>
      <c r="CQ361" s="1998">
        <v>1</v>
      </c>
      <c r="CR361" s="1998">
        <v>1</v>
      </c>
      <c r="CS361" s="1998">
        <v>1</v>
      </c>
      <c r="CT361" s="1998">
        <v>1</v>
      </c>
      <c r="CU361" s="1979">
        <v>1</v>
      </c>
      <c r="CV361" s="1979">
        <v>1</v>
      </c>
      <c r="CW361" s="1979">
        <v>1</v>
      </c>
      <c r="CX361" s="1979">
        <v>1</v>
      </c>
      <c r="CY361" s="1979">
        <v>1</v>
      </c>
      <c r="CZ361" s="1998">
        <v>1</v>
      </c>
      <c r="DA361" s="1998">
        <v>1</v>
      </c>
      <c r="DB361" s="1998">
        <v>1</v>
      </c>
      <c r="DC361" s="1998">
        <v>1</v>
      </c>
      <c r="DD361" s="1998">
        <v>1</v>
      </c>
      <c r="DE361" s="1979">
        <v>8.0488597659215451</v>
      </c>
      <c r="DF361" s="1979">
        <v>8.0488597659215451</v>
      </c>
      <c r="DG361" s="1979">
        <v>8.0488597659215451</v>
      </c>
      <c r="DH361" s="1979">
        <v>8.0488597659215451</v>
      </c>
      <c r="DI361" s="1979">
        <v>8.0488597659215451</v>
      </c>
      <c r="DJ361" s="1998">
        <v>8.0329061668367086</v>
      </c>
      <c r="DK361" s="1998">
        <v>8.0329061668367086</v>
      </c>
      <c r="DL361" s="1998">
        <v>8.0329061668367086</v>
      </c>
      <c r="DM361" s="1998">
        <v>8.0329061668367086</v>
      </c>
      <c r="DN361" s="1998">
        <v>8.0329061668367086</v>
      </c>
      <c r="DO361" s="1979">
        <v>0.97975662301212196</v>
      </c>
      <c r="DP361" s="1979">
        <v>0.97975662301212196</v>
      </c>
      <c r="DQ361" s="1979">
        <v>0.97975662301212196</v>
      </c>
      <c r="DR361" s="1979">
        <v>0.97975662301212196</v>
      </c>
      <c r="DS361" s="1979">
        <v>0.97975662301212196</v>
      </c>
      <c r="DT361" s="1998">
        <v>0.97614876347816082</v>
      </c>
      <c r="DU361" s="1998">
        <v>0.97614876347816082</v>
      </c>
      <c r="DV361" s="1998">
        <v>0.97614876347816082</v>
      </c>
      <c r="DW361" s="1998">
        <v>0.97614876347816082</v>
      </c>
      <c r="DX361" s="2026">
        <v>0.97614876347816082</v>
      </c>
      <c r="EA361" s="2022"/>
      <c r="EB361" s="2">
        <v>16</v>
      </c>
      <c r="EC361" s="2" t="str">
        <f>CONCATENATE($U$8," ",JI$10)</f>
        <v xml:space="preserve">Proportion de fenêtres </v>
      </c>
      <c r="ED361" s="1979">
        <v>1.3605609674202821</v>
      </c>
      <c r="EE361" s="1979">
        <v>1.3805913069290729</v>
      </c>
      <c r="EF361" s="1979">
        <v>1.4147607096205406</v>
      </c>
      <c r="EG361" s="1979">
        <v>1.4559996439033458</v>
      </c>
      <c r="EH361" s="1979">
        <v>1.4889907913295906</v>
      </c>
      <c r="EI361" s="1998">
        <v>2.0966679740137137</v>
      </c>
      <c r="EJ361" s="1998">
        <v>2.1461546951530805</v>
      </c>
      <c r="EK361" s="1998">
        <v>2.2097804794751235</v>
      </c>
      <c r="EL361" s="1998">
        <v>2.280475795388504</v>
      </c>
      <c r="EM361" s="1998">
        <v>2.3016843901625181</v>
      </c>
      <c r="EN361" s="1979">
        <v>1.4337071065592959</v>
      </c>
      <c r="EO361" s="1979">
        <v>1.4670348983470329</v>
      </c>
      <c r="EP361" s="1979">
        <v>1.4690547645159866</v>
      </c>
      <c r="EQ361" s="1979">
        <v>1.4710746306849403</v>
      </c>
      <c r="ER361" s="1979">
        <v>1.4730944968538937</v>
      </c>
      <c r="ES361" s="1998">
        <v>1.8379162318633464</v>
      </c>
      <c r="ET361" s="1998">
        <v>1.8661943582286991</v>
      </c>
      <c r="EU361" s="1998">
        <v>1.8732638898200367</v>
      </c>
      <c r="EV361" s="1998">
        <v>1.8803334214113749</v>
      </c>
      <c r="EW361" s="1998">
        <v>1.8874029530027132</v>
      </c>
      <c r="EX361" s="1979">
        <v>1.4662053104562123</v>
      </c>
      <c r="EY361" s="1979">
        <v>1.4987251557763674</v>
      </c>
      <c r="EZ361" s="1979">
        <v>1.5015529684129028</v>
      </c>
      <c r="FA361" s="1979">
        <v>1.5043807810494378</v>
      </c>
      <c r="FB361" s="1979">
        <v>1.5072085936859732</v>
      </c>
      <c r="FC361" s="1998">
        <v>1.6277744053108218</v>
      </c>
      <c r="FD361" s="1998">
        <v>1.6136353421281457</v>
      </c>
      <c r="FE361" s="1998">
        <v>1.6277744053108218</v>
      </c>
      <c r="FF361" s="1998">
        <v>1.6419134684934982</v>
      </c>
      <c r="FG361" s="1998">
        <v>1.6560525316761743</v>
      </c>
      <c r="FH361" s="1979">
        <v>2.3921927569513635</v>
      </c>
      <c r="FI361" s="1979">
        <v>2.3992622885427015</v>
      </c>
      <c r="FJ361" s="1979">
        <v>2.4063318201340396</v>
      </c>
      <c r="FK361" s="1979">
        <v>2.4134013517253781</v>
      </c>
      <c r="FL361" s="1979">
        <v>2.4204708833167157</v>
      </c>
      <c r="FM361" s="1998">
        <v>1.5115041757386145</v>
      </c>
      <c r="FN361" s="1998">
        <v>1.5374257915735208</v>
      </c>
      <c r="FO361" s="1998">
        <v>1.5774864705911036</v>
      </c>
      <c r="FP361" s="1998">
        <v>1.6246166812000238</v>
      </c>
      <c r="FQ361" s="1998">
        <v>1.6552513180958224</v>
      </c>
      <c r="FR361" s="1979">
        <v>18.696584463294087</v>
      </c>
      <c r="FS361" s="1979">
        <v>18.75348613168352</v>
      </c>
      <c r="FT361" s="1979">
        <v>18.810387800072949</v>
      </c>
      <c r="FU361" s="1979">
        <v>18.867289468462388</v>
      </c>
      <c r="FV361" s="1979">
        <v>18.924191136851817</v>
      </c>
      <c r="FW361" s="1998">
        <v>19.033724251273018</v>
      </c>
      <c r="FX361" s="1998">
        <v>19.09051313518972</v>
      </c>
      <c r="FY361" s="1998">
        <v>19.14730201910643</v>
      </c>
      <c r="FZ361" s="1998">
        <v>19.20409090302314</v>
      </c>
      <c r="GA361" s="1998">
        <v>19.260879786939839</v>
      </c>
      <c r="GB361" s="1979">
        <v>1.6775934781314683</v>
      </c>
      <c r="GC361" s="1979">
        <v>1.6845198985296752</v>
      </c>
      <c r="GD361" s="1979">
        <v>1.6914463189278821</v>
      </c>
      <c r="GE361" s="1979">
        <v>1.698372739326089</v>
      </c>
      <c r="GF361" s="1979">
        <v>1.7122255801225028</v>
      </c>
      <c r="GG361" s="1998">
        <v>1.7179970745130155</v>
      </c>
      <c r="GH361" s="1998">
        <v>1.7248979890342699</v>
      </c>
      <c r="GI361" s="1998">
        <v>1.7317989035555246</v>
      </c>
      <c r="GJ361" s="1998">
        <v>1.738699818076779</v>
      </c>
      <c r="GK361" s="2026">
        <v>1.7525016471192878</v>
      </c>
    </row>
    <row r="362" spans="1:193">
      <c r="A362" s="2020"/>
      <c r="B362" s="2">
        <v>17</v>
      </c>
      <c r="C362" s="2" t="str">
        <f>CONCATENATE($U$8," ",EI$11)</f>
        <v xml:space="preserve">Proportion de fenêtres </v>
      </c>
      <c r="D362" s="1979">
        <f>IF(Construction!$F$31=Construction!$R$22,Oeko!BQ362,Oeko!ED362)</f>
        <v>1</v>
      </c>
      <c r="E362" s="1979">
        <f>IF(Construction!$F$31=Construction!$R$22,Oeko!BR362,Oeko!EE362)</f>
        <v>1</v>
      </c>
      <c r="F362" s="1979">
        <f>IF(Construction!$F$31=Construction!$R$22,Oeko!BS362,Oeko!EF362)</f>
        <v>1</v>
      </c>
      <c r="G362" s="1979">
        <f>IF(Construction!$F$31=Construction!$R$22,Oeko!BT362,Oeko!EG362)</f>
        <v>1</v>
      </c>
      <c r="H362" s="1979">
        <f>IF(Construction!$F$31=Construction!$R$22,Oeko!BU362,Oeko!EH362)</f>
        <v>1</v>
      </c>
      <c r="I362" s="1998">
        <f>IF(Construction!$F$31=Construction!$R$22,Oeko!BV362,Oeko!EI362)</f>
        <v>1</v>
      </c>
      <c r="J362" s="1998">
        <f>IF(Construction!$F$31=Construction!$R$22,Oeko!BW362,Oeko!EJ362)</f>
        <v>1</v>
      </c>
      <c r="K362" s="1998">
        <f>IF(Construction!$F$31=Construction!$R$22,Oeko!BX362,Oeko!EK362)</f>
        <v>1</v>
      </c>
      <c r="L362" s="1998">
        <f>IF(Construction!$F$31=Construction!$R$22,Oeko!BY362,Oeko!EL362)</f>
        <v>1</v>
      </c>
      <c r="M362" s="1998">
        <f>IF(Construction!$F$31=Construction!$R$22,Oeko!BZ362,Oeko!EM362)</f>
        <v>1</v>
      </c>
      <c r="N362" s="1979">
        <f>IF(Construction!$F$31=Construction!$R$22,Oeko!CA362,Oeko!EN362)</f>
        <v>1</v>
      </c>
      <c r="O362" s="1979">
        <f>IF(Construction!$F$31=Construction!$R$22,Oeko!CB362,Oeko!EO362)</f>
        <v>1</v>
      </c>
      <c r="P362" s="1979">
        <f>IF(Construction!$F$31=Construction!$R$22,Oeko!CC362,Oeko!EP362)</f>
        <v>1</v>
      </c>
      <c r="Q362" s="1979">
        <f>IF(Construction!$F$31=Construction!$R$22,Oeko!CD362,Oeko!EQ362)</f>
        <v>1</v>
      </c>
      <c r="R362" s="1979">
        <f>IF(Construction!$F$31=Construction!$R$22,Oeko!CE362,Oeko!ER362)</f>
        <v>1</v>
      </c>
      <c r="S362" s="1998">
        <f>IF(Construction!$F$31=Construction!$R$22,Oeko!CF362,Oeko!ES362)</f>
        <v>1</v>
      </c>
      <c r="T362" s="1998">
        <f>IF(Construction!$F$31=Construction!$R$22,Oeko!CG362,Oeko!ET362)</f>
        <v>1</v>
      </c>
      <c r="U362" s="1998">
        <f>IF(Construction!$F$31=Construction!$R$22,Oeko!CH362,Oeko!EU362)</f>
        <v>1</v>
      </c>
      <c r="V362" s="1998">
        <f>IF(Construction!$F$31=Construction!$R$22,Oeko!CI362,Oeko!EV362)</f>
        <v>1</v>
      </c>
      <c r="W362" s="1998">
        <f>IF(Construction!$F$31=Construction!$R$22,Oeko!CJ362,Oeko!EW362)</f>
        <v>1</v>
      </c>
      <c r="X362" s="1979">
        <f>IF(Construction!$F$31=Construction!$R$22,Oeko!CK362,Oeko!EX362)</f>
        <v>1</v>
      </c>
      <c r="Y362" s="1979">
        <f>IF(Construction!$F$31=Construction!$R$22,Oeko!CL362,Oeko!EY362)</f>
        <v>1</v>
      </c>
      <c r="Z362" s="1979">
        <f>IF(Construction!$F$31=Construction!$R$22,Oeko!CM362,Oeko!EZ362)</f>
        <v>1</v>
      </c>
      <c r="AA362" s="1979">
        <f>IF(Construction!$F$31=Construction!$R$22,Oeko!CN362,Oeko!FA362)</f>
        <v>1</v>
      </c>
      <c r="AB362" s="1979">
        <f>IF(Construction!$F$31=Construction!$R$22,Oeko!CO362,Oeko!FB362)</f>
        <v>1</v>
      </c>
      <c r="AC362" s="1998">
        <f>IF(Construction!$F$31=Construction!$R$22,Oeko!CP362,Oeko!FC362)</f>
        <v>1</v>
      </c>
      <c r="AD362" s="1998">
        <f>IF(Construction!$F$31=Construction!$R$22,Oeko!CQ362,Oeko!FD362)</f>
        <v>1</v>
      </c>
      <c r="AE362" s="1998">
        <f>IF(Construction!$F$31=Construction!$R$22,Oeko!CR362,Oeko!FE362)</f>
        <v>1</v>
      </c>
      <c r="AF362" s="1998">
        <f>IF(Construction!$F$31=Construction!$R$22,Oeko!CS362,Oeko!FF362)</f>
        <v>1</v>
      </c>
      <c r="AG362" s="1998">
        <f>IF(Construction!$F$31=Construction!$R$22,Oeko!CT362,Oeko!FG362)</f>
        <v>1</v>
      </c>
      <c r="AH362" s="1979">
        <f>IF(Construction!$F$31=Construction!$R$22,Oeko!CU362,Oeko!FH362)</f>
        <v>1</v>
      </c>
      <c r="AI362" s="1979">
        <f>IF(Construction!$F$31=Construction!$R$22,Oeko!CV362,Oeko!FI362)</f>
        <v>1</v>
      </c>
      <c r="AJ362" s="1979">
        <f>IF(Construction!$F$31=Construction!$R$22,Oeko!CW362,Oeko!FJ362)</f>
        <v>1</v>
      </c>
      <c r="AK362" s="1979">
        <f>IF(Construction!$F$31=Construction!$R$22,Oeko!CX362,Oeko!FK362)</f>
        <v>1</v>
      </c>
      <c r="AL362" s="1979">
        <f>IF(Construction!$F$31=Construction!$R$22,Oeko!CY362,Oeko!FL362)</f>
        <v>1</v>
      </c>
      <c r="AM362" s="1998">
        <f>IF(Construction!$F$31=Construction!$R$22,Oeko!CZ362,Oeko!FM362)</f>
        <v>1</v>
      </c>
      <c r="AN362" s="1998">
        <f>IF(Construction!$F$31=Construction!$R$22,Oeko!DA362,Oeko!FN362)</f>
        <v>1</v>
      </c>
      <c r="AO362" s="1998">
        <f>IF(Construction!$F$31=Construction!$R$22,Oeko!DB362,Oeko!FO362)</f>
        <v>1</v>
      </c>
      <c r="AP362" s="1998">
        <f>IF(Construction!$F$31=Construction!$R$22,Oeko!DC362,Oeko!FP362)</f>
        <v>1</v>
      </c>
      <c r="AQ362" s="1998">
        <f>IF(Construction!$F$31=Construction!$R$22,Oeko!DD362,Oeko!FQ362)</f>
        <v>1</v>
      </c>
      <c r="AR362" s="1979">
        <f>IF(Construction!$F$31=Construction!$R$22,Oeko!DE362,Oeko!FR362)</f>
        <v>8.0488597659215451</v>
      </c>
      <c r="AS362" s="1979">
        <f>IF(Construction!$F$31=Construction!$R$22,Oeko!DF362,Oeko!FS362)</f>
        <v>8.0488597659215451</v>
      </c>
      <c r="AT362" s="1979">
        <f>IF(Construction!$F$31=Construction!$R$22,Oeko!DG362,Oeko!FT362)</f>
        <v>8.0488597659215451</v>
      </c>
      <c r="AU362" s="1979">
        <f>IF(Construction!$F$31=Construction!$R$22,Oeko!DH362,Oeko!FU362)</f>
        <v>8.0488597659215451</v>
      </c>
      <c r="AV362" s="1979">
        <f>IF(Construction!$F$31=Construction!$R$22,Oeko!DI362,Oeko!FV362)</f>
        <v>8.0488597659215451</v>
      </c>
      <c r="AW362" s="1998">
        <f>IF(Construction!$F$31=Construction!$R$22,Oeko!DJ362,Oeko!FW362)</f>
        <v>8.0329061668367086</v>
      </c>
      <c r="AX362" s="1998">
        <f>IF(Construction!$F$31=Construction!$R$22,Oeko!DK362,Oeko!FX362)</f>
        <v>8.0329061668367086</v>
      </c>
      <c r="AY362" s="1998">
        <f>IF(Construction!$F$31=Construction!$R$22,Oeko!DL362,Oeko!FY362)</f>
        <v>8.0329061668367086</v>
      </c>
      <c r="AZ362" s="1998">
        <f>IF(Construction!$F$31=Construction!$R$22,Oeko!DM362,Oeko!FZ362)</f>
        <v>8.0329061668367086</v>
      </c>
      <c r="BA362" s="1998">
        <f>IF(Construction!$F$31=Construction!$R$22,Oeko!DN362,Oeko!GA362)</f>
        <v>8.0329061668367086</v>
      </c>
      <c r="BB362" s="1979">
        <f>IF(Construction!$F$31=Construction!$R$22,Oeko!DO362,Oeko!GB362)</f>
        <v>0.97975662301212196</v>
      </c>
      <c r="BC362" s="1979">
        <f>IF(Construction!$F$31=Construction!$R$22,Oeko!DP362,Oeko!GC362)</f>
        <v>0.97975662301212196</v>
      </c>
      <c r="BD362" s="1979">
        <f>IF(Construction!$F$31=Construction!$R$22,Oeko!DQ362,Oeko!GD362)</f>
        <v>0.97975662301212196</v>
      </c>
      <c r="BE362" s="1979">
        <f>IF(Construction!$F$31=Construction!$R$22,Oeko!DR362,Oeko!GE362)</f>
        <v>0.97975662301212196</v>
      </c>
      <c r="BF362" s="1979">
        <f>IF(Construction!$F$31=Construction!$R$22,Oeko!DS362,Oeko!GF362)</f>
        <v>0.97975662301212196</v>
      </c>
      <c r="BG362" s="1998">
        <f>IF(Construction!$F$31=Construction!$R$22,Oeko!DT362,Oeko!GG362)</f>
        <v>0.97614876347816082</v>
      </c>
      <c r="BH362" s="1998">
        <f>IF(Construction!$F$31=Construction!$R$22,Oeko!DU362,Oeko!GH362)</f>
        <v>0.97614876347816082</v>
      </c>
      <c r="BI362" s="1998">
        <f>IF(Construction!$F$31=Construction!$R$22,Oeko!DV362,Oeko!GI362)</f>
        <v>0.97614876347816082</v>
      </c>
      <c r="BJ362" s="1998">
        <f>IF(Construction!$F$31=Construction!$R$22,Oeko!DW362,Oeko!GJ362)</f>
        <v>0.97614876347816082</v>
      </c>
      <c r="BK362" s="2026">
        <f>IF(Construction!$F$31=Construction!$R$22,Oeko!DX362,Oeko!GK362)</f>
        <v>0.97614876347816082</v>
      </c>
      <c r="BN362" s="2022"/>
      <c r="BO362" s="2">
        <v>17</v>
      </c>
      <c r="BP362" s="2" t="str">
        <f>CONCATENATE($U$8," ",GV$11)</f>
        <v xml:space="preserve">Proportion de fenêtres </v>
      </c>
      <c r="BQ362" s="1979">
        <v>1</v>
      </c>
      <c r="BR362" s="1979">
        <v>1</v>
      </c>
      <c r="BS362" s="1979">
        <v>1</v>
      </c>
      <c r="BT362" s="1979">
        <v>1</v>
      </c>
      <c r="BU362" s="1979">
        <v>1</v>
      </c>
      <c r="BV362" s="1998">
        <v>1</v>
      </c>
      <c r="BW362" s="1998">
        <v>1</v>
      </c>
      <c r="BX362" s="1998">
        <v>1</v>
      </c>
      <c r="BY362" s="1998">
        <v>1</v>
      </c>
      <c r="BZ362" s="1998">
        <v>1</v>
      </c>
      <c r="CA362" s="1979">
        <v>1</v>
      </c>
      <c r="CB362" s="1979">
        <v>1</v>
      </c>
      <c r="CC362" s="1979">
        <v>1</v>
      </c>
      <c r="CD362" s="1979">
        <v>1</v>
      </c>
      <c r="CE362" s="1979">
        <v>1</v>
      </c>
      <c r="CF362" s="1998">
        <v>1</v>
      </c>
      <c r="CG362" s="1998">
        <v>1</v>
      </c>
      <c r="CH362" s="1998">
        <v>1</v>
      </c>
      <c r="CI362" s="1998">
        <v>1</v>
      </c>
      <c r="CJ362" s="1998">
        <v>1</v>
      </c>
      <c r="CK362" s="1979">
        <v>1</v>
      </c>
      <c r="CL362" s="1979">
        <v>1</v>
      </c>
      <c r="CM362" s="1979">
        <v>1</v>
      </c>
      <c r="CN362" s="1979">
        <v>1</v>
      </c>
      <c r="CO362" s="1979">
        <v>1</v>
      </c>
      <c r="CP362" s="1998">
        <v>1</v>
      </c>
      <c r="CQ362" s="1998">
        <v>1</v>
      </c>
      <c r="CR362" s="1998">
        <v>1</v>
      </c>
      <c r="CS362" s="1998">
        <v>1</v>
      </c>
      <c r="CT362" s="1998">
        <v>1</v>
      </c>
      <c r="CU362" s="1979">
        <v>1</v>
      </c>
      <c r="CV362" s="1979">
        <v>1</v>
      </c>
      <c r="CW362" s="1979">
        <v>1</v>
      </c>
      <c r="CX362" s="1979">
        <v>1</v>
      </c>
      <c r="CY362" s="1979">
        <v>1</v>
      </c>
      <c r="CZ362" s="1998">
        <v>1</v>
      </c>
      <c r="DA362" s="1998">
        <v>1</v>
      </c>
      <c r="DB362" s="1998">
        <v>1</v>
      </c>
      <c r="DC362" s="1998">
        <v>1</v>
      </c>
      <c r="DD362" s="1998">
        <v>1</v>
      </c>
      <c r="DE362" s="1979">
        <v>8.0488597659215451</v>
      </c>
      <c r="DF362" s="1979">
        <v>8.0488597659215451</v>
      </c>
      <c r="DG362" s="1979">
        <v>8.0488597659215451</v>
      </c>
      <c r="DH362" s="1979">
        <v>8.0488597659215451</v>
      </c>
      <c r="DI362" s="1979">
        <v>8.0488597659215451</v>
      </c>
      <c r="DJ362" s="1998">
        <v>8.0329061668367086</v>
      </c>
      <c r="DK362" s="1998">
        <v>8.0329061668367086</v>
      </c>
      <c r="DL362" s="1998">
        <v>8.0329061668367086</v>
      </c>
      <c r="DM362" s="1998">
        <v>8.0329061668367086</v>
      </c>
      <c r="DN362" s="1998">
        <v>8.0329061668367086</v>
      </c>
      <c r="DO362" s="1979">
        <v>0.97975662301212196</v>
      </c>
      <c r="DP362" s="1979">
        <v>0.97975662301212196</v>
      </c>
      <c r="DQ362" s="1979">
        <v>0.97975662301212196</v>
      </c>
      <c r="DR362" s="1979">
        <v>0.97975662301212196</v>
      </c>
      <c r="DS362" s="1979">
        <v>0.97975662301212196</v>
      </c>
      <c r="DT362" s="1998">
        <v>0.97614876347816082</v>
      </c>
      <c r="DU362" s="1998">
        <v>0.97614876347816082</v>
      </c>
      <c r="DV362" s="1998">
        <v>0.97614876347816082</v>
      </c>
      <c r="DW362" s="1998">
        <v>0.97614876347816082</v>
      </c>
      <c r="DX362" s="2026">
        <v>0.97614876347816082</v>
      </c>
      <c r="EA362" s="2022"/>
      <c r="EB362" s="2">
        <v>17</v>
      </c>
      <c r="EC362" s="2" t="str">
        <f>CONCATENATE($U$8," ",JI$11)</f>
        <v xml:space="preserve">Proportion de fenêtres </v>
      </c>
      <c r="ED362" s="1979">
        <v>1.3605609674202821</v>
      </c>
      <c r="EE362" s="1979">
        <v>1.3805913069290729</v>
      </c>
      <c r="EF362" s="1979">
        <v>1.4147607096205406</v>
      </c>
      <c r="EG362" s="1979">
        <v>1.4559996439033458</v>
      </c>
      <c r="EH362" s="1979">
        <v>1.4889907913295906</v>
      </c>
      <c r="EI362" s="1998">
        <v>2.0966679740137137</v>
      </c>
      <c r="EJ362" s="1998">
        <v>2.1461546951530805</v>
      </c>
      <c r="EK362" s="1998">
        <v>2.2097804794751235</v>
      </c>
      <c r="EL362" s="1998">
        <v>2.280475795388504</v>
      </c>
      <c r="EM362" s="1998">
        <v>2.3016843901625181</v>
      </c>
      <c r="EN362" s="1979">
        <v>1.4337071065592959</v>
      </c>
      <c r="EO362" s="1979">
        <v>1.4670348983470329</v>
      </c>
      <c r="EP362" s="1979">
        <v>1.4690547645159866</v>
      </c>
      <c r="EQ362" s="1979">
        <v>1.4710746306849403</v>
      </c>
      <c r="ER362" s="1979">
        <v>1.4730944968538937</v>
      </c>
      <c r="ES362" s="1998">
        <v>1.8379162318633464</v>
      </c>
      <c r="ET362" s="1998">
        <v>1.8661943582286991</v>
      </c>
      <c r="EU362" s="1998">
        <v>1.8732638898200367</v>
      </c>
      <c r="EV362" s="1998">
        <v>1.8803334214113749</v>
      </c>
      <c r="EW362" s="1998">
        <v>1.8874029530027132</v>
      </c>
      <c r="EX362" s="1979">
        <v>1.4662053104562123</v>
      </c>
      <c r="EY362" s="1979">
        <v>1.4987251557763674</v>
      </c>
      <c r="EZ362" s="1979">
        <v>1.5015529684129028</v>
      </c>
      <c r="FA362" s="1979">
        <v>1.5043807810494378</v>
      </c>
      <c r="FB362" s="1979">
        <v>1.5072085936859732</v>
      </c>
      <c r="FC362" s="1998">
        <v>1.6277744053108218</v>
      </c>
      <c r="FD362" s="1998">
        <v>1.6136353421281457</v>
      </c>
      <c r="FE362" s="1998">
        <v>1.6277744053108218</v>
      </c>
      <c r="FF362" s="1998">
        <v>1.6419134684934982</v>
      </c>
      <c r="FG362" s="1998">
        <v>1.6560525316761743</v>
      </c>
      <c r="FH362" s="1979">
        <v>2.3921927569513635</v>
      </c>
      <c r="FI362" s="1979">
        <v>2.3992622885427015</v>
      </c>
      <c r="FJ362" s="1979">
        <v>2.4063318201340396</v>
      </c>
      <c r="FK362" s="1979">
        <v>2.4134013517253781</v>
      </c>
      <c r="FL362" s="1979">
        <v>2.4204708833167157</v>
      </c>
      <c r="FM362" s="1998">
        <v>1.5115041757386145</v>
      </c>
      <c r="FN362" s="1998">
        <v>1.5374257915735208</v>
      </c>
      <c r="FO362" s="1998">
        <v>1.5774864705911036</v>
      </c>
      <c r="FP362" s="1998">
        <v>1.6246166812000238</v>
      </c>
      <c r="FQ362" s="1998">
        <v>1.6552513180958224</v>
      </c>
      <c r="FR362" s="1979">
        <v>18.696584463294087</v>
      </c>
      <c r="FS362" s="1979">
        <v>18.75348613168352</v>
      </c>
      <c r="FT362" s="1979">
        <v>18.810387800072949</v>
      </c>
      <c r="FU362" s="1979">
        <v>18.867289468462388</v>
      </c>
      <c r="FV362" s="1979">
        <v>18.924191136851817</v>
      </c>
      <c r="FW362" s="1998">
        <v>19.033724251273018</v>
      </c>
      <c r="FX362" s="1998">
        <v>19.09051313518972</v>
      </c>
      <c r="FY362" s="1998">
        <v>19.14730201910643</v>
      </c>
      <c r="FZ362" s="1998">
        <v>19.20409090302314</v>
      </c>
      <c r="GA362" s="1998">
        <v>19.260879786939839</v>
      </c>
      <c r="GB362" s="1979">
        <v>1.6775934781314683</v>
      </c>
      <c r="GC362" s="1979">
        <v>1.6845198985296752</v>
      </c>
      <c r="GD362" s="1979">
        <v>1.6914463189278821</v>
      </c>
      <c r="GE362" s="1979">
        <v>1.698372739326089</v>
      </c>
      <c r="GF362" s="1979">
        <v>1.7122255801225028</v>
      </c>
      <c r="GG362" s="1998">
        <v>1.7179970745130155</v>
      </c>
      <c r="GH362" s="1998">
        <v>1.7248979890342699</v>
      </c>
      <c r="GI362" s="1998">
        <v>1.7317989035555246</v>
      </c>
      <c r="GJ362" s="1998">
        <v>1.738699818076779</v>
      </c>
      <c r="GK362" s="2026">
        <v>1.7525016471192878</v>
      </c>
    </row>
    <row r="363" spans="1:193">
      <c r="A363" s="2020"/>
      <c r="B363" s="2">
        <v>18</v>
      </c>
      <c r="C363" s="2" t="str">
        <f>CONCATENATE($U$8," ",EI$12)</f>
        <v xml:space="preserve">Proportion de fenêtres </v>
      </c>
      <c r="D363" s="1979">
        <f>IF(Construction!$F$31=Construction!$R$22,Oeko!BQ363,Oeko!ED363)</f>
        <v>1</v>
      </c>
      <c r="E363" s="1979">
        <f>IF(Construction!$F$31=Construction!$R$22,Oeko!BR363,Oeko!EE363)</f>
        <v>1</v>
      </c>
      <c r="F363" s="1979">
        <f>IF(Construction!$F$31=Construction!$R$22,Oeko!BS363,Oeko!EF363)</f>
        <v>1</v>
      </c>
      <c r="G363" s="1979">
        <f>IF(Construction!$F$31=Construction!$R$22,Oeko!BT363,Oeko!EG363)</f>
        <v>1</v>
      </c>
      <c r="H363" s="1979">
        <f>IF(Construction!$F$31=Construction!$R$22,Oeko!BU363,Oeko!EH363)</f>
        <v>1</v>
      </c>
      <c r="I363" s="1998">
        <f>IF(Construction!$F$31=Construction!$R$22,Oeko!BV363,Oeko!EI363)</f>
        <v>1</v>
      </c>
      <c r="J363" s="1998">
        <f>IF(Construction!$F$31=Construction!$R$22,Oeko!BW363,Oeko!EJ363)</f>
        <v>1</v>
      </c>
      <c r="K363" s="1998">
        <f>IF(Construction!$F$31=Construction!$R$22,Oeko!BX363,Oeko!EK363)</f>
        <v>1</v>
      </c>
      <c r="L363" s="1998">
        <f>IF(Construction!$F$31=Construction!$R$22,Oeko!BY363,Oeko!EL363)</f>
        <v>1</v>
      </c>
      <c r="M363" s="1998">
        <f>IF(Construction!$F$31=Construction!$R$22,Oeko!BZ363,Oeko!EM363)</f>
        <v>1</v>
      </c>
      <c r="N363" s="1979">
        <f>IF(Construction!$F$31=Construction!$R$22,Oeko!CA363,Oeko!EN363)</f>
        <v>1</v>
      </c>
      <c r="O363" s="1979">
        <f>IF(Construction!$F$31=Construction!$R$22,Oeko!CB363,Oeko!EO363)</f>
        <v>1</v>
      </c>
      <c r="P363" s="1979">
        <f>IF(Construction!$F$31=Construction!$R$22,Oeko!CC363,Oeko!EP363)</f>
        <v>1</v>
      </c>
      <c r="Q363" s="1979">
        <f>IF(Construction!$F$31=Construction!$R$22,Oeko!CD363,Oeko!EQ363)</f>
        <v>1</v>
      </c>
      <c r="R363" s="1979">
        <f>IF(Construction!$F$31=Construction!$R$22,Oeko!CE363,Oeko!ER363)</f>
        <v>1</v>
      </c>
      <c r="S363" s="1998">
        <f>IF(Construction!$F$31=Construction!$R$22,Oeko!CF363,Oeko!ES363)</f>
        <v>1</v>
      </c>
      <c r="T363" s="1998">
        <f>IF(Construction!$F$31=Construction!$R$22,Oeko!CG363,Oeko!ET363)</f>
        <v>1</v>
      </c>
      <c r="U363" s="1998">
        <f>IF(Construction!$F$31=Construction!$R$22,Oeko!CH363,Oeko!EU363)</f>
        <v>1</v>
      </c>
      <c r="V363" s="1998">
        <f>IF(Construction!$F$31=Construction!$R$22,Oeko!CI363,Oeko!EV363)</f>
        <v>1</v>
      </c>
      <c r="W363" s="1998">
        <f>IF(Construction!$F$31=Construction!$R$22,Oeko!CJ363,Oeko!EW363)</f>
        <v>1</v>
      </c>
      <c r="X363" s="1979">
        <f>IF(Construction!$F$31=Construction!$R$22,Oeko!CK363,Oeko!EX363)</f>
        <v>1</v>
      </c>
      <c r="Y363" s="1979">
        <f>IF(Construction!$F$31=Construction!$R$22,Oeko!CL363,Oeko!EY363)</f>
        <v>1</v>
      </c>
      <c r="Z363" s="1979">
        <f>IF(Construction!$F$31=Construction!$R$22,Oeko!CM363,Oeko!EZ363)</f>
        <v>1</v>
      </c>
      <c r="AA363" s="1979">
        <f>IF(Construction!$F$31=Construction!$R$22,Oeko!CN363,Oeko!FA363)</f>
        <v>1</v>
      </c>
      <c r="AB363" s="1979">
        <f>IF(Construction!$F$31=Construction!$R$22,Oeko!CO363,Oeko!FB363)</f>
        <v>1</v>
      </c>
      <c r="AC363" s="1998">
        <f>IF(Construction!$F$31=Construction!$R$22,Oeko!CP363,Oeko!FC363)</f>
        <v>1</v>
      </c>
      <c r="AD363" s="1998">
        <f>IF(Construction!$F$31=Construction!$R$22,Oeko!CQ363,Oeko!FD363)</f>
        <v>1</v>
      </c>
      <c r="AE363" s="1998">
        <f>IF(Construction!$F$31=Construction!$R$22,Oeko!CR363,Oeko!FE363)</f>
        <v>1</v>
      </c>
      <c r="AF363" s="1998">
        <f>IF(Construction!$F$31=Construction!$R$22,Oeko!CS363,Oeko!FF363)</f>
        <v>1</v>
      </c>
      <c r="AG363" s="1998">
        <f>IF(Construction!$F$31=Construction!$R$22,Oeko!CT363,Oeko!FG363)</f>
        <v>1</v>
      </c>
      <c r="AH363" s="1979">
        <f>IF(Construction!$F$31=Construction!$R$22,Oeko!CU363,Oeko!FH363)</f>
        <v>1</v>
      </c>
      <c r="AI363" s="1979">
        <f>IF(Construction!$F$31=Construction!$R$22,Oeko!CV363,Oeko!FI363)</f>
        <v>1</v>
      </c>
      <c r="AJ363" s="1979">
        <f>IF(Construction!$F$31=Construction!$R$22,Oeko!CW363,Oeko!FJ363)</f>
        <v>1</v>
      </c>
      <c r="AK363" s="1979">
        <f>IF(Construction!$F$31=Construction!$R$22,Oeko!CX363,Oeko!FK363)</f>
        <v>1</v>
      </c>
      <c r="AL363" s="1979">
        <f>IF(Construction!$F$31=Construction!$R$22,Oeko!CY363,Oeko!FL363)</f>
        <v>1</v>
      </c>
      <c r="AM363" s="1998">
        <f>IF(Construction!$F$31=Construction!$R$22,Oeko!CZ363,Oeko!FM363)</f>
        <v>1</v>
      </c>
      <c r="AN363" s="1998">
        <f>IF(Construction!$F$31=Construction!$R$22,Oeko!DA363,Oeko!FN363)</f>
        <v>1</v>
      </c>
      <c r="AO363" s="1998">
        <f>IF(Construction!$F$31=Construction!$R$22,Oeko!DB363,Oeko!FO363)</f>
        <v>1</v>
      </c>
      <c r="AP363" s="1998">
        <f>IF(Construction!$F$31=Construction!$R$22,Oeko!DC363,Oeko!FP363)</f>
        <v>1</v>
      </c>
      <c r="AQ363" s="1998">
        <f>IF(Construction!$F$31=Construction!$R$22,Oeko!DD363,Oeko!FQ363)</f>
        <v>1</v>
      </c>
      <c r="AR363" s="1979">
        <f>IF(Construction!$F$31=Construction!$R$22,Oeko!DE363,Oeko!FR363)</f>
        <v>8.0488597659215451</v>
      </c>
      <c r="AS363" s="1979">
        <f>IF(Construction!$F$31=Construction!$R$22,Oeko!DF363,Oeko!FS363)</f>
        <v>8.0488597659215451</v>
      </c>
      <c r="AT363" s="1979">
        <f>IF(Construction!$F$31=Construction!$R$22,Oeko!DG363,Oeko!FT363)</f>
        <v>8.0488597659215451</v>
      </c>
      <c r="AU363" s="1979">
        <f>IF(Construction!$F$31=Construction!$R$22,Oeko!DH363,Oeko!FU363)</f>
        <v>8.0488597659215451</v>
      </c>
      <c r="AV363" s="1979">
        <f>IF(Construction!$F$31=Construction!$R$22,Oeko!DI363,Oeko!FV363)</f>
        <v>8.0488597659215451</v>
      </c>
      <c r="AW363" s="1998">
        <f>IF(Construction!$F$31=Construction!$R$22,Oeko!DJ363,Oeko!FW363)</f>
        <v>8.0329061668367086</v>
      </c>
      <c r="AX363" s="1998">
        <f>IF(Construction!$F$31=Construction!$R$22,Oeko!DK363,Oeko!FX363)</f>
        <v>8.0329061668367086</v>
      </c>
      <c r="AY363" s="1998">
        <f>IF(Construction!$F$31=Construction!$R$22,Oeko!DL363,Oeko!FY363)</f>
        <v>8.0329061668367086</v>
      </c>
      <c r="AZ363" s="1998">
        <f>IF(Construction!$F$31=Construction!$R$22,Oeko!DM363,Oeko!FZ363)</f>
        <v>8.0329061668367086</v>
      </c>
      <c r="BA363" s="1998">
        <f>IF(Construction!$F$31=Construction!$R$22,Oeko!DN363,Oeko!GA363)</f>
        <v>8.0329061668367086</v>
      </c>
      <c r="BB363" s="1979">
        <f>IF(Construction!$F$31=Construction!$R$22,Oeko!DO363,Oeko!GB363)</f>
        <v>0.97975662301212196</v>
      </c>
      <c r="BC363" s="1979">
        <f>IF(Construction!$F$31=Construction!$R$22,Oeko!DP363,Oeko!GC363)</f>
        <v>0.97975662301212196</v>
      </c>
      <c r="BD363" s="1979">
        <f>IF(Construction!$F$31=Construction!$R$22,Oeko!DQ363,Oeko!GD363)</f>
        <v>0.97975662301212196</v>
      </c>
      <c r="BE363" s="1979">
        <f>IF(Construction!$F$31=Construction!$R$22,Oeko!DR363,Oeko!GE363)</f>
        <v>0.97975662301212196</v>
      </c>
      <c r="BF363" s="1979">
        <f>IF(Construction!$F$31=Construction!$R$22,Oeko!DS363,Oeko!GF363)</f>
        <v>0.97975662301212196</v>
      </c>
      <c r="BG363" s="1998">
        <f>IF(Construction!$F$31=Construction!$R$22,Oeko!DT363,Oeko!GG363)</f>
        <v>0.97614876347816082</v>
      </c>
      <c r="BH363" s="1998">
        <f>IF(Construction!$F$31=Construction!$R$22,Oeko!DU363,Oeko!GH363)</f>
        <v>0.97614876347816082</v>
      </c>
      <c r="BI363" s="1998">
        <f>IF(Construction!$F$31=Construction!$R$22,Oeko!DV363,Oeko!GI363)</f>
        <v>0.97614876347816082</v>
      </c>
      <c r="BJ363" s="1998">
        <f>IF(Construction!$F$31=Construction!$R$22,Oeko!DW363,Oeko!GJ363)</f>
        <v>0.97614876347816082</v>
      </c>
      <c r="BK363" s="2026">
        <f>IF(Construction!$F$31=Construction!$R$22,Oeko!DX363,Oeko!GK363)</f>
        <v>0.97614876347816082</v>
      </c>
      <c r="BN363" s="2022"/>
      <c r="BO363" s="2">
        <v>18</v>
      </c>
      <c r="BP363" s="2" t="str">
        <f>CONCATENATE($U$8," ",GV$12)</f>
        <v xml:space="preserve">Proportion de fenêtres </v>
      </c>
      <c r="BQ363" s="1979">
        <v>1</v>
      </c>
      <c r="BR363" s="1979">
        <v>1</v>
      </c>
      <c r="BS363" s="1979">
        <v>1</v>
      </c>
      <c r="BT363" s="1979">
        <v>1</v>
      </c>
      <c r="BU363" s="1979">
        <v>1</v>
      </c>
      <c r="BV363" s="1998">
        <v>1</v>
      </c>
      <c r="BW363" s="1998">
        <v>1</v>
      </c>
      <c r="BX363" s="1998">
        <v>1</v>
      </c>
      <c r="BY363" s="1998">
        <v>1</v>
      </c>
      <c r="BZ363" s="1998">
        <v>1</v>
      </c>
      <c r="CA363" s="1979">
        <v>1</v>
      </c>
      <c r="CB363" s="1979">
        <v>1</v>
      </c>
      <c r="CC363" s="1979">
        <v>1</v>
      </c>
      <c r="CD363" s="1979">
        <v>1</v>
      </c>
      <c r="CE363" s="1979">
        <v>1</v>
      </c>
      <c r="CF363" s="1998">
        <v>1</v>
      </c>
      <c r="CG363" s="1998">
        <v>1</v>
      </c>
      <c r="CH363" s="1998">
        <v>1</v>
      </c>
      <c r="CI363" s="1998">
        <v>1</v>
      </c>
      <c r="CJ363" s="1998">
        <v>1</v>
      </c>
      <c r="CK363" s="1979">
        <v>1</v>
      </c>
      <c r="CL363" s="1979">
        <v>1</v>
      </c>
      <c r="CM363" s="1979">
        <v>1</v>
      </c>
      <c r="CN363" s="1979">
        <v>1</v>
      </c>
      <c r="CO363" s="1979">
        <v>1</v>
      </c>
      <c r="CP363" s="1998">
        <v>1</v>
      </c>
      <c r="CQ363" s="1998">
        <v>1</v>
      </c>
      <c r="CR363" s="1998">
        <v>1</v>
      </c>
      <c r="CS363" s="1998">
        <v>1</v>
      </c>
      <c r="CT363" s="1998">
        <v>1</v>
      </c>
      <c r="CU363" s="1979">
        <v>1</v>
      </c>
      <c r="CV363" s="1979">
        <v>1</v>
      </c>
      <c r="CW363" s="1979">
        <v>1</v>
      </c>
      <c r="CX363" s="1979">
        <v>1</v>
      </c>
      <c r="CY363" s="1979">
        <v>1</v>
      </c>
      <c r="CZ363" s="1998">
        <v>1</v>
      </c>
      <c r="DA363" s="1998">
        <v>1</v>
      </c>
      <c r="DB363" s="1998">
        <v>1</v>
      </c>
      <c r="DC363" s="1998">
        <v>1</v>
      </c>
      <c r="DD363" s="1998">
        <v>1</v>
      </c>
      <c r="DE363" s="1979">
        <v>8.0488597659215451</v>
      </c>
      <c r="DF363" s="1979">
        <v>8.0488597659215451</v>
      </c>
      <c r="DG363" s="1979">
        <v>8.0488597659215451</v>
      </c>
      <c r="DH363" s="1979">
        <v>8.0488597659215451</v>
      </c>
      <c r="DI363" s="1979">
        <v>8.0488597659215451</v>
      </c>
      <c r="DJ363" s="1998">
        <v>8.0329061668367086</v>
      </c>
      <c r="DK363" s="1998">
        <v>8.0329061668367086</v>
      </c>
      <c r="DL363" s="1998">
        <v>8.0329061668367086</v>
      </c>
      <c r="DM363" s="1998">
        <v>8.0329061668367086</v>
      </c>
      <c r="DN363" s="1998">
        <v>8.0329061668367086</v>
      </c>
      <c r="DO363" s="1979">
        <v>0.97975662301212196</v>
      </c>
      <c r="DP363" s="1979">
        <v>0.97975662301212196</v>
      </c>
      <c r="DQ363" s="1979">
        <v>0.97975662301212196</v>
      </c>
      <c r="DR363" s="1979">
        <v>0.97975662301212196</v>
      </c>
      <c r="DS363" s="1979">
        <v>0.97975662301212196</v>
      </c>
      <c r="DT363" s="1998">
        <v>0.97614876347816082</v>
      </c>
      <c r="DU363" s="1998">
        <v>0.97614876347816082</v>
      </c>
      <c r="DV363" s="1998">
        <v>0.97614876347816082</v>
      </c>
      <c r="DW363" s="1998">
        <v>0.97614876347816082</v>
      </c>
      <c r="DX363" s="2026">
        <v>0.97614876347816082</v>
      </c>
      <c r="EA363" s="2022"/>
      <c r="EB363" s="2">
        <v>18</v>
      </c>
      <c r="EC363" s="2" t="str">
        <f>CONCATENATE($U$8," ",JI$12)</f>
        <v xml:space="preserve">Proportion de fenêtres </v>
      </c>
      <c r="ED363" s="1979">
        <v>1.3605609674202821</v>
      </c>
      <c r="EE363" s="1979">
        <v>1.3805913069290729</v>
      </c>
      <c r="EF363" s="1979">
        <v>1.4147607096205406</v>
      </c>
      <c r="EG363" s="1979">
        <v>1.4559996439033458</v>
      </c>
      <c r="EH363" s="1979">
        <v>1.4889907913295906</v>
      </c>
      <c r="EI363" s="1998">
        <v>2.0966679740137137</v>
      </c>
      <c r="EJ363" s="1998">
        <v>2.1461546951530805</v>
      </c>
      <c r="EK363" s="1998">
        <v>2.2097804794751235</v>
      </c>
      <c r="EL363" s="1998">
        <v>2.280475795388504</v>
      </c>
      <c r="EM363" s="1998">
        <v>2.3016843901625181</v>
      </c>
      <c r="EN363" s="1979">
        <v>1.4337071065592959</v>
      </c>
      <c r="EO363" s="1979">
        <v>1.4670348983470329</v>
      </c>
      <c r="EP363" s="1979">
        <v>1.4690547645159866</v>
      </c>
      <c r="EQ363" s="1979">
        <v>1.4710746306849403</v>
      </c>
      <c r="ER363" s="1979">
        <v>1.4730944968538937</v>
      </c>
      <c r="ES363" s="1998">
        <v>1.8379162318633464</v>
      </c>
      <c r="ET363" s="1998">
        <v>1.8661943582286991</v>
      </c>
      <c r="EU363" s="1998">
        <v>1.8732638898200367</v>
      </c>
      <c r="EV363" s="1998">
        <v>1.8803334214113749</v>
      </c>
      <c r="EW363" s="1998">
        <v>1.8874029530027132</v>
      </c>
      <c r="EX363" s="1979">
        <v>1.4662053104562123</v>
      </c>
      <c r="EY363" s="1979">
        <v>1.4987251557763674</v>
      </c>
      <c r="EZ363" s="1979">
        <v>1.5015529684129028</v>
      </c>
      <c r="FA363" s="1979">
        <v>1.5043807810494378</v>
      </c>
      <c r="FB363" s="1979">
        <v>1.5072085936859732</v>
      </c>
      <c r="FC363" s="1998">
        <v>1.6277744053108218</v>
      </c>
      <c r="FD363" s="1998">
        <v>1.6136353421281457</v>
      </c>
      <c r="FE363" s="1998">
        <v>1.6277744053108218</v>
      </c>
      <c r="FF363" s="1998">
        <v>1.6419134684934982</v>
      </c>
      <c r="FG363" s="1998">
        <v>1.6560525316761743</v>
      </c>
      <c r="FH363" s="1979">
        <v>2.3921927569513635</v>
      </c>
      <c r="FI363" s="1979">
        <v>2.3992622885427015</v>
      </c>
      <c r="FJ363" s="1979">
        <v>2.4063318201340396</v>
      </c>
      <c r="FK363" s="1979">
        <v>2.4134013517253781</v>
      </c>
      <c r="FL363" s="1979">
        <v>2.4204708833167157</v>
      </c>
      <c r="FM363" s="1998">
        <v>1.5115041757386145</v>
      </c>
      <c r="FN363" s="1998">
        <v>1.5374257915735208</v>
      </c>
      <c r="FO363" s="1998">
        <v>1.5774864705911036</v>
      </c>
      <c r="FP363" s="1998">
        <v>1.6246166812000238</v>
      </c>
      <c r="FQ363" s="1998">
        <v>1.6552513180958224</v>
      </c>
      <c r="FR363" s="1979">
        <v>18.696584463294087</v>
      </c>
      <c r="FS363" s="1979">
        <v>18.75348613168352</v>
      </c>
      <c r="FT363" s="1979">
        <v>18.810387800072949</v>
      </c>
      <c r="FU363" s="1979">
        <v>18.867289468462388</v>
      </c>
      <c r="FV363" s="1979">
        <v>18.924191136851817</v>
      </c>
      <c r="FW363" s="1998">
        <v>19.033724251273018</v>
      </c>
      <c r="FX363" s="1998">
        <v>19.09051313518972</v>
      </c>
      <c r="FY363" s="1998">
        <v>19.14730201910643</v>
      </c>
      <c r="FZ363" s="1998">
        <v>19.20409090302314</v>
      </c>
      <c r="GA363" s="1998">
        <v>19.260879786939839</v>
      </c>
      <c r="GB363" s="1979">
        <v>1.6775934781314683</v>
      </c>
      <c r="GC363" s="1979">
        <v>1.6845198985296752</v>
      </c>
      <c r="GD363" s="1979">
        <v>1.6914463189278821</v>
      </c>
      <c r="GE363" s="1979">
        <v>1.698372739326089</v>
      </c>
      <c r="GF363" s="1979">
        <v>1.7122255801225028</v>
      </c>
      <c r="GG363" s="1998">
        <v>1.7179970745130155</v>
      </c>
      <c r="GH363" s="1998">
        <v>1.7248979890342699</v>
      </c>
      <c r="GI363" s="1998">
        <v>1.7317989035555246</v>
      </c>
      <c r="GJ363" s="1998">
        <v>1.738699818076779</v>
      </c>
      <c r="GK363" s="2026">
        <v>1.7525016471192878</v>
      </c>
    </row>
    <row r="364" spans="1:193">
      <c r="A364" s="2020"/>
      <c r="B364" s="2">
        <v>19</v>
      </c>
      <c r="C364" s="2" t="str">
        <f>CONCATENATE($U$8," ",EI$13)</f>
        <v xml:space="preserve">Proportion de fenêtres </v>
      </c>
      <c r="D364" s="1979">
        <f>IF(Construction!$F$31=Construction!$R$22,Oeko!BQ364,Oeko!ED364)</f>
        <v>1</v>
      </c>
      <c r="E364" s="1979">
        <f>IF(Construction!$F$31=Construction!$R$22,Oeko!BR364,Oeko!EE364)</f>
        <v>1</v>
      </c>
      <c r="F364" s="1979">
        <f>IF(Construction!$F$31=Construction!$R$22,Oeko!BS364,Oeko!EF364)</f>
        <v>1</v>
      </c>
      <c r="G364" s="1979">
        <f>IF(Construction!$F$31=Construction!$R$22,Oeko!BT364,Oeko!EG364)</f>
        <v>1</v>
      </c>
      <c r="H364" s="1979">
        <f>IF(Construction!$F$31=Construction!$R$22,Oeko!BU364,Oeko!EH364)</f>
        <v>1</v>
      </c>
      <c r="I364" s="1998">
        <f>IF(Construction!$F$31=Construction!$R$22,Oeko!BV364,Oeko!EI364)</f>
        <v>1</v>
      </c>
      <c r="J364" s="1998">
        <f>IF(Construction!$F$31=Construction!$R$22,Oeko!BW364,Oeko!EJ364)</f>
        <v>1</v>
      </c>
      <c r="K364" s="1998">
        <f>IF(Construction!$F$31=Construction!$R$22,Oeko!BX364,Oeko!EK364)</f>
        <v>1</v>
      </c>
      <c r="L364" s="1998">
        <f>IF(Construction!$F$31=Construction!$R$22,Oeko!BY364,Oeko!EL364)</f>
        <v>1</v>
      </c>
      <c r="M364" s="1998">
        <f>IF(Construction!$F$31=Construction!$R$22,Oeko!BZ364,Oeko!EM364)</f>
        <v>1</v>
      </c>
      <c r="N364" s="1979">
        <f>IF(Construction!$F$31=Construction!$R$22,Oeko!CA364,Oeko!EN364)</f>
        <v>1</v>
      </c>
      <c r="O364" s="1979">
        <f>IF(Construction!$F$31=Construction!$R$22,Oeko!CB364,Oeko!EO364)</f>
        <v>1</v>
      </c>
      <c r="P364" s="1979">
        <f>IF(Construction!$F$31=Construction!$R$22,Oeko!CC364,Oeko!EP364)</f>
        <v>1</v>
      </c>
      <c r="Q364" s="1979">
        <f>IF(Construction!$F$31=Construction!$R$22,Oeko!CD364,Oeko!EQ364)</f>
        <v>1</v>
      </c>
      <c r="R364" s="1979">
        <f>IF(Construction!$F$31=Construction!$R$22,Oeko!CE364,Oeko!ER364)</f>
        <v>1</v>
      </c>
      <c r="S364" s="1998">
        <f>IF(Construction!$F$31=Construction!$R$22,Oeko!CF364,Oeko!ES364)</f>
        <v>1</v>
      </c>
      <c r="T364" s="1998">
        <f>IF(Construction!$F$31=Construction!$R$22,Oeko!CG364,Oeko!ET364)</f>
        <v>1</v>
      </c>
      <c r="U364" s="1998">
        <f>IF(Construction!$F$31=Construction!$R$22,Oeko!CH364,Oeko!EU364)</f>
        <v>1</v>
      </c>
      <c r="V364" s="1998">
        <f>IF(Construction!$F$31=Construction!$R$22,Oeko!CI364,Oeko!EV364)</f>
        <v>1</v>
      </c>
      <c r="W364" s="1998">
        <f>IF(Construction!$F$31=Construction!$R$22,Oeko!CJ364,Oeko!EW364)</f>
        <v>1</v>
      </c>
      <c r="X364" s="1979">
        <f>IF(Construction!$F$31=Construction!$R$22,Oeko!CK364,Oeko!EX364)</f>
        <v>1</v>
      </c>
      <c r="Y364" s="1979">
        <f>IF(Construction!$F$31=Construction!$R$22,Oeko!CL364,Oeko!EY364)</f>
        <v>1</v>
      </c>
      <c r="Z364" s="1979">
        <f>IF(Construction!$F$31=Construction!$R$22,Oeko!CM364,Oeko!EZ364)</f>
        <v>1</v>
      </c>
      <c r="AA364" s="1979">
        <f>IF(Construction!$F$31=Construction!$R$22,Oeko!CN364,Oeko!FA364)</f>
        <v>1</v>
      </c>
      <c r="AB364" s="1979">
        <f>IF(Construction!$F$31=Construction!$R$22,Oeko!CO364,Oeko!FB364)</f>
        <v>1</v>
      </c>
      <c r="AC364" s="1998">
        <f>IF(Construction!$F$31=Construction!$R$22,Oeko!CP364,Oeko!FC364)</f>
        <v>1</v>
      </c>
      <c r="AD364" s="1998">
        <f>IF(Construction!$F$31=Construction!$R$22,Oeko!CQ364,Oeko!FD364)</f>
        <v>1</v>
      </c>
      <c r="AE364" s="1998">
        <f>IF(Construction!$F$31=Construction!$R$22,Oeko!CR364,Oeko!FE364)</f>
        <v>1</v>
      </c>
      <c r="AF364" s="1998">
        <f>IF(Construction!$F$31=Construction!$R$22,Oeko!CS364,Oeko!FF364)</f>
        <v>1</v>
      </c>
      <c r="AG364" s="1998">
        <f>IF(Construction!$F$31=Construction!$R$22,Oeko!CT364,Oeko!FG364)</f>
        <v>1</v>
      </c>
      <c r="AH364" s="1979">
        <f>IF(Construction!$F$31=Construction!$R$22,Oeko!CU364,Oeko!FH364)</f>
        <v>1</v>
      </c>
      <c r="AI364" s="1979">
        <f>IF(Construction!$F$31=Construction!$R$22,Oeko!CV364,Oeko!FI364)</f>
        <v>1</v>
      </c>
      <c r="AJ364" s="1979">
        <f>IF(Construction!$F$31=Construction!$R$22,Oeko!CW364,Oeko!FJ364)</f>
        <v>1</v>
      </c>
      <c r="AK364" s="1979">
        <f>IF(Construction!$F$31=Construction!$R$22,Oeko!CX364,Oeko!FK364)</f>
        <v>1</v>
      </c>
      <c r="AL364" s="1979">
        <f>IF(Construction!$F$31=Construction!$R$22,Oeko!CY364,Oeko!FL364)</f>
        <v>1</v>
      </c>
      <c r="AM364" s="1998">
        <f>IF(Construction!$F$31=Construction!$R$22,Oeko!CZ364,Oeko!FM364)</f>
        <v>1</v>
      </c>
      <c r="AN364" s="1998">
        <f>IF(Construction!$F$31=Construction!$R$22,Oeko!DA364,Oeko!FN364)</f>
        <v>1</v>
      </c>
      <c r="AO364" s="1998">
        <f>IF(Construction!$F$31=Construction!$R$22,Oeko!DB364,Oeko!FO364)</f>
        <v>1</v>
      </c>
      <c r="AP364" s="1998">
        <f>IF(Construction!$F$31=Construction!$R$22,Oeko!DC364,Oeko!FP364)</f>
        <v>1</v>
      </c>
      <c r="AQ364" s="1998">
        <f>IF(Construction!$F$31=Construction!$R$22,Oeko!DD364,Oeko!FQ364)</f>
        <v>1</v>
      </c>
      <c r="AR364" s="1979">
        <f>IF(Construction!$F$31=Construction!$R$22,Oeko!DE364,Oeko!FR364)</f>
        <v>8.0488597659215451</v>
      </c>
      <c r="AS364" s="1979">
        <f>IF(Construction!$F$31=Construction!$R$22,Oeko!DF364,Oeko!FS364)</f>
        <v>8.0488597659215451</v>
      </c>
      <c r="AT364" s="1979">
        <f>IF(Construction!$F$31=Construction!$R$22,Oeko!DG364,Oeko!FT364)</f>
        <v>8.0488597659215451</v>
      </c>
      <c r="AU364" s="1979">
        <f>IF(Construction!$F$31=Construction!$R$22,Oeko!DH364,Oeko!FU364)</f>
        <v>8.0488597659215451</v>
      </c>
      <c r="AV364" s="1979">
        <f>IF(Construction!$F$31=Construction!$R$22,Oeko!DI364,Oeko!FV364)</f>
        <v>8.0488597659215451</v>
      </c>
      <c r="AW364" s="1998">
        <f>IF(Construction!$F$31=Construction!$R$22,Oeko!DJ364,Oeko!FW364)</f>
        <v>8.0329061668367086</v>
      </c>
      <c r="AX364" s="1998">
        <f>IF(Construction!$F$31=Construction!$R$22,Oeko!DK364,Oeko!FX364)</f>
        <v>8.0329061668367086</v>
      </c>
      <c r="AY364" s="1998">
        <f>IF(Construction!$F$31=Construction!$R$22,Oeko!DL364,Oeko!FY364)</f>
        <v>8.0329061668367086</v>
      </c>
      <c r="AZ364" s="1998">
        <f>IF(Construction!$F$31=Construction!$R$22,Oeko!DM364,Oeko!FZ364)</f>
        <v>8.0329061668367086</v>
      </c>
      <c r="BA364" s="1998">
        <f>IF(Construction!$F$31=Construction!$R$22,Oeko!DN364,Oeko!GA364)</f>
        <v>8.0329061668367086</v>
      </c>
      <c r="BB364" s="1979">
        <f>IF(Construction!$F$31=Construction!$R$22,Oeko!DO364,Oeko!GB364)</f>
        <v>0.97975662301212196</v>
      </c>
      <c r="BC364" s="1979">
        <f>IF(Construction!$F$31=Construction!$R$22,Oeko!DP364,Oeko!GC364)</f>
        <v>0.97975662301212196</v>
      </c>
      <c r="BD364" s="1979">
        <f>IF(Construction!$F$31=Construction!$R$22,Oeko!DQ364,Oeko!GD364)</f>
        <v>0.97975662301212196</v>
      </c>
      <c r="BE364" s="1979">
        <f>IF(Construction!$F$31=Construction!$R$22,Oeko!DR364,Oeko!GE364)</f>
        <v>0.97975662301212196</v>
      </c>
      <c r="BF364" s="1979">
        <f>IF(Construction!$F$31=Construction!$R$22,Oeko!DS364,Oeko!GF364)</f>
        <v>0.97975662301212196</v>
      </c>
      <c r="BG364" s="1998">
        <f>IF(Construction!$F$31=Construction!$R$22,Oeko!DT364,Oeko!GG364)</f>
        <v>0.97614876347816082</v>
      </c>
      <c r="BH364" s="1998">
        <f>IF(Construction!$F$31=Construction!$R$22,Oeko!DU364,Oeko!GH364)</f>
        <v>0.97614876347816082</v>
      </c>
      <c r="BI364" s="1998">
        <f>IF(Construction!$F$31=Construction!$R$22,Oeko!DV364,Oeko!GI364)</f>
        <v>0.97614876347816082</v>
      </c>
      <c r="BJ364" s="1998">
        <f>IF(Construction!$F$31=Construction!$R$22,Oeko!DW364,Oeko!GJ364)</f>
        <v>0.97614876347816082</v>
      </c>
      <c r="BK364" s="2026">
        <f>IF(Construction!$F$31=Construction!$R$22,Oeko!DX364,Oeko!GK364)</f>
        <v>0.97614876347816082</v>
      </c>
      <c r="BN364" s="2022"/>
      <c r="BO364" s="2">
        <v>19</v>
      </c>
      <c r="BP364" s="2" t="str">
        <f>CONCATENATE($U$8," ",GV$13)</f>
        <v xml:space="preserve">Proportion de fenêtres </v>
      </c>
      <c r="BQ364" s="1979">
        <v>1</v>
      </c>
      <c r="BR364" s="1979">
        <v>1</v>
      </c>
      <c r="BS364" s="1979">
        <v>1</v>
      </c>
      <c r="BT364" s="1979">
        <v>1</v>
      </c>
      <c r="BU364" s="1979">
        <v>1</v>
      </c>
      <c r="BV364" s="1998">
        <v>1</v>
      </c>
      <c r="BW364" s="1998">
        <v>1</v>
      </c>
      <c r="BX364" s="1998">
        <v>1</v>
      </c>
      <c r="BY364" s="1998">
        <v>1</v>
      </c>
      <c r="BZ364" s="1998">
        <v>1</v>
      </c>
      <c r="CA364" s="1979">
        <v>1</v>
      </c>
      <c r="CB364" s="1979">
        <v>1</v>
      </c>
      <c r="CC364" s="1979">
        <v>1</v>
      </c>
      <c r="CD364" s="1979">
        <v>1</v>
      </c>
      <c r="CE364" s="1979">
        <v>1</v>
      </c>
      <c r="CF364" s="1998">
        <v>1</v>
      </c>
      <c r="CG364" s="1998">
        <v>1</v>
      </c>
      <c r="CH364" s="1998">
        <v>1</v>
      </c>
      <c r="CI364" s="1998">
        <v>1</v>
      </c>
      <c r="CJ364" s="1998">
        <v>1</v>
      </c>
      <c r="CK364" s="1979">
        <v>1</v>
      </c>
      <c r="CL364" s="1979">
        <v>1</v>
      </c>
      <c r="CM364" s="1979">
        <v>1</v>
      </c>
      <c r="CN364" s="1979">
        <v>1</v>
      </c>
      <c r="CO364" s="1979">
        <v>1</v>
      </c>
      <c r="CP364" s="1998">
        <v>1</v>
      </c>
      <c r="CQ364" s="1998">
        <v>1</v>
      </c>
      <c r="CR364" s="1998">
        <v>1</v>
      </c>
      <c r="CS364" s="1998">
        <v>1</v>
      </c>
      <c r="CT364" s="1998">
        <v>1</v>
      </c>
      <c r="CU364" s="1979">
        <v>1</v>
      </c>
      <c r="CV364" s="1979">
        <v>1</v>
      </c>
      <c r="CW364" s="1979">
        <v>1</v>
      </c>
      <c r="CX364" s="1979">
        <v>1</v>
      </c>
      <c r="CY364" s="1979">
        <v>1</v>
      </c>
      <c r="CZ364" s="1998">
        <v>1</v>
      </c>
      <c r="DA364" s="1998">
        <v>1</v>
      </c>
      <c r="DB364" s="1998">
        <v>1</v>
      </c>
      <c r="DC364" s="1998">
        <v>1</v>
      </c>
      <c r="DD364" s="1998">
        <v>1</v>
      </c>
      <c r="DE364" s="1979">
        <v>8.0488597659215451</v>
      </c>
      <c r="DF364" s="1979">
        <v>8.0488597659215451</v>
      </c>
      <c r="DG364" s="1979">
        <v>8.0488597659215451</v>
      </c>
      <c r="DH364" s="1979">
        <v>8.0488597659215451</v>
      </c>
      <c r="DI364" s="1979">
        <v>8.0488597659215451</v>
      </c>
      <c r="DJ364" s="1998">
        <v>8.0329061668367086</v>
      </c>
      <c r="DK364" s="1998">
        <v>8.0329061668367086</v>
      </c>
      <c r="DL364" s="1998">
        <v>8.0329061668367086</v>
      </c>
      <c r="DM364" s="1998">
        <v>8.0329061668367086</v>
      </c>
      <c r="DN364" s="1998">
        <v>8.0329061668367086</v>
      </c>
      <c r="DO364" s="1979">
        <v>0.97975662301212196</v>
      </c>
      <c r="DP364" s="1979">
        <v>0.97975662301212196</v>
      </c>
      <c r="DQ364" s="1979">
        <v>0.97975662301212196</v>
      </c>
      <c r="DR364" s="1979">
        <v>0.97975662301212196</v>
      </c>
      <c r="DS364" s="1979">
        <v>0.97975662301212196</v>
      </c>
      <c r="DT364" s="1998">
        <v>0.97614876347816082</v>
      </c>
      <c r="DU364" s="1998">
        <v>0.97614876347816082</v>
      </c>
      <c r="DV364" s="1998">
        <v>0.97614876347816082</v>
      </c>
      <c r="DW364" s="1998">
        <v>0.97614876347816082</v>
      </c>
      <c r="DX364" s="2026">
        <v>0.97614876347816082</v>
      </c>
      <c r="EA364" s="2022"/>
      <c r="EB364" s="2">
        <v>19</v>
      </c>
      <c r="EC364" s="2" t="str">
        <f>CONCATENATE($U$8," ",JI$13)</f>
        <v xml:space="preserve">Proportion de fenêtres </v>
      </c>
      <c r="ED364" s="1979">
        <v>1.3605609674202821</v>
      </c>
      <c r="EE364" s="1979">
        <v>1.3805913069290729</v>
      </c>
      <c r="EF364" s="1979">
        <v>1.4147607096205406</v>
      </c>
      <c r="EG364" s="1979">
        <v>1.4559996439033458</v>
      </c>
      <c r="EH364" s="1979">
        <v>1.4889907913295906</v>
      </c>
      <c r="EI364" s="1998">
        <v>2.0966679740137137</v>
      </c>
      <c r="EJ364" s="1998">
        <v>2.1461546951530805</v>
      </c>
      <c r="EK364" s="1998">
        <v>2.2097804794751235</v>
      </c>
      <c r="EL364" s="1998">
        <v>2.280475795388504</v>
      </c>
      <c r="EM364" s="1998">
        <v>2.3016843901625181</v>
      </c>
      <c r="EN364" s="1979">
        <v>1.4337071065592959</v>
      </c>
      <c r="EO364" s="1979">
        <v>1.4670348983470329</v>
      </c>
      <c r="EP364" s="1979">
        <v>1.4690547645159866</v>
      </c>
      <c r="EQ364" s="1979">
        <v>1.4710746306849403</v>
      </c>
      <c r="ER364" s="1979">
        <v>1.4730944968538937</v>
      </c>
      <c r="ES364" s="1998">
        <v>1.8379162318633464</v>
      </c>
      <c r="ET364" s="1998">
        <v>1.8661943582286991</v>
      </c>
      <c r="EU364" s="1998">
        <v>1.8732638898200367</v>
      </c>
      <c r="EV364" s="1998">
        <v>1.8803334214113749</v>
      </c>
      <c r="EW364" s="1998">
        <v>1.8874029530027132</v>
      </c>
      <c r="EX364" s="1979">
        <v>1.4662053104562123</v>
      </c>
      <c r="EY364" s="1979">
        <v>1.4987251557763674</v>
      </c>
      <c r="EZ364" s="1979">
        <v>1.5015529684129028</v>
      </c>
      <c r="FA364" s="1979">
        <v>1.5043807810494378</v>
      </c>
      <c r="FB364" s="1979">
        <v>1.5072085936859732</v>
      </c>
      <c r="FC364" s="1998">
        <v>1.6277744053108218</v>
      </c>
      <c r="FD364" s="1998">
        <v>1.6136353421281457</v>
      </c>
      <c r="FE364" s="1998">
        <v>1.6277744053108218</v>
      </c>
      <c r="FF364" s="1998">
        <v>1.6419134684934982</v>
      </c>
      <c r="FG364" s="1998">
        <v>1.6560525316761743</v>
      </c>
      <c r="FH364" s="1979">
        <v>2.3921927569513635</v>
      </c>
      <c r="FI364" s="1979">
        <v>2.3992622885427015</v>
      </c>
      <c r="FJ364" s="1979">
        <v>2.4063318201340396</v>
      </c>
      <c r="FK364" s="1979">
        <v>2.4134013517253781</v>
      </c>
      <c r="FL364" s="1979">
        <v>2.4204708833167157</v>
      </c>
      <c r="FM364" s="1998">
        <v>1.5115041757386145</v>
      </c>
      <c r="FN364" s="1998">
        <v>1.5374257915735208</v>
      </c>
      <c r="FO364" s="1998">
        <v>1.5774864705911036</v>
      </c>
      <c r="FP364" s="1998">
        <v>1.6246166812000238</v>
      </c>
      <c r="FQ364" s="1998">
        <v>1.6552513180958224</v>
      </c>
      <c r="FR364" s="1979">
        <v>18.696584463294087</v>
      </c>
      <c r="FS364" s="1979">
        <v>18.75348613168352</v>
      </c>
      <c r="FT364" s="1979">
        <v>18.810387800072949</v>
      </c>
      <c r="FU364" s="1979">
        <v>18.867289468462388</v>
      </c>
      <c r="FV364" s="1979">
        <v>18.924191136851817</v>
      </c>
      <c r="FW364" s="1998">
        <v>19.033724251273018</v>
      </c>
      <c r="FX364" s="1998">
        <v>19.09051313518972</v>
      </c>
      <c r="FY364" s="1998">
        <v>19.14730201910643</v>
      </c>
      <c r="FZ364" s="1998">
        <v>19.20409090302314</v>
      </c>
      <c r="GA364" s="1998">
        <v>19.260879786939839</v>
      </c>
      <c r="GB364" s="1979">
        <v>1.6775934781314683</v>
      </c>
      <c r="GC364" s="1979">
        <v>1.6845198985296752</v>
      </c>
      <c r="GD364" s="1979">
        <v>1.6914463189278821</v>
      </c>
      <c r="GE364" s="1979">
        <v>1.698372739326089</v>
      </c>
      <c r="GF364" s="1979">
        <v>1.7122255801225028</v>
      </c>
      <c r="GG364" s="1998">
        <v>1.7179970745130155</v>
      </c>
      <c r="GH364" s="1998">
        <v>1.7248979890342699</v>
      </c>
      <c r="GI364" s="1998">
        <v>1.7317989035555246</v>
      </c>
      <c r="GJ364" s="1998">
        <v>1.738699818076779</v>
      </c>
      <c r="GK364" s="2026">
        <v>1.7525016471192878</v>
      </c>
    </row>
    <row r="365" spans="1:193">
      <c r="A365" s="2020"/>
      <c r="B365" s="2">
        <v>20</v>
      </c>
      <c r="C365" s="2" t="str">
        <f>CONCATENATE($U$8," ",EI$14)</f>
        <v xml:space="preserve">Proportion de fenêtres </v>
      </c>
      <c r="D365" s="1979">
        <f>IF(Construction!$F$31=Construction!$R$22,Oeko!BQ365,Oeko!ED365)</f>
        <v>1</v>
      </c>
      <c r="E365" s="1979">
        <f>IF(Construction!$F$31=Construction!$R$22,Oeko!BR365,Oeko!EE365)</f>
        <v>1</v>
      </c>
      <c r="F365" s="1979">
        <f>IF(Construction!$F$31=Construction!$R$22,Oeko!BS365,Oeko!EF365)</f>
        <v>1</v>
      </c>
      <c r="G365" s="1979">
        <f>IF(Construction!$F$31=Construction!$R$22,Oeko!BT365,Oeko!EG365)</f>
        <v>1</v>
      </c>
      <c r="H365" s="1979">
        <f>IF(Construction!$F$31=Construction!$R$22,Oeko!BU365,Oeko!EH365)</f>
        <v>1</v>
      </c>
      <c r="I365" s="1998">
        <f>IF(Construction!$F$31=Construction!$R$22,Oeko!BV365,Oeko!EI365)</f>
        <v>1</v>
      </c>
      <c r="J365" s="1998">
        <f>IF(Construction!$F$31=Construction!$R$22,Oeko!BW365,Oeko!EJ365)</f>
        <v>1</v>
      </c>
      <c r="K365" s="1998">
        <f>IF(Construction!$F$31=Construction!$R$22,Oeko!BX365,Oeko!EK365)</f>
        <v>1</v>
      </c>
      <c r="L365" s="1998">
        <f>IF(Construction!$F$31=Construction!$R$22,Oeko!BY365,Oeko!EL365)</f>
        <v>1</v>
      </c>
      <c r="M365" s="1998">
        <f>IF(Construction!$F$31=Construction!$R$22,Oeko!BZ365,Oeko!EM365)</f>
        <v>1</v>
      </c>
      <c r="N365" s="1979">
        <f>IF(Construction!$F$31=Construction!$R$22,Oeko!CA365,Oeko!EN365)</f>
        <v>1</v>
      </c>
      <c r="O365" s="1979">
        <f>IF(Construction!$F$31=Construction!$R$22,Oeko!CB365,Oeko!EO365)</f>
        <v>1</v>
      </c>
      <c r="P365" s="1979">
        <f>IF(Construction!$F$31=Construction!$R$22,Oeko!CC365,Oeko!EP365)</f>
        <v>1</v>
      </c>
      <c r="Q365" s="1979">
        <f>IF(Construction!$F$31=Construction!$R$22,Oeko!CD365,Oeko!EQ365)</f>
        <v>1</v>
      </c>
      <c r="R365" s="1979">
        <f>IF(Construction!$F$31=Construction!$R$22,Oeko!CE365,Oeko!ER365)</f>
        <v>1</v>
      </c>
      <c r="S365" s="1998">
        <f>IF(Construction!$F$31=Construction!$R$22,Oeko!CF365,Oeko!ES365)</f>
        <v>1</v>
      </c>
      <c r="T365" s="1998">
        <f>IF(Construction!$F$31=Construction!$R$22,Oeko!CG365,Oeko!ET365)</f>
        <v>1</v>
      </c>
      <c r="U365" s="1998">
        <f>IF(Construction!$F$31=Construction!$R$22,Oeko!CH365,Oeko!EU365)</f>
        <v>1</v>
      </c>
      <c r="V365" s="1998">
        <f>IF(Construction!$F$31=Construction!$R$22,Oeko!CI365,Oeko!EV365)</f>
        <v>1</v>
      </c>
      <c r="W365" s="1998">
        <f>IF(Construction!$F$31=Construction!$R$22,Oeko!CJ365,Oeko!EW365)</f>
        <v>1</v>
      </c>
      <c r="X365" s="1979">
        <f>IF(Construction!$F$31=Construction!$R$22,Oeko!CK365,Oeko!EX365)</f>
        <v>1</v>
      </c>
      <c r="Y365" s="1979">
        <f>IF(Construction!$F$31=Construction!$R$22,Oeko!CL365,Oeko!EY365)</f>
        <v>1</v>
      </c>
      <c r="Z365" s="1979">
        <f>IF(Construction!$F$31=Construction!$R$22,Oeko!CM365,Oeko!EZ365)</f>
        <v>1</v>
      </c>
      <c r="AA365" s="1979">
        <f>IF(Construction!$F$31=Construction!$R$22,Oeko!CN365,Oeko!FA365)</f>
        <v>1</v>
      </c>
      <c r="AB365" s="1979">
        <f>IF(Construction!$F$31=Construction!$R$22,Oeko!CO365,Oeko!FB365)</f>
        <v>1</v>
      </c>
      <c r="AC365" s="1998">
        <f>IF(Construction!$F$31=Construction!$R$22,Oeko!CP365,Oeko!FC365)</f>
        <v>1</v>
      </c>
      <c r="AD365" s="1998">
        <f>IF(Construction!$F$31=Construction!$R$22,Oeko!CQ365,Oeko!FD365)</f>
        <v>1</v>
      </c>
      <c r="AE365" s="1998">
        <f>IF(Construction!$F$31=Construction!$R$22,Oeko!CR365,Oeko!FE365)</f>
        <v>1</v>
      </c>
      <c r="AF365" s="1998">
        <f>IF(Construction!$F$31=Construction!$R$22,Oeko!CS365,Oeko!FF365)</f>
        <v>1</v>
      </c>
      <c r="AG365" s="1998">
        <f>IF(Construction!$F$31=Construction!$R$22,Oeko!CT365,Oeko!FG365)</f>
        <v>1</v>
      </c>
      <c r="AH365" s="1979">
        <f>IF(Construction!$F$31=Construction!$R$22,Oeko!CU365,Oeko!FH365)</f>
        <v>1</v>
      </c>
      <c r="AI365" s="1979">
        <f>IF(Construction!$F$31=Construction!$R$22,Oeko!CV365,Oeko!FI365)</f>
        <v>1</v>
      </c>
      <c r="AJ365" s="1979">
        <f>IF(Construction!$F$31=Construction!$R$22,Oeko!CW365,Oeko!FJ365)</f>
        <v>1</v>
      </c>
      <c r="AK365" s="1979">
        <f>IF(Construction!$F$31=Construction!$R$22,Oeko!CX365,Oeko!FK365)</f>
        <v>1</v>
      </c>
      <c r="AL365" s="1979">
        <f>IF(Construction!$F$31=Construction!$R$22,Oeko!CY365,Oeko!FL365)</f>
        <v>1</v>
      </c>
      <c r="AM365" s="1998">
        <f>IF(Construction!$F$31=Construction!$R$22,Oeko!CZ365,Oeko!FM365)</f>
        <v>1</v>
      </c>
      <c r="AN365" s="1998">
        <f>IF(Construction!$F$31=Construction!$R$22,Oeko!DA365,Oeko!FN365)</f>
        <v>1</v>
      </c>
      <c r="AO365" s="1998">
        <f>IF(Construction!$F$31=Construction!$R$22,Oeko!DB365,Oeko!FO365)</f>
        <v>1</v>
      </c>
      <c r="AP365" s="1998">
        <f>IF(Construction!$F$31=Construction!$R$22,Oeko!DC365,Oeko!FP365)</f>
        <v>1</v>
      </c>
      <c r="AQ365" s="1998">
        <f>IF(Construction!$F$31=Construction!$R$22,Oeko!DD365,Oeko!FQ365)</f>
        <v>1</v>
      </c>
      <c r="AR365" s="1979">
        <f>IF(Construction!$F$31=Construction!$R$22,Oeko!DE365,Oeko!FR365)</f>
        <v>8.0488597659215451</v>
      </c>
      <c r="AS365" s="1979">
        <f>IF(Construction!$F$31=Construction!$R$22,Oeko!DF365,Oeko!FS365)</f>
        <v>8.0488597659215451</v>
      </c>
      <c r="AT365" s="1979">
        <f>IF(Construction!$F$31=Construction!$R$22,Oeko!DG365,Oeko!FT365)</f>
        <v>8.0488597659215451</v>
      </c>
      <c r="AU365" s="1979">
        <f>IF(Construction!$F$31=Construction!$R$22,Oeko!DH365,Oeko!FU365)</f>
        <v>8.0488597659215451</v>
      </c>
      <c r="AV365" s="1979">
        <f>IF(Construction!$F$31=Construction!$R$22,Oeko!DI365,Oeko!FV365)</f>
        <v>8.0488597659215451</v>
      </c>
      <c r="AW365" s="1998">
        <f>IF(Construction!$F$31=Construction!$R$22,Oeko!DJ365,Oeko!FW365)</f>
        <v>8.0329061668367086</v>
      </c>
      <c r="AX365" s="1998">
        <f>IF(Construction!$F$31=Construction!$R$22,Oeko!DK365,Oeko!FX365)</f>
        <v>8.0329061668367086</v>
      </c>
      <c r="AY365" s="1998">
        <f>IF(Construction!$F$31=Construction!$R$22,Oeko!DL365,Oeko!FY365)</f>
        <v>8.0329061668367086</v>
      </c>
      <c r="AZ365" s="1998">
        <f>IF(Construction!$F$31=Construction!$R$22,Oeko!DM365,Oeko!FZ365)</f>
        <v>8.0329061668367086</v>
      </c>
      <c r="BA365" s="1998">
        <f>IF(Construction!$F$31=Construction!$R$22,Oeko!DN365,Oeko!GA365)</f>
        <v>8.0329061668367086</v>
      </c>
      <c r="BB365" s="1979">
        <f>IF(Construction!$F$31=Construction!$R$22,Oeko!DO365,Oeko!GB365)</f>
        <v>0.97975662301212196</v>
      </c>
      <c r="BC365" s="1979">
        <f>IF(Construction!$F$31=Construction!$R$22,Oeko!DP365,Oeko!GC365)</f>
        <v>0.97975662301212196</v>
      </c>
      <c r="BD365" s="1979">
        <f>IF(Construction!$F$31=Construction!$R$22,Oeko!DQ365,Oeko!GD365)</f>
        <v>0.97975662301212196</v>
      </c>
      <c r="BE365" s="1979">
        <f>IF(Construction!$F$31=Construction!$R$22,Oeko!DR365,Oeko!GE365)</f>
        <v>0.97975662301212196</v>
      </c>
      <c r="BF365" s="1979">
        <f>IF(Construction!$F$31=Construction!$R$22,Oeko!DS365,Oeko!GF365)</f>
        <v>0.97975662301212196</v>
      </c>
      <c r="BG365" s="1998">
        <f>IF(Construction!$F$31=Construction!$R$22,Oeko!DT365,Oeko!GG365)</f>
        <v>0.97614876347816082</v>
      </c>
      <c r="BH365" s="1998">
        <f>IF(Construction!$F$31=Construction!$R$22,Oeko!DU365,Oeko!GH365)</f>
        <v>0.97614876347816082</v>
      </c>
      <c r="BI365" s="1998">
        <f>IF(Construction!$F$31=Construction!$R$22,Oeko!DV365,Oeko!GI365)</f>
        <v>0.97614876347816082</v>
      </c>
      <c r="BJ365" s="1998">
        <f>IF(Construction!$F$31=Construction!$R$22,Oeko!DW365,Oeko!GJ365)</f>
        <v>0.97614876347816082</v>
      </c>
      <c r="BK365" s="2026">
        <f>IF(Construction!$F$31=Construction!$R$22,Oeko!DX365,Oeko!GK365)</f>
        <v>0.97614876347816082</v>
      </c>
      <c r="BN365" s="2022"/>
      <c r="BO365" s="2">
        <v>20</v>
      </c>
      <c r="BP365" s="2" t="str">
        <f>CONCATENATE($U$8," ",GV$14)</f>
        <v xml:space="preserve">Proportion de fenêtres </v>
      </c>
      <c r="BQ365" s="1979">
        <v>1</v>
      </c>
      <c r="BR365" s="1979">
        <v>1</v>
      </c>
      <c r="BS365" s="1979">
        <v>1</v>
      </c>
      <c r="BT365" s="1979">
        <v>1</v>
      </c>
      <c r="BU365" s="1979">
        <v>1</v>
      </c>
      <c r="BV365" s="1998">
        <v>1</v>
      </c>
      <c r="BW365" s="1998">
        <v>1</v>
      </c>
      <c r="BX365" s="1998">
        <v>1</v>
      </c>
      <c r="BY365" s="1998">
        <v>1</v>
      </c>
      <c r="BZ365" s="1998">
        <v>1</v>
      </c>
      <c r="CA365" s="1979">
        <v>1</v>
      </c>
      <c r="CB365" s="1979">
        <v>1</v>
      </c>
      <c r="CC365" s="1979">
        <v>1</v>
      </c>
      <c r="CD365" s="1979">
        <v>1</v>
      </c>
      <c r="CE365" s="1979">
        <v>1</v>
      </c>
      <c r="CF365" s="1998">
        <v>1</v>
      </c>
      <c r="CG365" s="1998">
        <v>1</v>
      </c>
      <c r="CH365" s="1998">
        <v>1</v>
      </c>
      <c r="CI365" s="1998">
        <v>1</v>
      </c>
      <c r="CJ365" s="1998">
        <v>1</v>
      </c>
      <c r="CK365" s="1979">
        <v>1</v>
      </c>
      <c r="CL365" s="1979">
        <v>1</v>
      </c>
      <c r="CM365" s="1979">
        <v>1</v>
      </c>
      <c r="CN365" s="1979">
        <v>1</v>
      </c>
      <c r="CO365" s="1979">
        <v>1</v>
      </c>
      <c r="CP365" s="1998">
        <v>1</v>
      </c>
      <c r="CQ365" s="1998">
        <v>1</v>
      </c>
      <c r="CR365" s="1998">
        <v>1</v>
      </c>
      <c r="CS365" s="1998">
        <v>1</v>
      </c>
      <c r="CT365" s="1998">
        <v>1</v>
      </c>
      <c r="CU365" s="1979">
        <v>1</v>
      </c>
      <c r="CV365" s="1979">
        <v>1</v>
      </c>
      <c r="CW365" s="1979">
        <v>1</v>
      </c>
      <c r="CX365" s="1979">
        <v>1</v>
      </c>
      <c r="CY365" s="1979">
        <v>1</v>
      </c>
      <c r="CZ365" s="1998">
        <v>1</v>
      </c>
      <c r="DA365" s="1998">
        <v>1</v>
      </c>
      <c r="DB365" s="1998">
        <v>1</v>
      </c>
      <c r="DC365" s="1998">
        <v>1</v>
      </c>
      <c r="DD365" s="1998">
        <v>1</v>
      </c>
      <c r="DE365" s="1979">
        <v>8.0488597659215451</v>
      </c>
      <c r="DF365" s="1979">
        <v>8.0488597659215451</v>
      </c>
      <c r="DG365" s="1979">
        <v>8.0488597659215451</v>
      </c>
      <c r="DH365" s="1979">
        <v>8.0488597659215451</v>
      </c>
      <c r="DI365" s="1979">
        <v>8.0488597659215451</v>
      </c>
      <c r="DJ365" s="1998">
        <v>8.0329061668367086</v>
      </c>
      <c r="DK365" s="1998">
        <v>8.0329061668367086</v>
      </c>
      <c r="DL365" s="1998">
        <v>8.0329061668367086</v>
      </c>
      <c r="DM365" s="1998">
        <v>8.0329061668367086</v>
      </c>
      <c r="DN365" s="1998">
        <v>8.0329061668367086</v>
      </c>
      <c r="DO365" s="1979">
        <v>0.97975662301212196</v>
      </c>
      <c r="DP365" s="1979">
        <v>0.97975662301212196</v>
      </c>
      <c r="DQ365" s="1979">
        <v>0.97975662301212196</v>
      </c>
      <c r="DR365" s="1979">
        <v>0.97975662301212196</v>
      </c>
      <c r="DS365" s="1979">
        <v>0.97975662301212196</v>
      </c>
      <c r="DT365" s="1998">
        <v>0.97614876347816082</v>
      </c>
      <c r="DU365" s="1998">
        <v>0.97614876347816082</v>
      </c>
      <c r="DV365" s="1998">
        <v>0.97614876347816082</v>
      </c>
      <c r="DW365" s="1998">
        <v>0.97614876347816082</v>
      </c>
      <c r="DX365" s="2026">
        <v>0.97614876347816082</v>
      </c>
      <c r="EA365" s="2022"/>
      <c r="EB365" s="2">
        <v>20</v>
      </c>
      <c r="EC365" s="2" t="str">
        <f>CONCATENATE($U$8," ",JI$14)</f>
        <v xml:space="preserve">Proportion de fenêtres </v>
      </c>
      <c r="ED365" s="1979">
        <v>1.3605609674202821</v>
      </c>
      <c r="EE365" s="1979">
        <v>1.3805913069290729</v>
      </c>
      <c r="EF365" s="1979">
        <v>1.4147607096205406</v>
      </c>
      <c r="EG365" s="1979">
        <v>1.4559996439033458</v>
      </c>
      <c r="EH365" s="1979">
        <v>1.4889907913295906</v>
      </c>
      <c r="EI365" s="1998">
        <v>2.0966679740137137</v>
      </c>
      <c r="EJ365" s="1998">
        <v>2.1461546951530805</v>
      </c>
      <c r="EK365" s="1998">
        <v>2.2097804794751235</v>
      </c>
      <c r="EL365" s="1998">
        <v>2.280475795388504</v>
      </c>
      <c r="EM365" s="1998">
        <v>2.3016843901625181</v>
      </c>
      <c r="EN365" s="1979">
        <v>1.4337071065592959</v>
      </c>
      <c r="EO365" s="1979">
        <v>1.4670348983470329</v>
      </c>
      <c r="EP365" s="1979">
        <v>1.4690547645159866</v>
      </c>
      <c r="EQ365" s="1979">
        <v>1.4710746306849403</v>
      </c>
      <c r="ER365" s="1979">
        <v>1.4730944968538937</v>
      </c>
      <c r="ES365" s="1998">
        <v>1.8379162318633464</v>
      </c>
      <c r="ET365" s="1998">
        <v>1.8661943582286991</v>
      </c>
      <c r="EU365" s="1998">
        <v>1.8732638898200367</v>
      </c>
      <c r="EV365" s="1998">
        <v>1.8803334214113749</v>
      </c>
      <c r="EW365" s="1998">
        <v>1.8874029530027132</v>
      </c>
      <c r="EX365" s="1979">
        <v>1.4662053104562123</v>
      </c>
      <c r="EY365" s="1979">
        <v>1.4987251557763674</v>
      </c>
      <c r="EZ365" s="1979">
        <v>1.5015529684129028</v>
      </c>
      <c r="FA365" s="1979">
        <v>1.5043807810494378</v>
      </c>
      <c r="FB365" s="1979">
        <v>1.5072085936859732</v>
      </c>
      <c r="FC365" s="1998">
        <v>1.6277744053108218</v>
      </c>
      <c r="FD365" s="1998">
        <v>1.6136353421281457</v>
      </c>
      <c r="FE365" s="1998">
        <v>1.6277744053108218</v>
      </c>
      <c r="FF365" s="1998">
        <v>1.6419134684934982</v>
      </c>
      <c r="FG365" s="1998">
        <v>1.6560525316761743</v>
      </c>
      <c r="FH365" s="1979">
        <v>2.3921927569513635</v>
      </c>
      <c r="FI365" s="1979">
        <v>2.3992622885427015</v>
      </c>
      <c r="FJ365" s="1979">
        <v>2.4063318201340396</v>
      </c>
      <c r="FK365" s="1979">
        <v>2.4134013517253781</v>
      </c>
      <c r="FL365" s="1979">
        <v>2.4204708833167157</v>
      </c>
      <c r="FM365" s="1998">
        <v>1.5115041757386145</v>
      </c>
      <c r="FN365" s="1998">
        <v>1.5374257915735208</v>
      </c>
      <c r="FO365" s="1998">
        <v>1.5774864705911036</v>
      </c>
      <c r="FP365" s="1998">
        <v>1.6246166812000238</v>
      </c>
      <c r="FQ365" s="1998">
        <v>1.6552513180958224</v>
      </c>
      <c r="FR365" s="1979">
        <v>18.696584463294087</v>
      </c>
      <c r="FS365" s="1979">
        <v>18.75348613168352</v>
      </c>
      <c r="FT365" s="1979">
        <v>18.810387800072949</v>
      </c>
      <c r="FU365" s="1979">
        <v>18.867289468462388</v>
      </c>
      <c r="FV365" s="1979">
        <v>18.924191136851817</v>
      </c>
      <c r="FW365" s="1998">
        <v>19.033724251273018</v>
      </c>
      <c r="FX365" s="1998">
        <v>19.09051313518972</v>
      </c>
      <c r="FY365" s="1998">
        <v>19.14730201910643</v>
      </c>
      <c r="FZ365" s="1998">
        <v>19.20409090302314</v>
      </c>
      <c r="GA365" s="1998">
        <v>19.260879786939839</v>
      </c>
      <c r="GB365" s="1979">
        <v>1.6775934781314683</v>
      </c>
      <c r="GC365" s="1979">
        <v>1.6845198985296752</v>
      </c>
      <c r="GD365" s="1979">
        <v>1.6914463189278821</v>
      </c>
      <c r="GE365" s="1979">
        <v>1.698372739326089</v>
      </c>
      <c r="GF365" s="1979">
        <v>1.7122255801225028</v>
      </c>
      <c r="GG365" s="1998">
        <v>1.7179970745130155</v>
      </c>
      <c r="GH365" s="1998">
        <v>1.7248979890342699</v>
      </c>
      <c r="GI365" s="1998">
        <v>1.7317989035555246</v>
      </c>
      <c r="GJ365" s="1998">
        <v>1.738699818076779</v>
      </c>
      <c r="GK365" s="2026">
        <v>1.7525016471192878</v>
      </c>
    </row>
    <row r="366" spans="1:193">
      <c r="A366" s="2020"/>
      <c r="B366" s="2">
        <v>21</v>
      </c>
      <c r="C366" s="2" t="str">
        <f>CONCATENATE($U$8," ",EI$15)</f>
        <v xml:space="preserve">Proportion de fenêtres </v>
      </c>
      <c r="D366" s="1979">
        <f>IF(Construction!$F$31=Construction!$R$22,Oeko!BQ366,Oeko!ED366)</f>
        <v>1</v>
      </c>
      <c r="E366" s="1979">
        <f>IF(Construction!$F$31=Construction!$R$22,Oeko!BR366,Oeko!EE366)</f>
        <v>1</v>
      </c>
      <c r="F366" s="1979">
        <f>IF(Construction!$F$31=Construction!$R$22,Oeko!BS366,Oeko!EF366)</f>
        <v>1</v>
      </c>
      <c r="G366" s="1979">
        <f>IF(Construction!$F$31=Construction!$R$22,Oeko!BT366,Oeko!EG366)</f>
        <v>1</v>
      </c>
      <c r="H366" s="1979">
        <f>IF(Construction!$F$31=Construction!$R$22,Oeko!BU366,Oeko!EH366)</f>
        <v>1</v>
      </c>
      <c r="I366" s="1998">
        <f>IF(Construction!$F$31=Construction!$R$22,Oeko!BV366,Oeko!EI366)</f>
        <v>1</v>
      </c>
      <c r="J366" s="1998">
        <f>IF(Construction!$F$31=Construction!$R$22,Oeko!BW366,Oeko!EJ366)</f>
        <v>1</v>
      </c>
      <c r="K366" s="1998">
        <f>IF(Construction!$F$31=Construction!$R$22,Oeko!BX366,Oeko!EK366)</f>
        <v>1</v>
      </c>
      <c r="L366" s="1998">
        <f>IF(Construction!$F$31=Construction!$R$22,Oeko!BY366,Oeko!EL366)</f>
        <v>1</v>
      </c>
      <c r="M366" s="1998">
        <f>IF(Construction!$F$31=Construction!$R$22,Oeko!BZ366,Oeko!EM366)</f>
        <v>1</v>
      </c>
      <c r="N366" s="1979">
        <f>IF(Construction!$F$31=Construction!$R$22,Oeko!CA366,Oeko!EN366)</f>
        <v>1</v>
      </c>
      <c r="O366" s="1979">
        <f>IF(Construction!$F$31=Construction!$R$22,Oeko!CB366,Oeko!EO366)</f>
        <v>1</v>
      </c>
      <c r="P366" s="1979">
        <f>IF(Construction!$F$31=Construction!$R$22,Oeko!CC366,Oeko!EP366)</f>
        <v>1</v>
      </c>
      <c r="Q366" s="1979">
        <f>IF(Construction!$F$31=Construction!$R$22,Oeko!CD366,Oeko!EQ366)</f>
        <v>1</v>
      </c>
      <c r="R366" s="1979">
        <f>IF(Construction!$F$31=Construction!$R$22,Oeko!CE366,Oeko!ER366)</f>
        <v>1</v>
      </c>
      <c r="S366" s="1998">
        <f>IF(Construction!$F$31=Construction!$R$22,Oeko!CF366,Oeko!ES366)</f>
        <v>1</v>
      </c>
      <c r="T366" s="1998">
        <f>IF(Construction!$F$31=Construction!$R$22,Oeko!CG366,Oeko!ET366)</f>
        <v>1</v>
      </c>
      <c r="U366" s="1998">
        <f>IF(Construction!$F$31=Construction!$R$22,Oeko!CH366,Oeko!EU366)</f>
        <v>1</v>
      </c>
      <c r="V366" s="1998">
        <f>IF(Construction!$F$31=Construction!$R$22,Oeko!CI366,Oeko!EV366)</f>
        <v>1</v>
      </c>
      <c r="W366" s="1998">
        <f>IF(Construction!$F$31=Construction!$R$22,Oeko!CJ366,Oeko!EW366)</f>
        <v>1</v>
      </c>
      <c r="X366" s="1979">
        <f>IF(Construction!$F$31=Construction!$R$22,Oeko!CK366,Oeko!EX366)</f>
        <v>1</v>
      </c>
      <c r="Y366" s="1979">
        <f>IF(Construction!$F$31=Construction!$R$22,Oeko!CL366,Oeko!EY366)</f>
        <v>1</v>
      </c>
      <c r="Z366" s="1979">
        <f>IF(Construction!$F$31=Construction!$R$22,Oeko!CM366,Oeko!EZ366)</f>
        <v>1</v>
      </c>
      <c r="AA366" s="1979">
        <f>IF(Construction!$F$31=Construction!$R$22,Oeko!CN366,Oeko!FA366)</f>
        <v>1</v>
      </c>
      <c r="AB366" s="1979">
        <f>IF(Construction!$F$31=Construction!$R$22,Oeko!CO366,Oeko!FB366)</f>
        <v>1</v>
      </c>
      <c r="AC366" s="1998">
        <f>IF(Construction!$F$31=Construction!$R$22,Oeko!CP366,Oeko!FC366)</f>
        <v>1</v>
      </c>
      <c r="AD366" s="1998">
        <f>IF(Construction!$F$31=Construction!$R$22,Oeko!CQ366,Oeko!FD366)</f>
        <v>1</v>
      </c>
      <c r="AE366" s="1998">
        <f>IF(Construction!$F$31=Construction!$R$22,Oeko!CR366,Oeko!FE366)</f>
        <v>1</v>
      </c>
      <c r="AF366" s="1998">
        <f>IF(Construction!$F$31=Construction!$R$22,Oeko!CS366,Oeko!FF366)</f>
        <v>1</v>
      </c>
      <c r="AG366" s="1998">
        <f>IF(Construction!$F$31=Construction!$R$22,Oeko!CT366,Oeko!FG366)</f>
        <v>1</v>
      </c>
      <c r="AH366" s="1979">
        <f>IF(Construction!$F$31=Construction!$R$22,Oeko!CU366,Oeko!FH366)</f>
        <v>1</v>
      </c>
      <c r="AI366" s="1979">
        <f>IF(Construction!$F$31=Construction!$R$22,Oeko!CV366,Oeko!FI366)</f>
        <v>1</v>
      </c>
      <c r="AJ366" s="1979">
        <f>IF(Construction!$F$31=Construction!$R$22,Oeko!CW366,Oeko!FJ366)</f>
        <v>1</v>
      </c>
      <c r="AK366" s="1979">
        <f>IF(Construction!$F$31=Construction!$R$22,Oeko!CX366,Oeko!FK366)</f>
        <v>1</v>
      </c>
      <c r="AL366" s="1979">
        <f>IF(Construction!$F$31=Construction!$R$22,Oeko!CY366,Oeko!FL366)</f>
        <v>1</v>
      </c>
      <c r="AM366" s="1998">
        <f>IF(Construction!$F$31=Construction!$R$22,Oeko!CZ366,Oeko!FM366)</f>
        <v>1</v>
      </c>
      <c r="AN366" s="1998">
        <f>IF(Construction!$F$31=Construction!$R$22,Oeko!DA366,Oeko!FN366)</f>
        <v>1</v>
      </c>
      <c r="AO366" s="1998">
        <f>IF(Construction!$F$31=Construction!$R$22,Oeko!DB366,Oeko!FO366)</f>
        <v>1</v>
      </c>
      <c r="AP366" s="1998">
        <f>IF(Construction!$F$31=Construction!$R$22,Oeko!DC366,Oeko!FP366)</f>
        <v>1</v>
      </c>
      <c r="AQ366" s="1998">
        <f>IF(Construction!$F$31=Construction!$R$22,Oeko!DD366,Oeko!FQ366)</f>
        <v>1</v>
      </c>
      <c r="AR366" s="1979">
        <f>IF(Construction!$F$31=Construction!$R$22,Oeko!DE366,Oeko!FR366)</f>
        <v>8.0488597659215451</v>
      </c>
      <c r="AS366" s="1979">
        <f>IF(Construction!$F$31=Construction!$R$22,Oeko!DF366,Oeko!FS366)</f>
        <v>8.0488597659215451</v>
      </c>
      <c r="AT366" s="1979">
        <f>IF(Construction!$F$31=Construction!$R$22,Oeko!DG366,Oeko!FT366)</f>
        <v>8.0488597659215451</v>
      </c>
      <c r="AU366" s="1979">
        <f>IF(Construction!$F$31=Construction!$R$22,Oeko!DH366,Oeko!FU366)</f>
        <v>8.0488597659215451</v>
      </c>
      <c r="AV366" s="1979">
        <f>IF(Construction!$F$31=Construction!$R$22,Oeko!DI366,Oeko!FV366)</f>
        <v>8.0488597659215451</v>
      </c>
      <c r="AW366" s="1998">
        <f>IF(Construction!$F$31=Construction!$R$22,Oeko!DJ366,Oeko!FW366)</f>
        <v>8.0329061668367086</v>
      </c>
      <c r="AX366" s="1998">
        <f>IF(Construction!$F$31=Construction!$R$22,Oeko!DK366,Oeko!FX366)</f>
        <v>8.0329061668367086</v>
      </c>
      <c r="AY366" s="1998">
        <f>IF(Construction!$F$31=Construction!$R$22,Oeko!DL366,Oeko!FY366)</f>
        <v>8.0329061668367086</v>
      </c>
      <c r="AZ366" s="1998">
        <f>IF(Construction!$F$31=Construction!$R$22,Oeko!DM366,Oeko!FZ366)</f>
        <v>8.0329061668367086</v>
      </c>
      <c r="BA366" s="1998">
        <f>IF(Construction!$F$31=Construction!$R$22,Oeko!DN366,Oeko!GA366)</f>
        <v>8.0329061668367086</v>
      </c>
      <c r="BB366" s="1979">
        <f>IF(Construction!$F$31=Construction!$R$22,Oeko!DO366,Oeko!GB366)</f>
        <v>0.97975662301212196</v>
      </c>
      <c r="BC366" s="1979">
        <f>IF(Construction!$F$31=Construction!$R$22,Oeko!DP366,Oeko!GC366)</f>
        <v>0.97975662301212196</v>
      </c>
      <c r="BD366" s="1979">
        <f>IF(Construction!$F$31=Construction!$R$22,Oeko!DQ366,Oeko!GD366)</f>
        <v>0.97975662301212196</v>
      </c>
      <c r="BE366" s="1979">
        <f>IF(Construction!$F$31=Construction!$R$22,Oeko!DR366,Oeko!GE366)</f>
        <v>0.97975662301212196</v>
      </c>
      <c r="BF366" s="1979">
        <f>IF(Construction!$F$31=Construction!$R$22,Oeko!DS366,Oeko!GF366)</f>
        <v>0.97975662301212196</v>
      </c>
      <c r="BG366" s="1998">
        <f>IF(Construction!$F$31=Construction!$R$22,Oeko!DT366,Oeko!GG366)</f>
        <v>0.97614876347816082</v>
      </c>
      <c r="BH366" s="1998">
        <f>IF(Construction!$F$31=Construction!$R$22,Oeko!DU366,Oeko!GH366)</f>
        <v>0.97614876347816082</v>
      </c>
      <c r="BI366" s="1998">
        <f>IF(Construction!$F$31=Construction!$R$22,Oeko!DV366,Oeko!GI366)</f>
        <v>0.97614876347816082</v>
      </c>
      <c r="BJ366" s="1998">
        <f>IF(Construction!$F$31=Construction!$R$22,Oeko!DW366,Oeko!GJ366)</f>
        <v>0.97614876347816082</v>
      </c>
      <c r="BK366" s="2026">
        <f>IF(Construction!$F$31=Construction!$R$22,Oeko!DX366,Oeko!GK366)</f>
        <v>0.97614876347816082</v>
      </c>
      <c r="BN366" s="2022"/>
      <c r="BO366" s="2">
        <v>21</v>
      </c>
      <c r="BP366" s="2" t="str">
        <f>CONCATENATE($U$8," ",GV$15)</f>
        <v xml:space="preserve">Proportion de fenêtres </v>
      </c>
      <c r="BQ366" s="1979">
        <v>1</v>
      </c>
      <c r="BR366" s="1979">
        <v>1</v>
      </c>
      <c r="BS366" s="1979">
        <v>1</v>
      </c>
      <c r="BT366" s="1979">
        <v>1</v>
      </c>
      <c r="BU366" s="1979">
        <v>1</v>
      </c>
      <c r="BV366" s="1998">
        <v>1</v>
      </c>
      <c r="BW366" s="1998">
        <v>1</v>
      </c>
      <c r="BX366" s="1998">
        <v>1</v>
      </c>
      <c r="BY366" s="1998">
        <v>1</v>
      </c>
      <c r="BZ366" s="1998">
        <v>1</v>
      </c>
      <c r="CA366" s="1979">
        <v>1</v>
      </c>
      <c r="CB366" s="1979">
        <v>1</v>
      </c>
      <c r="CC366" s="1979">
        <v>1</v>
      </c>
      <c r="CD366" s="1979">
        <v>1</v>
      </c>
      <c r="CE366" s="1979">
        <v>1</v>
      </c>
      <c r="CF366" s="1998">
        <v>1</v>
      </c>
      <c r="CG366" s="1998">
        <v>1</v>
      </c>
      <c r="CH366" s="1998">
        <v>1</v>
      </c>
      <c r="CI366" s="1998">
        <v>1</v>
      </c>
      <c r="CJ366" s="1998">
        <v>1</v>
      </c>
      <c r="CK366" s="1979">
        <v>1</v>
      </c>
      <c r="CL366" s="1979">
        <v>1</v>
      </c>
      <c r="CM366" s="1979">
        <v>1</v>
      </c>
      <c r="CN366" s="1979">
        <v>1</v>
      </c>
      <c r="CO366" s="1979">
        <v>1</v>
      </c>
      <c r="CP366" s="1998">
        <v>1</v>
      </c>
      <c r="CQ366" s="1998">
        <v>1</v>
      </c>
      <c r="CR366" s="1998">
        <v>1</v>
      </c>
      <c r="CS366" s="1998">
        <v>1</v>
      </c>
      <c r="CT366" s="1998">
        <v>1</v>
      </c>
      <c r="CU366" s="1979">
        <v>1</v>
      </c>
      <c r="CV366" s="1979">
        <v>1</v>
      </c>
      <c r="CW366" s="1979">
        <v>1</v>
      </c>
      <c r="CX366" s="1979">
        <v>1</v>
      </c>
      <c r="CY366" s="1979">
        <v>1</v>
      </c>
      <c r="CZ366" s="1998">
        <v>1</v>
      </c>
      <c r="DA366" s="1998">
        <v>1</v>
      </c>
      <c r="DB366" s="1998">
        <v>1</v>
      </c>
      <c r="DC366" s="1998">
        <v>1</v>
      </c>
      <c r="DD366" s="1998">
        <v>1</v>
      </c>
      <c r="DE366" s="1979">
        <v>8.0488597659215451</v>
      </c>
      <c r="DF366" s="1979">
        <v>8.0488597659215451</v>
      </c>
      <c r="DG366" s="1979">
        <v>8.0488597659215451</v>
      </c>
      <c r="DH366" s="1979">
        <v>8.0488597659215451</v>
      </c>
      <c r="DI366" s="1979">
        <v>8.0488597659215451</v>
      </c>
      <c r="DJ366" s="1998">
        <v>8.0329061668367086</v>
      </c>
      <c r="DK366" s="1998">
        <v>8.0329061668367086</v>
      </c>
      <c r="DL366" s="1998">
        <v>8.0329061668367086</v>
      </c>
      <c r="DM366" s="1998">
        <v>8.0329061668367086</v>
      </c>
      <c r="DN366" s="1998">
        <v>8.0329061668367086</v>
      </c>
      <c r="DO366" s="1979">
        <v>0.97975662301212196</v>
      </c>
      <c r="DP366" s="1979">
        <v>0.97975662301212196</v>
      </c>
      <c r="DQ366" s="1979">
        <v>0.97975662301212196</v>
      </c>
      <c r="DR366" s="1979">
        <v>0.97975662301212196</v>
      </c>
      <c r="DS366" s="1979">
        <v>0.97975662301212196</v>
      </c>
      <c r="DT366" s="1998">
        <v>0.97614876347816082</v>
      </c>
      <c r="DU366" s="1998">
        <v>0.97614876347816082</v>
      </c>
      <c r="DV366" s="1998">
        <v>0.97614876347816082</v>
      </c>
      <c r="DW366" s="1998">
        <v>0.97614876347816082</v>
      </c>
      <c r="DX366" s="2026">
        <v>0.97614876347816082</v>
      </c>
      <c r="EA366" s="2022"/>
      <c r="EB366" s="2">
        <v>21</v>
      </c>
      <c r="EC366" s="2" t="str">
        <f>CONCATENATE($U$8," ",JI$15)</f>
        <v xml:space="preserve">Proportion de fenêtres </v>
      </c>
      <c r="ED366" s="1979">
        <v>1.3605609674202821</v>
      </c>
      <c r="EE366" s="1979">
        <v>1.3805913069290729</v>
      </c>
      <c r="EF366" s="1979">
        <v>1.4147607096205406</v>
      </c>
      <c r="EG366" s="1979">
        <v>1.4559996439033458</v>
      </c>
      <c r="EH366" s="1979">
        <v>1.4889907913295906</v>
      </c>
      <c r="EI366" s="1998">
        <v>2.0966679740137137</v>
      </c>
      <c r="EJ366" s="1998">
        <v>2.1461546951530805</v>
      </c>
      <c r="EK366" s="1998">
        <v>2.2097804794751235</v>
      </c>
      <c r="EL366" s="1998">
        <v>2.280475795388504</v>
      </c>
      <c r="EM366" s="1998">
        <v>2.3016843901625181</v>
      </c>
      <c r="EN366" s="1979">
        <v>1.4337071065592959</v>
      </c>
      <c r="EO366" s="1979">
        <v>1.4670348983470329</v>
      </c>
      <c r="EP366" s="1979">
        <v>1.4690547645159866</v>
      </c>
      <c r="EQ366" s="1979">
        <v>1.4710746306849403</v>
      </c>
      <c r="ER366" s="1979">
        <v>1.4730944968538937</v>
      </c>
      <c r="ES366" s="1998">
        <v>1.8379162318633464</v>
      </c>
      <c r="ET366" s="1998">
        <v>1.8661943582286991</v>
      </c>
      <c r="EU366" s="1998">
        <v>1.8732638898200367</v>
      </c>
      <c r="EV366" s="1998">
        <v>1.8803334214113749</v>
      </c>
      <c r="EW366" s="1998">
        <v>1.8874029530027132</v>
      </c>
      <c r="EX366" s="1979">
        <v>1.4662053104562123</v>
      </c>
      <c r="EY366" s="1979">
        <v>1.4987251557763674</v>
      </c>
      <c r="EZ366" s="1979">
        <v>1.5015529684129028</v>
      </c>
      <c r="FA366" s="1979">
        <v>1.5043807810494378</v>
      </c>
      <c r="FB366" s="1979">
        <v>1.5072085936859732</v>
      </c>
      <c r="FC366" s="1998">
        <v>1.6277744053108218</v>
      </c>
      <c r="FD366" s="1998">
        <v>1.6136353421281457</v>
      </c>
      <c r="FE366" s="1998">
        <v>1.6277744053108218</v>
      </c>
      <c r="FF366" s="1998">
        <v>1.6419134684934982</v>
      </c>
      <c r="FG366" s="1998">
        <v>1.6560525316761743</v>
      </c>
      <c r="FH366" s="1979">
        <v>2.3921927569513635</v>
      </c>
      <c r="FI366" s="1979">
        <v>2.3992622885427015</v>
      </c>
      <c r="FJ366" s="1979">
        <v>2.4063318201340396</v>
      </c>
      <c r="FK366" s="1979">
        <v>2.4134013517253781</v>
      </c>
      <c r="FL366" s="1979">
        <v>2.4204708833167157</v>
      </c>
      <c r="FM366" s="1998">
        <v>1.5115041757386145</v>
      </c>
      <c r="FN366" s="1998">
        <v>1.5374257915735208</v>
      </c>
      <c r="FO366" s="1998">
        <v>1.5774864705911036</v>
      </c>
      <c r="FP366" s="1998">
        <v>1.6246166812000238</v>
      </c>
      <c r="FQ366" s="1998">
        <v>1.6552513180958224</v>
      </c>
      <c r="FR366" s="1979">
        <v>18.696584463294087</v>
      </c>
      <c r="FS366" s="1979">
        <v>18.75348613168352</v>
      </c>
      <c r="FT366" s="1979">
        <v>18.810387800072949</v>
      </c>
      <c r="FU366" s="1979">
        <v>18.867289468462388</v>
      </c>
      <c r="FV366" s="1979">
        <v>18.924191136851817</v>
      </c>
      <c r="FW366" s="1998">
        <v>19.033724251273018</v>
      </c>
      <c r="FX366" s="1998">
        <v>19.09051313518972</v>
      </c>
      <c r="FY366" s="1998">
        <v>19.14730201910643</v>
      </c>
      <c r="FZ366" s="1998">
        <v>19.20409090302314</v>
      </c>
      <c r="GA366" s="1998">
        <v>19.260879786939839</v>
      </c>
      <c r="GB366" s="1979">
        <v>1.6775934781314683</v>
      </c>
      <c r="GC366" s="1979">
        <v>1.6845198985296752</v>
      </c>
      <c r="GD366" s="1979">
        <v>1.6914463189278821</v>
      </c>
      <c r="GE366" s="1979">
        <v>1.698372739326089</v>
      </c>
      <c r="GF366" s="1979">
        <v>1.7122255801225028</v>
      </c>
      <c r="GG366" s="1998">
        <v>1.7179970745130155</v>
      </c>
      <c r="GH366" s="1998">
        <v>1.7248979890342699</v>
      </c>
      <c r="GI366" s="1998">
        <v>1.7317989035555246</v>
      </c>
      <c r="GJ366" s="1998">
        <v>1.738699818076779</v>
      </c>
      <c r="GK366" s="2026">
        <v>1.7525016471192878</v>
      </c>
    </row>
    <row r="367" spans="1:193">
      <c r="A367" s="2020"/>
      <c r="B367" s="2">
        <v>22</v>
      </c>
      <c r="C367" s="2" t="str">
        <f>CONCATENATE($U$8," ",EI$16)</f>
        <v xml:space="preserve">Proportion de fenêtres </v>
      </c>
      <c r="D367" s="1979">
        <f>IF(Construction!$F$31=Construction!$R$22,Oeko!BQ367,Oeko!ED367)</f>
        <v>1</v>
      </c>
      <c r="E367" s="1979">
        <f>IF(Construction!$F$31=Construction!$R$22,Oeko!BR367,Oeko!EE367)</f>
        <v>1</v>
      </c>
      <c r="F367" s="1979">
        <f>IF(Construction!$F$31=Construction!$R$22,Oeko!BS367,Oeko!EF367)</f>
        <v>1</v>
      </c>
      <c r="G367" s="1979">
        <f>IF(Construction!$F$31=Construction!$R$22,Oeko!BT367,Oeko!EG367)</f>
        <v>1</v>
      </c>
      <c r="H367" s="1979">
        <f>IF(Construction!$F$31=Construction!$R$22,Oeko!BU367,Oeko!EH367)</f>
        <v>1</v>
      </c>
      <c r="I367" s="1998">
        <f>IF(Construction!$F$31=Construction!$R$22,Oeko!BV367,Oeko!EI367)</f>
        <v>1</v>
      </c>
      <c r="J367" s="1998">
        <f>IF(Construction!$F$31=Construction!$R$22,Oeko!BW367,Oeko!EJ367)</f>
        <v>1</v>
      </c>
      <c r="K367" s="1998">
        <f>IF(Construction!$F$31=Construction!$R$22,Oeko!BX367,Oeko!EK367)</f>
        <v>1</v>
      </c>
      <c r="L367" s="1998">
        <f>IF(Construction!$F$31=Construction!$R$22,Oeko!BY367,Oeko!EL367)</f>
        <v>1</v>
      </c>
      <c r="M367" s="1998">
        <f>IF(Construction!$F$31=Construction!$R$22,Oeko!BZ367,Oeko!EM367)</f>
        <v>1</v>
      </c>
      <c r="N367" s="1979">
        <f>IF(Construction!$F$31=Construction!$R$22,Oeko!CA367,Oeko!EN367)</f>
        <v>1</v>
      </c>
      <c r="O367" s="1979">
        <f>IF(Construction!$F$31=Construction!$R$22,Oeko!CB367,Oeko!EO367)</f>
        <v>1</v>
      </c>
      <c r="P367" s="1979">
        <f>IF(Construction!$F$31=Construction!$R$22,Oeko!CC367,Oeko!EP367)</f>
        <v>1</v>
      </c>
      <c r="Q367" s="1979">
        <f>IF(Construction!$F$31=Construction!$R$22,Oeko!CD367,Oeko!EQ367)</f>
        <v>1</v>
      </c>
      <c r="R367" s="1979">
        <f>IF(Construction!$F$31=Construction!$R$22,Oeko!CE367,Oeko!ER367)</f>
        <v>1</v>
      </c>
      <c r="S367" s="1998">
        <f>IF(Construction!$F$31=Construction!$R$22,Oeko!CF367,Oeko!ES367)</f>
        <v>1</v>
      </c>
      <c r="T367" s="1998">
        <f>IF(Construction!$F$31=Construction!$R$22,Oeko!CG367,Oeko!ET367)</f>
        <v>1</v>
      </c>
      <c r="U367" s="1998">
        <f>IF(Construction!$F$31=Construction!$R$22,Oeko!CH367,Oeko!EU367)</f>
        <v>1</v>
      </c>
      <c r="V367" s="1998">
        <f>IF(Construction!$F$31=Construction!$R$22,Oeko!CI367,Oeko!EV367)</f>
        <v>1</v>
      </c>
      <c r="W367" s="1998">
        <f>IF(Construction!$F$31=Construction!$R$22,Oeko!CJ367,Oeko!EW367)</f>
        <v>1</v>
      </c>
      <c r="X367" s="1979">
        <f>IF(Construction!$F$31=Construction!$R$22,Oeko!CK367,Oeko!EX367)</f>
        <v>1</v>
      </c>
      <c r="Y367" s="1979">
        <f>IF(Construction!$F$31=Construction!$R$22,Oeko!CL367,Oeko!EY367)</f>
        <v>1</v>
      </c>
      <c r="Z367" s="1979">
        <f>IF(Construction!$F$31=Construction!$R$22,Oeko!CM367,Oeko!EZ367)</f>
        <v>1</v>
      </c>
      <c r="AA367" s="1979">
        <f>IF(Construction!$F$31=Construction!$R$22,Oeko!CN367,Oeko!FA367)</f>
        <v>1</v>
      </c>
      <c r="AB367" s="1979">
        <f>IF(Construction!$F$31=Construction!$R$22,Oeko!CO367,Oeko!FB367)</f>
        <v>1</v>
      </c>
      <c r="AC367" s="1998">
        <f>IF(Construction!$F$31=Construction!$R$22,Oeko!CP367,Oeko!FC367)</f>
        <v>1</v>
      </c>
      <c r="AD367" s="1998">
        <f>IF(Construction!$F$31=Construction!$R$22,Oeko!CQ367,Oeko!FD367)</f>
        <v>1</v>
      </c>
      <c r="AE367" s="1998">
        <f>IF(Construction!$F$31=Construction!$R$22,Oeko!CR367,Oeko!FE367)</f>
        <v>1</v>
      </c>
      <c r="AF367" s="1998">
        <f>IF(Construction!$F$31=Construction!$R$22,Oeko!CS367,Oeko!FF367)</f>
        <v>1</v>
      </c>
      <c r="AG367" s="1998">
        <f>IF(Construction!$F$31=Construction!$R$22,Oeko!CT367,Oeko!FG367)</f>
        <v>1</v>
      </c>
      <c r="AH367" s="1979">
        <f>IF(Construction!$F$31=Construction!$R$22,Oeko!CU367,Oeko!FH367)</f>
        <v>1</v>
      </c>
      <c r="AI367" s="1979">
        <f>IF(Construction!$F$31=Construction!$R$22,Oeko!CV367,Oeko!FI367)</f>
        <v>1</v>
      </c>
      <c r="AJ367" s="1979">
        <f>IF(Construction!$F$31=Construction!$R$22,Oeko!CW367,Oeko!FJ367)</f>
        <v>1</v>
      </c>
      <c r="AK367" s="1979">
        <f>IF(Construction!$F$31=Construction!$R$22,Oeko!CX367,Oeko!FK367)</f>
        <v>1</v>
      </c>
      <c r="AL367" s="1979">
        <f>IF(Construction!$F$31=Construction!$R$22,Oeko!CY367,Oeko!FL367)</f>
        <v>1</v>
      </c>
      <c r="AM367" s="1998">
        <f>IF(Construction!$F$31=Construction!$R$22,Oeko!CZ367,Oeko!FM367)</f>
        <v>1</v>
      </c>
      <c r="AN367" s="1998">
        <f>IF(Construction!$F$31=Construction!$R$22,Oeko!DA367,Oeko!FN367)</f>
        <v>1</v>
      </c>
      <c r="AO367" s="1998">
        <f>IF(Construction!$F$31=Construction!$R$22,Oeko!DB367,Oeko!FO367)</f>
        <v>1</v>
      </c>
      <c r="AP367" s="1998">
        <f>IF(Construction!$F$31=Construction!$R$22,Oeko!DC367,Oeko!FP367)</f>
        <v>1</v>
      </c>
      <c r="AQ367" s="1998">
        <f>IF(Construction!$F$31=Construction!$R$22,Oeko!DD367,Oeko!FQ367)</f>
        <v>1</v>
      </c>
      <c r="AR367" s="1979">
        <f>IF(Construction!$F$31=Construction!$R$22,Oeko!DE367,Oeko!FR367)</f>
        <v>8.0488597659215451</v>
      </c>
      <c r="AS367" s="1979">
        <f>IF(Construction!$F$31=Construction!$R$22,Oeko!DF367,Oeko!FS367)</f>
        <v>8.0488597659215451</v>
      </c>
      <c r="AT367" s="1979">
        <f>IF(Construction!$F$31=Construction!$R$22,Oeko!DG367,Oeko!FT367)</f>
        <v>8.0488597659215451</v>
      </c>
      <c r="AU367" s="1979">
        <f>IF(Construction!$F$31=Construction!$R$22,Oeko!DH367,Oeko!FU367)</f>
        <v>8.0488597659215451</v>
      </c>
      <c r="AV367" s="1979">
        <f>IF(Construction!$F$31=Construction!$R$22,Oeko!DI367,Oeko!FV367)</f>
        <v>8.0488597659215451</v>
      </c>
      <c r="AW367" s="1998">
        <f>IF(Construction!$F$31=Construction!$R$22,Oeko!DJ367,Oeko!FW367)</f>
        <v>8.0329061668367086</v>
      </c>
      <c r="AX367" s="1998">
        <f>IF(Construction!$F$31=Construction!$R$22,Oeko!DK367,Oeko!FX367)</f>
        <v>8.0329061668367086</v>
      </c>
      <c r="AY367" s="1998">
        <f>IF(Construction!$F$31=Construction!$R$22,Oeko!DL367,Oeko!FY367)</f>
        <v>8.0329061668367086</v>
      </c>
      <c r="AZ367" s="1998">
        <f>IF(Construction!$F$31=Construction!$R$22,Oeko!DM367,Oeko!FZ367)</f>
        <v>8.0329061668367086</v>
      </c>
      <c r="BA367" s="1998">
        <f>IF(Construction!$F$31=Construction!$R$22,Oeko!DN367,Oeko!GA367)</f>
        <v>8.0329061668367086</v>
      </c>
      <c r="BB367" s="1979">
        <f>IF(Construction!$F$31=Construction!$R$22,Oeko!DO367,Oeko!GB367)</f>
        <v>0.97975662301212196</v>
      </c>
      <c r="BC367" s="1979">
        <f>IF(Construction!$F$31=Construction!$R$22,Oeko!DP367,Oeko!GC367)</f>
        <v>0.97975662301212196</v>
      </c>
      <c r="BD367" s="1979">
        <f>IF(Construction!$F$31=Construction!$R$22,Oeko!DQ367,Oeko!GD367)</f>
        <v>0.97975662301212196</v>
      </c>
      <c r="BE367" s="1979">
        <f>IF(Construction!$F$31=Construction!$R$22,Oeko!DR367,Oeko!GE367)</f>
        <v>0.97975662301212196</v>
      </c>
      <c r="BF367" s="1979">
        <f>IF(Construction!$F$31=Construction!$R$22,Oeko!DS367,Oeko!GF367)</f>
        <v>0.97975662301212196</v>
      </c>
      <c r="BG367" s="1998">
        <f>IF(Construction!$F$31=Construction!$R$22,Oeko!DT367,Oeko!GG367)</f>
        <v>0.97614876347816082</v>
      </c>
      <c r="BH367" s="1998">
        <f>IF(Construction!$F$31=Construction!$R$22,Oeko!DU367,Oeko!GH367)</f>
        <v>0.97614876347816082</v>
      </c>
      <c r="BI367" s="1998">
        <f>IF(Construction!$F$31=Construction!$R$22,Oeko!DV367,Oeko!GI367)</f>
        <v>0.97614876347816082</v>
      </c>
      <c r="BJ367" s="1998">
        <f>IF(Construction!$F$31=Construction!$R$22,Oeko!DW367,Oeko!GJ367)</f>
        <v>0.97614876347816082</v>
      </c>
      <c r="BK367" s="2026">
        <f>IF(Construction!$F$31=Construction!$R$22,Oeko!DX367,Oeko!GK367)</f>
        <v>0.97614876347816082</v>
      </c>
      <c r="BN367" s="2022"/>
      <c r="BO367" s="2">
        <v>22</v>
      </c>
      <c r="BP367" s="2" t="str">
        <f>CONCATENATE($U$8," ",GV$16)</f>
        <v xml:space="preserve">Proportion de fenêtres </v>
      </c>
      <c r="BQ367" s="1979">
        <v>1</v>
      </c>
      <c r="BR367" s="1979">
        <v>1</v>
      </c>
      <c r="BS367" s="1979">
        <v>1</v>
      </c>
      <c r="BT367" s="1979">
        <v>1</v>
      </c>
      <c r="BU367" s="1979">
        <v>1</v>
      </c>
      <c r="BV367" s="1998">
        <v>1</v>
      </c>
      <c r="BW367" s="1998">
        <v>1</v>
      </c>
      <c r="BX367" s="1998">
        <v>1</v>
      </c>
      <c r="BY367" s="1998">
        <v>1</v>
      </c>
      <c r="BZ367" s="1998">
        <v>1</v>
      </c>
      <c r="CA367" s="1979">
        <v>1</v>
      </c>
      <c r="CB367" s="1979">
        <v>1</v>
      </c>
      <c r="CC367" s="1979">
        <v>1</v>
      </c>
      <c r="CD367" s="1979">
        <v>1</v>
      </c>
      <c r="CE367" s="1979">
        <v>1</v>
      </c>
      <c r="CF367" s="1998">
        <v>1</v>
      </c>
      <c r="CG367" s="1998">
        <v>1</v>
      </c>
      <c r="CH367" s="1998">
        <v>1</v>
      </c>
      <c r="CI367" s="1998">
        <v>1</v>
      </c>
      <c r="CJ367" s="1998">
        <v>1</v>
      </c>
      <c r="CK367" s="1979">
        <v>1</v>
      </c>
      <c r="CL367" s="1979">
        <v>1</v>
      </c>
      <c r="CM367" s="1979">
        <v>1</v>
      </c>
      <c r="CN367" s="1979">
        <v>1</v>
      </c>
      <c r="CO367" s="1979">
        <v>1</v>
      </c>
      <c r="CP367" s="1998">
        <v>1</v>
      </c>
      <c r="CQ367" s="1998">
        <v>1</v>
      </c>
      <c r="CR367" s="1998">
        <v>1</v>
      </c>
      <c r="CS367" s="1998">
        <v>1</v>
      </c>
      <c r="CT367" s="1998">
        <v>1</v>
      </c>
      <c r="CU367" s="1979">
        <v>1</v>
      </c>
      <c r="CV367" s="1979">
        <v>1</v>
      </c>
      <c r="CW367" s="1979">
        <v>1</v>
      </c>
      <c r="CX367" s="1979">
        <v>1</v>
      </c>
      <c r="CY367" s="1979">
        <v>1</v>
      </c>
      <c r="CZ367" s="1998">
        <v>1</v>
      </c>
      <c r="DA367" s="1998">
        <v>1</v>
      </c>
      <c r="DB367" s="1998">
        <v>1</v>
      </c>
      <c r="DC367" s="1998">
        <v>1</v>
      </c>
      <c r="DD367" s="1998">
        <v>1</v>
      </c>
      <c r="DE367" s="1979">
        <v>8.0488597659215451</v>
      </c>
      <c r="DF367" s="1979">
        <v>8.0488597659215451</v>
      </c>
      <c r="DG367" s="1979">
        <v>8.0488597659215451</v>
      </c>
      <c r="DH367" s="1979">
        <v>8.0488597659215451</v>
      </c>
      <c r="DI367" s="1979">
        <v>8.0488597659215451</v>
      </c>
      <c r="DJ367" s="1998">
        <v>8.0329061668367086</v>
      </c>
      <c r="DK367" s="1998">
        <v>8.0329061668367086</v>
      </c>
      <c r="DL367" s="1998">
        <v>8.0329061668367086</v>
      </c>
      <c r="DM367" s="1998">
        <v>8.0329061668367086</v>
      </c>
      <c r="DN367" s="1998">
        <v>8.0329061668367086</v>
      </c>
      <c r="DO367" s="1979">
        <v>0.97975662301212196</v>
      </c>
      <c r="DP367" s="1979">
        <v>0.97975662301212196</v>
      </c>
      <c r="DQ367" s="1979">
        <v>0.97975662301212196</v>
      </c>
      <c r="DR367" s="1979">
        <v>0.97975662301212196</v>
      </c>
      <c r="DS367" s="1979">
        <v>0.97975662301212196</v>
      </c>
      <c r="DT367" s="1998">
        <v>0.97614876347816082</v>
      </c>
      <c r="DU367" s="1998">
        <v>0.97614876347816082</v>
      </c>
      <c r="DV367" s="1998">
        <v>0.97614876347816082</v>
      </c>
      <c r="DW367" s="1998">
        <v>0.97614876347816082</v>
      </c>
      <c r="DX367" s="2026">
        <v>0.97614876347816082</v>
      </c>
      <c r="EA367" s="2022"/>
      <c r="EB367" s="2">
        <v>22</v>
      </c>
      <c r="EC367" s="2" t="str">
        <f>CONCATENATE($U$8," ",JI$16)</f>
        <v xml:space="preserve">Proportion de fenêtres </v>
      </c>
      <c r="ED367" s="1979">
        <v>1.3605609674202821</v>
      </c>
      <c r="EE367" s="1979">
        <v>1.3805913069290729</v>
      </c>
      <c r="EF367" s="1979">
        <v>1.4147607096205406</v>
      </c>
      <c r="EG367" s="1979">
        <v>1.4559996439033458</v>
      </c>
      <c r="EH367" s="1979">
        <v>1.4889907913295906</v>
      </c>
      <c r="EI367" s="1998">
        <v>2.0966679740137137</v>
      </c>
      <c r="EJ367" s="1998">
        <v>2.1461546951530805</v>
      </c>
      <c r="EK367" s="1998">
        <v>2.2097804794751235</v>
      </c>
      <c r="EL367" s="1998">
        <v>2.280475795388504</v>
      </c>
      <c r="EM367" s="1998">
        <v>2.3016843901625181</v>
      </c>
      <c r="EN367" s="1979">
        <v>1.4337071065592959</v>
      </c>
      <c r="EO367" s="1979">
        <v>1.4670348983470329</v>
      </c>
      <c r="EP367" s="1979">
        <v>1.4690547645159866</v>
      </c>
      <c r="EQ367" s="1979">
        <v>1.4710746306849403</v>
      </c>
      <c r="ER367" s="1979">
        <v>1.4730944968538937</v>
      </c>
      <c r="ES367" s="1998">
        <v>1.8379162318633464</v>
      </c>
      <c r="ET367" s="1998">
        <v>1.8661943582286991</v>
      </c>
      <c r="EU367" s="1998">
        <v>1.8732638898200367</v>
      </c>
      <c r="EV367" s="1998">
        <v>1.8803334214113749</v>
      </c>
      <c r="EW367" s="1998">
        <v>1.8874029530027132</v>
      </c>
      <c r="EX367" s="1979">
        <v>1.4662053104562123</v>
      </c>
      <c r="EY367" s="1979">
        <v>1.4987251557763674</v>
      </c>
      <c r="EZ367" s="1979">
        <v>1.5015529684129028</v>
      </c>
      <c r="FA367" s="1979">
        <v>1.5043807810494378</v>
      </c>
      <c r="FB367" s="1979">
        <v>1.5072085936859732</v>
      </c>
      <c r="FC367" s="1998">
        <v>1.6277744053108218</v>
      </c>
      <c r="FD367" s="1998">
        <v>1.6136353421281457</v>
      </c>
      <c r="FE367" s="1998">
        <v>1.6277744053108218</v>
      </c>
      <c r="FF367" s="1998">
        <v>1.6419134684934982</v>
      </c>
      <c r="FG367" s="1998">
        <v>1.6560525316761743</v>
      </c>
      <c r="FH367" s="1979">
        <v>2.3921927569513635</v>
      </c>
      <c r="FI367" s="1979">
        <v>2.3992622885427015</v>
      </c>
      <c r="FJ367" s="1979">
        <v>2.4063318201340396</v>
      </c>
      <c r="FK367" s="1979">
        <v>2.4134013517253781</v>
      </c>
      <c r="FL367" s="1979">
        <v>2.4204708833167157</v>
      </c>
      <c r="FM367" s="1998">
        <v>1.5115041757386145</v>
      </c>
      <c r="FN367" s="1998">
        <v>1.5374257915735208</v>
      </c>
      <c r="FO367" s="1998">
        <v>1.5774864705911036</v>
      </c>
      <c r="FP367" s="1998">
        <v>1.6246166812000238</v>
      </c>
      <c r="FQ367" s="1998">
        <v>1.6552513180958224</v>
      </c>
      <c r="FR367" s="1979">
        <v>18.696584463294087</v>
      </c>
      <c r="FS367" s="1979">
        <v>18.75348613168352</v>
      </c>
      <c r="FT367" s="1979">
        <v>18.810387800072949</v>
      </c>
      <c r="FU367" s="1979">
        <v>18.867289468462388</v>
      </c>
      <c r="FV367" s="1979">
        <v>18.924191136851817</v>
      </c>
      <c r="FW367" s="1998">
        <v>19.033724251273018</v>
      </c>
      <c r="FX367" s="1998">
        <v>19.09051313518972</v>
      </c>
      <c r="FY367" s="1998">
        <v>19.14730201910643</v>
      </c>
      <c r="FZ367" s="1998">
        <v>19.20409090302314</v>
      </c>
      <c r="GA367" s="1998">
        <v>19.260879786939839</v>
      </c>
      <c r="GB367" s="1979">
        <v>1.6775934781314683</v>
      </c>
      <c r="GC367" s="1979">
        <v>1.6845198985296752</v>
      </c>
      <c r="GD367" s="1979">
        <v>1.6914463189278821</v>
      </c>
      <c r="GE367" s="1979">
        <v>1.698372739326089</v>
      </c>
      <c r="GF367" s="1979">
        <v>1.7122255801225028</v>
      </c>
      <c r="GG367" s="1998">
        <v>1.7179970745130155</v>
      </c>
      <c r="GH367" s="1998">
        <v>1.7248979890342699</v>
      </c>
      <c r="GI367" s="1998">
        <v>1.7317989035555246</v>
      </c>
      <c r="GJ367" s="1998">
        <v>1.738699818076779</v>
      </c>
      <c r="GK367" s="2026">
        <v>1.7525016471192878</v>
      </c>
    </row>
    <row r="368" spans="1:193">
      <c r="A368" s="2020"/>
      <c r="B368" s="2">
        <v>23</v>
      </c>
      <c r="C368" s="2" t="str">
        <f>CONCATENATE($U$8," ",EI$17)</f>
        <v xml:space="preserve">Proportion de fenêtres </v>
      </c>
      <c r="D368" s="1979">
        <f>IF(Construction!$F$31=Construction!$R$22,Oeko!BQ368,Oeko!ED368)</f>
        <v>1</v>
      </c>
      <c r="E368" s="1979">
        <f>IF(Construction!$F$31=Construction!$R$22,Oeko!BR368,Oeko!EE368)</f>
        <v>1</v>
      </c>
      <c r="F368" s="1979">
        <f>IF(Construction!$F$31=Construction!$R$22,Oeko!BS368,Oeko!EF368)</f>
        <v>1</v>
      </c>
      <c r="G368" s="1979">
        <f>IF(Construction!$F$31=Construction!$R$22,Oeko!BT368,Oeko!EG368)</f>
        <v>1</v>
      </c>
      <c r="H368" s="1979">
        <f>IF(Construction!$F$31=Construction!$R$22,Oeko!BU368,Oeko!EH368)</f>
        <v>1</v>
      </c>
      <c r="I368" s="1998">
        <f>IF(Construction!$F$31=Construction!$R$22,Oeko!BV368,Oeko!EI368)</f>
        <v>1</v>
      </c>
      <c r="J368" s="1998">
        <f>IF(Construction!$F$31=Construction!$R$22,Oeko!BW368,Oeko!EJ368)</f>
        <v>1</v>
      </c>
      <c r="K368" s="1998">
        <f>IF(Construction!$F$31=Construction!$R$22,Oeko!BX368,Oeko!EK368)</f>
        <v>1</v>
      </c>
      <c r="L368" s="1998">
        <f>IF(Construction!$F$31=Construction!$R$22,Oeko!BY368,Oeko!EL368)</f>
        <v>1</v>
      </c>
      <c r="M368" s="1998">
        <f>IF(Construction!$F$31=Construction!$R$22,Oeko!BZ368,Oeko!EM368)</f>
        <v>1</v>
      </c>
      <c r="N368" s="1979">
        <f>IF(Construction!$F$31=Construction!$R$22,Oeko!CA368,Oeko!EN368)</f>
        <v>1</v>
      </c>
      <c r="O368" s="1979">
        <f>IF(Construction!$F$31=Construction!$R$22,Oeko!CB368,Oeko!EO368)</f>
        <v>1</v>
      </c>
      <c r="P368" s="1979">
        <f>IF(Construction!$F$31=Construction!$R$22,Oeko!CC368,Oeko!EP368)</f>
        <v>1</v>
      </c>
      <c r="Q368" s="1979">
        <f>IF(Construction!$F$31=Construction!$R$22,Oeko!CD368,Oeko!EQ368)</f>
        <v>1</v>
      </c>
      <c r="R368" s="1979">
        <f>IF(Construction!$F$31=Construction!$R$22,Oeko!CE368,Oeko!ER368)</f>
        <v>1</v>
      </c>
      <c r="S368" s="1998">
        <f>IF(Construction!$F$31=Construction!$R$22,Oeko!CF368,Oeko!ES368)</f>
        <v>1</v>
      </c>
      <c r="T368" s="1998">
        <f>IF(Construction!$F$31=Construction!$R$22,Oeko!CG368,Oeko!ET368)</f>
        <v>1</v>
      </c>
      <c r="U368" s="1998">
        <f>IF(Construction!$F$31=Construction!$R$22,Oeko!CH368,Oeko!EU368)</f>
        <v>1</v>
      </c>
      <c r="V368" s="1998">
        <f>IF(Construction!$F$31=Construction!$R$22,Oeko!CI368,Oeko!EV368)</f>
        <v>1</v>
      </c>
      <c r="W368" s="1998">
        <f>IF(Construction!$F$31=Construction!$R$22,Oeko!CJ368,Oeko!EW368)</f>
        <v>1</v>
      </c>
      <c r="X368" s="1979">
        <f>IF(Construction!$F$31=Construction!$R$22,Oeko!CK368,Oeko!EX368)</f>
        <v>1</v>
      </c>
      <c r="Y368" s="1979">
        <f>IF(Construction!$F$31=Construction!$R$22,Oeko!CL368,Oeko!EY368)</f>
        <v>1</v>
      </c>
      <c r="Z368" s="1979">
        <f>IF(Construction!$F$31=Construction!$R$22,Oeko!CM368,Oeko!EZ368)</f>
        <v>1</v>
      </c>
      <c r="AA368" s="1979">
        <f>IF(Construction!$F$31=Construction!$R$22,Oeko!CN368,Oeko!FA368)</f>
        <v>1</v>
      </c>
      <c r="AB368" s="1979">
        <f>IF(Construction!$F$31=Construction!$R$22,Oeko!CO368,Oeko!FB368)</f>
        <v>1</v>
      </c>
      <c r="AC368" s="1998">
        <f>IF(Construction!$F$31=Construction!$R$22,Oeko!CP368,Oeko!FC368)</f>
        <v>1</v>
      </c>
      <c r="AD368" s="1998">
        <f>IF(Construction!$F$31=Construction!$R$22,Oeko!CQ368,Oeko!FD368)</f>
        <v>1</v>
      </c>
      <c r="AE368" s="1998">
        <f>IF(Construction!$F$31=Construction!$R$22,Oeko!CR368,Oeko!FE368)</f>
        <v>1</v>
      </c>
      <c r="AF368" s="1998">
        <f>IF(Construction!$F$31=Construction!$R$22,Oeko!CS368,Oeko!FF368)</f>
        <v>1</v>
      </c>
      <c r="AG368" s="1998">
        <f>IF(Construction!$F$31=Construction!$R$22,Oeko!CT368,Oeko!FG368)</f>
        <v>1</v>
      </c>
      <c r="AH368" s="1979">
        <f>IF(Construction!$F$31=Construction!$R$22,Oeko!CU368,Oeko!FH368)</f>
        <v>1</v>
      </c>
      <c r="AI368" s="1979">
        <f>IF(Construction!$F$31=Construction!$R$22,Oeko!CV368,Oeko!FI368)</f>
        <v>1</v>
      </c>
      <c r="AJ368" s="1979">
        <f>IF(Construction!$F$31=Construction!$R$22,Oeko!CW368,Oeko!FJ368)</f>
        <v>1</v>
      </c>
      <c r="AK368" s="1979">
        <f>IF(Construction!$F$31=Construction!$R$22,Oeko!CX368,Oeko!FK368)</f>
        <v>1</v>
      </c>
      <c r="AL368" s="1979">
        <f>IF(Construction!$F$31=Construction!$R$22,Oeko!CY368,Oeko!FL368)</f>
        <v>1</v>
      </c>
      <c r="AM368" s="1998">
        <f>IF(Construction!$F$31=Construction!$R$22,Oeko!CZ368,Oeko!FM368)</f>
        <v>1</v>
      </c>
      <c r="AN368" s="1998">
        <f>IF(Construction!$F$31=Construction!$R$22,Oeko!DA368,Oeko!FN368)</f>
        <v>1</v>
      </c>
      <c r="AO368" s="1998">
        <f>IF(Construction!$F$31=Construction!$R$22,Oeko!DB368,Oeko!FO368)</f>
        <v>1</v>
      </c>
      <c r="AP368" s="1998">
        <f>IF(Construction!$F$31=Construction!$R$22,Oeko!DC368,Oeko!FP368)</f>
        <v>1</v>
      </c>
      <c r="AQ368" s="1998">
        <f>IF(Construction!$F$31=Construction!$R$22,Oeko!DD368,Oeko!FQ368)</f>
        <v>1</v>
      </c>
      <c r="AR368" s="1979">
        <f>IF(Construction!$F$31=Construction!$R$22,Oeko!DE368,Oeko!FR368)</f>
        <v>8.0488597659215451</v>
      </c>
      <c r="AS368" s="1979">
        <f>IF(Construction!$F$31=Construction!$R$22,Oeko!DF368,Oeko!FS368)</f>
        <v>8.0488597659215451</v>
      </c>
      <c r="AT368" s="1979">
        <f>IF(Construction!$F$31=Construction!$R$22,Oeko!DG368,Oeko!FT368)</f>
        <v>8.0488597659215451</v>
      </c>
      <c r="AU368" s="1979">
        <f>IF(Construction!$F$31=Construction!$R$22,Oeko!DH368,Oeko!FU368)</f>
        <v>8.0488597659215451</v>
      </c>
      <c r="AV368" s="1979">
        <f>IF(Construction!$F$31=Construction!$R$22,Oeko!DI368,Oeko!FV368)</f>
        <v>8.0488597659215451</v>
      </c>
      <c r="AW368" s="1998">
        <f>IF(Construction!$F$31=Construction!$R$22,Oeko!DJ368,Oeko!FW368)</f>
        <v>8.0329061668367086</v>
      </c>
      <c r="AX368" s="1998">
        <f>IF(Construction!$F$31=Construction!$R$22,Oeko!DK368,Oeko!FX368)</f>
        <v>8.0329061668367086</v>
      </c>
      <c r="AY368" s="1998">
        <f>IF(Construction!$F$31=Construction!$R$22,Oeko!DL368,Oeko!FY368)</f>
        <v>8.0329061668367086</v>
      </c>
      <c r="AZ368" s="1998">
        <f>IF(Construction!$F$31=Construction!$R$22,Oeko!DM368,Oeko!FZ368)</f>
        <v>8.0329061668367086</v>
      </c>
      <c r="BA368" s="1998">
        <f>IF(Construction!$F$31=Construction!$R$22,Oeko!DN368,Oeko!GA368)</f>
        <v>8.0329061668367086</v>
      </c>
      <c r="BB368" s="1979">
        <f>IF(Construction!$F$31=Construction!$R$22,Oeko!DO368,Oeko!GB368)</f>
        <v>0.97975662301212196</v>
      </c>
      <c r="BC368" s="1979">
        <f>IF(Construction!$F$31=Construction!$R$22,Oeko!DP368,Oeko!GC368)</f>
        <v>0.97975662301212196</v>
      </c>
      <c r="BD368" s="1979">
        <f>IF(Construction!$F$31=Construction!$R$22,Oeko!DQ368,Oeko!GD368)</f>
        <v>0.97975662301212196</v>
      </c>
      <c r="BE368" s="1979">
        <f>IF(Construction!$F$31=Construction!$R$22,Oeko!DR368,Oeko!GE368)</f>
        <v>0.97975662301212196</v>
      </c>
      <c r="BF368" s="1979">
        <f>IF(Construction!$F$31=Construction!$R$22,Oeko!DS368,Oeko!GF368)</f>
        <v>0.97975662301212196</v>
      </c>
      <c r="BG368" s="1998">
        <f>IF(Construction!$F$31=Construction!$R$22,Oeko!DT368,Oeko!GG368)</f>
        <v>0.97614876347816082</v>
      </c>
      <c r="BH368" s="1998">
        <f>IF(Construction!$F$31=Construction!$R$22,Oeko!DU368,Oeko!GH368)</f>
        <v>0.97614876347816082</v>
      </c>
      <c r="BI368" s="1998">
        <f>IF(Construction!$F$31=Construction!$R$22,Oeko!DV368,Oeko!GI368)</f>
        <v>0.97614876347816082</v>
      </c>
      <c r="BJ368" s="1998">
        <f>IF(Construction!$F$31=Construction!$R$22,Oeko!DW368,Oeko!GJ368)</f>
        <v>0.97614876347816082</v>
      </c>
      <c r="BK368" s="2026">
        <f>IF(Construction!$F$31=Construction!$R$22,Oeko!DX368,Oeko!GK368)</f>
        <v>0.97614876347816082</v>
      </c>
      <c r="BN368" s="2022"/>
      <c r="BO368" s="2">
        <v>23</v>
      </c>
      <c r="BP368" s="2" t="str">
        <f>CONCATENATE($U$8," ",GV$17)</f>
        <v xml:space="preserve">Proportion de fenêtres </v>
      </c>
      <c r="BQ368" s="1979">
        <v>1</v>
      </c>
      <c r="BR368" s="1979">
        <v>1</v>
      </c>
      <c r="BS368" s="1979">
        <v>1</v>
      </c>
      <c r="BT368" s="1979">
        <v>1</v>
      </c>
      <c r="BU368" s="1979">
        <v>1</v>
      </c>
      <c r="BV368" s="1998">
        <v>1</v>
      </c>
      <c r="BW368" s="1998">
        <v>1</v>
      </c>
      <c r="BX368" s="1998">
        <v>1</v>
      </c>
      <c r="BY368" s="1998">
        <v>1</v>
      </c>
      <c r="BZ368" s="1998">
        <v>1</v>
      </c>
      <c r="CA368" s="1979">
        <v>1</v>
      </c>
      <c r="CB368" s="1979">
        <v>1</v>
      </c>
      <c r="CC368" s="1979">
        <v>1</v>
      </c>
      <c r="CD368" s="1979">
        <v>1</v>
      </c>
      <c r="CE368" s="1979">
        <v>1</v>
      </c>
      <c r="CF368" s="1998">
        <v>1</v>
      </c>
      <c r="CG368" s="1998">
        <v>1</v>
      </c>
      <c r="CH368" s="1998">
        <v>1</v>
      </c>
      <c r="CI368" s="1998">
        <v>1</v>
      </c>
      <c r="CJ368" s="1998">
        <v>1</v>
      </c>
      <c r="CK368" s="1979">
        <v>1</v>
      </c>
      <c r="CL368" s="1979">
        <v>1</v>
      </c>
      <c r="CM368" s="1979">
        <v>1</v>
      </c>
      <c r="CN368" s="1979">
        <v>1</v>
      </c>
      <c r="CO368" s="1979">
        <v>1</v>
      </c>
      <c r="CP368" s="1998">
        <v>1</v>
      </c>
      <c r="CQ368" s="1998">
        <v>1</v>
      </c>
      <c r="CR368" s="1998">
        <v>1</v>
      </c>
      <c r="CS368" s="1998">
        <v>1</v>
      </c>
      <c r="CT368" s="1998">
        <v>1</v>
      </c>
      <c r="CU368" s="1979">
        <v>1</v>
      </c>
      <c r="CV368" s="1979">
        <v>1</v>
      </c>
      <c r="CW368" s="1979">
        <v>1</v>
      </c>
      <c r="CX368" s="1979">
        <v>1</v>
      </c>
      <c r="CY368" s="1979">
        <v>1</v>
      </c>
      <c r="CZ368" s="1998">
        <v>1</v>
      </c>
      <c r="DA368" s="1998">
        <v>1</v>
      </c>
      <c r="DB368" s="1998">
        <v>1</v>
      </c>
      <c r="DC368" s="1998">
        <v>1</v>
      </c>
      <c r="DD368" s="1998">
        <v>1</v>
      </c>
      <c r="DE368" s="1979">
        <v>8.0488597659215451</v>
      </c>
      <c r="DF368" s="1979">
        <v>8.0488597659215451</v>
      </c>
      <c r="DG368" s="1979">
        <v>8.0488597659215451</v>
      </c>
      <c r="DH368" s="1979">
        <v>8.0488597659215451</v>
      </c>
      <c r="DI368" s="1979">
        <v>8.0488597659215451</v>
      </c>
      <c r="DJ368" s="1998">
        <v>8.0329061668367086</v>
      </c>
      <c r="DK368" s="1998">
        <v>8.0329061668367086</v>
      </c>
      <c r="DL368" s="1998">
        <v>8.0329061668367086</v>
      </c>
      <c r="DM368" s="1998">
        <v>8.0329061668367086</v>
      </c>
      <c r="DN368" s="1998">
        <v>8.0329061668367086</v>
      </c>
      <c r="DO368" s="1979">
        <v>0.97975662301212196</v>
      </c>
      <c r="DP368" s="1979">
        <v>0.97975662301212196</v>
      </c>
      <c r="DQ368" s="1979">
        <v>0.97975662301212196</v>
      </c>
      <c r="DR368" s="1979">
        <v>0.97975662301212196</v>
      </c>
      <c r="DS368" s="1979">
        <v>0.97975662301212196</v>
      </c>
      <c r="DT368" s="1998">
        <v>0.97614876347816082</v>
      </c>
      <c r="DU368" s="1998">
        <v>0.97614876347816082</v>
      </c>
      <c r="DV368" s="1998">
        <v>0.97614876347816082</v>
      </c>
      <c r="DW368" s="1998">
        <v>0.97614876347816082</v>
      </c>
      <c r="DX368" s="2026">
        <v>0.97614876347816082</v>
      </c>
      <c r="EA368" s="2022"/>
      <c r="EB368" s="2">
        <v>23</v>
      </c>
      <c r="EC368" s="2" t="str">
        <f>CONCATENATE($U$8," ",JI$17)</f>
        <v xml:space="preserve">Proportion de fenêtres </v>
      </c>
      <c r="ED368" s="1979">
        <v>1.3605609674202821</v>
      </c>
      <c r="EE368" s="1979">
        <v>1.3805913069290729</v>
      </c>
      <c r="EF368" s="1979">
        <v>1.4147607096205406</v>
      </c>
      <c r="EG368" s="1979">
        <v>1.4559996439033458</v>
      </c>
      <c r="EH368" s="1979">
        <v>1.4889907913295906</v>
      </c>
      <c r="EI368" s="1998">
        <v>2.0966679740137137</v>
      </c>
      <c r="EJ368" s="1998">
        <v>2.1461546951530805</v>
      </c>
      <c r="EK368" s="1998">
        <v>2.2097804794751235</v>
      </c>
      <c r="EL368" s="1998">
        <v>2.280475795388504</v>
      </c>
      <c r="EM368" s="1998">
        <v>2.3016843901625181</v>
      </c>
      <c r="EN368" s="1979">
        <v>1.4337071065592959</v>
      </c>
      <c r="EO368" s="1979">
        <v>1.4670348983470329</v>
      </c>
      <c r="EP368" s="1979">
        <v>1.4690547645159866</v>
      </c>
      <c r="EQ368" s="1979">
        <v>1.4710746306849403</v>
      </c>
      <c r="ER368" s="1979">
        <v>1.4730944968538937</v>
      </c>
      <c r="ES368" s="1998">
        <v>1.8379162318633464</v>
      </c>
      <c r="ET368" s="1998">
        <v>1.8661943582286991</v>
      </c>
      <c r="EU368" s="1998">
        <v>1.8732638898200367</v>
      </c>
      <c r="EV368" s="1998">
        <v>1.8803334214113749</v>
      </c>
      <c r="EW368" s="1998">
        <v>1.8874029530027132</v>
      </c>
      <c r="EX368" s="1979">
        <v>1.4662053104562123</v>
      </c>
      <c r="EY368" s="1979">
        <v>1.4987251557763674</v>
      </c>
      <c r="EZ368" s="1979">
        <v>1.5015529684129028</v>
      </c>
      <c r="FA368" s="1979">
        <v>1.5043807810494378</v>
      </c>
      <c r="FB368" s="1979">
        <v>1.5072085936859732</v>
      </c>
      <c r="FC368" s="1998">
        <v>1.6277744053108218</v>
      </c>
      <c r="FD368" s="1998">
        <v>1.6136353421281457</v>
      </c>
      <c r="FE368" s="1998">
        <v>1.6277744053108218</v>
      </c>
      <c r="FF368" s="1998">
        <v>1.6419134684934982</v>
      </c>
      <c r="FG368" s="1998">
        <v>1.6560525316761743</v>
      </c>
      <c r="FH368" s="1979">
        <v>2.3921927569513635</v>
      </c>
      <c r="FI368" s="1979">
        <v>2.3992622885427015</v>
      </c>
      <c r="FJ368" s="1979">
        <v>2.4063318201340396</v>
      </c>
      <c r="FK368" s="1979">
        <v>2.4134013517253781</v>
      </c>
      <c r="FL368" s="1979">
        <v>2.4204708833167157</v>
      </c>
      <c r="FM368" s="1998">
        <v>1.5115041757386145</v>
      </c>
      <c r="FN368" s="1998">
        <v>1.5374257915735208</v>
      </c>
      <c r="FO368" s="1998">
        <v>1.5774864705911036</v>
      </c>
      <c r="FP368" s="1998">
        <v>1.6246166812000238</v>
      </c>
      <c r="FQ368" s="1998">
        <v>1.6552513180958224</v>
      </c>
      <c r="FR368" s="1979">
        <v>18.696584463294087</v>
      </c>
      <c r="FS368" s="1979">
        <v>18.75348613168352</v>
      </c>
      <c r="FT368" s="1979">
        <v>18.810387800072949</v>
      </c>
      <c r="FU368" s="1979">
        <v>18.867289468462388</v>
      </c>
      <c r="FV368" s="1979">
        <v>18.924191136851817</v>
      </c>
      <c r="FW368" s="1998">
        <v>19.033724251273018</v>
      </c>
      <c r="FX368" s="1998">
        <v>19.09051313518972</v>
      </c>
      <c r="FY368" s="1998">
        <v>19.14730201910643</v>
      </c>
      <c r="FZ368" s="1998">
        <v>19.20409090302314</v>
      </c>
      <c r="GA368" s="1998">
        <v>19.260879786939839</v>
      </c>
      <c r="GB368" s="1979">
        <v>1.6775934781314683</v>
      </c>
      <c r="GC368" s="1979">
        <v>1.6845198985296752</v>
      </c>
      <c r="GD368" s="1979">
        <v>1.6914463189278821</v>
      </c>
      <c r="GE368" s="1979">
        <v>1.698372739326089</v>
      </c>
      <c r="GF368" s="1979">
        <v>1.7122255801225028</v>
      </c>
      <c r="GG368" s="1998">
        <v>1.7179970745130155</v>
      </c>
      <c r="GH368" s="1998">
        <v>1.7248979890342699</v>
      </c>
      <c r="GI368" s="1998">
        <v>1.7317989035555246</v>
      </c>
      <c r="GJ368" s="1998">
        <v>1.738699818076779</v>
      </c>
      <c r="GK368" s="2026">
        <v>1.7525016471192878</v>
      </c>
    </row>
    <row r="369" spans="1:193">
      <c r="A369" s="2020"/>
      <c r="B369" s="2">
        <v>24</v>
      </c>
      <c r="C369" s="2" t="s">
        <v>4211</v>
      </c>
      <c r="D369" s="1979">
        <f>IF(Construction!$F$31=Construction!$R$22,Oeko!BQ369,Oeko!ED369)</f>
        <v>1</v>
      </c>
      <c r="E369" s="1979">
        <f>IF(Construction!$F$31=Construction!$R$22,Oeko!BR369,Oeko!EE369)</f>
        <v>1</v>
      </c>
      <c r="F369" s="1979">
        <f>IF(Construction!$F$31=Construction!$R$22,Oeko!BS369,Oeko!EF369)</f>
        <v>1</v>
      </c>
      <c r="G369" s="1979">
        <f>IF(Construction!$F$31=Construction!$R$22,Oeko!BT369,Oeko!EG369)</f>
        <v>1</v>
      </c>
      <c r="H369" s="1979">
        <f>IF(Construction!$F$31=Construction!$R$22,Oeko!BU369,Oeko!EH369)</f>
        <v>1</v>
      </c>
      <c r="I369" s="1998">
        <f>IF(Construction!$F$31=Construction!$R$22,Oeko!BV369,Oeko!EI369)</f>
        <v>1</v>
      </c>
      <c r="J369" s="1998">
        <f>IF(Construction!$F$31=Construction!$R$22,Oeko!BW369,Oeko!EJ369)</f>
        <v>1</v>
      </c>
      <c r="K369" s="1998">
        <f>IF(Construction!$F$31=Construction!$R$22,Oeko!BX369,Oeko!EK369)</f>
        <v>1</v>
      </c>
      <c r="L369" s="1998">
        <f>IF(Construction!$F$31=Construction!$R$22,Oeko!BY369,Oeko!EL369)</f>
        <v>1</v>
      </c>
      <c r="M369" s="1998">
        <f>IF(Construction!$F$31=Construction!$R$22,Oeko!BZ369,Oeko!EM369)</f>
        <v>1</v>
      </c>
      <c r="N369" s="1979">
        <f>IF(Construction!$F$31=Construction!$R$22,Oeko!CA369,Oeko!EN369)</f>
        <v>1.0000000000000002</v>
      </c>
      <c r="O369" s="1979">
        <f>IF(Construction!$F$31=Construction!$R$22,Oeko!CB369,Oeko!EO369)</f>
        <v>1.0000000000000002</v>
      </c>
      <c r="P369" s="1979">
        <f>IF(Construction!$F$31=Construction!$R$22,Oeko!CC369,Oeko!EP369)</f>
        <v>1.0000000000000002</v>
      </c>
      <c r="Q369" s="1979">
        <f>IF(Construction!$F$31=Construction!$R$22,Oeko!CD369,Oeko!EQ369)</f>
        <v>1.0000000000000002</v>
      </c>
      <c r="R369" s="1979">
        <f>IF(Construction!$F$31=Construction!$R$22,Oeko!CE369,Oeko!ER369)</f>
        <v>1.0000000000000002</v>
      </c>
      <c r="S369" s="1998">
        <f>IF(Construction!$F$31=Construction!$R$22,Oeko!CF369,Oeko!ES369)</f>
        <v>1</v>
      </c>
      <c r="T369" s="1998">
        <f>IF(Construction!$F$31=Construction!$R$22,Oeko!CG369,Oeko!ET369)</f>
        <v>1</v>
      </c>
      <c r="U369" s="1998">
        <f>IF(Construction!$F$31=Construction!$R$22,Oeko!CH369,Oeko!EU369)</f>
        <v>1</v>
      </c>
      <c r="V369" s="1998">
        <f>IF(Construction!$F$31=Construction!$R$22,Oeko!CI369,Oeko!EV369)</f>
        <v>1</v>
      </c>
      <c r="W369" s="1998">
        <f>IF(Construction!$F$31=Construction!$R$22,Oeko!CJ369,Oeko!EW369)</f>
        <v>1</v>
      </c>
      <c r="X369" s="1979">
        <f>IF(Construction!$F$31=Construction!$R$22,Oeko!CK369,Oeko!EX369)</f>
        <v>1</v>
      </c>
      <c r="Y369" s="1979">
        <f>IF(Construction!$F$31=Construction!$R$22,Oeko!CL369,Oeko!EY369)</f>
        <v>1</v>
      </c>
      <c r="Z369" s="1979">
        <f>IF(Construction!$F$31=Construction!$R$22,Oeko!CM369,Oeko!EZ369)</f>
        <v>1</v>
      </c>
      <c r="AA369" s="1979">
        <f>IF(Construction!$F$31=Construction!$R$22,Oeko!CN369,Oeko!FA369)</f>
        <v>1</v>
      </c>
      <c r="AB369" s="1979">
        <f>IF(Construction!$F$31=Construction!$R$22,Oeko!CO369,Oeko!FB369)</f>
        <v>1</v>
      </c>
      <c r="AC369" s="1998">
        <f>IF(Construction!$F$31=Construction!$R$22,Oeko!CP369,Oeko!FC369)</f>
        <v>1</v>
      </c>
      <c r="AD369" s="1998">
        <f>IF(Construction!$F$31=Construction!$R$22,Oeko!CQ369,Oeko!FD369)</f>
        <v>1</v>
      </c>
      <c r="AE369" s="1998">
        <f>IF(Construction!$F$31=Construction!$R$22,Oeko!CR369,Oeko!FE369)</f>
        <v>1</v>
      </c>
      <c r="AF369" s="1998">
        <f>IF(Construction!$F$31=Construction!$R$22,Oeko!CS369,Oeko!FF369)</f>
        <v>1</v>
      </c>
      <c r="AG369" s="1998">
        <f>IF(Construction!$F$31=Construction!$R$22,Oeko!CT369,Oeko!FG369)</f>
        <v>1</v>
      </c>
      <c r="AH369" s="1979">
        <f>IF(Construction!$F$31=Construction!$R$22,Oeko!CU369,Oeko!FH369)</f>
        <v>1</v>
      </c>
      <c r="AI369" s="1979">
        <f>IF(Construction!$F$31=Construction!$R$22,Oeko!CV369,Oeko!FI369)</f>
        <v>1</v>
      </c>
      <c r="AJ369" s="1979">
        <f>IF(Construction!$F$31=Construction!$R$22,Oeko!CW369,Oeko!FJ369)</f>
        <v>1</v>
      </c>
      <c r="AK369" s="1979">
        <f>IF(Construction!$F$31=Construction!$R$22,Oeko!CX369,Oeko!FK369)</f>
        <v>1</v>
      </c>
      <c r="AL369" s="1979">
        <f>IF(Construction!$F$31=Construction!$R$22,Oeko!CY369,Oeko!FL369)</f>
        <v>1</v>
      </c>
      <c r="AM369" s="1998">
        <f>IF(Construction!$F$31=Construction!$R$22,Oeko!CZ369,Oeko!FM369)</f>
        <v>0.66666666666666663</v>
      </c>
      <c r="AN369" s="1998">
        <f>IF(Construction!$F$31=Construction!$R$22,Oeko!DA369,Oeko!FN369)</f>
        <v>0.66666666666666663</v>
      </c>
      <c r="AO369" s="1998">
        <f>IF(Construction!$F$31=Construction!$R$22,Oeko!DB369,Oeko!FO369)</f>
        <v>0.66666666666666663</v>
      </c>
      <c r="AP369" s="1998">
        <f>IF(Construction!$F$31=Construction!$R$22,Oeko!DC369,Oeko!FP369)</f>
        <v>0.66666666666666663</v>
      </c>
      <c r="AQ369" s="1998">
        <f>IF(Construction!$F$31=Construction!$R$22,Oeko!DD369,Oeko!FQ369)</f>
        <v>0.66666666666666663</v>
      </c>
      <c r="AR369" s="1979">
        <f>IF(Construction!$F$31=Construction!$R$22,Oeko!DE369,Oeko!FR369)</f>
        <v>8.1914540462959007</v>
      </c>
      <c r="AS369" s="1979">
        <f>IF(Construction!$F$31=Construction!$R$22,Oeko!DF369,Oeko!FS369)</f>
        <v>8.1914540462959007</v>
      </c>
      <c r="AT369" s="1979">
        <f>IF(Construction!$F$31=Construction!$R$22,Oeko!DG369,Oeko!FT369)</f>
        <v>8.1914540462959007</v>
      </c>
      <c r="AU369" s="1979">
        <f>IF(Construction!$F$31=Construction!$R$22,Oeko!DH369,Oeko!FU369)</f>
        <v>8.1914540462959007</v>
      </c>
      <c r="AV369" s="1979">
        <f>IF(Construction!$F$31=Construction!$R$22,Oeko!DI369,Oeko!FV369)</f>
        <v>8.1914540462959007</v>
      </c>
      <c r="AW369" s="1998">
        <f>IF(Construction!$F$31=Construction!$R$22,Oeko!DJ369,Oeko!FW369)</f>
        <v>8.1771999062029916</v>
      </c>
      <c r="AX369" s="1998">
        <f>IF(Construction!$F$31=Construction!$R$22,Oeko!DK369,Oeko!FX369)</f>
        <v>8.1771999062029916</v>
      </c>
      <c r="AY369" s="1998">
        <f>IF(Construction!$F$31=Construction!$R$22,Oeko!DL369,Oeko!FY369)</f>
        <v>8.1771999062029916</v>
      </c>
      <c r="AZ369" s="1998">
        <f>IF(Construction!$F$31=Construction!$R$22,Oeko!DM369,Oeko!FZ369)</f>
        <v>8.1771999062029916</v>
      </c>
      <c r="BA369" s="1998">
        <f>IF(Construction!$F$31=Construction!$R$22,Oeko!DN369,Oeko!GA369)</f>
        <v>8.1771999062029916</v>
      </c>
      <c r="BB369" s="1979">
        <f>IF(Construction!$F$31=Construction!$R$22,Oeko!DO369,Oeko!GB369)</f>
        <v>1</v>
      </c>
      <c r="BC369" s="1979">
        <f>IF(Construction!$F$31=Construction!$R$22,Oeko!DP369,Oeko!GC369)</f>
        <v>1</v>
      </c>
      <c r="BD369" s="1979">
        <f>IF(Construction!$F$31=Construction!$R$22,Oeko!DQ369,Oeko!GD369)</f>
        <v>1</v>
      </c>
      <c r="BE369" s="1979">
        <f>IF(Construction!$F$31=Construction!$R$22,Oeko!DR369,Oeko!GE369)</f>
        <v>1</v>
      </c>
      <c r="BF369" s="1979">
        <f>IF(Construction!$F$31=Construction!$R$22,Oeko!DS369,Oeko!GF369)</f>
        <v>1</v>
      </c>
      <c r="BG369" s="1998">
        <f>IF(Construction!$F$31=Construction!$R$22,Oeko!DT369,Oeko!GG369)</f>
        <v>1</v>
      </c>
      <c r="BH369" s="1998">
        <f>IF(Construction!$F$31=Construction!$R$22,Oeko!DU369,Oeko!GH369)</f>
        <v>1</v>
      </c>
      <c r="BI369" s="1998">
        <f>IF(Construction!$F$31=Construction!$R$22,Oeko!DV369,Oeko!GI369)</f>
        <v>1</v>
      </c>
      <c r="BJ369" s="1998">
        <f>IF(Construction!$F$31=Construction!$R$22,Oeko!DW369,Oeko!GJ369)</f>
        <v>1</v>
      </c>
      <c r="BK369" s="2026">
        <f>IF(Construction!$F$31=Construction!$R$22,Oeko!DX369,Oeko!GK369)</f>
        <v>1</v>
      </c>
      <c r="BN369" s="2022"/>
      <c r="BO369" s="2">
        <v>24</v>
      </c>
      <c r="BP369" s="2" t="s">
        <v>4211</v>
      </c>
      <c r="BQ369" s="1979">
        <v>1</v>
      </c>
      <c r="BR369" s="1979">
        <v>1</v>
      </c>
      <c r="BS369" s="1979">
        <v>1</v>
      </c>
      <c r="BT369" s="1979">
        <v>1</v>
      </c>
      <c r="BU369" s="1979">
        <v>1</v>
      </c>
      <c r="BV369" s="1998">
        <v>1</v>
      </c>
      <c r="BW369" s="1998">
        <v>1</v>
      </c>
      <c r="BX369" s="1998">
        <v>1</v>
      </c>
      <c r="BY369" s="1998">
        <v>1</v>
      </c>
      <c r="BZ369" s="1998">
        <v>1</v>
      </c>
      <c r="CA369" s="1979">
        <v>1.0000000000000002</v>
      </c>
      <c r="CB369" s="1979">
        <v>1.0000000000000002</v>
      </c>
      <c r="CC369" s="1979">
        <v>1.0000000000000002</v>
      </c>
      <c r="CD369" s="1979">
        <v>1.0000000000000002</v>
      </c>
      <c r="CE369" s="1979">
        <v>1.0000000000000002</v>
      </c>
      <c r="CF369" s="1998">
        <v>1</v>
      </c>
      <c r="CG369" s="1998">
        <v>1</v>
      </c>
      <c r="CH369" s="1998">
        <v>1</v>
      </c>
      <c r="CI369" s="1998">
        <v>1</v>
      </c>
      <c r="CJ369" s="1998">
        <v>1</v>
      </c>
      <c r="CK369" s="1979">
        <v>1</v>
      </c>
      <c r="CL369" s="1979">
        <v>1</v>
      </c>
      <c r="CM369" s="1979">
        <v>1</v>
      </c>
      <c r="CN369" s="1979">
        <v>1</v>
      </c>
      <c r="CO369" s="1979">
        <v>1</v>
      </c>
      <c r="CP369" s="1998">
        <v>1</v>
      </c>
      <c r="CQ369" s="1998">
        <v>1</v>
      </c>
      <c r="CR369" s="1998">
        <v>1</v>
      </c>
      <c r="CS369" s="1998">
        <v>1</v>
      </c>
      <c r="CT369" s="1998">
        <v>1</v>
      </c>
      <c r="CU369" s="1979">
        <v>1</v>
      </c>
      <c r="CV369" s="1979">
        <v>1</v>
      </c>
      <c r="CW369" s="1979">
        <v>1</v>
      </c>
      <c r="CX369" s="1979">
        <v>1</v>
      </c>
      <c r="CY369" s="1979">
        <v>1</v>
      </c>
      <c r="CZ369" s="1998">
        <v>0.66666666666666663</v>
      </c>
      <c r="DA369" s="1998">
        <v>0.66666666666666663</v>
      </c>
      <c r="DB369" s="1998">
        <v>0.66666666666666663</v>
      </c>
      <c r="DC369" s="1998">
        <v>0.66666666666666663</v>
      </c>
      <c r="DD369" s="1998">
        <v>0.66666666666666663</v>
      </c>
      <c r="DE369" s="1979">
        <v>8.1914540462959007</v>
      </c>
      <c r="DF369" s="1979">
        <v>8.1914540462959007</v>
      </c>
      <c r="DG369" s="1979">
        <v>8.1914540462959007</v>
      </c>
      <c r="DH369" s="1979">
        <v>8.1914540462959007</v>
      </c>
      <c r="DI369" s="1979">
        <v>8.1914540462959007</v>
      </c>
      <c r="DJ369" s="1998">
        <v>8.1771999062029916</v>
      </c>
      <c r="DK369" s="1998">
        <v>8.1771999062029916</v>
      </c>
      <c r="DL369" s="1998">
        <v>8.1771999062029916</v>
      </c>
      <c r="DM369" s="1998">
        <v>8.1771999062029916</v>
      </c>
      <c r="DN369" s="1998">
        <v>8.1771999062029916</v>
      </c>
      <c r="DO369" s="1979">
        <v>1</v>
      </c>
      <c r="DP369" s="1979">
        <v>1</v>
      </c>
      <c r="DQ369" s="1979">
        <v>1</v>
      </c>
      <c r="DR369" s="1979">
        <v>1</v>
      </c>
      <c r="DS369" s="1979">
        <v>1</v>
      </c>
      <c r="DT369" s="1998">
        <v>1</v>
      </c>
      <c r="DU369" s="1998">
        <v>1</v>
      </c>
      <c r="DV369" s="1998">
        <v>1</v>
      </c>
      <c r="DW369" s="1998">
        <v>1</v>
      </c>
      <c r="DX369" s="2026">
        <v>1</v>
      </c>
      <c r="EA369" s="2022"/>
      <c r="EB369" s="2">
        <v>24</v>
      </c>
      <c r="EC369" s="2" t="s">
        <v>4211</v>
      </c>
      <c r="ED369" s="1979">
        <v>1.2868815919764993</v>
      </c>
      <c r="EE369" s="1979">
        <v>1.2868815919764993</v>
      </c>
      <c r="EF369" s="1979">
        <v>1.2868815919764993</v>
      </c>
      <c r="EG369" s="1979">
        <v>1.2868815919764993</v>
      </c>
      <c r="EH369" s="1979">
        <v>1.2868815919764993</v>
      </c>
      <c r="EI369" s="1998">
        <v>1.5980823726272015</v>
      </c>
      <c r="EJ369" s="1998">
        <v>1.5980823726272015</v>
      </c>
      <c r="EK369" s="1998">
        <v>1.5980823726272015</v>
      </c>
      <c r="EL369" s="1998">
        <v>1.5980823726272015</v>
      </c>
      <c r="EM369" s="1998">
        <v>1.5980823726272015</v>
      </c>
      <c r="EN369" s="1979">
        <v>1.3606673031283796</v>
      </c>
      <c r="EO369" s="1979">
        <v>1.3606673031283796</v>
      </c>
      <c r="EP369" s="1979">
        <v>1.3606673031283796</v>
      </c>
      <c r="EQ369" s="1979">
        <v>1.3606673031283796</v>
      </c>
      <c r="ER369" s="1979">
        <v>1.3606673031283796</v>
      </c>
      <c r="ES369" s="1998">
        <v>1.5330426819868914</v>
      </c>
      <c r="ET369" s="1998">
        <v>1.5330426819868914</v>
      </c>
      <c r="EU369" s="1998">
        <v>1.5330426819868914</v>
      </c>
      <c r="EV369" s="1998">
        <v>1.5330426819868914</v>
      </c>
      <c r="EW369" s="1998">
        <v>1.5330426819868914</v>
      </c>
      <c r="EX369" s="1979">
        <v>1.3807649715094688</v>
      </c>
      <c r="EY369" s="1979">
        <v>1.3807649715094688</v>
      </c>
      <c r="EZ369" s="1979">
        <v>1.3807649715094688</v>
      </c>
      <c r="FA369" s="1979">
        <v>1.3807649715094688</v>
      </c>
      <c r="FB369" s="1979">
        <v>1.3807649715094688</v>
      </c>
      <c r="FC369" s="1998">
        <v>1.6277744053108218</v>
      </c>
      <c r="FD369" s="1998">
        <v>1.6277744053108218</v>
      </c>
      <c r="FE369" s="1998">
        <v>1.6277744053108218</v>
      </c>
      <c r="FF369" s="1998">
        <v>1.6277744053108218</v>
      </c>
      <c r="FG369" s="1998">
        <v>1.6277744053108218</v>
      </c>
      <c r="FH369" s="1979">
        <v>1.9137369581804469</v>
      </c>
      <c r="FI369" s="1979">
        <v>1.9137369581804469</v>
      </c>
      <c r="FJ369" s="1979">
        <v>1.9137369581804469</v>
      </c>
      <c r="FK369" s="1979">
        <v>1.9137369581804469</v>
      </c>
      <c r="FL369" s="1979">
        <v>1.9137369581804469</v>
      </c>
      <c r="FM369" s="1998">
        <v>0.95312408674768578</v>
      </c>
      <c r="FN369" s="1998">
        <v>0.95312408674768578</v>
      </c>
      <c r="FO369" s="1998">
        <v>0.95312408674768578</v>
      </c>
      <c r="FP369" s="1998">
        <v>0.95312408674768578</v>
      </c>
      <c r="FQ369" s="1998">
        <v>0.95312408674768578</v>
      </c>
      <c r="FR369" s="1979">
        <v>13.156124613273878</v>
      </c>
      <c r="FS369" s="1979">
        <v>13.156124613273878</v>
      </c>
      <c r="FT369" s="1979">
        <v>13.156124613273878</v>
      </c>
      <c r="FU369" s="1979">
        <v>13.156124613273878</v>
      </c>
      <c r="FV369" s="1979">
        <v>13.156124613273878</v>
      </c>
      <c r="FW369" s="1998">
        <v>13.515354994373412</v>
      </c>
      <c r="FX369" s="1998">
        <v>13.515354994373412</v>
      </c>
      <c r="FY369" s="1998">
        <v>13.515354994373412</v>
      </c>
      <c r="FZ369" s="1998">
        <v>13.515354994373412</v>
      </c>
      <c r="GA369" s="1998">
        <v>13.515354994373412</v>
      </c>
      <c r="GB369" s="1979">
        <v>1.3861479372000356</v>
      </c>
      <c r="GC369" s="1979">
        <v>1.3861479372000356</v>
      </c>
      <c r="GD369" s="1979">
        <v>1.3861479372000356</v>
      </c>
      <c r="GE369" s="1979">
        <v>1.3861479372000356</v>
      </c>
      <c r="GF369" s="1979">
        <v>1.3861479372000356</v>
      </c>
      <c r="GG369" s="1998">
        <v>1.4313071575784038</v>
      </c>
      <c r="GH369" s="1998">
        <v>1.4313071575784038</v>
      </c>
      <c r="GI369" s="1998">
        <v>1.4313071575784038</v>
      </c>
      <c r="GJ369" s="1998">
        <v>1.4313071575784038</v>
      </c>
      <c r="GK369" s="2026">
        <v>1.4313071575784038</v>
      </c>
    </row>
    <row r="370" spans="1:193">
      <c r="A370" s="2020"/>
      <c r="B370" s="2">
        <v>25</v>
      </c>
      <c r="C370" s="2" t="s">
        <v>4229</v>
      </c>
      <c r="D370" s="1979">
        <f>IF(Construction!$F$31=Construction!$R$22,Oeko!BQ370,Oeko!ED370)</f>
        <v>1</v>
      </c>
      <c r="E370" s="1979">
        <f>IF(Construction!$F$31=Construction!$R$22,Oeko!BR370,Oeko!EE370)</f>
        <v>1</v>
      </c>
      <c r="F370" s="1979">
        <f>IF(Construction!$F$31=Construction!$R$22,Oeko!BS370,Oeko!EF370)</f>
        <v>1</v>
      </c>
      <c r="G370" s="1979">
        <f>IF(Construction!$F$31=Construction!$R$22,Oeko!BT370,Oeko!EG370)</f>
        <v>1</v>
      </c>
      <c r="H370" s="1979">
        <f>IF(Construction!$F$31=Construction!$R$22,Oeko!BU370,Oeko!EH370)</f>
        <v>1</v>
      </c>
      <c r="I370" s="1998">
        <f>IF(Construction!$F$31=Construction!$R$22,Oeko!BV370,Oeko!EI370)</f>
        <v>1</v>
      </c>
      <c r="J370" s="1998">
        <f>IF(Construction!$F$31=Construction!$R$22,Oeko!BW370,Oeko!EJ370)</f>
        <v>1</v>
      </c>
      <c r="K370" s="1998">
        <f>IF(Construction!$F$31=Construction!$R$22,Oeko!BX370,Oeko!EK370)</f>
        <v>1</v>
      </c>
      <c r="L370" s="1998">
        <f>IF(Construction!$F$31=Construction!$R$22,Oeko!BY370,Oeko!EL370)</f>
        <v>1</v>
      </c>
      <c r="M370" s="1998">
        <f>IF(Construction!$F$31=Construction!$R$22,Oeko!BZ370,Oeko!EM370)</f>
        <v>1</v>
      </c>
      <c r="N370" s="1979">
        <f>IF(Construction!$F$31=Construction!$R$22,Oeko!CA370,Oeko!EN370)</f>
        <v>1</v>
      </c>
      <c r="O370" s="1979">
        <f>IF(Construction!$F$31=Construction!$R$22,Oeko!CB370,Oeko!EO370)</f>
        <v>1</v>
      </c>
      <c r="P370" s="1979">
        <f>IF(Construction!$F$31=Construction!$R$22,Oeko!CC370,Oeko!EP370)</f>
        <v>1</v>
      </c>
      <c r="Q370" s="1979">
        <f>IF(Construction!$F$31=Construction!$R$22,Oeko!CD370,Oeko!EQ370)</f>
        <v>1</v>
      </c>
      <c r="R370" s="1979">
        <f>IF(Construction!$F$31=Construction!$R$22,Oeko!CE370,Oeko!ER370)</f>
        <v>1</v>
      </c>
      <c r="S370" s="1998">
        <f>IF(Construction!$F$31=Construction!$R$22,Oeko!CF370,Oeko!ES370)</f>
        <v>1.0000000000000002</v>
      </c>
      <c r="T370" s="1998">
        <f>IF(Construction!$F$31=Construction!$R$22,Oeko!CG370,Oeko!ET370)</f>
        <v>1.0000000000000002</v>
      </c>
      <c r="U370" s="1998">
        <f>IF(Construction!$F$31=Construction!$R$22,Oeko!CH370,Oeko!EU370)</f>
        <v>1.0000000000000002</v>
      </c>
      <c r="V370" s="1998">
        <f>IF(Construction!$F$31=Construction!$R$22,Oeko!CI370,Oeko!EV370)</f>
        <v>1.0000000000000002</v>
      </c>
      <c r="W370" s="1998">
        <f>IF(Construction!$F$31=Construction!$R$22,Oeko!CJ370,Oeko!EW370)</f>
        <v>1.0000000000000002</v>
      </c>
      <c r="X370" s="1979">
        <f>IF(Construction!$F$31=Construction!$R$22,Oeko!CK370,Oeko!EX370)</f>
        <v>1</v>
      </c>
      <c r="Y370" s="1979">
        <f>IF(Construction!$F$31=Construction!$R$22,Oeko!CL370,Oeko!EY370)</f>
        <v>1</v>
      </c>
      <c r="Z370" s="1979">
        <f>IF(Construction!$F$31=Construction!$R$22,Oeko!CM370,Oeko!EZ370)</f>
        <v>1</v>
      </c>
      <c r="AA370" s="1979">
        <f>IF(Construction!$F$31=Construction!$R$22,Oeko!CN370,Oeko!FA370)</f>
        <v>1</v>
      </c>
      <c r="AB370" s="1979">
        <f>IF(Construction!$F$31=Construction!$R$22,Oeko!CO370,Oeko!FB370)</f>
        <v>1</v>
      </c>
      <c r="AC370" s="1998">
        <f>IF(Construction!$F$31=Construction!$R$22,Oeko!CP370,Oeko!FC370)</f>
        <v>1</v>
      </c>
      <c r="AD370" s="1998">
        <f>IF(Construction!$F$31=Construction!$R$22,Oeko!CQ370,Oeko!FD370)</f>
        <v>1</v>
      </c>
      <c r="AE370" s="1998">
        <f>IF(Construction!$F$31=Construction!$R$22,Oeko!CR370,Oeko!FE370)</f>
        <v>1</v>
      </c>
      <c r="AF370" s="1998">
        <f>IF(Construction!$F$31=Construction!$R$22,Oeko!CS370,Oeko!FF370)</f>
        <v>1</v>
      </c>
      <c r="AG370" s="1998">
        <f>IF(Construction!$F$31=Construction!$R$22,Oeko!CT370,Oeko!FG370)</f>
        <v>1</v>
      </c>
      <c r="AH370" s="1979">
        <f>IF(Construction!$F$31=Construction!$R$22,Oeko!CU370,Oeko!FH370)</f>
        <v>1</v>
      </c>
      <c r="AI370" s="1979">
        <f>IF(Construction!$F$31=Construction!$R$22,Oeko!CV370,Oeko!FI370)</f>
        <v>1</v>
      </c>
      <c r="AJ370" s="1979">
        <f>IF(Construction!$F$31=Construction!$R$22,Oeko!CW370,Oeko!FJ370)</f>
        <v>1</v>
      </c>
      <c r="AK370" s="1979">
        <f>IF(Construction!$F$31=Construction!$R$22,Oeko!CX370,Oeko!FK370)</f>
        <v>1</v>
      </c>
      <c r="AL370" s="1979">
        <f>IF(Construction!$F$31=Construction!$R$22,Oeko!CY370,Oeko!FL370)</f>
        <v>1</v>
      </c>
      <c r="AM370" s="1998">
        <f>IF(Construction!$F$31=Construction!$R$22,Oeko!CZ370,Oeko!FM370)</f>
        <v>0.66666666666666663</v>
      </c>
      <c r="AN370" s="1998">
        <f>IF(Construction!$F$31=Construction!$R$22,Oeko!DA370,Oeko!FN370)</f>
        <v>0.66666666666666663</v>
      </c>
      <c r="AO370" s="1998">
        <f>IF(Construction!$F$31=Construction!$R$22,Oeko!DB370,Oeko!FO370)</f>
        <v>0.66666666666666663</v>
      </c>
      <c r="AP370" s="1998">
        <f>IF(Construction!$F$31=Construction!$R$22,Oeko!DC370,Oeko!FP370)</f>
        <v>0.66666666666666663</v>
      </c>
      <c r="AQ370" s="1998">
        <f>IF(Construction!$F$31=Construction!$R$22,Oeko!DD370,Oeko!FQ370)</f>
        <v>0.66666666666666663</v>
      </c>
      <c r="AR370" s="1979">
        <f>IF(Construction!$F$31=Construction!$R$22,Oeko!DE370,Oeko!FR370)</f>
        <v>6.393590534721926</v>
      </c>
      <c r="AS370" s="1979">
        <f>IF(Construction!$F$31=Construction!$R$22,Oeko!DF370,Oeko!FS370)</f>
        <v>6.393590534721926</v>
      </c>
      <c r="AT370" s="1979">
        <f>IF(Construction!$F$31=Construction!$R$22,Oeko!DG370,Oeko!FT370)</f>
        <v>6.393590534721926</v>
      </c>
      <c r="AU370" s="1979">
        <f>IF(Construction!$F$31=Construction!$R$22,Oeko!DH370,Oeko!FU370)</f>
        <v>6.393590534721926</v>
      </c>
      <c r="AV370" s="1979">
        <f>IF(Construction!$F$31=Construction!$R$22,Oeko!DI370,Oeko!FV370)</f>
        <v>6.393590534721926</v>
      </c>
      <c r="AW370" s="1998">
        <f>IF(Construction!$F$31=Construction!$R$22,Oeko!DJ370,Oeko!FW370)</f>
        <v>6.3828999296522442</v>
      </c>
      <c r="AX370" s="1998">
        <f>IF(Construction!$F$31=Construction!$R$22,Oeko!DK370,Oeko!FX370)</f>
        <v>6.3828999296522442</v>
      </c>
      <c r="AY370" s="1998">
        <f>IF(Construction!$F$31=Construction!$R$22,Oeko!DL370,Oeko!FY370)</f>
        <v>6.3828999296522442</v>
      </c>
      <c r="AZ370" s="1998">
        <f>IF(Construction!$F$31=Construction!$R$22,Oeko!DM370,Oeko!FZ370)</f>
        <v>6.3828999296522442</v>
      </c>
      <c r="BA370" s="1998">
        <f>IF(Construction!$F$31=Construction!$R$22,Oeko!DN370,Oeko!GA370)</f>
        <v>6.3828999296522442</v>
      </c>
      <c r="BB370" s="1979">
        <f>IF(Construction!$F$31=Construction!$R$22,Oeko!DO370,Oeko!GB370)</f>
        <v>0.78115301620803501</v>
      </c>
      <c r="BC370" s="1979">
        <f>IF(Construction!$F$31=Construction!$R$22,Oeko!DP370,Oeko!GC370)</f>
        <v>0.78115301620803501</v>
      </c>
      <c r="BD370" s="1979">
        <f>IF(Construction!$F$31=Construction!$R$22,Oeko!DQ370,Oeko!GD370)</f>
        <v>0.78115301620803501</v>
      </c>
      <c r="BE370" s="1979">
        <f>IF(Construction!$F$31=Construction!$R$22,Oeko!DR370,Oeko!GE370)</f>
        <v>0.78115301620803501</v>
      </c>
      <c r="BF370" s="1979">
        <f>IF(Construction!$F$31=Construction!$R$22,Oeko!DS370,Oeko!GF370)</f>
        <v>0.78115301620803501</v>
      </c>
      <c r="BG370" s="1998">
        <f>IF(Construction!$F$31=Construction!$R$22,Oeko!DT370,Oeko!GG370)</f>
        <v>0.78195889917775152</v>
      </c>
      <c r="BH370" s="1998">
        <f>IF(Construction!$F$31=Construction!$R$22,Oeko!DU370,Oeko!GH370)</f>
        <v>0.78195889917775152</v>
      </c>
      <c r="BI370" s="1998">
        <f>IF(Construction!$F$31=Construction!$R$22,Oeko!DV370,Oeko!GI370)</f>
        <v>0.78195889917775152</v>
      </c>
      <c r="BJ370" s="1998">
        <f>IF(Construction!$F$31=Construction!$R$22,Oeko!DW370,Oeko!GJ370)</f>
        <v>0.78195889917775152</v>
      </c>
      <c r="BK370" s="2026">
        <f>IF(Construction!$F$31=Construction!$R$22,Oeko!DX370,Oeko!GK370)</f>
        <v>0.78195889917775152</v>
      </c>
      <c r="BN370" s="2022"/>
      <c r="BO370" s="2">
        <v>25</v>
      </c>
      <c r="BP370" s="2" t="s">
        <v>4229</v>
      </c>
      <c r="BQ370" s="1979">
        <v>1</v>
      </c>
      <c r="BR370" s="1979">
        <v>1</v>
      </c>
      <c r="BS370" s="1979">
        <v>1</v>
      </c>
      <c r="BT370" s="1979">
        <v>1</v>
      </c>
      <c r="BU370" s="1979">
        <v>1</v>
      </c>
      <c r="BV370" s="1998">
        <v>1</v>
      </c>
      <c r="BW370" s="1998">
        <v>1</v>
      </c>
      <c r="BX370" s="1998">
        <v>1</v>
      </c>
      <c r="BY370" s="1998">
        <v>1</v>
      </c>
      <c r="BZ370" s="1998">
        <v>1</v>
      </c>
      <c r="CA370" s="1979">
        <v>1</v>
      </c>
      <c r="CB370" s="1979">
        <v>1</v>
      </c>
      <c r="CC370" s="1979">
        <v>1</v>
      </c>
      <c r="CD370" s="1979">
        <v>1</v>
      </c>
      <c r="CE370" s="1979">
        <v>1</v>
      </c>
      <c r="CF370" s="1998">
        <v>1.0000000000000002</v>
      </c>
      <c r="CG370" s="1998">
        <v>1.0000000000000002</v>
      </c>
      <c r="CH370" s="1998">
        <v>1.0000000000000002</v>
      </c>
      <c r="CI370" s="1998">
        <v>1.0000000000000002</v>
      </c>
      <c r="CJ370" s="1998">
        <v>1.0000000000000002</v>
      </c>
      <c r="CK370" s="1979">
        <v>1</v>
      </c>
      <c r="CL370" s="1979">
        <v>1</v>
      </c>
      <c r="CM370" s="1979">
        <v>1</v>
      </c>
      <c r="CN370" s="1979">
        <v>1</v>
      </c>
      <c r="CO370" s="1979">
        <v>1</v>
      </c>
      <c r="CP370" s="1998">
        <v>1</v>
      </c>
      <c r="CQ370" s="1998">
        <v>1</v>
      </c>
      <c r="CR370" s="1998">
        <v>1</v>
      </c>
      <c r="CS370" s="1998">
        <v>1</v>
      </c>
      <c r="CT370" s="1998">
        <v>1</v>
      </c>
      <c r="CU370" s="1979">
        <v>1</v>
      </c>
      <c r="CV370" s="1979">
        <v>1</v>
      </c>
      <c r="CW370" s="1979">
        <v>1</v>
      </c>
      <c r="CX370" s="1979">
        <v>1</v>
      </c>
      <c r="CY370" s="1979">
        <v>1</v>
      </c>
      <c r="CZ370" s="1998">
        <v>0.66666666666666663</v>
      </c>
      <c r="DA370" s="1998">
        <v>0.66666666666666663</v>
      </c>
      <c r="DB370" s="1998">
        <v>0.66666666666666663</v>
      </c>
      <c r="DC370" s="1998">
        <v>0.66666666666666663</v>
      </c>
      <c r="DD370" s="1998">
        <v>0.66666666666666663</v>
      </c>
      <c r="DE370" s="1979">
        <v>6.393590534721926</v>
      </c>
      <c r="DF370" s="1979">
        <v>6.393590534721926</v>
      </c>
      <c r="DG370" s="1979">
        <v>6.393590534721926</v>
      </c>
      <c r="DH370" s="1979">
        <v>6.393590534721926</v>
      </c>
      <c r="DI370" s="1979">
        <v>6.393590534721926</v>
      </c>
      <c r="DJ370" s="1998">
        <v>6.3828999296522442</v>
      </c>
      <c r="DK370" s="1998">
        <v>6.3828999296522442</v>
      </c>
      <c r="DL370" s="1998">
        <v>6.3828999296522442</v>
      </c>
      <c r="DM370" s="1998">
        <v>6.3828999296522442</v>
      </c>
      <c r="DN370" s="1998">
        <v>6.3828999296522442</v>
      </c>
      <c r="DO370" s="1979">
        <v>0.78115301620803501</v>
      </c>
      <c r="DP370" s="1979">
        <v>0.78115301620803501</v>
      </c>
      <c r="DQ370" s="1979">
        <v>0.78115301620803501</v>
      </c>
      <c r="DR370" s="1979">
        <v>0.78115301620803501</v>
      </c>
      <c r="DS370" s="1979">
        <v>0.78115301620803501</v>
      </c>
      <c r="DT370" s="1998">
        <v>0.78195889917775152</v>
      </c>
      <c r="DU370" s="1998">
        <v>0.78195889917775152</v>
      </c>
      <c r="DV370" s="1998">
        <v>0.78195889917775152</v>
      </c>
      <c r="DW370" s="1998">
        <v>0.78195889917775152</v>
      </c>
      <c r="DX370" s="2026">
        <v>0.78195889917775152</v>
      </c>
      <c r="EA370" s="2022"/>
      <c r="EB370" s="2">
        <v>25</v>
      </c>
      <c r="EC370" s="2" t="s">
        <v>4229</v>
      </c>
      <c r="ED370" s="1979">
        <v>1.3137061099439951</v>
      </c>
      <c r="EE370" s="1979">
        <v>1.3137061099439951</v>
      </c>
      <c r="EF370" s="1979">
        <v>1.3137061099439951</v>
      </c>
      <c r="EG370" s="1979">
        <v>1.3137061099439951</v>
      </c>
      <c r="EH370" s="1979">
        <v>1.3137061099439951</v>
      </c>
      <c r="EI370" s="1998">
        <v>1.7872841547940841</v>
      </c>
      <c r="EJ370" s="1998">
        <v>1.7872841547940841</v>
      </c>
      <c r="EK370" s="1998">
        <v>1.7872841547940841</v>
      </c>
      <c r="EL370" s="1998">
        <v>1.7872841547940841</v>
      </c>
      <c r="EM370" s="1998">
        <v>1.7872841547940841</v>
      </c>
      <c r="EN370" s="1979">
        <v>1.4053027385583838</v>
      </c>
      <c r="EO370" s="1979">
        <v>1.4053027385583838</v>
      </c>
      <c r="EP370" s="1979">
        <v>1.4053027385583838</v>
      </c>
      <c r="EQ370" s="1979">
        <v>1.4053027385583838</v>
      </c>
      <c r="ER370" s="1979">
        <v>1.4053027385583838</v>
      </c>
      <c r="ES370" s="1998">
        <v>1.7252455721263957</v>
      </c>
      <c r="ET370" s="1998">
        <v>1.7252455721263957</v>
      </c>
      <c r="EU370" s="1998">
        <v>1.7252455721263957</v>
      </c>
      <c r="EV370" s="1998">
        <v>1.7252455721263957</v>
      </c>
      <c r="EW370" s="1998">
        <v>1.7252455721263957</v>
      </c>
      <c r="EX370" s="1979">
        <v>1.4298477194150447</v>
      </c>
      <c r="EY370" s="1979">
        <v>1.4298477194150447</v>
      </c>
      <c r="EZ370" s="1979">
        <v>1.4298477194150447</v>
      </c>
      <c r="FA370" s="1979">
        <v>1.4298477194150447</v>
      </c>
      <c r="FB370" s="1979">
        <v>1.4298477194150447</v>
      </c>
      <c r="FC370" s="1998">
        <v>1.8981839886795036</v>
      </c>
      <c r="FD370" s="1998">
        <v>1.8981839886795036</v>
      </c>
      <c r="FE370" s="1998">
        <v>1.8981839886795036</v>
      </c>
      <c r="FF370" s="1998">
        <v>1.8981839886795036</v>
      </c>
      <c r="FG370" s="1998">
        <v>1.8981839886795036</v>
      </c>
      <c r="FH370" s="1979">
        <v>2.1927309727671824</v>
      </c>
      <c r="FI370" s="1979">
        <v>2.1927309727671824</v>
      </c>
      <c r="FJ370" s="1979">
        <v>2.1927309727671824</v>
      </c>
      <c r="FK370" s="1979">
        <v>2.1927309727671824</v>
      </c>
      <c r="FL370" s="1979">
        <v>2.1927309727671824</v>
      </c>
      <c r="FM370" s="1998">
        <v>1.0285324237219586</v>
      </c>
      <c r="FN370" s="1998">
        <v>1.0285324237219586</v>
      </c>
      <c r="FO370" s="1998">
        <v>1.0285324237219586</v>
      </c>
      <c r="FP370" s="1998">
        <v>1.0285324237219586</v>
      </c>
      <c r="FQ370" s="1998">
        <v>1.0285324237219586</v>
      </c>
      <c r="FR370" s="1979">
        <v>12.009073933904036</v>
      </c>
      <c r="FS370" s="1979">
        <v>12.009073933904036</v>
      </c>
      <c r="FT370" s="1979">
        <v>12.009073933904036</v>
      </c>
      <c r="FU370" s="1979">
        <v>12.009073933904036</v>
      </c>
      <c r="FV370" s="1979">
        <v>12.009073933904036</v>
      </c>
      <c r="FW370" s="1998">
        <v>12.366014485162406</v>
      </c>
      <c r="FX370" s="1998">
        <v>12.366014485162406</v>
      </c>
      <c r="FY370" s="1998">
        <v>12.366014485162406</v>
      </c>
      <c r="FZ370" s="1998">
        <v>12.366014485162406</v>
      </c>
      <c r="GA370" s="1998">
        <v>12.366014485162406</v>
      </c>
      <c r="GB370" s="1979">
        <v>1.2468215875951767</v>
      </c>
      <c r="GC370" s="1979">
        <v>1.2468215875951767</v>
      </c>
      <c r="GD370" s="1979">
        <v>1.2468215875951767</v>
      </c>
      <c r="GE370" s="1979">
        <v>1.2468215875951767</v>
      </c>
      <c r="GF370" s="1979">
        <v>1.2468215875951767</v>
      </c>
      <c r="GG370" s="1998">
        <v>1.3027314842995616</v>
      </c>
      <c r="GH370" s="1998">
        <v>1.3027314842995616</v>
      </c>
      <c r="GI370" s="1998">
        <v>1.3027314842995616</v>
      </c>
      <c r="GJ370" s="1998">
        <v>1.3027314842995616</v>
      </c>
      <c r="GK370" s="2026">
        <v>1.3027314842995616</v>
      </c>
    </row>
    <row r="371" spans="1:193">
      <c r="A371" s="2020"/>
      <c r="B371" s="2">
        <v>26</v>
      </c>
      <c r="C371" s="2" t="s">
        <v>4244</v>
      </c>
      <c r="D371" s="1979">
        <f>IF(Construction!$F$31=Construction!$R$22,Oeko!BQ371,Oeko!ED371)</f>
        <v>1</v>
      </c>
      <c r="E371" s="1979">
        <f>IF(Construction!$F$31=Construction!$R$22,Oeko!BR371,Oeko!EE371)</f>
        <v>1</v>
      </c>
      <c r="F371" s="1979">
        <f>IF(Construction!$F$31=Construction!$R$22,Oeko!BS371,Oeko!EF371)</f>
        <v>1</v>
      </c>
      <c r="G371" s="1979">
        <f>IF(Construction!$F$31=Construction!$R$22,Oeko!BT371,Oeko!EG371)</f>
        <v>1</v>
      </c>
      <c r="H371" s="1979">
        <f>IF(Construction!$F$31=Construction!$R$22,Oeko!BU371,Oeko!EH371)</f>
        <v>1</v>
      </c>
      <c r="I371" s="1998">
        <f>IF(Construction!$F$31=Construction!$R$22,Oeko!BV371,Oeko!EI371)</f>
        <v>1</v>
      </c>
      <c r="J371" s="1998">
        <f>IF(Construction!$F$31=Construction!$R$22,Oeko!BW371,Oeko!EJ371)</f>
        <v>1</v>
      </c>
      <c r="K371" s="1998">
        <f>IF(Construction!$F$31=Construction!$R$22,Oeko!BX371,Oeko!EK371)</f>
        <v>1</v>
      </c>
      <c r="L371" s="1998">
        <f>IF(Construction!$F$31=Construction!$R$22,Oeko!BY371,Oeko!EL371)</f>
        <v>1</v>
      </c>
      <c r="M371" s="1998">
        <f>IF(Construction!$F$31=Construction!$R$22,Oeko!BZ371,Oeko!EM371)</f>
        <v>1</v>
      </c>
      <c r="N371" s="1979">
        <f>IF(Construction!$F$31=Construction!$R$22,Oeko!CA371,Oeko!EN371)</f>
        <v>1</v>
      </c>
      <c r="O371" s="1979">
        <f>IF(Construction!$F$31=Construction!$R$22,Oeko!CB371,Oeko!EO371)</f>
        <v>1</v>
      </c>
      <c r="P371" s="1979">
        <f>IF(Construction!$F$31=Construction!$R$22,Oeko!CC371,Oeko!EP371)</f>
        <v>1</v>
      </c>
      <c r="Q371" s="1979">
        <f>IF(Construction!$F$31=Construction!$R$22,Oeko!CD371,Oeko!EQ371)</f>
        <v>1</v>
      </c>
      <c r="R371" s="1979">
        <f>IF(Construction!$F$31=Construction!$R$22,Oeko!CE371,Oeko!ER371)</f>
        <v>1</v>
      </c>
      <c r="S371" s="1998">
        <f>IF(Construction!$F$31=Construction!$R$22,Oeko!CF371,Oeko!ES371)</f>
        <v>1</v>
      </c>
      <c r="T371" s="1998">
        <f>IF(Construction!$F$31=Construction!$R$22,Oeko!CG371,Oeko!ET371)</f>
        <v>1</v>
      </c>
      <c r="U371" s="1998">
        <f>IF(Construction!$F$31=Construction!$R$22,Oeko!CH371,Oeko!EU371)</f>
        <v>1</v>
      </c>
      <c r="V371" s="1998">
        <f>IF(Construction!$F$31=Construction!$R$22,Oeko!CI371,Oeko!EV371)</f>
        <v>1</v>
      </c>
      <c r="W371" s="1998">
        <f>IF(Construction!$F$31=Construction!$R$22,Oeko!CJ371,Oeko!EW371)</f>
        <v>1</v>
      </c>
      <c r="X371" s="1979">
        <f>IF(Construction!$F$31=Construction!$R$22,Oeko!CK371,Oeko!EX371)</f>
        <v>1</v>
      </c>
      <c r="Y371" s="1979">
        <f>IF(Construction!$F$31=Construction!$R$22,Oeko!CL371,Oeko!EY371)</f>
        <v>1</v>
      </c>
      <c r="Z371" s="1979">
        <f>IF(Construction!$F$31=Construction!$R$22,Oeko!CM371,Oeko!EZ371)</f>
        <v>1</v>
      </c>
      <c r="AA371" s="1979">
        <f>IF(Construction!$F$31=Construction!$R$22,Oeko!CN371,Oeko!FA371)</f>
        <v>1</v>
      </c>
      <c r="AB371" s="1979">
        <f>IF(Construction!$F$31=Construction!$R$22,Oeko!CO371,Oeko!FB371)</f>
        <v>1</v>
      </c>
      <c r="AC371" s="1998">
        <f>IF(Construction!$F$31=Construction!$R$22,Oeko!CP371,Oeko!FC371)</f>
        <v>1</v>
      </c>
      <c r="AD371" s="1998">
        <f>IF(Construction!$F$31=Construction!$R$22,Oeko!CQ371,Oeko!FD371)</f>
        <v>1</v>
      </c>
      <c r="AE371" s="1998">
        <f>IF(Construction!$F$31=Construction!$R$22,Oeko!CR371,Oeko!FE371)</f>
        <v>1</v>
      </c>
      <c r="AF371" s="1998">
        <f>IF(Construction!$F$31=Construction!$R$22,Oeko!CS371,Oeko!FF371)</f>
        <v>1</v>
      </c>
      <c r="AG371" s="1998">
        <f>IF(Construction!$F$31=Construction!$R$22,Oeko!CT371,Oeko!FG371)</f>
        <v>1</v>
      </c>
      <c r="AH371" s="1979">
        <f>IF(Construction!$F$31=Construction!$R$22,Oeko!CU371,Oeko!FH371)</f>
        <v>1</v>
      </c>
      <c r="AI371" s="1979">
        <f>IF(Construction!$F$31=Construction!$R$22,Oeko!CV371,Oeko!FI371)</f>
        <v>1</v>
      </c>
      <c r="AJ371" s="1979">
        <f>IF(Construction!$F$31=Construction!$R$22,Oeko!CW371,Oeko!FJ371)</f>
        <v>1</v>
      </c>
      <c r="AK371" s="1979">
        <f>IF(Construction!$F$31=Construction!$R$22,Oeko!CX371,Oeko!FK371)</f>
        <v>1</v>
      </c>
      <c r="AL371" s="1979">
        <f>IF(Construction!$F$31=Construction!$R$22,Oeko!CY371,Oeko!FL371)</f>
        <v>1</v>
      </c>
      <c r="AM371" s="1998">
        <f>IF(Construction!$F$31=Construction!$R$22,Oeko!CZ371,Oeko!FM371)</f>
        <v>1</v>
      </c>
      <c r="AN371" s="1998">
        <f>IF(Construction!$F$31=Construction!$R$22,Oeko!DA371,Oeko!FN371)</f>
        <v>1</v>
      </c>
      <c r="AO371" s="1998">
        <f>IF(Construction!$F$31=Construction!$R$22,Oeko!DB371,Oeko!FO371)</f>
        <v>1</v>
      </c>
      <c r="AP371" s="1998">
        <f>IF(Construction!$F$31=Construction!$R$22,Oeko!DC371,Oeko!FP371)</f>
        <v>1</v>
      </c>
      <c r="AQ371" s="1998">
        <f>IF(Construction!$F$31=Construction!$R$22,Oeko!DD371,Oeko!FQ371)</f>
        <v>1</v>
      </c>
      <c r="AR371" s="1979">
        <f>IF(Construction!$F$31=Construction!$R$22,Oeko!DE371,Oeko!FR371)</f>
        <v>1</v>
      </c>
      <c r="AS371" s="1979">
        <f>IF(Construction!$F$31=Construction!$R$22,Oeko!DF371,Oeko!FS371)</f>
        <v>1</v>
      </c>
      <c r="AT371" s="1979">
        <f>IF(Construction!$F$31=Construction!$R$22,Oeko!DG371,Oeko!FT371)</f>
        <v>1</v>
      </c>
      <c r="AU371" s="1979">
        <f>IF(Construction!$F$31=Construction!$R$22,Oeko!DH371,Oeko!FU371)</f>
        <v>1</v>
      </c>
      <c r="AV371" s="1979">
        <f>IF(Construction!$F$31=Construction!$R$22,Oeko!DI371,Oeko!FV371)</f>
        <v>1</v>
      </c>
      <c r="AW371" s="1998">
        <f>IF(Construction!$F$31=Construction!$R$22,Oeko!DJ371,Oeko!FW371)</f>
        <v>1</v>
      </c>
      <c r="AX371" s="1998">
        <f>IF(Construction!$F$31=Construction!$R$22,Oeko!DK371,Oeko!FX371)</f>
        <v>1</v>
      </c>
      <c r="AY371" s="1998">
        <f>IF(Construction!$F$31=Construction!$R$22,Oeko!DL371,Oeko!FY371)</f>
        <v>1</v>
      </c>
      <c r="AZ371" s="1998">
        <f>IF(Construction!$F$31=Construction!$R$22,Oeko!DM371,Oeko!FZ371)</f>
        <v>1</v>
      </c>
      <c r="BA371" s="1998">
        <f>IF(Construction!$F$31=Construction!$R$22,Oeko!DN371,Oeko!GA371)</f>
        <v>1</v>
      </c>
      <c r="BB371" s="1979">
        <f>IF(Construction!$F$31=Construction!$R$22,Oeko!DO371,Oeko!GB371)</f>
        <v>0.12461206483213953</v>
      </c>
      <c r="BC371" s="1979">
        <f>IF(Construction!$F$31=Construction!$R$22,Oeko!DP371,Oeko!GC371)</f>
        <v>0.12461206483213953</v>
      </c>
      <c r="BD371" s="1979">
        <f>IF(Construction!$F$31=Construction!$R$22,Oeko!DQ371,Oeko!GD371)</f>
        <v>0.12461206483213953</v>
      </c>
      <c r="BE371" s="1979">
        <f>IF(Construction!$F$31=Construction!$R$22,Oeko!DR371,Oeko!GE371)</f>
        <v>0.12461206483213953</v>
      </c>
      <c r="BF371" s="1979">
        <f>IF(Construction!$F$31=Construction!$R$22,Oeko!DS371,Oeko!GF371)</f>
        <v>0.12461206483213953</v>
      </c>
      <c r="BG371" s="1998">
        <f>IF(Construction!$F$31=Construction!$R$22,Oeko!DT371,Oeko!GG371)</f>
        <v>0.12783559671100567</v>
      </c>
      <c r="BH371" s="1998">
        <f>IF(Construction!$F$31=Construction!$R$22,Oeko!DU371,Oeko!GH371)</f>
        <v>0.12783559671100567</v>
      </c>
      <c r="BI371" s="1998">
        <f>IF(Construction!$F$31=Construction!$R$22,Oeko!DV371,Oeko!GI371)</f>
        <v>0.12783559671100567</v>
      </c>
      <c r="BJ371" s="1998">
        <f>IF(Construction!$F$31=Construction!$R$22,Oeko!DW371,Oeko!GJ371)</f>
        <v>0.12783559671100567</v>
      </c>
      <c r="BK371" s="2026">
        <f>IF(Construction!$F$31=Construction!$R$22,Oeko!DX371,Oeko!GK371)</f>
        <v>0.12783559671100567</v>
      </c>
      <c r="BN371" s="2022"/>
      <c r="BO371" s="2">
        <v>26</v>
      </c>
      <c r="BP371" s="2" t="s">
        <v>4244</v>
      </c>
      <c r="BQ371" s="1979">
        <v>1</v>
      </c>
      <c r="BR371" s="1979">
        <v>1</v>
      </c>
      <c r="BS371" s="1979">
        <v>1</v>
      </c>
      <c r="BT371" s="1979">
        <v>1</v>
      </c>
      <c r="BU371" s="1979">
        <v>1</v>
      </c>
      <c r="BV371" s="1998">
        <v>1</v>
      </c>
      <c r="BW371" s="1998">
        <v>1</v>
      </c>
      <c r="BX371" s="1998">
        <v>1</v>
      </c>
      <c r="BY371" s="1998">
        <v>1</v>
      </c>
      <c r="BZ371" s="1998">
        <v>1</v>
      </c>
      <c r="CA371" s="1979">
        <v>1</v>
      </c>
      <c r="CB371" s="1979">
        <v>1</v>
      </c>
      <c r="CC371" s="1979">
        <v>1</v>
      </c>
      <c r="CD371" s="1979">
        <v>1</v>
      </c>
      <c r="CE371" s="1979">
        <v>1</v>
      </c>
      <c r="CF371" s="1998">
        <v>1</v>
      </c>
      <c r="CG371" s="1998">
        <v>1</v>
      </c>
      <c r="CH371" s="1998">
        <v>1</v>
      </c>
      <c r="CI371" s="1998">
        <v>1</v>
      </c>
      <c r="CJ371" s="1998">
        <v>1</v>
      </c>
      <c r="CK371" s="1979">
        <v>1</v>
      </c>
      <c r="CL371" s="1979">
        <v>1</v>
      </c>
      <c r="CM371" s="1979">
        <v>1</v>
      </c>
      <c r="CN371" s="1979">
        <v>1</v>
      </c>
      <c r="CO371" s="1979">
        <v>1</v>
      </c>
      <c r="CP371" s="1998">
        <v>1</v>
      </c>
      <c r="CQ371" s="1998">
        <v>1</v>
      </c>
      <c r="CR371" s="1998">
        <v>1</v>
      </c>
      <c r="CS371" s="1998">
        <v>1</v>
      </c>
      <c r="CT371" s="1998">
        <v>1</v>
      </c>
      <c r="CU371" s="1979">
        <v>1</v>
      </c>
      <c r="CV371" s="1979">
        <v>1</v>
      </c>
      <c r="CW371" s="1979">
        <v>1</v>
      </c>
      <c r="CX371" s="1979">
        <v>1</v>
      </c>
      <c r="CY371" s="1979">
        <v>1</v>
      </c>
      <c r="CZ371" s="1998">
        <v>1</v>
      </c>
      <c r="DA371" s="1998">
        <v>1</v>
      </c>
      <c r="DB371" s="1998">
        <v>1</v>
      </c>
      <c r="DC371" s="1998">
        <v>1</v>
      </c>
      <c r="DD371" s="1998">
        <v>1</v>
      </c>
      <c r="DE371" s="1979">
        <v>1</v>
      </c>
      <c r="DF371" s="1979">
        <v>1</v>
      </c>
      <c r="DG371" s="1979">
        <v>1</v>
      </c>
      <c r="DH371" s="1979">
        <v>1</v>
      </c>
      <c r="DI371" s="1979">
        <v>1</v>
      </c>
      <c r="DJ371" s="1998">
        <v>1</v>
      </c>
      <c r="DK371" s="1998">
        <v>1</v>
      </c>
      <c r="DL371" s="1998">
        <v>1</v>
      </c>
      <c r="DM371" s="1998">
        <v>1</v>
      </c>
      <c r="DN371" s="1998">
        <v>1</v>
      </c>
      <c r="DO371" s="1979">
        <v>0.12461206483213953</v>
      </c>
      <c r="DP371" s="1979">
        <v>0.12461206483213953</v>
      </c>
      <c r="DQ371" s="1979">
        <v>0.12461206483213953</v>
      </c>
      <c r="DR371" s="1979">
        <v>0.12461206483213953</v>
      </c>
      <c r="DS371" s="1979">
        <v>0.12461206483213953</v>
      </c>
      <c r="DT371" s="1998">
        <v>0.12783559671100567</v>
      </c>
      <c r="DU371" s="1998">
        <v>0.12783559671100567</v>
      </c>
      <c r="DV371" s="1998">
        <v>0.12783559671100567</v>
      </c>
      <c r="DW371" s="1998">
        <v>0.12783559671100567</v>
      </c>
      <c r="DX371" s="2026">
        <v>0.12783559671100567</v>
      </c>
      <c r="EA371" s="2022"/>
      <c r="EB371" s="2">
        <v>26</v>
      </c>
      <c r="EC371" s="2" t="s">
        <v>4244</v>
      </c>
      <c r="ED371" s="1979">
        <v>1.3605609674202821</v>
      </c>
      <c r="EE371" s="1979">
        <v>1.3605609674202821</v>
      </c>
      <c r="EF371" s="1979">
        <v>1.3605609674202821</v>
      </c>
      <c r="EG371" s="1979">
        <v>1.3605609674202821</v>
      </c>
      <c r="EH371" s="1979">
        <v>1.3605609674202821</v>
      </c>
      <c r="EI371" s="1998">
        <v>2.0966679740137137</v>
      </c>
      <c r="EJ371" s="1998">
        <v>2.0966679740137137</v>
      </c>
      <c r="EK371" s="1998">
        <v>2.0966679740137137</v>
      </c>
      <c r="EL371" s="1998">
        <v>2.0966679740137137</v>
      </c>
      <c r="EM371" s="1998">
        <v>2.0966679740137137</v>
      </c>
      <c r="EN371" s="1979">
        <v>1.4337071065592959</v>
      </c>
      <c r="EO371" s="1979">
        <v>1.4337071065592959</v>
      </c>
      <c r="EP371" s="1979">
        <v>1.4337071065592959</v>
      </c>
      <c r="EQ371" s="1979">
        <v>1.4337071065592959</v>
      </c>
      <c r="ER371" s="1979">
        <v>1.4337071065592959</v>
      </c>
      <c r="ES371" s="1998">
        <v>1.8379162318633464</v>
      </c>
      <c r="ET371" s="1998">
        <v>1.8379162318633464</v>
      </c>
      <c r="EU371" s="1998">
        <v>1.8379162318633464</v>
      </c>
      <c r="EV371" s="1998">
        <v>1.8379162318633464</v>
      </c>
      <c r="EW371" s="1998">
        <v>1.8379162318633464</v>
      </c>
      <c r="EX371" s="1979">
        <v>1.4662053104562123</v>
      </c>
      <c r="EY371" s="1979">
        <v>1.4662053104562123</v>
      </c>
      <c r="EZ371" s="1979">
        <v>1.4662053104562123</v>
      </c>
      <c r="FA371" s="1979">
        <v>1.4662053104562123</v>
      </c>
      <c r="FB371" s="1979">
        <v>1.4662053104562123</v>
      </c>
      <c r="FC371" s="1998">
        <v>2.0890613416456318</v>
      </c>
      <c r="FD371" s="1998">
        <v>2.0890613416456318</v>
      </c>
      <c r="FE371" s="1998">
        <v>2.0890613416456318</v>
      </c>
      <c r="FF371" s="1998">
        <v>2.0890613416456318</v>
      </c>
      <c r="FG371" s="1998">
        <v>2.0890613416456318</v>
      </c>
      <c r="FH371" s="1979">
        <v>2.3921927569513635</v>
      </c>
      <c r="FI371" s="1979">
        <v>2.3921927569513635</v>
      </c>
      <c r="FJ371" s="1979">
        <v>2.3921927569513635</v>
      </c>
      <c r="FK371" s="1979">
        <v>2.3921927569513635</v>
      </c>
      <c r="FL371" s="1979">
        <v>2.3921927569513635</v>
      </c>
      <c r="FM371" s="1998">
        <v>1.5115041757386145</v>
      </c>
      <c r="FN371" s="1998">
        <v>1.5115041757386145</v>
      </c>
      <c r="FO371" s="1998">
        <v>1.5115041757386145</v>
      </c>
      <c r="FP371" s="1998">
        <v>1.5115041757386145</v>
      </c>
      <c r="FQ371" s="1998">
        <v>1.5115041757386145</v>
      </c>
      <c r="FR371" s="1979">
        <v>8.1198212572277306</v>
      </c>
      <c r="FS371" s="1979">
        <v>8.1198212572277306</v>
      </c>
      <c r="FT371" s="1979">
        <v>8.1198212572277306</v>
      </c>
      <c r="FU371" s="1979">
        <v>8.1198212572277306</v>
      </c>
      <c r="FV371" s="1979">
        <v>8.1198212572277306</v>
      </c>
      <c r="FW371" s="1998">
        <v>8.4799072816005001</v>
      </c>
      <c r="FX371" s="1998">
        <v>8.4799072816005001</v>
      </c>
      <c r="FY371" s="1998">
        <v>8.4799072816005001</v>
      </c>
      <c r="FZ371" s="1998">
        <v>8.4799072816005001</v>
      </c>
      <c r="GA371" s="1998">
        <v>8.4799072816005001</v>
      </c>
      <c r="GB371" s="1979">
        <v>0.7736975763794911</v>
      </c>
      <c r="GC371" s="1979">
        <v>0.7736975763794911</v>
      </c>
      <c r="GD371" s="1979">
        <v>0.7736975763794911</v>
      </c>
      <c r="GE371" s="1979">
        <v>0.7736975763794911</v>
      </c>
      <c r="GF371" s="1979">
        <v>0.7736975763794911</v>
      </c>
      <c r="GG371" s="1998">
        <v>0.84158732719503859</v>
      </c>
      <c r="GH371" s="1998">
        <v>0.84158732719503859</v>
      </c>
      <c r="GI371" s="1998">
        <v>0.84158732719503859</v>
      </c>
      <c r="GJ371" s="1998">
        <v>0.84158732719503859</v>
      </c>
      <c r="GK371" s="2026">
        <v>0.84158732719503859</v>
      </c>
    </row>
    <row r="372" spans="1:193">
      <c r="A372" s="2020"/>
      <c r="B372" s="2">
        <v>27</v>
      </c>
      <c r="C372" s="2" t="s">
        <v>4259</v>
      </c>
      <c r="D372" s="1979">
        <f>IF(Construction!$F$31=Construction!$R$22,Oeko!BQ372,Oeko!ED372)</f>
        <v>1</v>
      </c>
      <c r="E372" s="1979">
        <f>IF(Construction!$F$31=Construction!$R$22,Oeko!BR372,Oeko!EE372)</f>
        <v>1</v>
      </c>
      <c r="F372" s="1979">
        <f>IF(Construction!$F$31=Construction!$R$22,Oeko!BS372,Oeko!EF372)</f>
        <v>1</v>
      </c>
      <c r="G372" s="1979">
        <f>IF(Construction!$F$31=Construction!$R$22,Oeko!BT372,Oeko!EG372)</f>
        <v>1</v>
      </c>
      <c r="H372" s="1979">
        <f>IF(Construction!$F$31=Construction!$R$22,Oeko!BU372,Oeko!EH372)</f>
        <v>1</v>
      </c>
      <c r="I372" s="1998">
        <f>IF(Construction!$F$31=Construction!$R$22,Oeko!BV372,Oeko!EI372)</f>
        <v>1</v>
      </c>
      <c r="J372" s="1998">
        <f>IF(Construction!$F$31=Construction!$R$22,Oeko!BW372,Oeko!EJ372)</f>
        <v>1</v>
      </c>
      <c r="K372" s="1998">
        <f>IF(Construction!$F$31=Construction!$R$22,Oeko!BX372,Oeko!EK372)</f>
        <v>1</v>
      </c>
      <c r="L372" s="1998">
        <f>IF(Construction!$F$31=Construction!$R$22,Oeko!BY372,Oeko!EL372)</f>
        <v>1</v>
      </c>
      <c r="M372" s="1998">
        <f>IF(Construction!$F$31=Construction!$R$22,Oeko!BZ372,Oeko!EM372)</f>
        <v>1</v>
      </c>
      <c r="N372" s="1979">
        <f>IF(Construction!$F$31=Construction!$R$22,Oeko!CA372,Oeko!EN372)</f>
        <v>1</v>
      </c>
      <c r="O372" s="1979">
        <f>IF(Construction!$F$31=Construction!$R$22,Oeko!CB372,Oeko!EO372)</f>
        <v>1</v>
      </c>
      <c r="P372" s="1979">
        <f>IF(Construction!$F$31=Construction!$R$22,Oeko!CC372,Oeko!EP372)</f>
        <v>1</v>
      </c>
      <c r="Q372" s="1979">
        <f>IF(Construction!$F$31=Construction!$R$22,Oeko!CD372,Oeko!EQ372)</f>
        <v>1</v>
      </c>
      <c r="R372" s="1979">
        <f>IF(Construction!$F$31=Construction!$R$22,Oeko!CE372,Oeko!ER372)</f>
        <v>1</v>
      </c>
      <c r="S372" s="1998">
        <f>IF(Construction!$F$31=Construction!$R$22,Oeko!CF372,Oeko!ES372)</f>
        <v>1</v>
      </c>
      <c r="T372" s="1998">
        <f>IF(Construction!$F$31=Construction!$R$22,Oeko!CG372,Oeko!ET372)</f>
        <v>1</v>
      </c>
      <c r="U372" s="1998">
        <f>IF(Construction!$F$31=Construction!$R$22,Oeko!CH372,Oeko!EU372)</f>
        <v>1</v>
      </c>
      <c r="V372" s="1998">
        <f>IF(Construction!$F$31=Construction!$R$22,Oeko!CI372,Oeko!EV372)</f>
        <v>1</v>
      </c>
      <c r="W372" s="1998">
        <f>IF(Construction!$F$31=Construction!$R$22,Oeko!CJ372,Oeko!EW372)</f>
        <v>1</v>
      </c>
      <c r="X372" s="1979">
        <f>IF(Construction!$F$31=Construction!$R$22,Oeko!CK372,Oeko!EX372)</f>
        <v>1</v>
      </c>
      <c r="Y372" s="1979">
        <f>IF(Construction!$F$31=Construction!$R$22,Oeko!CL372,Oeko!EY372)</f>
        <v>1</v>
      </c>
      <c r="Z372" s="1979">
        <f>IF(Construction!$F$31=Construction!$R$22,Oeko!CM372,Oeko!EZ372)</f>
        <v>1</v>
      </c>
      <c r="AA372" s="1979">
        <f>IF(Construction!$F$31=Construction!$R$22,Oeko!CN372,Oeko!FA372)</f>
        <v>1</v>
      </c>
      <c r="AB372" s="1979">
        <f>IF(Construction!$F$31=Construction!$R$22,Oeko!CO372,Oeko!FB372)</f>
        <v>1</v>
      </c>
      <c r="AC372" s="1998">
        <f>IF(Construction!$F$31=Construction!$R$22,Oeko!CP372,Oeko!FC372)</f>
        <v>1</v>
      </c>
      <c r="AD372" s="1998">
        <f>IF(Construction!$F$31=Construction!$R$22,Oeko!CQ372,Oeko!FD372)</f>
        <v>1</v>
      </c>
      <c r="AE372" s="1998">
        <f>IF(Construction!$F$31=Construction!$R$22,Oeko!CR372,Oeko!FE372)</f>
        <v>1</v>
      </c>
      <c r="AF372" s="1998">
        <f>IF(Construction!$F$31=Construction!$R$22,Oeko!CS372,Oeko!FF372)</f>
        <v>1</v>
      </c>
      <c r="AG372" s="1998">
        <f>IF(Construction!$F$31=Construction!$R$22,Oeko!CT372,Oeko!FG372)</f>
        <v>1</v>
      </c>
      <c r="AH372" s="1979">
        <f>IF(Construction!$F$31=Construction!$R$22,Oeko!CU372,Oeko!FH372)</f>
        <v>1</v>
      </c>
      <c r="AI372" s="1979">
        <f>IF(Construction!$F$31=Construction!$R$22,Oeko!CV372,Oeko!FI372)</f>
        <v>1</v>
      </c>
      <c r="AJ372" s="1979">
        <f>IF(Construction!$F$31=Construction!$R$22,Oeko!CW372,Oeko!FJ372)</f>
        <v>1</v>
      </c>
      <c r="AK372" s="1979">
        <f>IF(Construction!$F$31=Construction!$R$22,Oeko!CX372,Oeko!FK372)</f>
        <v>1</v>
      </c>
      <c r="AL372" s="1979">
        <f>IF(Construction!$F$31=Construction!$R$22,Oeko!CY372,Oeko!FL372)</f>
        <v>1</v>
      </c>
      <c r="AM372" s="1998">
        <f>IF(Construction!$F$31=Construction!$R$22,Oeko!CZ372,Oeko!FM372)</f>
        <v>1.1666666666666665</v>
      </c>
      <c r="AN372" s="1998">
        <f>IF(Construction!$F$31=Construction!$R$22,Oeko!DA372,Oeko!FN372)</f>
        <v>1.1666666666666665</v>
      </c>
      <c r="AO372" s="1998">
        <f>IF(Construction!$F$31=Construction!$R$22,Oeko!DB372,Oeko!FO372)</f>
        <v>1.1666666666666665</v>
      </c>
      <c r="AP372" s="1998">
        <f>IF(Construction!$F$31=Construction!$R$22,Oeko!DC372,Oeko!FP372)</f>
        <v>1.1666666666666665</v>
      </c>
      <c r="AQ372" s="1998">
        <f>IF(Construction!$F$31=Construction!$R$22,Oeko!DD372,Oeko!FQ372)</f>
        <v>1.1666666666666665</v>
      </c>
      <c r="AR372" s="1979">
        <f>IF(Construction!$F$31=Construction!$R$22,Oeko!DE372,Oeko!FR372)</f>
        <v>1</v>
      </c>
      <c r="AS372" s="1979">
        <f>IF(Construction!$F$31=Construction!$R$22,Oeko!DF372,Oeko!FS372)</f>
        <v>1</v>
      </c>
      <c r="AT372" s="1979">
        <f>IF(Construction!$F$31=Construction!$R$22,Oeko!DG372,Oeko!FT372)</f>
        <v>1</v>
      </c>
      <c r="AU372" s="1979">
        <f>IF(Construction!$F$31=Construction!$R$22,Oeko!DH372,Oeko!FU372)</f>
        <v>1</v>
      </c>
      <c r="AV372" s="1979">
        <f>IF(Construction!$F$31=Construction!$R$22,Oeko!DI372,Oeko!FV372)</f>
        <v>1</v>
      </c>
      <c r="AW372" s="1998">
        <f>IF(Construction!$F$31=Construction!$R$22,Oeko!DJ372,Oeko!FW372)</f>
        <v>1</v>
      </c>
      <c r="AX372" s="1998">
        <f>IF(Construction!$F$31=Construction!$R$22,Oeko!DK372,Oeko!FX372)</f>
        <v>1</v>
      </c>
      <c r="AY372" s="1998">
        <f>IF(Construction!$F$31=Construction!$R$22,Oeko!DL372,Oeko!FY372)</f>
        <v>1</v>
      </c>
      <c r="AZ372" s="1998">
        <f>IF(Construction!$F$31=Construction!$R$22,Oeko!DM372,Oeko!FZ372)</f>
        <v>1</v>
      </c>
      <c r="BA372" s="1998">
        <f>IF(Construction!$F$31=Construction!$R$22,Oeko!DN372,Oeko!GA372)</f>
        <v>1</v>
      </c>
      <c r="BB372" s="1979">
        <f>IF(Construction!$F$31=Construction!$R$22,Oeko!DO372,Oeko!GB372)</f>
        <v>0.12461206483213953</v>
      </c>
      <c r="BC372" s="1979">
        <f>IF(Construction!$F$31=Construction!$R$22,Oeko!DP372,Oeko!GC372)</f>
        <v>0.12461206483213953</v>
      </c>
      <c r="BD372" s="1979">
        <f>IF(Construction!$F$31=Construction!$R$22,Oeko!DQ372,Oeko!GD372)</f>
        <v>0.12461206483213953</v>
      </c>
      <c r="BE372" s="1979">
        <f>IF(Construction!$F$31=Construction!$R$22,Oeko!DR372,Oeko!GE372)</f>
        <v>0.12461206483213953</v>
      </c>
      <c r="BF372" s="1979">
        <f>IF(Construction!$F$31=Construction!$R$22,Oeko!DS372,Oeko!GF372)</f>
        <v>0.12461206483213953</v>
      </c>
      <c r="BG372" s="1998">
        <f>IF(Construction!$F$31=Construction!$R$22,Oeko!DT372,Oeko!GG372)</f>
        <v>0.12783559671100567</v>
      </c>
      <c r="BH372" s="1998">
        <f>IF(Construction!$F$31=Construction!$R$22,Oeko!DU372,Oeko!GH372)</f>
        <v>0.12783559671100567</v>
      </c>
      <c r="BI372" s="1998">
        <f>IF(Construction!$F$31=Construction!$R$22,Oeko!DV372,Oeko!GI372)</f>
        <v>0.12783559671100567</v>
      </c>
      <c r="BJ372" s="1998">
        <f>IF(Construction!$F$31=Construction!$R$22,Oeko!DW372,Oeko!GJ372)</f>
        <v>0.12783559671100567</v>
      </c>
      <c r="BK372" s="2026">
        <f>IF(Construction!$F$31=Construction!$R$22,Oeko!DX372,Oeko!GK372)</f>
        <v>0.12783559671100567</v>
      </c>
      <c r="BN372" s="2022"/>
      <c r="BO372" s="2">
        <v>27</v>
      </c>
      <c r="BP372" s="2" t="s">
        <v>4259</v>
      </c>
      <c r="BQ372" s="1979">
        <v>1</v>
      </c>
      <c r="BR372" s="1979">
        <v>1</v>
      </c>
      <c r="BS372" s="1979">
        <v>1</v>
      </c>
      <c r="BT372" s="1979">
        <v>1</v>
      </c>
      <c r="BU372" s="1979">
        <v>1</v>
      </c>
      <c r="BV372" s="1998">
        <v>1</v>
      </c>
      <c r="BW372" s="1998">
        <v>1</v>
      </c>
      <c r="BX372" s="1998">
        <v>1</v>
      </c>
      <c r="BY372" s="1998">
        <v>1</v>
      </c>
      <c r="BZ372" s="1998">
        <v>1</v>
      </c>
      <c r="CA372" s="1979">
        <v>1</v>
      </c>
      <c r="CB372" s="1979">
        <v>1</v>
      </c>
      <c r="CC372" s="1979">
        <v>1</v>
      </c>
      <c r="CD372" s="1979">
        <v>1</v>
      </c>
      <c r="CE372" s="1979">
        <v>1</v>
      </c>
      <c r="CF372" s="1998">
        <v>1</v>
      </c>
      <c r="CG372" s="1998">
        <v>1</v>
      </c>
      <c r="CH372" s="1998">
        <v>1</v>
      </c>
      <c r="CI372" s="1998">
        <v>1</v>
      </c>
      <c r="CJ372" s="1998">
        <v>1</v>
      </c>
      <c r="CK372" s="1979">
        <v>1</v>
      </c>
      <c r="CL372" s="1979">
        <v>1</v>
      </c>
      <c r="CM372" s="1979">
        <v>1</v>
      </c>
      <c r="CN372" s="1979">
        <v>1</v>
      </c>
      <c r="CO372" s="1979">
        <v>1</v>
      </c>
      <c r="CP372" s="1998">
        <v>1</v>
      </c>
      <c r="CQ372" s="1998">
        <v>1</v>
      </c>
      <c r="CR372" s="1998">
        <v>1</v>
      </c>
      <c r="CS372" s="1998">
        <v>1</v>
      </c>
      <c r="CT372" s="1998">
        <v>1</v>
      </c>
      <c r="CU372" s="1979">
        <v>1</v>
      </c>
      <c r="CV372" s="1979">
        <v>1</v>
      </c>
      <c r="CW372" s="1979">
        <v>1</v>
      </c>
      <c r="CX372" s="1979">
        <v>1</v>
      </c>
      <c r="CY372" s="1979">
        <v>1</v>
      </c>
      <c r="CZ372" s="1998">
        <v>1.1666666666666665</v>
      </c>
      <c r="DA372" s="1998">
        <v>1.1666666666666665</v>
      </c>
      <c r="DB372" s="1998">
        <v>1.1666666666666665</v>
      </c>
      <c r="DC372" s="1998">
        <v>1.1666666666666665</v>
      </c>
      <c r="DD372" s="1998">
        <v>1.1666666666666665</v>
      </c>
      <c r="DE372" s="1979">
        <v>1</v>
      </c>
      <c r="DF372" s="1979">
        <v>1</v>
      </c>
      <c r="DG372" s="1979">
        <v>1</v>
      </c>
      <c r="DH372" s="1979">
        <v>1</v>
      </c>
      <c r="DI372" s="1979">
        <v>1</v>
      </c>
      <c r="DJ372" s="1998">
        <v>1</v>
      </c>
      <c r="DK372" s="1998">
        <v>1</v>
      </c>
      <c r="DL372" s="1998">
        <v>1</v>
      </c>
      <c r="DM372" s="1998">
        <v>1</v>
      </c>
      <c r="DN372" s="1998">
        <v>1</v>
      </c>
      <c r="DO372" s="1979">
        <v>0.12461206483213953</v>
      </c>
      <c r="DP372" s="1979">
        <v>0.12461206483213953</v>
      </c>
      <c r="DQ372" s="1979">
        <v>0.12461206483213953</v>
      </c>
      <c r="DR372" s="1979">
        <v>0.12461206483213953</v>
      </c>
      <c r="DS372" s="1979">
        <v>0.12461206483213953</v>
      </c>
      <c r="DT372" s="1998">
        <v>0.12783559671100567</v>
      </c>
      <c r="DU372" s="1998">
        <v>0.12783559671100567</v>
      </c>
      <c r="DV372" s="1998">
        <v>0.12783559671100567</v>
      </c>
      <c r="DW372" s="1998">
        <v>0.12783559671100567</v>
      </c>
      <c r="DX372" s="2026">
        <v>0.12783559671100567</v>
      </c>
      <c r="EA372" s="2022"/>
      <c r="EB372" s="2">
        <v>27</v>
      </c>
      <c r="EC372" s="2" t="s">
        <v>4259</v>
      </c>
      <c r="ED372" s="1979">
        <v>1.419345659456952</v>
      </c>
      <c r="EE372" s="1979">
        <v>1.419345659456952</v>
      </c>
      <c r="EF372" s="1979">
        <v>1.419345659456952</v>
      </c>
      <c r="EG372" s="1979">
        <v>1.419345659456952</v>
      </c>
      <c r="EH372" s="1979">
        <v>1.419345659456952</v>
      </c>
      <c r="EI372" s="1998">
        <v>2.4716056316257515</v>
      </c>
      <c r="EJ372" s="1998">
        <v>2.4716056316257515</v>
      </c>
      <c r="EK372" s="1998">
        <v>2.4716056316257515</v>
      </c>
      <c r="EL372" s="1998">
        <v>2.4716056316257515</v>
      </c>
      <c r="EM372" s="1998">
        <v>2.4716056316257515</v>
      </c>
      <c r="EN372" s="1979">
        <v>1.4848349689609373</v>
      </c>
      <c r="EO372" s="1979">
        <v>1.4848349689609373</v>
      </c>
      <c r="EP372" s="1979">
        <v>1.4848349689609373</v>
      </c>
      <c r="EQ372" s="1979">
        <v>1.4848349689609373</v>
      </c>
      <c r="ER372" s="1979">
        <v>1.4848349689609373</v>
      </c>
      <c r="ES372" s="1998">
        <v>2.0301191220028505</v>
      </c>
      <c r="ET372" s="1998">
        <v>2.0301191220028505</v>
      </c>
      <c r="EU372" s="1998">
        <v>2.0301191220028505</v>
      </c>
      <c r="EV372" s="1998">
        <v>2.0301191220028505</v>
      </c>
      <c r="EW372" s="1998">
        <v>2.0301191220028505</v>
      </c>
      <c r="EX372" s="1979">
        <v>1.5343757936584008</v>
      </c>
      <c r="EY372" s="1979">
        <v>1.5343757936584008</v>
      </c>
      <c r="EZ372" s="1979">
        <v>1.5343757936584008</v>
      </c>
      <c r="FA372" s="1979">
        <v>1.5343757936584008</v>
      </c>
      <c r="FB372" s="1979">
        <v>1.5343757936584008</v>
      </c>
      <c r="FC372" s="1998">
        <v>2.4390031554168674</v>
      </c>
      <c r="FD372" s="1998">
        <v>2.4390031554168674</v>
      </c>
      <c r="FE372" s="1998">
        <v>2.4390031554168674</v>
      </c>
      <c r="FF372" s="1998">
        <v>2.4390031554168674</v>
      </c>
      <c r="FG372" s="1998">
        <v>2.4390031554168674</v>
      </c>
      <c r="FH372" s="1979">
        <v>2.7330451729623064</v>
      </c>
      <c r="FI372" s="1979">
        <v>2.7330451729623064</v>
      </c>
      <c r="FJ372" s="1979">
        <v>2.7330451729623064</v>
      </c>
      <c r="FK372" s="1979">
        <v>2.7330451729623064</v>
      </c>
      <c r="FL372" s="1979">
        <v>2.7330451729623064</v>
      </c>
      <c r="FM372" s="1998">
        <v>1.8301657716190503</v>
      </c>
      <c r="FN372" s="1998">
        <v>1.8301657716190503</v>
      </c>
      <c r="FO372" s="1998">
        <v>1.8301657716190503</v>
      </c>
      <c r="FP372" s="1998">
        <v>1.8301657716190503</v>
      </c>
      <c r="FQ372" s="1998">
        <v>1.8301657716190503</v>
      </c>
      <c r="FR372" s="1979">
        <v>10.7444107116903</v>
      </c>
      <c r="FS372" s="1979">
        <v>10.7444107116903</v>
      </c>
      <c r="FT372" s="1979">
        <v>10.7444107116903</v>
      </c>
      <c r="FU372" s="1979">
        <v>10.7444107116903</v>
      </c>
      <c r="FV372" s="1979">
        <v>10.7444107116903</v>
      </c>
      <c r="FW372" s="1998">
        <v>11.126674907004146</v>
      </c>
      <c r="FX372" s="1998">
        <v>11.126674907004146</v>
      </c>
      <c r="FY372" s="1998">
        <v>11.126674907004146</v>
      </c>
      <c r="FZ372" s="1998">
        <v>11.126674907004146</v>
      </c>
      <c r="GA372" s="1998">
        <v>11.126674907004146</v>
      </c>
      <c r="GB372" s="1979">
        <v>1.0973745296033908</v>
      </c>
      <c r="GC372" s="1979">
        <v>1.0973745296033908</v>
      </c>
      <c r="GD372" s="1979">
        <v>1.0973745296033908</v>
      </c>
      <c r="GE372" s="1979">
        <v>1.0973745296033908</v>
      </c>
      <c r="GF372" s="1979">
        <v>1.0973745296033908</v>
      </c>
      <c r="GG372" s="1998">
        <v>1.1676555383243121</v>
      </c>
      <c r="GH372" s="1998">
        <v>1.1676555383243121</v>
      </c>
      <c r="GI372" s="1998">
        <v>1.1676555383243121</v>
      </c>
      <c r="GJ372" s="1998">
        <v>1.1676555383243121</v>
      </c>
      <c r="GK372" s="2026">
        <v>1.1676555383243121</v>
      </c>
    </row>
    <row r="373" spans="1:193">
      <c r="A373" s="2020"/>
      <c r="B373" s="2">
        <v>28</v>
      </c>
      <c r="C373" s="2" t="s">
        <v>4274</v>
      </c>
      <c r="D373" s="1979">
        <f>IF(Construction!$F$31=Construction!$R$22,Oeko!BQ373,Oeko!ED373)</f>
        <v>1.3333333333333333</v>
      </c>
      <c r="E373" s="1979">
        <f>IF(Construction!$F$31=Construction!$R$22,Oeko!BR373,Oeko!EE373)</f>
        <v>1.3333333333333333</v>
      </c>
      <c r="F373" s="1979">
        <f>IF(Construction!$F$31=Construction!$R$22,Oeko!BS373,Oeko!EF373)</f>
        <v>1.3333333333333333</v>
      </c>
      <c r="G373" s="1979">
        <f>IF(Construction!$F$31=Construction!$R$22,Oeko!BT373,Oeko!EG373)</f>
        <v>1.3333333333333333</v>
      </c>
      <c r="H373" s="1979">
        <f>IF(Construction!$F$31=Construction!$R$22,Oeko!BU373,Oeko!EH373)</f>
        <v>1.3333333333333333</v>
      </c>
      <c r="I373" s="1998">
        <f>IF(Construction!$F$31=Construction!$R$22,Oeko!BV373,Oeko!EI373)</f>
        <v>1</v>
      </c>
      <c r="J373" s="1998">
        <f>IF(Construction!$F$31=Construction!$R$22,Oeko!BW373,Oeko!EJ373)</f>
        <v>1</v>
      </c>
      <c r="K373" s="1998">
        <f>IF(Construction!$F$31=Construction!$R$22,Oeko!BX373,Oeko!EK373)</f>
        <v>1</v>
      </c>
      <c r="L373" s="1998">
        <f>IF(Construction!$F$31=Construction!$R$22,Oeko!BY373,Oeko!EL373)</f>
        <v>1</v>
      </c>
      <c r="M373" s="1998">
        <f>IF(Construction!$F$31=Construction!$R$22,Oeko!BZ373,Oeko!EM373)</f>
        <v>1</v>
      </c>
      <c r="N373" s="1979">
        <f>IF(Construction!$F$31=Construction!$R$22,Oeko!CA373,Oeko!EN373)</f>
        <v>1</v>
      </c>
      <c r="O373" s="1979">
        <f>IF(Construction!$F$31=Construction!$R$22,Oeko!CB373,Oeko!EO373)</f>
        <v>1</v>
      </c>
      <c r="P373" s="1979">
        <f>IF(Construction!$F$31=Construction!$R$22,Oeko!CC373,Oeko!EP373)</f>
        <v>1</v>
      </c>
      <c r="Q373" s="1979">
        <f>IF(Construction!$F$31=Construction!$R$22,Oeko!CD373,Oeko!EQ373)</f>
        <v>1</v>
      </c>
      <c r="R373" s="1979">
        <f>IF(Construction!$F$31=Construction!$R$22,Oeko!CE373,Oeko!ER373)</f>
        <v>1</v>
      </c>
      <c r="S373" s="1998">
        <f>IF(Construction!$F$31=Construction!$R$22,Oeko!CF373,Oeko!ES373)</f>
        <v>1</v>
      </c>
      <c r="T373" s="1998">
        <f>IF(Construction!$F$31=Construction!$R$22,Oeko!CG373,Oeko!ET373)</f>
        <v>1</v>
      </c>
      <c r="U373" s="1998">
        <f>IF(Construction!$F$31=Construction!$R$22,Oeko!CH373,Oeko!EU373)</f>
        <v>1</v>
      </c>
      <c r="V373" s="1998">
        <f>IF(Construction!$F$31=Construction!$R$22,Oeko!CI373,Oeko!EV373)</f>
        <v>1</v>
      </c>
      <c r="W373" s="1998">
        <f>IF(Construction!$F$31=Construction!$R$22,Oeko!CJ373,Oeko!EW373)</f>
        <v>1</v>
      </c>
      <c r="X373" s="1979">
        <f>IF(Construction!$F$31=Construction!$R$22,Oeko!CK373,Oeko!EX373)</f>
        <v>1</v>
      </c>
      <c r="Y373" s="1979">
        <f>IF(Construction!$F$31=Construction!$R$22,Oeko!CL373,Oeko!EY373)</f>
        <v>1</v>
      </c>
      <c r="Z373" s="1979">
        <f>IF(Construction!$F$31=Construction!$R$22,Oeko!CM373,Oeko!EZ373)</f>
        <v>1</v>
      </c>
      <c r="AA373" s="1979">
        <f>IF(Construction!$F$31=Construction!$R$22,Oeko!CN373,Oeko!FA373)</f>
        <v>1</v>
      </c>
      <c r="AB373" s="1979">
        <f>IF(Construction!$F$31=Construction!$R$22,Oeko!CO373,Oeko!FB373)</f>
        <v>1</v>
      </c>
      <c r="AC373" s="1998">
        <f>IF(Construction!$F$31=Construction!$R$22,Oeko!CP373,Oeko!FC373)</f>
        <v>1</v>
      </c>
      <c r="AD373" s="1998">
        <f>IF(Construction!$F$31=Construction!$R$22,Oeko!CQ373,Oeko!FD373)</f>
        <v>1</v>
      </c>
      <c r="AE373" s="1998">
        <f>IF(Construction!$F$31=Construction!$R$22,Oeko!CR373,Oeko!FE373)</f>
        <v>1</v>
      </c>
      <c r="AF373" s="1998">
        <f>IF(Construction!$F$31=Construction!$R$22,Oeko!CS373,Oeko!FF373)</f>
        <v>1</v>
      </c>
      <c r="AG373" s="1998">
        <f>IF(Construction!$F$31=Construction!$R$22,Oeko!CT373,Oeko!FG373)</f>
        <v>1</v>
      </c>
      <c r="AH373" s="1979">
        <f>IF(Construction!$F$31=Construction!$R$22,Oeko!CU373,Oeko!FH373)</f>
        <v>1</v>
      </c>
      <c r="AI373" s="1979">
        <f>IF(Construction!$F$31=Construction!$R$22,Oeko!CV373,Oeko!FI373)</f>
        <v>1</v>
      </c>
      <c r="AJ373" s="1979">
        <f>IF(Construction!$F$31=Construction!$R$22,Oeko!CW373,Oeko!FJ373)</f>
        <v>1</v>
      </c>
      <c r="AK373" s="1979">
        <f>IF(Construction!$F$31=Construction!$R$22,Oeko!CX373,Oeko!FK373)</f>
        <v>1</v>
      </c>
      <c r="AL373" s="1979">
        <f>IF(Construction!$F$31=Construction!$R$22,Oeko!CY373,Oeko!FL373)</f>
        <v>1</v>
      </c>
      <c r="AM373" s="1998">
        <f>IF(Construction!$F$31=Construction!$R$22,Oeko!CZ373,Oeko!FM373)</f>
        <v>1.3333333333333333</v>
      </c>
      <c r="AN373" s="1998">
        <f>IF(Construction!$F$31=Construction!$R$22,Oeko!DA373,Oeko!FN373)</f>
        <v>1.3333333333333333</v>
      </c>
      <c r="AO373" s="1998">
        <f>IF(Construction!$F$31=Construction!$R$22,Oeko!DB373,Oeko!FO373)</f>
        <v>1.3333333333333333</v>
      </c>
      <c r="AP373" s="1998">
        <f>IF(Construction!$F$31=Construction!$R$22,Oeko!DC373,Oeko!FP373)</f>
        <v>1.3333333333333333</v>
      </c>
      <c r="AQ373" s="1998">
        <f>IF(Construction!$F$31=Construction!$R$22,Oeko!DD373,Oeko!FQ373)</f>
        <v>1.3333333333333333</v>
      </c>
      <c r="AR373" s="1979">
        <f>IF(Construction!$F$31=Construction!$R$22,Oeko!DE373,Oeko!FR373)</f>
        <v>1</v>
      </c>
      <c r="AS373" s="1979">
        <f>IF(Construction!$F$31=Construction!$R$22,Oeko!DF373,Oeko!FS373)</f>
        <v>1</v>
      </c>
      <c r="AT373" s="1979">
        <f>IF(Construction!$F$31=Construction!$R$22,Oeko!DG373,Oeko!FT373)</f>
        <v>1</v>
      </c>
      <c r="AU373" s="1979">
        <f>IF(Construction!$F$31=Construction!$R$22,Oeko!DH373,Oeko!FU373)</f>
        <v>1</v>
      </c>
      <c r="AV373" s="1979">
        <f>IF(Construction!$F$31=Construction!$R$22,Oeko!DI373,Oeko!FV373)</f>
        <v>1</v>
      </c>
      <c r="AW373" s="1998">
        <f>IF(Construction!$F$31=Construction!$R$22,Oeko!DJ373,Oeko!FW373)</f>
        <v>1</v>
      </c>
      <c r="AX373" s="1998">
        <f>IF(Construction!$F$31=Construction!$R$22,Oeko!DK373,Oeko!FX373)</f>
        <v>1</v>
      </c>
      <c r="AY373" s="1998">
        <f>IF(Construction!$F$31=Construction!$R$22,Oeko!DL373,Oeko!FY373)</f>
        <v>1</v>
      </c>
      <c r="AZ373" s="1998">
        <f>IF(Construction!$F$31=Construction!$R$22,Oeko!DM373,Oeko!FZ373)</f>
        <v>1</v>
      </c>
      <c r="BA373" s="1998">
        <f>IF(Construction!$F$31=Construction!$R$22,Oeko!DN373,Oeko!GA373)</f>
        <v>1</v>
      </c>
      <c r="BB373" s="1979">
        <f>IF(Construction!$F$31=Construction!$R$22,Oeko!DO373,Oeko!GB373)</f>
        <v>0.12461206483213953</v>
      </c>
      <c r="BC373" s="1979">
        <f>IF(Construction!$F$31=Construction!$R$22,Oeko!DP373,Oeko!GC373)</f>
        <v>0.12461206483213953</v>
      </c>
      <c r="BD373" s="1979">
        <f>IF(Construction!$F$31=Construction!$R$22,Oeko!DQ373,Oeko!GD373)</f>
        <v>0.12461206483213953</v>
      </c>
      <c r="BE373" s="1979">
        <f>IF(Construction!$F$31=Construction!$R$22,Oeko!DR373,Oeko!GE373)</f>
        <v>0.12461206483213953</v>
      </c>
      <c r="BF373" s="1979">
        <f>IF(Construction!$F$31=Construction!$R$22,Oeko!DS373,Oeko!GF373)</f>
        <v>0.12461206483213953</v>
      </c>
      <c r="BG373" s="1998">
        <f>IF(Construction!$F$31=Construction!$R$22,Oeko!DT373,Oeko!GG373)</f>
        <v>0.12783559671100567</v>
      </c>
      <c r="BH373" s="1998">
        <f>IF(Construction!$F$31=Construction!$R$22,Oeko!DU373,Oeko!GH373)</f>
        <v>0.12783559671100567</v>
      </c>
      <c r="BI373" s="1998">
        <f>IF(Construction!$F$31=Construction!$R$22,Oeko!DV373,Oeko!GI373)</f>
        <v>0.12783559671100567</v>
      </c>
      <c r="BJ373" s="1998">
        <f>IF(Construction!$F$31=Construction!$R$22,Oeko!DW373,Oeko!GJ373)</f>
        <v>0.12783559671100567</v>
      </c>
      <c r="BK373" s="2026">
        <f>IF(Construction!$F$31=Construction!$R$22,Oeko!DX373,Oeko!GK373)</f>
        <v>0.12783559671100567</v>
      </c>
      <c r="BN373" s="2022"/>
      <c r="BO373" s="2">
        <v>28</v>
      </c>
      <c r="BP373" s="2" t="s">
        <v>4274</v>
      </c>
      <c r="BQ373" s="1979">
        <v>1.3333333333333333</v>
      </c>
      <c r="BR373" s="1979">
        <v>1.3333333333333333</v>
      </c>
      <c r="BS373" s="1979">
        <v>1.3333333333333333</v>
      </c>
      <c r="BT373" s="1979">
        <v>1.3333333333333333</v>
      </c>
      <c r="BU373" s="1979">
        <v>1.3333333333333333</v>
      </c>
      <c r="BV373" s="1998">
        <v>1</v>
      </c>
      <c r="BW373" s="1998">
        <v>1</v>
      </c>
      <c r="BX373" s="1998">
        <v>1</v>
      </c>
      <c r="BY373" s="1998">
        <v>1</v>
      </c>
      <c r="BZ373" s="1998">
        <v>1</v>
      </c>
      <c r="CA373" s="1979">
        <v>1</v>
      </c>
      <c r="CB373" s="1979">
        <v>1</v>
      </c>
      <c r="CC373" s="1979">
        <v>1</v>
      </c>
      <c r="CD373" s="1979">
        <v>1</v>
      </c>
      <c r="CE373" s="1979">
        <v>1</v>
      </c>
      <c r="CF373" s="1998">
        <v>1</v>
      </c>
      <c r="CG373" s="1998">
        <v>1</v>
      </c>
      <c r="CH373" s="1998">
        <v>1</v>
      </c>
      <c r="CI373" s="1998">
        <v>1</v>
      </c>
      <c r="CJ373" s="1998">
        <v>1</v>
      </c>
      <c r="CK373" s="1979">
        <v>1</v>
      </c>
      <c r="CL373" s="1979">
        <v>1</v>
      </c>
      <c r="CM373" s="1979">
        <v>1</v>
      </c>
      <c r="CN373" s="1979">
        <v>1</v>
      </c>
      <c r="CO373" s="1979">
        <v>1</v>
      </c>
      <c r="CP373" s="1998">
        <v>1</v>
      </c>
      <c r="CQ373" s="1998">
        <v>1</v>
      </c>
      <c r="CR373" s="1998">
        <v>1</v>
      </c>
      <c r="CS373" s="1998">
        <v>1</v>
      </c>
      <c r="CT373" s="1998">
        <v>1</v>
      </c>
      <c r="CU373" s="1979">
        <v>1</v>
      </c>
      <c r="CV373" s="1979">
        <v>1</v>
      </c>
      <c r="CW373" s="1979">
        <v>1</v>
      </c>
      <c r="CX373" s="1979">
        <v>1</v>
      </c>
      <c r="CY373" s="1979">
        <v>1</v>
      </c>
      <c r="CZ373" s="1998">
        <v>1.3333333333333333</v>
      </c>
      <c r="DA373" s="1998">
        <v>1.3333333333333333</v>
      </c>
      <c r="DB373" s="1998">
        <v>1.3333333333333333</v>
      </c>
      <c r="DC373" s="1998">
        <v>1.3333333333333333</v>
      </c>
      <c r="DD373" s="1998">
        <v>1.3333333333333333</v>
      </c>
      <c r="DE373" s="1979">
        <v>1</v>
      </c>
      <c r="DF373" s="1979">
        <v>1</v>
      </c>
      <c r="DG373" s="1979">
        <v>1</v>
      </c>
      <c r="DH373" s="1979">
        <v>1</v>
      </c>
      <c r="DI373" s="1979">
        <v>1</v>
      </c>
      <c r="DJ373" s="1998">
        <v>1</v>
      </c>
      <c r="DK373" s="1998">
        <v>1</v>
      </c>
      <c r="DL373" s="1998">
        <v>1</v>
      </c>
      <c r="DM373" s="1998">
        <v>1</v>
      </c>
      <c r="DN373" s="1998">
        <v>1</v>
      </c>
      <c r="DO373" s="1979">
        <v>0.12461206483213953</v>
      </c>
      <c r="DP373" s="1979">
        <v>0.12461206483213953</v>
      </c>
      <c r="DQ373" s="1979">
        <v>0.12461206483213953</v>
      </c>
      <c r="DR373" s="1979">
        <v>0.12461206483213953</v>
      </c>
      <c r="DS373" s="1979">
        <v>0.12461206483213953</v>
      </c>
      <c r="DT373" s="1998">
        <v>0.12783559671100567</v>
      </c>
      <c r="DU373" s="1998">
        <v>0.12783559671100567</v>
      </c>
      <c r="DV373" s="1998">
        <v>0.12783559671100567</v>
      </c>
      <c r="DW373" s="1998">
        <v>0.12783559671100567</v>
      </c>
      <c r="DX373" s="2026">
        <v>0.12783559671100567</v>
      </c>
      <c r="EA373" s="2022"/>
      <c r="EB373" s="2">
        <v>28</v>
      </c>
      <c r="EC373" s="2" t="s">
        <v>4274</v>
      </c>
      <c r="ED373" s="1979">
        <v>1.9131650441871284</v>
      </c>
      <c r="EE373" s="1979">
        <v>1.9131650441871284</v>
      </c>
      <c r="EF373" s="1979">
        <v>1.9131650441871284</v>
      </c>
      <c r="EG373" s="1979">
        <v>1.9131650441871284</v>
      </c>
      <c r="EH373" s="1979">
        <v>1.9131650441871284</v>
      </c>
      <c r="EI373" s="1998">
        <v>2.8465432892377889</v>
      </c>
      <c r="EJ373" s="1998">
        <v>2.8465432892377889</v>
      </c>
      <c r="EK373" s="1998">
        <v>2.8465432892377889</v>
      </c>
      <c r="EL373" s="1998">
        <v>2.8465432892377889</v>
      </c>
      <c r="EM373" s="1998">
        <v>2.8465432892377889</v>
      </c>
      <c r="EN373" s="1979">
        <v>1.5359628313625786</v>
      </c>
      <c r="EO373" s="1979">
        <v>1.5359628313625786</v>
      </c>
      <c r="EP373" s="1979">
        <v>1.5359628313625786</v>
      </c>
      <c r="EQ373" s="1979">
        <v>1.5359628313625786</v>
      </c>
      <c r="ER373" s="1979">
        <v>1.5359628313625786</v>
      </c>
      <c r="ES373" s="1998">
        <v>2.2223220121423544</v>
      </c>
      <c r="ET373" s="1998">
        <v>2.2223220121423544</v>
      </c>
      <c r="EU373" s="1998">
        <v>2.2223220121423544</v>
      </c>
      <c r="EV373" s="1998">
        <v>2.2223220121423544</v>
      </c>
      <c r="EW373" s="1998">
        <v>2.2223220121423544</v>
      </c>
      <c r="EX373" s="1979">
        <v>1.6025462768605891</v>
      </c>
      <c r="EY373" s="1979">
        <v>1.6025462768605891</v>
      </c>
      <c r="EZ373" s="1979">
        <v>1.6025462768605891</v>
      </c>
      <c r="FA373" s="1979">
        <v>1.6025462768605891</v>
      </c>
      <c r="FB373" s="1979">
        <v>1.6025462768605891</v>
      </c>
      <c r="FC373" s="1998">
        <v>2.7889449691881021</v>
      </c>
      <c r="FD373" s="1998">
        <v>2.7889449691881021</v>
      </c>
      <c r="FE373" s="1998">
        <v>2.7889449691881021</v>
      </c>
      <c r="FF373" s="1998">
        <v>2.7889449691881021</v>
      </c>
      <c r="FG373" s="1998">
        <v>2.7889449691881021</v>
      </c>
      <c r="FH373" s="1979">
        <v>3.0738975889732503</v>
      </c>
      <c r="FI373" s="1979">
        <v>3.0738975889732503</v>
      </c>
      <c r="FJ373" s="1979">
        <v>3.0738975889732503</v>
      </c>
      <c r="FK373" s="1979">
        <v>3.0738975889732503</v>
      </c>
      <c r="FL373" s="1979">
        <v>3.0738975889732503</v>
      </c>
      <c r="FM373" s="1998">
        <v>2.1488273674994858</v>
      </c>
      <c r="FN373" s="1998">
        <v>2.1488273674994858</v>
      </c>
      <c r="FO373" s="1998">
        <v>2.1488273674994858</v>
      </c>
      <c r="FP373" s="1998">
        <v>2.1488273674994858</v>
      </c>
      <c r="FQ373" s="1998">
        <v>2.1488273674994858</v>
      </c>
      <c r="FR373" s="1979">
        <v>13.369000166152871</v>
      </c>
      <c r="FS373" s="1979">
        <v>13.369000166152871</v>
      </c>
      <c r="FT373" s="1979">
        <v>13.369000166152871</v>
      </c>
      <c r="FU373" s="1979">
        <v>13.369000166152871</v>
      </c>
      <c r="FV373" s="1979">
        <v>13.369000166152871</v>
      </c>
      <c r="FW373" s="1998">
        <v>13.773442532407794</v>
      </c>
      <c r="FX373" s="1998">
        <v>13.773442532407794</v>
      </c>
      <c r="FY373" s="1998">
        <v>13.773442532407794</v>
      </c>
      <c r="FZ373" s="1998">
        <v>13.773442532407794</v>
      </c>
      <c r="GA373" s="1998">
        <v>13.773442532407794</v>
      </c>
      <c r="GB373" s="1979">
        <v>1.4210514828272911</v>
      </c>
      <c r="GC373" s="1979">
        <v>1.4210514828272911</v>
      </c>
      <c r="GD373" s="1979">
        <v>1.4210514828272911</v>
      </c>
      <c r="GE373" s="1979">
        <v>1.4210514828272911</v>
      </c>
      <c r="GF373" s="1979">
        <v>1.4210514828272911</v>
      </c>
      <c r="GG373" s="1998">
        <v>1.4937237494535853</v>
      </c>
      <c r="GH373" s="1998">
        <v>1.4937237494535853</v>
      </c>
      <c r="GI373" s="1998">
        <v>1.4937237494535853</v>
      </c>
      <c r="GJ373" s="1998">
        <v>1.4937237494535853</v>
      </c>
      <c r="GK373" s="2026">
        <v>1.4937237494535853</v>
      </c>
    </row>
    <row r="374" spans="1:193">
      <c r="A374" s="2020"/>
      <c r="B374" s="2">
        <v>29</v>
      </c>
      <c r="C374" s="2" t="str">
        <f>$AD$13</f>
        <v>Fondation superficielle</v>
      </c>
      <c r="D374" s="1979">
        <f>IF(Construction!$F$31=Construction!$R$22,Oeko!BQ374,Oeko!ED374)</f>
        <v>1</v>
      </c>
      <c r="E374" s="1979">
        <f>IF(Construction!$F$31=Construction!$R$22,Oeko!BR374,Oeko!EE374)</f>
        <v>1</v>
      </c>
      <c r="F374" s="1979">
        <f>IF(Construction!$F$31=Construction!$R$22,Oeko!BS374,Oeko!EF374)</f>
        <v>1</v>
      </c>
      <c r="G374" s="1979">
        <f>IF(Construction!$F$31=Construction!$R$22,Oeko!BT374,Oeko!EG374)</f>
        <v>1</v>
      </c>
      <c r="H374" s="1979">
        <f>IF(Construction!$F$31=Construction!$R$22,Oeko!BU374,Oeko!EH374)</f>
        <v>1</v>
      </c>
      <c r="I374" s="1998">
        <f>IF(Construction!$F$31=Construction!$R$22,Oeko!BV374,Oeko!EI374)</f>
        <v>1</v>
      </c>
      <c r="J374" s="1998">
        <f>IF(Construction!$F$31=Construction!$R$22,Oeko!BW374,Oeko!EJ374)</f>
        <v>1</v>
      </c>
      <c r="K374" s="1998">
        <f>IF(Construction!$F$31=Construction!$R$22,Oeko!BX374,Oeko!EK374)</f>
        <v>1</v>
      </c>
      <c r="L374" s="1998">
        <f>IF(Construction!$F$31=Construction!$R$22,Oeko!BY374,Oeko!EL374)</f>
        <v>1</v>
      </c>
      <c r="M374" s="1998">
        <f>IF(Construction!$F$31=Construction!$R$22,Oeko!BZ374,Oeko!EM374)</f>
        <v>1</v>
      </c>
      <c r="N374" s="1979">
        <f>IF(Construction!$F$31=Construction!$R$22,Oeko!CA374,Oeko!EN374)</f>
        <v>1</v>
      </c>
      <c r="O374" s="1979">
        <f>IF(Construction!$F$31=Construction!$R$22,Oeko!CB374,Oeko!EO374)</f>
        <v>1</v>
      </c>
      <c r="P374" s="1979">
        <f>IF(Construction!$F$31=Construction!$R$22,Oeko!CC374,Oeko!EP374)</f>
        <v>1</v>
      </c>
      <c r="Q374" s="1979">
        <f>IF(Construction!$F$31=Construction!$R$22,Oeko!CD374,Oeko!EQ374)</f>
        <v>1</v>
      </c>
      <c r="R374" s="1979">
        <f>IF(Construction!$F$31=Construction!$R$22,Oeko!CE374,Oeko!ER374)</f>
        <v>1</v>
      </c>
      <c r="S374" s="1998">
        <f>IF(Construction!$F$31=Construction!$R$22,Oeko!CF374,Oeko!ES374)</f>
        <v>1</v>
      </c>
      <c r="T374" s="1998">
        <f>IF(Construction!$F$31=Construction!$R$22,Oeko!CG374,Oeko!ET374)</f>
        <v>1</v>
      </c>
      <c r="U374" s="1998">
        <f>IF(Construction!$F$31=Construction!$R$22,Oeko!CH374,Oeko!EU374)</f>
        <v>1</v>
      </c>
      <c r="V374" s="1998">
        <f>IF(Construction!$F$31=Construction!$R$22,Oeko!CI374,Oeko!EV374)</f>
        <v>1</v>
      </c>
      <c r="W374" s="1998">
        <f>IF(Construction!$F$31=Construction!$R$22,Oeko!CJ374,Oeko!EW374)</f>
        <v>1</v>
      </c>
      <c r="X374" s="1979">
        <f>IF(Construction!$F$31=Construction!$R$22,Oeko!CK374,Oeko!EX374)</f>
        <v>1</v>
      </c>
      <c r="Y374" s="1979">
        <f>IF(Construction!$F$31=Construction!$R$22,Oeko!CL374,Oeko!EY374)</f>
        <v>1</v>
      </c>
      <c r="Z374" s="1979">
        <f>IF(Construction!$F$31=Construction!$R$22,Oeko!CM374,Oeko!EZ374)</f>
        <v>1</v>
      </c>
      <c r="AA374" s="1979">
        <f>IF(Construction!$F$31=Construction!$R$22,Oeko!CN374,Oeko!FA374)</f>
        <v>1</v>
      </c>
      <c r="AB374" s="1979">
        <f>IF(Construction!$F$31=Construction!$R$22,Oeko!CO374,Oeko!FB374)</f>
        <v>1</v>
      </c>
      <c r="AC374" s="1998">
        <f>IF(Construction!$F$31=Construction!$R$22,Oeko!CP374,Oeko!FC374)</f>
        <v>1</v>
      </c>
      <c r="AD374" s="1998">
        <f>IF(Construction!$F$31=Construction!$R$22,Oeko!CQ374,Oeko!FD374)</f>
        <v>1</v>
      </c>
      <c r="AE374" s="1998">
        <f>IF(Construction!$F$31=Construction!$R$22,Oeko!CR374,Oeko!FE374)</f>
        <v>1</v>
      </c>
      <c r="AF374" s="1998">
        <f>IF(Construction!$F$31=Construction!$R$22,Oeko!CS374,Oeko!FF374)</f>
        <v>1</v>
      </c>
      <c r="AG374" s="1998">
        <f>IF(Construction!$F$31=Construction!$R$22,Oeko!CT374,Oeko!FG374)</f>
        <v>1</v>
      </c>
      <c r="AH374" s="1979">
        <f>IF(Construction!$F$31=Construction!$R$22,Oeko!CU374,Oeko!FH374)</f>
        <v>1</v>
      </c>
      <c r="AI374" s="1979">
        <f>IF(Construction!$F$31=Construction!$R$22,Oeko!CV374,Oeko!FI374)</f>
        <v>1</v>
      </c>
      <c r="AJ374" s="1979">
        <f>IF(Construction!$F$31=Construction!$R$22,Oeko!CW374,Oeko!FJ374)</f>
        <v>1</v>
      </c>
      <c r="AK374" s="1979">
        <f>IF(Construction!$F$31=Construction!$R$22,Oeko!CX374,Oeko!FK374)</f>
        <v>1</v>
      </c>
      <c r="AL374" s="1979">
        <f>IF(Construction!$F$31=Construction!$R$22,Oeko!CY374,Oeko!FL374)</f>
        <v>1</v>
      </c>
      <c r="AM374" s="1998">
        <f>IF(Construction!$F$31=Construction!$R$22,Oeko!CZ374,Oeko!FM374)</f>
        <v>1</v>
      </c>
      <c r="AN374" s="1998">
        <f>IF(Construction!$F$31=Construction!$R$22,Oeko!DA374,Oeko!FN374)</f>
        <v>1</v>
      </c>
      <c r="AO374" s="1998">
        <f>IF(Construction!$F$31=Construction!$R$22,Oeko!DB374,Oeko!FO374)</f>
        <v>1</v>
      </c>
      <c r="AP374" s="1998">
        <f>IF(Construction!$F$31=Construction!$R$22,Oeko!DC374,Oeko!FP374)</f>
        <v>1</v>
      </c>
      <c r="AQ374" s="1998">
        <f>IF(Construction!$F$31=Construction!$R$22,Oeko!DD374,Oeko!FQ374)</f>
        <v>1</v>
      </c>
      <c r="AR374" s="1979">
        <f>IF(Construction!$F$31=Construction!$R$22,Oeko!DE374,Oeko!FR374)</f>
        <v>1</v>
      </c>
      <c r="AS374" s="1979">
        <f>IF(Construction!$F$31=Construction!$R$22,Oeko!DF374,Oeko!FS374)</f>
        <v>1</v>
      </c>
      <c r="AT374" s="1979">
        <f>IF(Construction!$F$31=Construction!$R$22,Oeko!DG374,Oeko!FT374)</f>
        <v>1</v>
      </c>
      <c r="AU374" s="1979">
        <f>IF(Construction!$F$31=Construction!$R$22,Oeko!DH374,Oeko!FU374)</f>
        <v>1</v>
      </c>
      <c r="AV374" s="1979">
        <f>IF(Construction!$F$31=Construction!$R$22,Oeko!DI374,Oeko!FV374)</f>
        <v>1</v>
      </c>
      <c r="AW374" s="1998">
        <f>IF(Construction!$F$31=Construction!$R$22,Oeko!DJ374,Oeko!FW374)</f>
        <v>1</v>
      </c>
      <c r="AX374" s="1998">
        <f>IF(Construction!$F$31=Construction!$R$22,Oeko!DK374,Oeko!FX374)</f>
        <v>1</v>
      </c>
      <c r="AY374" s="1998">
        <f>IF(Construction!$F$31=Construction!$R$22,Oeko!DL374,Oeko!FY374)</f>
        <v>1</v>
      </c>
      <c r="AZ374" s="1998">
        <f>IF(Construction!$F$31=Construction!$R$22,Oeko!DM374,Oeko!FZ374)</f>
        <v>1</v>
      </c>
      <c r="BA374" s="1998">
        <f>IF(Construction!$F$31=Construction!$R$22,Oeko!DN374,Oeko!GA374)</f>
        <v>1</v>
      </c>
      <c r="BB374" s="1979">
        <f>IF(Construction!$F$31=Construction!$R$22,Oeko!DO374,Oeko!GB374)</f>
        <v>1</v>
      </c>
      <c r="BC374" s="1979">
        <f>IF(Construction!$F$31=Construction!$R$22,Oeko!DP374,Oeko!GC374)</f>
        <v>1</v>
      </c>
      <c r="BD374" s="1979">
        <f>IF(Construction!$F$31=Construction!$R$22,Oeko!DQ374,Oeko!GD374)</f>
        <v>1</v>
      </c>
      <c r="BE374" s="1979">
        <f>IF(Construction!$F$31=Construction!$R$22,Oeko!DR374,Oeko!GE374)</f>
        <v>1</v>
      </c>
      <c r="BF374" s="1979">
        <f>IF(Construction!$F$31=Construction!$R$22,Oeko!DS374,Oeko!GF374)</f>
        <v>1</v>
      </c>
      <c r="BG374" s="1998">
        <f>IF(Construction!$F$31=Construction!$R$22,Oeko!DT374,Oeko!GG374)</f>
        <v>1</v>
      </c>
      <c r="BH374" s="1998">
        <f>IF(Construction!$F$31=Construction!$R$22,Oeko!DU374,Oeko!GH374)</f>
        <v>1</v>
      </c>
      <c r="BI374" s="1998">
        <f>IF(Construction!$F$31=Construction!$R$22,Oeko!DV374,Oeko!GI374)</f>
        <v>1</v>
      </c>
      <c r="BJ374" s="1998">
        <f>IF(Construction!$F$31=Construction!$R$22,Oeko!DW374,Oeko!GJ374)</f>
        <v>1</v>
      </c>
      <c r="BK374" s="2026">
        <f>IF(Construction!$F$31=Construction!$R$22,Oeko!DX374,Oeko!GK374)</f>
        <v>1</v>
      </c>
      <c r="BN374" s="2022"/>
      <c r="BO374" s="2">
        <v>29</v>
      </c>
      <c r="BP374" s="2" t="str">
        <f>$AD$13</f>
        <v>Fondation superficielle</v>
      </c>
      <c r="BQ374" s="1979">
        <v>1</v>
      </c>
      <c r="BR374" s="1979">
        <v>1</v>
      </c>
      <c r="BS374" s="1979">
        <v>1</v>
      </c>
      <c r="BT374" s="1979">
        <v>1</v>
      </c>
      <c r="BU374" s="1979">
        <v>1</v>
      </c>
      <c r="BV374" s="1998">
        <v>1</v>
      </c>
      <c r="BW374" s="1998">
        <v>1</v>
      </c>
      <c r="BX374" s="1998">
        <v>1</v>
      </c>
      <c r="BY374" s="1998">
        <v>1</v>
      </c>
      <c r="BZ374" s="1998">
        <v>1</v>
      </c>
      <c r="CA374" s="1979">
        <v>1</v>
      </c>
      <c r="CB374" s="1979">
        <v>1</v>
      </c>
      <c r="CC374" s="1979">
        <v>1</v>
      </c>
      <c r="CD374" s="1979">
        <v>1</v>
      </c>
      <c r="CE374" s="1979">
        <v>1</v>
      </c>
      <c r="CF374" s="1998">
        <v>1</v>
      </c>
      <c r="CG374" s="1998">
        <v>1</v>
      </c>
      <c r="CH374" s="1998">
        <v>1</v>
      </c>
      <c r="CI374" s="1998">
        <v>1</v>
      </c>
      <c r="CJ374" s="1998">
        <v>1</v>
      </c>
      <c r="CK374" s="1979">
        <v>1</v>
      </c>
      <c r="CL374" s="1979">
        <v>1</v>
      </c>
      <c r="CM374" s="1979">
        <v>1</v>
      </c>
      <c r="CN374" s="1979">
        <v>1</v>
      </c>
      <c r="CO374" s="1979">
        <v>1</v>
      </c>
      <c r="CP374" s="1998">
        <v>1</v>
      </c>
      <c r="CQ374" s="1998">
        <v>1</v>
      </c>
      <c r="CR374" s="1998">
        <v>1</v>
      </c>
      <c r="CS374" s="1998">
        <v>1</v>
      </c>
      <c r="CT374" s="1998">
        <v>1</v>
      </c>
      <c r="CU374" s="1979">
        <v>1</v>
      </c>
      <c r="CV374" s="1979">
        <v>1</v>
      </c>
      <c r="CW374" s="1979">
        <v>1</v>
      </c>
      <c r="CX374" s="1979">
        <v>1</v>
      </c>
      <c r="CY374" s="1979">
        <v>1</v>
      </c>
      <c r="CZ374" s="1998">
        <v>1</v>
      </c>
      <c r="DA374" s="1998">
        <v>1</v>
      </c>
      <c r="DB374" s="1998">
        <v>1</v>
      </c>
      <c r="DC374" s="1998">
        <v>1</v>
      </c>
      <c r="DD374" s="1998">
        <v>1</v>
      </c>
      <c r="DE374" s="1979">
        <v>1</v>
      </c>
      <c r="DF374" s="1979">
        <v>1</v>
      </c>
      <c r="DG374" s="1979">
        <v>1</v>
      </c>
      <c r="DH374" s="1979">
        <v>1</v>
      </c>
      <c r="DI374" s="1979">
        <v>1</v>
      </c>
      <c r="DJ374" s="1998">
        <v>1</v>
      </c>
      <c r="DK374" s="1998">
        <v>1</v>
      </c>
      <c r="DL374" s="1998">
        <v>1</v>
      </c>
      <c r="DM374" s="1998">
        <v>1</v>
      </c>
      <c r="DN374" s="1998">
        <v>1</v>
      </c>
      <c r="DO374" s="1979">
        <v>1</v>
      </c>
      <c r="DP374" s="1979">
        <v>1</v>
      </c>
      <c r="DQ374" s="1979">
        <v>1</v>
      </c>
      <c r="DR374" s="1979">
        <v>1</v>
      </c>
      <c r="DS374" s="1979">
        <v>1</v>
      </c>
      <c r="DT374" s="1998">
        <v>1</v>
      </c>
      <c r="DU374" s="1998">
        <v>1</v>
      </c>
      <c r="DV374" s="1998">
        <v>1</v>
      </c>
      <c r="DW374" s="1998">
        <v>1</v>
      </c>
      <c r="DX374" s="2026">
        <v>1</v>
      </c>
      <c r="EA374" s="2022"/>
      <c r="EB374" s="2">
        <v>29</v>
      </c>
      <c r="EC374" s="2" t="str">
        <f>$AD$13</f>
        <v>Fondation superficielle</v>
      </c>
      <c r="ED374" s="1979">
        <v>1.3605609674202821</v>
      </c>
      <c r="EE374" s="1979">
        <v>1.3605609674202821</v>
      </c>
      <c r="EF374" s="1979">
        <v>1.3605609674202821</v>
      </c>
      <c r="EG374" s="1979">
        <v>1.3605609674202821</v>
      </c>
      <c r="EH374" s="1979">
        <v>1.3605609674202821</v>
      </c>
      <c r="EI374" s="1998">
        <v>2.0966679740137137</v>
      </c>
      <c r="EJ374" s="1998">
        <v>2.0966679740137137</v>
      </c>
      <c r="EK374" s="1998">
        <v>2.0966679740137137</v>
      </c>
      <c r="EL374" s="1998">
        <v>2.0966679740137137</v>
      </c>
      <c r="EM374" s="1998">
        <v>2.0966679740137137</v>
      </c>
      <c r="EN374" s="1979">
        <v>1.4337071065592959</v>
      </c>
      <c r="EO374" s="1979">
        <v>1.4337071065592959</v>
      </c>
      <c r="EP374" s="1979">
        <v>1.4337071065592959</v>
      </c>
      <c r="EQ374" s="1979">
        <v>1.4337071065592959</v>
      </c>
      <c r="ER374" s="1979">
        <v>1.4337071065592959</v>
      </c>
      <c r="ES374" s="1998">
        <v>1.8379162318633464</v>
      </c>
      <c r="ET374" s="1998">
        <v>1.8379162318633464</v>
      </c>
      <c r="EU374" s="1998">
        <v>1.8379162318633464</v>
      </c>
      <c r="EV374" s="1998">
        <v>1.8379162318633464</v>
      </c>
      <c r="EW374" s="1998">
        <v>1.8379162318633464</v>
      </c>
      <c r="EX374" s="1979">
        <v>1.4662053104562123</v>
      </c>
      <c r="EY374" s="1979">
        <v>1.4662053104562123</v>
      </c>
      <c r="EZ374" s="1979">
        <v>1.4662053104562123</v>
      </c>
      <c r="FA374" s="1979">
        <v>1.4662053104562123</v>
      </c>
      <c r="FB374" s="1979">
        <v>1.4662053104562123</v>
      </c>
      <c r="FC374" s="1998">
        <v>1.6277744053108218</v>
      </c>
      <c r="FD374" s="1998">
        <v>1.6277744053108218</v>
      </c>
      <c r="FE374" s="1998">
        <v>1.6277744053108218</v>
      </c>
      <c r="FF374" s="1998">
        <v>1.6277744053108218</v>
      </c>
      <c r="FG374" s="1998">
        <v>1.6277744053108218</v>
      </c>
      <c r="FH374" s="1979">
        <v>2.3921927569513635</v>
      </c>
      <c r="FI374" s="1979">
        <v>2.3921927569513635</v>
      </c>
      <c r="FJ374" s="1979">
        <v>2.3921927569513635</v>
      </c>
      <c r="FK374" s="1979">
        <v>2.3921927569513635</v>
      </c>
      <c r="FL374" s="1979">
        <v>2.3921927569513635</v>
      </c>
      <c r="FM374" s="1998">
        <v>1.5115041757386145</v>
      </c>
      <c r="FN374" s="1998">
        <v>1.5115041757386145</v>
      </c>
      <c r="FO374" s="1998">
        <v>1.5115041757386145</v>
      </c>
      <c r="FP374" s="1998">
        <v>1.5115041757386145</v>
      </c>
      <c r="FQ374" s="1998">
        <v>1.5115041757386145</v>
      </c>
      <c r="FR374" s="1979">
        <v>8.1198212572277306</v>
      </c>
      <c r="FS374" s="1979">
        <v>8.1198212572277306</v>
      </c>
      <c r="FT374" s="1979">
        <v>8.1198212572277306</v>
      </c>
      <c r="FU374" s="1979">
        <v>8.1198212572277306</v>
      </c>
      <c r="FV374" s="1979">
        <v>8.1198212572277306</v>
      </c>
      <c r="FW374" s="1998">
        <v>8.4799072816005001</v>
      </c>
      <c r="FX374" s="1998">
        <v>8.4799072816005001</v>
      </c>
      <c r="FY374" s="1998">
        <v>8.4799072816005001</v>
      </c>
      <c r="FZ374" s="1998">
        <v>8.4799072816005001</v>
      </c>
      <c r="GA374" s="1998">
        <v>8.4799072816005001</v>
      </c>
      <c r="GB374" s="1979">
        <v>1.3861479372000356</v>
      </c>
      <c r="GC374" s="1979">
        <v>1.3861479372000356</v>
      </c>
      <c r="GD374" s="1979">
        <v>1.3861479372000356</v>
      </c>
      <c r="GE374" s="1979">
        <v>1.3861479372000356</v>
      </c>
      <c r="GF374" s="1979">
        <v>1.3861479372000356</v>
      </c>
      <c r="GG374" s="1998">
        <v>1.4313071575784038</v>
      </c>
      <c r="GH374" s="1998">
        <v>1.4313071575784038</v>
      </c>
      <c r="GI374" s="1998">
        <v>1.4313071575784038</v>
      </c>
      <c r="GJ374" s="1998">
        <v>1.4313071575784038</v>
      </c>
      <c r="GK374" s="2026">
        <v>1.4313071575784038</v>
      </c>
    </row>
    <row r="375" spans="1:193">
      <c r="A375" s="2020"/>
      <c r="B375" s="2">
        <v>30</v>
      </c>
      <c r="C375" s="2" t="str">
        <f>$AD$14</f>
        <v>Micro-pieux</v>
      </c>
      <c r="D375" s="1979">
        <f>IF(Construction!$F$31=Construction!$R$22,Oeko!BQ375,Oeko!ED375)</f>
        <v>1</v>
      </c>
      <c r="E375" s="1979">
        <f>IF(Construction!$F$31=Construction!$R$22,Oeko!BR375,Oeko!EE375)</f>
        <v>1</v>
      </c>
      <c r="F375" s="1979">
        <f>IF(Construction!$F$31=Construction!$R$22,Oeko!BS375,Oeko!EF375)</f>
        <v>1</v>
      </c>
      <c r="G375" s="1979">
        <f>IF(Construction!$F$31=Construction!$R$22,Oeko!BT375,Oeko!EG375)</f>
        <v>1</v>
      </c>
      <c r="H375" s="1979">
        <f>IF(Construction!$F$31=Construction!$R$22,Oeko!BU375,Oeko!EH375)</f>
        <v>1</v>
      </c>
      <c r="I375" s="1998">
        <f>IF(Construction!$F$31=Construction!$R$22,Oeko!BV375,Oeko!EI375)</f>
        <v>1</v>
      </c>
      <c r="J375" s="1998">
        <f>IF(Construction!$F$31=Construction!$R$22,Oeko!BW375,Oeko!EJ375)</f>
        <v>1</v>
      </c>
      <c r="K375" s="1998">
        <f>IF(Construction!$F$31=Construction!$R$22,Oeko!BX375,Oeko!EK375)</f>
        <v>1</v>
      </c>
      <c r="L375" s="1998">
        <f>IF(Construction!$F$31=Construction!$R$22,Oeko!BY375,Oeko!EL375)</f>
        <v>1</v>
      </c>
      <c r="M375" s="1998">
        <f>IF(Construction!$F$31=Construction!$R$22,Oeko!BZ375,Oeko!EM375)</f>
        <v>1</v>
      </c>
      <c r="N375" s="1979">
        <f>IF(Construction!$F$31=Construction!$R$22,Oeko!CA375,Oeko!EN375)</f>
        <v>1</v>
      </c>
      <c r="O375" s="1979">
        <f>IF(Construction!$F$31=Construction!$R$22,Oeko!CB375,Oeko!EO375)</f>
        <v>1</v>
      </c>
      <c r="P375" s="1979">
        <f>IF(Construction!$F$31=Construction!$R$22,Oeko!CC375,Oeko!EP375)</f>
        <v>1</v>
      </c>
      <c r="Q375" s="1979">
        <f>IF(Construction!$F$31=Construction!$R$22,Oeko!CD375,Oeko!EQ375)</f>
        <v>1</v>
      </c>
      <c r="R375" s="1979">
        <f>IF(Construction!$F$31=Construction!$R$22,Oeko!CE375,Oeko!ER375)</f>
        <v>1</v>
      </c>
      <c r="S375" s="1998">
        <f>IF(Construction!$F$31=Construction!$R$22,Oeko!CF375,Oeko!ES375)</f>
        <v>1</v>
      </c>
      <c r="T375" s="1998">
        <f>IF(Construction!$F$31=Construction!$R$22,Oeko!CG375,Oeko!ET375)</f>
        <v>1</v>
      </c>
      <c r="U375" s="1998">
        <f>IF(Construction!$F$31=Construction!$R$22,Oeko!CH375,Oeko!EU375)</f>
        <v>1</v>
      </c>
      <c r="V375" s="1998">
        <f>IF(Construction!$F$31=Construction!$R$22,Oeko!CI375,Oeko!EV375)</f>
        <v>1</v>
      </c>
      <c r="W375" s="1998">
        <f>IF(Construction!$F$31=Construction!$R$22,Oeko!CJ375,Oeko!EW375)</f>
        <v>1</v>
      </c>
      <c r="X375" s="1979">
        <f>IF(Construction!$F$31=Construction!$R$22,Oeko!CK375,Oeko!EX375)</f>
        <v>1</v>
      </c>
      <c r="Y375" s="1979">
        <f>IF(Construction!$F$31=Construction!$R$22,Oeko!CL375,Oeko!EY375)</f>
        <v>1</v>
      </c>
      <c r="Z375" s="1979">
        <f>IF(Construction!$F$31=Construction!$R$22,Oeko!CM375,Oeko!EZ375)</f>
        <v>1</v>
      </c>
      <c r="AA375" s="1979">
        <f>IF(Construction!$F$31=Construction!$R$22,Oeko!CN375,Oeko!FA375)</f>
        <v>1</v>
      </c>
      <c r="AB375" s="1979">
        <f>IF(Construction!$F$31=Construction!$R$22,Oeko!CO375,Oeko!FB375)</f>
        <v>1</v>
      </c>
      <c r="AC375" s="1998">
        <f>IF(Construction!$F$31=Construction!$R$22,Oeko!CP375,Oeko!FC375)</f>
        <v>1</v>
      </c>
      <c r="AD375" s="1998">
        <f>IF(Construction!$F$31=Construction!$R$22,Oeko!CQ375,Oeko!FD375)</f>
        <v>1</v>
      </c>
      <c r="AE375" s="1998">
        <f>IF(Construction!$F$31=Construction!$R$22,Oeko!CR375,Oeko!FE375)</f>
        <v>1</v>
      </c>
      <c r="AF375" s="1998">
        <f>IF(Construction!$F$31=Construction!$R$22,Oeko!CS375,Oeko!FF375)</f>
        <v>1</v>
      </c>
      <c r="AG375" s="1998">
        <f>IF(Construction!$F$31=Construction!$R$22,Oeko!CT375,Oeko!FG375)</f>
        <v>1</v>
      </c>
      <c r="AH375" s="1979">
        <f>IF(Construction!$F$31=Construction!$R$22,Oeko!CU375,Oeko!FH375)</f>
        <v>1</v>
      </c>
      <c r="AI375" s="1979">
        <f>IF(Construction!$F$31=Construction!$R$22,Oeko!CV375,Oeko!FI375)</f>
        <v>1</v>
      </c>
      <c r="AJ375" s="1979">
        <f>IF(Construction!$F$31=Construction!$R$22,Oeko!CW375,Oeko!FJ375)</f>
        <v>1</v>
      </c>
      <c r="AK375" s="1979">
        <f>IF(Construction!$F$31=Construction!$R$22,Oeko!CX375,Oeko!FK375)</f>
        <v>1</v>
      </c>
      <c r="AL375" s="1979">
        <f>IF(Construction!$F$31=Construction!$R$22,Oeko!CY375,Oeko!FL375)</f>
        <v>1</v>
      </c>
      <c r="AM375" s="1998">
        <f>IF(Construction!$F$31=Construction!$R$22,Oeko!CZ375,Oeko!FM375)</f>
        <v>1</v>
      </c>
      <c r="AN375" s="1998">
        <f>IF(Construction!$F$31=Construction!$R$22,Oeko!DA375,Oeko!FN375)</f>
        <v>1</v>
      </c>
      <c r="AO375" s="1998">
        <f>IF(Construction!$F$31=Construction!$R$22,Oeko!DB375,Oeko!FO375)</f>
        <v>1</v>
      </c>
      <c r="AP375" s="1998">
        <f>IF(Construction!$F$31=Construction!$R$22,Oeko!DC375,Oeko!FP375)</f>
        <v>1</v>
      </c>
      <c r="AQ375" s="1998">
        <f>IF(Construction!$F$31=Construction!$R$22,Oeko!DD375,Oeko!FQ375)</f>
        <v>1</v>
      </c>
      <c r="AR375" s="1979">
        <f>IF(Construction!$F$31=Construction!$R$22,Oeko!DE375,Oeko!FR375)</f>
        <v>1</v>
      </c>
      <c r="AS375" s="1979">
        <f>IF(Construction!$F$31=Construction!$R$22,Oeko!DF375,Oeko!FS375)</f>
        <v>1</v>
      </c>
      <c r="AT375" s="1979">
        <f>IF(Construction!$F$31=Construction!$R$22,Oeko!DG375,Oeko!FT375)</f>
        <v>1</v>
      </c>
      <c r="AU375" s="1979">
        <f>IF(Construction!$F$31=Construction!$R$22,Oeko!DH375,Oeko!FU375)</f>
        <v>1</v>
      </c>
      <c r="AV375" s="1979">
        <f>IF(Construction!$F$31=Construction!$R$22,Oeko!DI375,Oeko!FV375)</f>
        <v>1</v>
      </c>
      <c r="AW375" s="1998">
        <f>IF(Construction!$F$31=Construction!$R$22,Oeko!DJ375,Oeko!FW375)</f>
        <v>1</v>
      </c>
      <c r="AX375" s="1998">
        <f>IF(Construction!$F$31=Construction!$R$22,Oeko!DK375,Oeko!FX375)</f>
        <v>1</v>
      </c>
      <c r="AY375" s="1998">
        <f>IF(Construction!$F$31=Construction!$R$22,Oeko!DL375,Oeko!FY375)</f>
        <v>1</v>
      </c>
      <c r="AZ375" s="1998">
        <f>IF(Construction!$F$31=Construction!$R$22,Oeko!DM375,Oeko!FZ375)</f>
        <v>1</v>
      </c>
      <c r="BA375" s="1998">
        <f>IF(Construction!$F$31=Construction!$R$22,Oeko!DN375,Oeko!GA375)</f>
        <v>1</v>
      </c>
      <c r="BB375" s="1979">
        <f>IF(Construction!$F$31=Construction!$R$22,Oeko!DO375,Oeko!GB375)</f>
        <v>1</v>
      </c>
      <c r="BC375" s="1979">
        <f>IF(Construction!$F$31=Construction!$R$22,Oeko!DP375,Oeko!GC375)</f>
        <v>1</v>
      </c>
      <c r="BD375" s="1979">
        <f>IF(Construction!$F$31=Construction!$R$22,Oeko!DQ375,Oeko!GD375)</f>
        <v>1</v>
      </c>
      <c r="BE375" s="1979">
        <f>IF(Construction!$F$31=Construction!$R$22,Oeko!DR375,Oeko!GE375)</f>
        <v>1</v>
      </c>
      <c r="BF375" s="1979">
        <f>IF(Construction!$F$31=Construction!$R$22,Oeko!DS375,Oeko!GF375)</f>
        <v>1</v>
      </c>
      <c r="BG375" s="1998">
        <f>IF(Construction!$F$31=Construction!$R$22,Oeko!DT375,Oeko!GG375)</f>
        <v>1</v>
      </c>
      <c r="BH375" s="1998">
        <f>IF(Construction!$F$31=Construction!$R$22,Oeko!DU375,Oeko!GH375)</f>
        <v>1</v>
      </c>
      <c r="BI375" s="1998">
        <f>IF(Construction!$F$31=Construction!$R$22,Oeko!DV375,Oeko!GI375)</f>
        <v>1</v>
      </c>
      <c r="BJ375" s="1998">
        <f>IF(Construction!$F$31=Construction!$R$22,Oeko!DW375,Oeko!GJ375)</f>
        <v>1</v>
      </c>
      <c r="BK375" s="2026">
        <f>IF(Construction!$F$31=Construction!$R$22,Oeko!DX375,Oeko!GK375)</f>
        <v>1</v>
      </c>
      <c r="BN375" s="2022"/>
      <c r="BO375" s="2">
        <v>30</v>
      </c>
      <c r="BP375" s="2" t="str">
        <f>$AD$14</f>
        <v>Micro-pieux</v>
      </c>
      <c r="BQ375" s="1979">
        <v>1</v>
      </c>
      <c r="BR375" s="1979">
        <v>1</v>
      </c>
      <c r="BS375" s="1979">
        <v>1</v>
      </c>
      <c r="BT375" s="1979">
        <v>1</v>
      </c>
      <c r="BU375" s="1979">
        <v>1</v>
      </c>
      <c r="BV375" s="1998">
        <v>1</v>
      </c>
      <c r="BW375" s="1998">
        <v>1</v>
      </c>
      <c r="BX375" s="1998">
        <v>1</v>
      </c>
      <c r="BY375" s="1998">
        <v>1</v>
      </c>
      <c r="BZ375" s="1998">
        <v>1</v>
      </c>
      <c r="CA375" s="1979">
        <v>1</v>
      </c>
      <c r="CB375" s="1979">
        <v>1</v>
      </c>
      <c r="CC375" s="1979">
        <v>1</v>
      </c>
      <c r="CD375" s="1979">
        <v>1</v>
      </c>
      <c r="CE375" s="1979">
        <v>1</v>
      </c>
      <c r="CF375" s="1998">
        <v>1</v>
      </c>
      <c r="CG375" s="1998">
        <v>1</v>
      </c>
      <c r="CH375" s="1998">
        <v>1</v>
      </c>
      <c r="CI375" s="1998">
        <v>1</v>
      </c>
      <c r="CJ375" s="1998">
        <v>1</v>
      </c>
      <c r="CK375" s="1979">
        <v>1</v>
      </c>
      <c r="CL375" s="1979">
        <v>1</v>
      </c>
      <c r="CM375" s="1979">
        <v>1</v>
      </c>
      <c r="CN375" s="1979">
        <v>1</v>
      </c>
      <c r="CO375" s="1979">
        <v>1</v>
      </c>
      <c r="CP375" s="1998">
        <v>1</v>
      </c>
      <c r="CQ375" s="1998">
        <v>1</v>
      </c>
      <c r="CR375" s="1998">
        <v>1</v>
      </c>
      <c r="CS375" s="1998">
        <v>1</v>
      </c>
      <c r="CT375" s="1998">
        <v>1</v>
      </c>
      <c r="CU375" s="1979">
        <v>1</v>
      </c>
      <c r="CV375" s="1979">
        <v>1</v>
      </c>
      <c r="CW375" s="1979">
        <v>1</v>
      </c>
      <c r="CX375" s="1979">
        <v>1</v>
      </c>
      <c r="CY375" s="1979">
        <v>1</v>
      </c>
      <c r="CZ375" s="1998">
        <v>1</v>
      </c>
      <c r="DA375" s="1998">
        <v>1</v>
      </c>
      <c r="DB375" s="1998">
        <v>1</v>
      </c>
      <c r="DC375" s="1998">
        <v>1</v>
      </c>
      <c r="DD375" s="1998">
        <v>1</v>
      </c>
      <c r="DE375" s="1979">
        <v>1</v>
      </c>
      <c r="DF375" s="1979">
        <v>1</v>
      </c>
      <c r="DG375" s="1979">
        <v>1</v>
      </c>
      <c r="DH375" s="1979">
        <v>1</v>
      </c>
      <c r="DI375" s="1979">
        <v>1</v>
      </c>
      <c r="DJ375" s="1998">
        <v>1</v>
      </c>
      <c r="DK375" s="1998">
        <v>1</v>
      </c>
      <c r="DL375" s="1998">
        <v>1</v>
      </c>
      <c r="DM375" s="1998">
        <v>1</v>
      </c>
      <c r="DN375" s="1998">
        <v>1</v>
      </c>
      <c r="DO375" s="1979">
        <v>1</v>
      </c>
      <c r="DP375" s="1979">
        <v>1</v>
      </c>
      <c r="DQ375" s="1979">
        <v>1</v>
      </c>
      <c r="DR375" s="1979">
        <v>1</v>
      </c>
      <c r="DS375" s="1979">
        <v>1</v>
      </c>
      <c r="DT375" s="1998">
        <v>1</v>
      </c>
      <c r="DU375" s="1998">
        <v>1</v>
      </c>
      <c r="DV375" s="1998">
        <v>1</v>
      </c>
      <c r="DW375" s="1998">
        <v>1</v>
      </c>
      <c r="DX375" s="2026">
        <v>1</v>
      </c>
      <c r="EA375" s="2022"/>
      <c r="EB375" s="2">
        <v>30</v>
      </c>
      <c r="EC375" s="2" t="str">
        <f>$AD$14</f>
        <v>Micro-pieux</v>
      </c>
      <c r="ED375" s="1979">
        <v>1.3605609674202821</v>
      </c>
      <c r="EE375" s="1979">
        <v>1.3605609674202821</v>
      </c>
      <c r="EF375" s="1979">
        <v>1.3605609674202821</v>
      </c>
      <c r="EG375" s="1979">
        <v>1.3605609674202821</v>
      </c>
      <c r="EH375" s="1979">
        <v>1.3605609674202821</v>
      </c>
      <c r="EI375" s="1998">
        <v>2.0966679740137137</v>
      </c>
      <c r="EJ375" s="1998">
        <v>2.0966679740137137</v>
      </c>
      <c r="EK375" s="1998">
        <v>2.0966679740137137</v>
      </c>
      <c r="EL375" s="1998">
        <v>2.0966679740137137</v>
      </c>
      <c r="EM375" s="1998">
        <v>2.0966679740137137</v>
      </c>
      <c r="EN375" s="1979">
        <v>1.4337071065592959</v>
      </c>
      <c r="EO375" s="1979">
        <v>1.4337071065592959</v>
      </c>
      <c r="EP375" s="1979">
        <v>1.4337071065592959</v>
      </c>
      <c r="EQ375" s="1979">
        <v>1.4337071065592959</v>
      </c>
      <c r="ER375" s="1979">
        <v>1.4337071065592959</v>
      </c>
      <c r="ES375" s="1998">
        <v>1.8379162318633464</v>
      </c>
      <c r="ET375" s="1998">
        <v>1.8379162318633464</v>
      </c>
      <c r="EU375" s="1998">
        <v>1.8379162318633464</v>
      </c>
      <c r="EV375" s="1998">
        <v>1.8379162318633464</v>
      </c>
      <c r="EW375" s="1998">
        <v>1.8379162318633464</v>
      </c>
      <c r="EX375" s="1979">
        <v>1.4662053104562123</v>
      </c>
      <c r="EY375" s="1979">
        <v>1.4662053104562123</v>
      </c>
      <c r="EZ375" s="1979">
        <v>1.4662053104562123</v>
      </c>
      <c r="FA375" s="1979">
        <v>1.4662053104562123</v>
      </c>
      <c r="FB375" s="1979">
        <v>1.4662053104562123</v>
      </c>
      <c r="FC375" s="1998">
        <v>1.6277744053108218</v>
      </c>
      <c r="FD375" s="1998">
        <v>1.6277744053108218</v>
      </c>
      <c r="FE375" s="1998">
        <v>1.6277744053108218</v>
      </c>
      <c r="FF375" s="1998">
        <v>1.6277744053108218</v>
      </c>
      <c r="FG375" s="1998">
        <v>1.6277744053108218</v>
      </c>
      <c r="FH375" s="1979">
        <v>2.3921927569513635</v>
      </c>
      <c r="FI375" s="1979">
        <v>2.3921927569513635</v>
      </c>
      <c r="FJ375" s="1979">
        <v>2.3921927569513635</v>
      </c>
      <c r="FK375" s="1979">
        <v>2.3921927569513635</v>
      </c>
      <c r="FL375" s="1979">
        <v>2.3921927569513635</v>
      </c>
      <c r="FM375" s="1998">
        <v>1.5115041757386145</v>
      </c>
      <c r="FN375" s="1998">
        <v>1.5115041757386145</v>
      </c>
      <c r="FO375" s="1998">
        <v>1.5115041757386145</v>
      </c>
      <c r="FP375" s="1998">
        <v>1.5115041757386145</v>
      </c>
      <c r="FQ375" s="1998">
        <v>1.5115041757386145</v>
      </c>
      <c r="FR375" s="1979">
        <v>8.1198212572277306</v>
      </c>
      <c r="FS375" s="1979">
        <v>8.1198212572277306</v>
      </c>
      <c r="FT375" s="1979">
        <v>8.1198212572277306</v>
      </c>
      <c r="FU375" s="1979">
        <v>8.1198212572277306</v>
      </c>
      <c r="FV375" s="1979">
        <v>8.1198212572277306</v>
      </c>
      <c r="FW375" s="1998">
        <v>8.4799072816005001</v>
      </c>
      <c r="FX375" s="1998">
        <v>8.4799072816005001</v>
      </c>
      <c r="FY375" s="1998">
        <v>8.4799072816005001</v>
      </c>
      <c r="FZ375" s="1998">
        <v>8.4799072816005001</v>
      </c>
      <c r="GA375" s="1998">
        <v>8.4799072816005001</v>
      </c>
      <c r="GB375" s="1979">
        <v>1.3861479372000356</v>
      </c>
      <c r="GC375" s="1979">
        <v>1.3861479372000356</v>
      </c>
      <c r="GD375" s="1979">
        <v>1.3861479372000356</v>
      </c>
      <c r="GE375" s="1979">
        <v>1.3861479372000356</v>
      </c>
      <c r="GF375" s="1979">
        <v>1.3861479372000356</v>
      </c>
      <c r="GG375" s="1998">
        <v>1.4313071575784038</v>
      </c>
      <c r="GH375" s="1998">
        <v>1.4313071575784038</v>
      </c>
      <c r="GI375" s="1998">
        <v>1.4313071575784038</v>
      </c>
      <c r="GJ375" s="1998">
        <v>1.4313071575784038</v>
      </c>
      <c r="GK375" s="2026">
        <v>1.4313071575784038</v>
      </c>
    </row>
    <row r="376" spans="1:193">
      <c r="A376" s="2020"/>
      <c r="B376" s="2">
        <v>31</v>
      </c>
      <c r="C376" s="2" t="str">
        <f>$AD$15</f>
        <v>Pieux en béton coulé sur place</v>
      </c>
      <c r="D376" s="1979">
        <f>IF(Construction!$F$31=Construction!$R$22,Oeko!BQ376,Oeko!ED376)</f>
        <v>1</v>
      </c>
      <c r="E376" s="1979">
        <f>IF(Construction!$F$31=Construction!$R$22,Oeko!BR376,Oeko!EE376)</f>
        <v>1</v>
      </c>
      <c r="F376" s="1979">
        <f>IF(Construction!$F$31=Construction!$R$22,Oeko!BS376,Oeko!EF376)</f>
        <v>1</v>
      </c>
      <c r="G376" s="1979">
        <f>IF(Construction!$F$31=Construction!$R$22,Oeko!BT376,Oeko!EG376)</f>
        <v>1</v>
      </c>
      <c r="H376" s="1979">
        <f>IF(Construction!$F$31=Construction!$R$22,Oeko!BU376,Oeko!EH376)</f>
        <v>1</v>
      </c>
      <c r="I376" s="1998">
        <f>IF(Construction!$F$31=Construction!$R$22,Oeko!BV376,Oeko!EI376)</f>
        <v>1</v>
      </c>
      <c r="J376" s="1998">
        <f>IF(Construction!$F$31=Construction!$R$22,Oeko!BW376,Oeko!EJ376)</f>
        <v>1</v>
      </c>
      <c r="K376" s="1998">
        <f>IF(Construction!$F$31=Construction!$R$22,Oeko!BX376,Oeko!EK376)</f>
        <v>1</v>
      </c>
      <c r="L376" s="1998">
        <f>IF(Construction!$F$31=Construction!$R$22,Oeko!BY376,Oeko!EL376)</f>
        <v>1</v>
      </c>
      <c r="M376" s="1998">
        <f>IF(Construction!$F$31=Construction!$R$22,Oeko!BZ376,Oeko!EM376)</f>
        <v>1</v>
      </c>
      <c r="N376" s="1979">
        <f>IF(Construction!$F$31=Construction!$R$22,Oeko!CA376,Oeko!EN376)</f>
        <v>1</v>
      </c>
      <c r="O376" s="1979">
        <f>IF(Construction!$F$31=Construction!$R$22,Oeko!CB376,Oeko!EO376)</f>
        <v>1</v>
      </c>
      <c r="P376" s="1979">
        <f>IF(Construction!$F$31=Construction!$R$22,Oeko!CC376,Oeko!EP376)</f>
        <v>1</v>
      </c>
      <c r="Q376" s="1979">
        <f>IF(Construction!$F$31=Construction!$R$22,Oeko!CD376,Oeko!EQ376)</f>
        <v>1</v>
      </c>
      <c r="R376" s="1979">
        <f>IF(Construction!$F$31=Construction!$R$22,Oeko!CE376,Oeko!ER376)</f>
        <v>1</v>
      </c>
      <c r="S376" s="1998">
        <f>IF(Construction!$F$31=Construction!$R$22,Oeko!CF376,Oeko!ES376)</f>
        <v>1</v>
      </c>
      <c r="T376" s="1998">
        <f>IF(Construction!$F$31=Construction!$R$22,Oeko!CG376,Oeko!ET376)</f>
        <v>1</v>
      </c>
      <c r="U376" s="1998">
        <f>IF(Construction!$F$31=Construction!$R$22,Oeko!CH376,Oeko!EU376)</f>
        <v>1</v>
      </c>
      <c r="V376" s="1998">
        <f>IF(Construction!$F$31=Construction!$R$22,Oeko!CI376,Oeko!EV376)</f>
        <v>1</v>
      </c>
      <c r="W376" s="1998">
        <f>IF(Construction!$F$31=Construction!$R$22,Oeko!CJ376,Oeko!EW376)</f>
        <v>1</v>
      </c>
      <c r="X376" s="1979">
        <f>IF(Construction!$F$31=Construction!$R$22,Oeko!CK376,Oeko!EX376)</f>
        <v>1</v>
      </c>
      <c r="Y376" s="1979">
        <f>IF(Construction!$F$31=Construction!$R$22,Oeko!CL376,Oeko!EY376)</f>
        <v>1</v>
      </c>
      <c r="Z376" s="1979">
        <f>IF(Construction!$F$31=Construction!$R$22,Oeko!CM376,Oeko!EZ376)</f>
        <v>1</v>
      </c>
      <c r="AA376" s="1979">
        <f>IF(Construction!$F$31=Construction!$R$22,Oeko!CN376,Oeko!FA376)</f>
        <v>1</v>
      </c>
      <c r="AB376" s="1979">
        <f>IF(Construction!$F$31=Construction!$R$22,Oeko!CO376,Oeko!FB376)</f>
        <v>1</v>
      </c>
      <c r="AC376" s="1998">
        <f>IF(Construction!$F$31=Construction!$R$22,Oeko!CP376,Oeko!FC376)</f>
        <v>1</v>
      </c>
      <c r="AD376" s="1998">
        <f>IF(Construction!$F$31=Construction!$R$22,Oeko!CQ376,Oeko!FD376)</f>
        <v>1</v>
      </c>
      <c r="AE376" s="1998">
        <f>IF(Construction!$F$31=Construction!$R$22,Oeko!CR376,Oeko!FE376)</f>
        <v>1</v>
      </c>
      <c r="AF376" s="1998">
        <f>IF(Construction!$F$31=Construction!$R$22,Oeko!CS376,Oeko!FF376)</f>
        <v>1</v>
      </c>
      <c r="AG376" s="1998">
        <f>IF(Construction!$F$31=Construction!$R$22,Oeko!CT376,Oeko!FG376)</f>
        <v>1</v>
      </c>
      <c r="AH376" s="1979">
        <f>IF(Construction!$F$31=Construction!$R$22,Oeko!CU376,Oeko!FH376)</f>
        <v>1</v>
      </c>
      <c r="AI376" s="1979">
        <f>IF(Construction!$F$31=Construction!$R$22,Oeko!CV376,Oeko!FI376)</f>
        <v>1</v>
      </c>
      <c r="AJ376" s="1979">
        <f>IF(Construction!$F$31=Construction!$R$22,Oeko!CW376,Oeko!FJ376)</f>
        <v>1</v>
      </c>
      <c r="AK376" s="1979">
        <f>IF(Construction!$F$31=Construction!$R$22,Oeko!CX376,Oeko!FK376)</f>
        <v>1</v>
      </c>
      <c r="AL376" s="1979">
        <f>IF(Construction!$F$31=Construction!$R$22,Oeko!CY376,Oeko!FL376)</f>
        <v>1</v>
      </c>
      <c r="AM376" s="1998">
        <f>IF(Construction!$F$31=Construction!$R$22,Oeko!CZ376,Oeko!FM376)</f>
        <v>1</v>
      </c>
      <c r="AN376" s="1998">
        <f>IF(Construction!$F$31=Construction!$R$22,Oeko!DA376,Oeko!FN376)</f>
        <v>1</v>
      </c>
      <c r="AO376" s="1998">
        <f>IF(Construction!$F$31=Construction!$R$22,Oeko!DB376,Oeko!FO376)</f>
        <v>1</v>
      </c>
      <c r="AP376" s="1998">
        <f>IF(Construction!$F$31=Construction!$R$22,Oeko!DC376,Oeko!FP376)</f>
        <v>1</v>
      </c>
      <c r="AQ376" s="1998">
        <f>IF(Construction!$F$31=Construction!$R$22,Oeko!DD376,Oeko!FQ376)</f>
        <v>1</v>
      </c>
      <c r="AR376" s="1979">
        <f>IF(Construction!$F$31=Construction!$R$22,Oeko!DE376,Oeko!FR376)</f>
        <v>1</v>
      </c>
      <c r="AS376" s="1979">
        <f>IF(Construction!$F$31=Construction!$R$22,Oeko!DF376,Oeko!FS376)</f>
        <v>1</v>
      </c>
      <c r="AT376" s="1979">
        <f>IF(Construction!$F$31=Construction!$R$22,Oeko!DG376,Oeko!FT376)</f>
        <v>1</v>
      </c>
      <c r="AU376" s="1979">
        <f>IF(Construction!$F$31=Construction!$R$22,Oeko!DH376,Oeko!FU376)</f>
        <v>1</v>
      </c>
      <c r="AV376" s="1979">
        <f>IF(Construction!$F$31=Construction!$R$22,Oeko!DI376,Oeko!FV376)</f>
        <v>1</v>
      </c>
      <c r="AW376" s="1998">
        <f>IF(Construction!$F$31=Construction!$R$22,Oeko!DJ376,Oeko!FW376)</f>
        <v>1</v>
      </c>
      <c r="AX376" s="1998">
        <f>IF(Construction!$F$31=Construction!$R$22,Oeko!DK376,Oeko!FX376)</f>
        <v>1</v>
      </c>
      <c r="AY376" s="1998">
        <f>IF(Construction!$F$31=Construction!$R$22,Oeko!DL376,Oeko!FY376)</f>
        <v>1</v>
      </c>
      <c r="AZ376" s="1998">
        <f>IF(Construction!$F$31=Construction!$R$22,Oeko!DM376,Oeko!FZ376)</f>
        <v>1</v>
      </c>
      <c r="BA376" s="1998">
        <f>IF(Construction!$F$31=Construction!$R$22,Oeko!DN376,Oeko!GA376)</f>
        <v>1</v>
      </c>
      <c r="BB376" s="1979">
        <f>IF(Construction!$F$31=Construction!$R$22,Oeko!DO376,Oeko!GB376)</f>
        <v>1</v>
      </c>
      <c r="BC376" s="1979">
        <f>IF(Construction!$F$31=Construction!$R$22,Oeko!DP376,Oeko!GC376)</f>
        <v>1</v>
      </c>
      <c r="BD376" s="1979">
        <f>IF(Construction!$F$31=Construction!$R$22,Oeko!DQ376,Oeko!GD376)</f>
        <v>1</v>
      </c>
      <c r="BE376" s="1979">
        <f>IF(Construction!$F$31=Construction!$R$22,Oeko!DR376,Oeko!GE376)</f>
        <v>1</v>
      </c>
      <c r="BF376" s="1979">
        <f>IF(Construction!$F$31=Construction!$R$22,Oeko!DS376,Oeko!GF376)</f>
        <v>1</v>
      </c>
      <c r="BG376" s="1998">
        <f>IF(Construction!$F$31=Construction!$R$22,Oeko!DT376,Oeko!GG376)</f>
        <v>1</v>
      </c>
      <c r="BH376" s="1998">
        <f>IF(Construction!$F$31=Construction!$R$22,Oeko!DU376,Oeko!GH376)</f>
        <v>1</v>
      </c>
      <c r="BI376" s="1998">
        <f>IF(Construction!$F$31=Construction!$R$22,Oeko!DV376,Oeko!GI376)</f>
        <v>1</v>
      </c>
      <c r="BJ376" s="1998">
        <f>IF(Construction!$F$31=Construction!$R$22,Oeko!DW376,Oeko!GJ376)</f>
        <v>1</v>
      </c>
      <c r="BK376" s="2026">
        <f>IF(Construction!$F$31=Construction!$R$22,Oeko!DX376,Oeko!GK376)</f>
        <v>1</v>
      </c>
      <c r="BN376" s="2022"/>
      <c r="BO376" s="2">
        <v>31</v>
      </c>
      <c r="BP376" s="2" t="str">
        <f>$AD$15</f>
        <v>Pieux en béton coulé sur place</v>
      </c>
      <c r="BQ376" s="1979">
        <v>1</v>
      </c>
      <c r="BR376" s="1979">
        <v>1</v>
      </c>
      <c r="BS376" s="1979">
        <v>1</v>
      </c>
      <c r="BT376" s="1979">
        <v>1</v>
      </c>
      <c r="BU376" s="1979">
        <v>1</v>
      </c>
      <c r="BV376" s="1998">
        <v>1</v>
      </c>
      <c r="BW376" s="1998">
        <v>1</v>
      </c>
      <c r="BX376" s="1998">
        <v>1</v>
      </c>
      <c r="BY376" s="1998">
        <v>1</v>
      </c>
      <c r="BZ376" s="1998">
        <v>1</v>
      </c>
      <c r="CA376" s="1979">
        <v>1</v>
      </c>
      <c r="CB376" s="1979">
        <v>1</v>
      </c>
      <c r="CC376" s="1979">
        <v>1</v>
      </c>
      <c r="CD376" s="1979">
        <v>1</v>
      </c>
      <c r="CE376" s="1979">
        <v>1</v>
      </c>
      <c r="CF376" s="1998">
        <v>1</v>
      </c>
      <c r="CG376" s="1998">
        <v>1</v>
      </c>
      <c r="CH376" s="1998">
        <v>1</v>
      </c>
      <c r="CI376" s="1998">
        <v>1</v>
      </c>
      <c r="CJ376" s="1998">
        <v>1</v>
      </c>
      <c r="CK376" s="1979">
        <v>1</v>
      </c>
      <c r="CL376" s="1979">
        <v>1</v>
      </c>
      <c r="CM376" s="1979">
        <v>1</v>
      </c>
      <c r="CN376" s="1979">
        <v>1</v>
      </c>
      <c r="CO376" s="1979">
        <v>1</v>
      </c>
      <c r="CP376" s="1998">
        <v>1</v>
      </c>
      <c r="CQ376" s="1998">
        <v>1</v>
      </c>
      <c r="CR376" s="1998">
        <v>1</v>
      </c>
      <c r="CS376" s="1998">
        <v>1</v>
      </c>
      <c r="CT376" s="1998">
        <v>1</v>
      </c>
      <c r="CU376" s="1979">
        <v>1</v>
      </c>
      <c r="CV376" s="1979">
        <v>1</v>
      </c>
      <c r="CW376" s="1979">
        <v>1</v>
      </c>
      <c r="CX376" s="1979">
        <v>1</v>
      </c>
      <c r="CY376" s="1979">
        <v>1</v>
      </c>
      <c r="CZ376" s="1998">
        <v>1</v>
      </c>
      <c r="DA376" s="1998">
        <v>1</v>
      </c>
      <c r="DB376" s="1998">
        <v>1</v>
      </c>
      <c r="DC376" s="1998">
        <v>1</v>
      </c>
      <c r="DD376" s="1998">
        <v>1</v>
      </c>
      <c r="DE376" s="1979">
        <v>1</v>
      </c>
      <c r="DF376" s="1979">
        <v>1</v>
      </c>
      <c r="DG376" s="1979">
        <v>1</v>
      </c>
      <c r="DH376" s="1979">
        <v>1</v>
      </c>
      <c r="DI376" s="1979">
        <v>1</v>
      </c>
      <c r="DJ376" s="1998">
        <v>1</v>
      </c>
      <c r="DK376" s="1998">
        <v>1</v>
      </c>
      <c r="DL376" s="1998">
        <v>1</v>
      </c>
      <c r="DM376" s="1998">
        <v>1</v>
      </c>
      <c r="DN376" s="1998">
        <v>1</v>
      </c>
      <c r="DO376" s="1979">
        <v>1</v>
      </c>
      <c r="DP376" s="1979">
        <v>1</v>
      </c>
      <c r="DQ376" s="1979">
        <v>1</v>
      </c>
      <c r="DR376" s="1979">
        <v>1</v>
      </c>
      <c r="DS376" s="1979">
        <v>1</v>
      </c>
      <c r="DT376" s="1998">
        <v>1</v>
      </c>
      <c r="DU376" s="1998">
        <v>1</v>
      </c>
      <c r="DV376" s="1998">
        <v>1</v>
      </c>
      <c r="DW376" s="1998">
        <v>1</v>
      </c>
      <c r="DX376" s="2026">
        <v>1</v>
      </c>
      <c r="EA376" s="2022"/>
      <c r="EB376" s="2">
        <v>31</v>
      </c>
      <c r="EC376" s="2" t="str">
        <f>$AD$15</f>
        <v>Pieux en béton coulé sur place</v>
      </c>
      <c r="ED376" s="1979">
        <v>1.3605609674202821</v>
      </c>
      <c r="EE376" s="1979">
        <v>1.3605609674202821</v>
      </c>
      <c r="EF376" s="1979">
        <v>1.3605609674202821</v>
      </c>
      <c r="EG376" s="1979">
        <v>1.3605609674202821</v>
      </c>
      <c r="EH376" s="1979">
        <v>1.3605609674202821</v>
      </c>
      <c r="EI376" s="1998">
        <v>2.0966679740137137</v>
      </c>
      <c r="EJ376" s="1998">
        <v>2.0966679740137137</v>
      </c>
      <c r="EK376" s="1998">
        <v>2.0966679740137137</v>
      </c>
      <c r="EL376" s="1998">
        <v>2.0966679740137137</v>
      </c>
      <c r="EM376" s="1998">
        <v>2.0966679740137137</v>
      </c>
      <c r="EN376" s="1979">
        <v>1.4337071065592959</v>
      </c>
      <c r="EO376" s="1979">
        <v>1.4337071065592959</v>
      </c>
      <c r="EP376" s="1979">
        <v>1.4337071065592959</v>
      </c>
      <c r="EQ376" s="1979">
        <v>1.4337071065592959</v>
      </c>
      <c r="ER376" s="1979">
        <v>1.4337071065592959</v>
      </c>
      <c r="ES376" s="1998">
        <v>1.8379162318633464</v>
      </c>
      <c r="ET376" s="1998">
        <v>1.8379162318633464</v>
      </c>
      <c r="EU376" s="1998">
        <v>1.8379162318633464</v>
      </c>
      <c r="EV376" s="1998">
        <v>1.8379162318633464</v>
      </c>
      <c r="EW376" s="1998">
        <v>1.8379162318633464</v>
      </c>
      <c r="EX376" s="1979">
        <v>1.4662053104562123</v>
      </c>
      <c r="EY376" s="1979">
        <v>1.4662053104562123</v>
      </c>
      <c r="EZ376" s="1979">
        <v>1.4662053104562123</v>
      </c>
      <c r="FA376" s="1979">
        <v>1.4662053104562123</v>
      </c>
      <c r="FB376" s="1979">
        <v>1.4662053104562123</v>
      </c>
      <c r="FC376" s="1998">
        <v>1.6277744053108218</v>
      </c>
      <c r="FD376" s="1998">
        <v>1.6277744053108218</v>
      </c>
      <c r="FE376" s="1998">
        <v>1.6277744053108218</v>
      </c>
      <c r="FF376" s="1998">
        <v>1.6277744053108218</v>
      </c>
      <c r="FG376" s="1998">
        <v>1.6277744053108218</v>
      </c>
      <c r="FH376" s="1979">
        <v>2.3921927569513635</v>
      </c>
      <c r="FI376" s="1979">
        <v>2.3921927569513635</v>
      </c>
      <c r="FJ376" s="1979">
        <v>2.3921927569513635</v>
      </c>
      <c r="FK376" s="1979">
        <v>2.3921927569513635</v>
      </c>
      <c r="FL376" s="1979">
        <v>2.3921927569513635</v>
      </c>
      <c r="FM376" s="1998">
        <v>1.5115041757386145</v>
      </c>
      <c r="FN376" s="1998">
        <v>1.5115041757386145</v>
      </c>
      <c r="FO376" s="1998">
        <v>1.5115041757386145</v>
      </c>
      <c r="FP376" s="1998">
        <v>1.5115041757386145</v>
      </c>
      <c r="FQ376" s="1998">
        <v>1.5115041757386145</v>
      </c>
      <c r="FR376" s="1979">
        <v>8.1198212572277306</v>
      </c>
      <c r="FS376" s="1979">
        <v>8.1198212572277306</v>
      </c>
      <c r="FT376" s="1979">
        <v>8.1198212572277306</v>
      </c>
      <c r="FU376" s="1979">
        <v>8.1198212572277306</v>
      </c>
      <c r="FV376" s="1979">
        <v>8.1198212572277306</v>
      </c>
      <c r="FW376" s="1998">
        <v>8.4799072816005001</v>
      </c>
      <c r="FX376" s="1998">
        <v>8.4799072816005001</v>
      </c>
      <c r="FY376" s="1998">
        <v>8.4799072816005001</v>
      </c>
      <c r="FZ376" s="1998">
        <v>8.4799072816005001</v>
      </c>
      <c r="GA376" s="1998">
        <v>8.4799072816005001</v>
      </c>
      <c r="GB376" s="1979">
        <v>1.3861479372000356</v>
      </c>
      <c r="GC376" s="1979">
        <v>1.3861479372000356</v>
      </c>
      <c r="GD376" s="1979">
        <v>1.3861479372000356</v>
      </c>
      <c r="GE376" s="1979">
        <v>1.3861479372000356</v>
      </c>
      <c r="GF376" s="1979">
        <v>1.3861479372000356</v>
      </c>
      <c r="GG376" s="1998">
        <v>1.4313071575784038</v>
      </c>
      <c r="GH376" s="1998">
        <v>1.4313071575784038</v>
      </c>
      <c r="GI376" s="1998">
        <v>1.4313071575784038</v>
      </c>
      <c r="GJ376" s="1998">
        <v>1.4313071575784038</v>
      </c>
      <c r="GK376" s="2026">
        <v>1.4313071575784038</v>
      </c>
    </row>
    <row r="377" spans="1:193">
      <c r="A377" s="2020"/>
      <c r="B377" s="2">
        <v>32</v>
      </c>
      <c r="C377" s="2" t="str">
        <f>$AD$16</f>
        <v>Colonnes ballastées</v>
      </c>
      <c r="D377" s="1979">
        <f>IF(Construction!$F$31=Construction!$R$22,Oeko!BQ377,Oeko!ED377)</f>
        <v>1</v>
      </c>
      <c r="E377" s="1979">
        <f>IF(Construction!$F$31=Construction!$R$22,Oeko!BR377,Oeko!EE377)</f>
        <v>1</v>
      </c>
      <c r="F377" s="1979">
        <f>IF(Construction!$F$31=Construction!$R$22,Oeko!BS377,Oeko!EF377)</f>
        <v>1</v>
      </c>
      <c r="G377" s="1979">
        <f>IF(Construction!$F$31=Construction!$R$22,Oeko!BT377,Oeko!EG377)</f>
        <v>1</v>
      </c>
      <c r="H377" s="1979">
        <f>IF(Construction!$F$31=Construction!$R$22,Oeko!BU377,Oeko!EH377)</f>
        <v>1</v>
      </c>
      <c r="I377" s="1998">
        <f>IF(Construction!$F$31=Construction!$R$22,Oeko!BV377,Oeko!EI377)</f>
        <v>1</v>
      </c>
      <c r="J377" s="1998">
        <f>IF(Construction!$F$31=Construction!$R$22,Oeko!BW377,Oeko!EJ377)</f>
        <v>1</v>
      </c>
      <c r="K377" s="1998">
        <f>IF(Construction!$F$31=Construction!$R$22,Oeko!BX377,Oeko!EK377)</f>
        <v>1</v>
      </c>
      <c r="L377" s="1998">
        <f>IF(Construction!$F$31=Construction!$R$22,Oeko!BY377,Oeko!EL377)</f>
        <v>1</v>
      </c>
      <c r="M377" s="1998">
        <f>IF(Construction!$F$31=Construction!$R$22,Oeko!BZ377,Oeko!EM377)</f>
        <v>1</v>
      </c>
      <c r="N377" s="1979">
        <f>IF(Construction!$F$31=Construction!$R$22,Oeko!CA377,Oeko!EN377)</f>
        <v>1</v>
      </c>
      <c r="O377" s="1979">
        <f>IF(Construction!$F$31=Construction!$R$22,Oeko!CB377,Oeko!EO377)</f>
        <v>1</v>
      </c>
      <c r="P377" s="1979">
        <f>IF(Construction!$F$31=Construction!$R$22,Oeko!CC377,Oeko!EP377)</f>
        <v>1</v>
      </c>
      <c r="Q377" s="1979">
        <f>IF(Construction!$F$31=Construction!$R$22,Oeko!CD377,Oeko!EQ377)</f>
        <v>1</v>
      </c>
      <c r="R377" s="1979">
        <f>IF(Construction!$F$31=Construction!$R$22,Oeko!CE377,Oeko!ER377)</f>
        <v>1</v>
      </c>
      <c r="S377" s="1998">
        <f>IF(Construction!$F$31=Construction!$R$22,Oeko!CF377,Oeko!ES377)</f>
        <v>1</v>
      </c>
      <c r="T377" s="1998">
        <f>IF(Construction!$F$31=Construction!$R$22,Oeko!CG377,Oeko!ET377)</f>
        <v>1</v>
      </c>
      <c r="U377" s="1998">
        <f>IF(Construction!$F$31=Construction!$R$22,Oeko!CH377,Oeko!EU377)</f>
        <v>1</v>
      </c>
      <c r="V377" s="1998">
        <f>IF(Construction!$F$31=Construction!$R$22,Oeko!CI377,Oeko!EV377)</f>
        <v>1</v>
      </c>
      <c r="W377" s="1998">
        <f>IF(Construction!$F$31=Construction!$R$22,Oeko!CJ377,Oeko!EW377)</f>
        <v>1</v>
      </c>
      <c r="X377" s="1979">
        <f>IF(Construction!$F$31=Construction!$R$22,Oeko!CK377,Oeko!EX377)</f>
        <v>1</v>
      </c>
      <c r="Y377" s="1979">
        <f>IF(Construction!$F$31=Construction!$R$22,Oeko!CL377,Oeko!EY377)</f>
        <v>1</v>
      </c>
      <c r="Z377" s="1979">
        <f>IF(Construction!$F$31=Construction!$R$22,Oeko!CM377,Oeko!EZ377)</f>
        <v>1</v>
      </c>
      <c r="AA377" s="1979">
        <f>IF(Construction!$F$31=Construction!$R$22,Oeko!CN377,Oeko!FA377)</f>
        <v>1</v>
      </c>
      <c r="AB377" s="1979">
        <f>IF(Construction!$F$31=Construction!$R$22,Oeko!CO377,Oeko!FB377)</f>
        <v>1</v>
      </c>
      <c r="AC377" s="1998">
        <f>IF(Construction!$F$31=Construction!$R$22,Oeko!CP377,Oeko!FC377)</f>
        <v>1</v>
      </c>
      <c r="AD377" s="1998">
        <f>IF(Construction!$F$31=Construction!$R$22,Oeko!CQ377,Oeko!FD377)</f>
        <v>1</v>
      </c>
      <c r="AE377" s="1998">
        <f>IF(Construction!$F$31=Construction!$R$22,Oeko!CR377,Oeko!FE377)</f>
        <v>1</v>
      </c>
      <c r="AF377" s="1998">
        <f>IF(Construction!$F$31=Construction!$R$22,Oeko!CS377,Oeko!FF377)</f>
        <v>1</v>
      </c>
      <c r="AG377" s="1998">
        <f>IF(Construction!$F$31=Construction!$R$22,Oeko!CT377,Oeko!FG377)</f>
        <v>1</v>
      </c>
      <c r="AH377" s="1979">
        <f>IF(Construction!$F$31=Construction!$R$22,Oeko!CU377,Oeko!FH377)</f>
        <v>1</v>
      </c>
      <c r="AI377" s="1979">
        <f>IF(Construction!$F$31=Construction!$R$22,Oeko!CV377,Oeko!FI377)</f>
        <v>1</v>
      </c>
      <c r="AJ377" s="1979">
        <f>IF(Construction!$F$31=Construction!$R$22,Oeko!CW377,Oeko!FJ377)</f>
        <v>1</v>
      </c>
      <c r="AK377" s="1979">
        <f>IF(Construction!$F$31=Construction!$R$22,Oeko!CX377,Oeko!FK377)</f>
        <v>1</v>
      </c>
      <c r="AL377" s="1979">
        <f>IF(Construction!$F$31=Construction!$R$22,Oeko!CY377,Oeko!FL377)</f>
        <v>1</v>
      </c>
      <c r="AM377" s="1998">
        <f>IF(Construction!$F$31=Construction!$R$22,Oeko!CZ377,Oeko!FM377)</f>
        <v>1</v>
      </c>
      <c r="AN377" s="1998">
        <f>IF(Construction!$F$31=Construction!$R$22,Oeko!DA377,Oeko!FN377)</f>
        <v>1</v>
      </c>
      <c r="AO377" s="1998">
        <f>IF(Construction!$F$31=Construction!$R$22,Oeko!DB377,Oeko!FO377)</f>
        <v>1</v>
      </c>
      <c r="AP377" s="1998">
        <f>IF(Construction!$F$31=Construction!$R$22,Oeko!DC377,Oeko!FP377)</f>
        <v>1</v>
      </c>
      <c r="AQ377" s="1998">
        <f>IF(Construction!$F$31=Construction!$R$22,Oeko!DD377,Oeko!FQ377)</f>
        <v>1</v>
      </c>
      <c r="AR377" s="1979">
        <f>IF(Construction!$F$31=Construction!$R$22,Oeko!DE377,Oeko!FR377)</f>
        <v>1</v>
      </c>
      <c r="AS377" s="1979">
        <f>IF(Construction!$F$31=Construction!$R$22,Oeko!DF377,Oeko!FS377)</f>
        <v>1</v>
      </c>
      <c r="AT377" s="1979">
        <f>IF(Construction!$F$31=Construction!$R$22,Oeko!DG377,Oeko!FT377)</f>
        <v>1</v>
      </c>
      <c r="AU377" s="1979">
        <f>IF(Construction!$F$31=Construction!$R$22,Oeko!DH377,Oeko!FU377)</f>
        <v>1</v>
      </c>
      <c r="AV377" s="1979">
        <f>IF(Construction!$F$31=Construction!$R$22,Oeko!DI377,Oeko!FV377)</f>
        <v>1</v>
      </c>
      <c r="AW377" s="1998">
        <f>IF(Construction!$F$31=Construction!$R$22,Oeko!DJ377,Oeko!FW377)</f>
        <v>1</v>
      </c>
      <c r="AX377" s="1998">
        <f>IF(Construction!$F$31=Construction!$R$22,Oeko!DK377,Oeko!FX377)</f>
        <v>1</v>
      </c>
      <c r="AY377" s="1998">
        <f>IF(Construction!$F$31=Construction!$R$22,Oeko!DL377,Oeko!FY377)</f>
        <v>1</v>
      </c>
      <c r="AZ377" s="1998">
        <f>IF(Construction!$F$31=Construction!$R$22,Oeko!DM377,Oeko!FZ377)</f>
        <v>1</v>
      </c>
      <c r="BA377" s="1998">
        <f>IF(Construction!$F$31=Construction!$R$22,Oeko!DN377,Oeko!GA377)</f>
        <v>1</v>
      </c>
      <c r="BB377" s="1979">
        <f>IF(Construction!$F$31=Construction!$R$22,Oeko!DO377,Oeko!GB377)</f>
        <v>1</v>
      </c>
      <c r="BC377" s="1979">
        <f>IF(Construction!$F$31=Construction!$R$22,Oeko!DP377,Oeko!GC377)</f>
        <v>1</v>
      </c>
      <c r="BD377" s="1979">
        <f>IF(Construction!$F$31=Construction!$R$22,Oeko!DQ377,Oeko!GD377)</f>
        <v>1</v>
      </c>
      <c r="BE377" s="1979">
        <f>IF(Construction!$F$31=Construction!$R$22,Oeko!DR377,Oeko!GE377)</f>
        <v>1</v>
      </c>
      <c r="BF377" s="1979">
        <f>IF(Construction!$F$31=Construction!$R$22,Oeko!DS377,Oeko!GF377)</f>
        <v>1</v>
      </c>
      <c r="BG377" s="1998">
        <f>IF(Construction!$F$31=Construction!$R$22,Oeko!DT377,Oeko!GG377)</f>
        <v>1</v>
      </c>
      <c r="BH377" s="1998">
        <f>IF(Construction!$F$31=Construction!$R$22,Oeko!DU377,Oeko!GH377)</f>
        <v>1</v>
      </c>
      <c r="BI377" s="1998">
        <f>IF(Construction!$F$31=Construction!$R$22,Oeko!DV377,Oeko!GI377)</f>
        <v>1</v>
      </c>
      <c r="BJ377" s="1998">
        <f>IF(Construction!$F$31=Construction!$R$22,Oeko!DW377,Oeko!GJ377)</f>
        <v>1</v>
      </c>
      <c r="BK377" s="2026">
        <f>IF(Construction!$F$31=Construction!$R$22,Oeko!DX377,Oeko!GK377)</f>
        <v>1</v>
      </c>
      <c r="BN377" s="2022"/>
      <c r="BO377" s="2">
        <v>32</v>
      </c>
      <c r="BP377" s="2" t="str">
        <f>$AD$16</f>
        <v>Colonnes ballastées</v>
      </c>
      <c r="BQ377" s="1979">
        <v>1</v>
      </c>
      <c r="BR377" s="1979">
        <v>1</v>
      </c>
      <c r="BS377" s="1979">
        <v>1</v>
      </c>
      <c r="BT377" s="1979">
        <v>1</v>
      </c>
      <c r="BU377" s="1979">
        <v>1</v>
      </c>
      <c r="BV377" s="1998">
        <v>1</v>
      </c>
      <c r="BW377" s="1998">
        <v>1</v>
      </c>
      <c r="BX377" s="1998">
        <v>1</v>
      </c>
      <c r="BY377" s="1998">
        <v>1</v>
      </c>
      <c r="BZ377" s="1998">
        <v>1</v>
      </c>
      <c r="CA377" s="1979">
        <v>1</v>
      </c>
      <c r="CB377" s="1979">
        <v>1</v>
      </c>
      <c r="CC377" s="1979">
        <v>1</v>
      </c>
      <c r="CD377" s="1979">
        <v>1</v>
      </c>
      <c r="CE377" s="1979">
        <v>1</v>
      </c>
      <c r="CF377" s="1998">
        <v>1</v>
      </c>
      <c r="CG377" s="1998">
        <v>1</v>
      </c>
      <c r="CH377" s="1998">
        <v>1</v>
      </c>
      <c r="CI377" s="1998">
        <v>1</v>
      </c>
      <c r="CJ377" s="1998">
        <v>1</v>
      </c>
      <c r="CK377" s="1979">
        <v>1</v>
      </c>
      <c r="CL377" s="1979">
        <v>1</v>
      </c>
      <c r="CM377" s="1979">
        <v>1</v>
      </c>
      <c r="CN377" s="1979">
        <v>1</v>
      </c>
      <c r="CO377" s="1979">
        <v>1</v>
      </c>
      <c r="CP377" s="1998">
        <v>1</v>
      </c>
      <c r="CQ377" s="1998">
        <v>1</v>
      </c>
      <c r="CR377" s="1998">
        <v>1</v>
      </c>
      <c r="CS377" s="1998">
        <v>1</v>
      </c>
      <c r="CT377" s="1998">
        <v>1</v>
      </c>
      <c r="CU377" s="1979">
        <v>1</v>
      </c>
      <c r="CV377" s="1979">
        <v>1</v>
      </c>
      <c r="CW377" s="1979">
        <v>1</v>
      </c>
      <c r="CX377" s="1979">
        <v>1</v>
      </c>
      <c r="CY377" s="1979">
        <v>1</v>
      </c>
      <c r="CZ377" s="1998">
        <v>1</v>
      </c>
      <c r="DA377" s="1998">
        <v>1</v>
      </c>
      <c r="DB377" s="1998">
        <v>1</v>
      </c>
      <c r="DC377" s="1998">
        <v>1</v>
      </c>
      <c r="DD377" s="1998">
        <v>1</v>
      </c>
      <c r="DE377" s="1979">
        <v>1</v>
      </c>
      <c r="DF377" s="1979">
        <v>1</v>
      </c>
      <c r="DG377" s="1979">
        <v>1</v>
      </c>
      <c r="DH377" s="1979">
        <v>1</v>
      </c>
      <c r="DI377" s="1979">
        <v>1</v>
      </c>
      <c r="DJ377" s="1998">
        <v>1</v>
      </c>
      <c r="DK377" s="1998">
        <v>1</v>
      </c>
      <c r="DL377" s="1998">
        <v>1</v>
      </c>
      <c r="DM377" s="1998">
        <v>1</v>
      </c>
      <c r="DN377" s="1998">
        <v>1</v>
      </c>
      <c r="DO377" s="1979">
        <v>1</v>
      </c>
      <c r="DP377" s="1979">
        <v>1</v>
      </c>
      <c r="DQ377" s="1979">
        <v>1</v>
      </c>
      <c r="DR377" s="1979">
        <v>1</v>
      </c>
      <c r="DS377" s="1979">
        <v>1</v>
      </c>
      <c r="DT377" s="1998">
        <v>1</v>
      </c>
      <c r="DU377" s="1998">
        <v>1</v>
      </c>
      <c r="DV377" s="1998">
        <v>1</v>
      </c>
      <c r="DW377" s="1998">
        <v>1</v>
      </c>
      <c r="DX377" s="2026">
        <v>1</v>
      </c>
      <c r="EA377" s="2022"/>
      <c r="EB377" s="2">
        <v>32</v>
      </c>
      <c r="EC377" s="2" t="str">
        <f>$AD$16</f>
        <v>Colonnes ballastées</v>
      </c>
      <c r="ED377" s="1979">
        <v>1.3605609674202821</v>
      </c>
      <c r="EE377" s="1979">
        <v>1.3605609674202821</v>
      </c>
      <c r="EF377" s="1979">
        <v>1.3605609674202821</v>
      </c>
      <c r="EG377" s="1979">
        <v>1.3605609674202821</v>
      </c>
      <c r="EH377" s="1979">
        <v>1.3605609674202821</v>
      </c>
      <c r="EI377" s="1998">
        <v>2.0966679740137137</v>
      </c>
      <c r="EJ377" s="1998">
        <v>2.0966679740137137</v>
      </c>
      <c r="EK377" s="1998">
        <v>2.0966679740137137</v>
      </c>
      <c r="EL377" s="1998">
        <v>2.0966679740137137</v>
      </c>
      <c r="EM377" s="1998">
        <v>2.0966679740137137</v>
      </c>
      <c r="EN377" s="1979">
        <v>1.4337071065592959</v>
      </c>
      <c r="EO377" s="1979">
        <v>1.4337071065592959</v>
      </c>
      <c r="EP377" s="1979">
        <v>1.4337071065592959</v>
      </c>
      <c r="EQ377" s="1979">
        <v>1.4337071065592959</v>
      </c>
      <c r="ER377" s="1979">
        <v>1.4337071065592959</v>
      </c>
      <c r="ES377" s="1998">
        <v>1.8379162318633464</v>
      </c>
      <c r="ET377" s="1998">
        <v>1.8379162318633464</v>
      </c>
      <c r="EU377" s="1998">
        <v>1.8379162318633464</v>
      </c>
      <c r="EV377" s="1998">
        <v>1.8379162318633464</v>
      </c>
      <c r="EW377" s="1998">
        <v>1.8379162318633464</v>
      </c>
      <c r="EX377" s="1979">
        <v>1.4662053104562123</v>
      </c>
      <c r="EY377" s="1979">
        <v>1.4662053104562123</v>
      </c>
      <c r="EZ377" s="1979">
        <v>1.4662053104562123</v>
      </c>
      <c r="FA377" s="1979">
        <v>1.4662053104562123</v>
      </c>
      <c r="FB377" s="1979">
        <v>1.4662053104562123</v>
      </c>
      <c r="FC377" s="1998">
        <v>1.6277744053108218</v>
      </c>
      <c r="FD377" s="1998">
        <v>1.6277744053108218</v>
      </c>
      <c r="FE377" s="1998">
        <v>1.6277744053108218</v>
      </c>
      <c r="FF377" s="1998">
        <v>1.6277744053108218</v>
      </c>
      <c r="FG377" s="1998">
        <v>1.6277744053108218</v>
      </c>
      <c r="FH377" s="1979">
        <v>2.3921927569513635</v>
      </c>
      <c r="FI377" s="1979">
        <v>2.3921927569513635</v>
      </c>
      <c r="FJ377" s="1979">
        <v>2.3921927569513635</v>
      </c>
      <c r="FK377" s="1979">
        <v>2.3921927569513635</v>
      </c>
      <c r="FL377" s="1979">
        <v>2.3921927569513635</v>
      </c>
      <c r="FM377" s="1998">
        <v>1.5115041757386145</v>
      </c>
      <c r="FN377" s="1998">
        <v>1.5115041757386145</v>
      </c>
      <c r="FO377" s="1998">
        <v>1.5115041757386145</v>
      </c>
      <c r="FP377" s="1998">
        <v>1.5115041757386145</v>
      </c>
      <c r="FQ377" s="1998">
        <v>1.5115041757386145</v>
      </c>
      <c r="FR377" s="1979">
        <v>8.1198212572277306</v>
      </c>
      <c r="FS377" s="1979">
        <v>8.1198212572277306</v>
      </c>
      <c r="FT377" s="1979">
        <v>8.1198212572277306</v>
      </c>
      <c r="FU377" s="1979">
        <v>8.1198212572277306</v>
      </c>
      <c r="FV377" s="1979">
        <v>8.1198212572277306</v>
      </c>
      <c r="FW377" s="1998">
        <v>8.4799072816005001</v>
      </c>
      <c r="FX377" s="1998">
        <v>8.4799072816005001</v>
      </c>
      <c r="FY377" s="1998">
        <v>8.4799072816005001</v>
      </c>
      <c r="FZ377" s="1998">
        <v>8.4799072816005001</v>
      </c>
      <c r="GA377" s="1998">
        <v>8.4799072816005001</v>
      </c>
      <c r="GB377" s="1979">
        <v>1.3861479372000356</v>
      </c>
      <c r="GC377" s="1979">
        <v>1.3861479372000356</v>
      </c>
      <c r="GD377" s="1979">
        <v>1.3861479372000356</v>
      </c>
      <c r="GE377" s="1979">
        <v>1.3861479372000356</v>
      </c>
      <c r="GF377" s="1979">
        <v>1.3861479372000356</v>
      </c>
      <c r="GG377" s="1998">
        <v>1.4313071575784038</v>
      </c>
      <c r="GH377" s="1998">
        <v>1.4313071575784038</v>
      </c>
      <c r="GI377" s="1998">
        <v>1.4313071575784038</v>
      </c>
      <c r="GJ377" s="1998">
        <v>1.4313071575784038</v>
      </c>
      <c r="GK377" s="2026">
        <v>1.4313071575784038</v>
      </c>
    </row>
    <row r="378" spans="1:193">
      <c r="A378" s="2020"/>
      <c r="B378" s="2">
        <v>33</v>
      </c>
      <c r="C378" s="2" t="str">
        <f>$AD$17</f>
        <v>Pieu en béton préfabriqué (battus)</v>
      </c>
      <c r="D378" s="1979">
        <f>IF(Construction!$F$31=Construction!$R$22,Oeko!BQ378,Oeko!ED378)</f>
        <v>1</v>
      </c>
      <c r="E378" s="1979">
        <f>IF(Construction!$F$31=Construction!$R$22,Oeko!BR378,Oeko!EE378)</f>
        <v>1</v>
      </c>
      <c r="F378" s="1979">
        <f>IF(Construction!$F$31=Construction!$R$22,Oeko!BS378,Oeko!EF378)</f>
        <v>1</v>
      </c>
      <c r="G378" s="1979">
        <f>IF(Construction!$F$31=Construction!$R$22,Oeko!BT378,Oeko!EG378)</f>
        <v>1</v>
      </c>
      <c r="H378" s="1979">
        <f>IF(Construction!$F$31=Construction!$R$22,Oeko!BU378,Oeko!EH378)</f>
        <v>1</v>
      </c>
      <c r="I378" s="1998">
        <f>IF(Construction!$F$31=Construction!$R$22,Oeko!BV378,Oeko!EI378)</f>
        <v>1</v>
      </c>
      <c r="J378" s="1998">
        <f>IF(Construction!$F$31=Construction!$R$22,Oeko!BW378,Oeko!EJ378)</f>
        <v>1</v>
      </c>
      <c r="K378" s="1998">
        <f>IF(Construction!$F$31=Construction!$R$22,Oeko!BX378,Oeko!EK378)</f>
        <v>1</v>
      </c>
      <c r="L378" s="1998">
        <f>IF(Construction!$F$31=Construction!$R$22,Oeko!BY378,Oeko!EL378)</f>
        <v>1</v>
      </c>
      <c r="M378" s="1998">
        <f>IF(Construction!$F$31=Construction!$R$22,Oeko!BZ378,Oeko!EM378)</f>
        <v>1</v>
      </c>
      <c r="N378" s="1979">
        <f>IF(Construction!$F$31=Construction!$R$22,Oeko!CA378,Oeko!EN378)</f>
        <v>1</v>
      </c>
      <c r="O378" s="1979">
        <f>IF(Construction!$F$31=Construction!$R$22,Oeko!CB378,Oeko!EO378)</f>
        <v>1</v>
      </c>
      <c r="P378" s="1979">
        <f>IF(Construction!$F$31=Construction!$R$22,Oeko!CC378,Oeko!EP378)</f>
        <v>1</v>
      </c>
      <c r="Q378" s="1979">
        <f>IF(Construction!$F$31=Construction!$R$22,Oeko!CD378,Oeko!EQ378)</f>
        <v>1</v>
      </c>
      <c r="R378" s="1979">
        <f>IF(Construction!$F$31=Construction!$R$22,Oeko!CE378,Oeko!ER378)</f>
        <v>1</v>
      </c>
      <c r="S378" s="1998">
        <f>IF(Construction!$F$31=Construction!$R$22,Oeko!CF378,Oeko!ES378)</f>
        <v>1</v>
      </c>
      <c r="T378" s="1998">
        <f>IF(Construction!$F$31=Construction!$R$22,Oeko!CG378,Oeko!ET378)</f>
        <v>1</v>
      </c>
      <c r="U378" s="1998">
        <f>IF(Construction!$F$31=Construction!$R$22,Oeko!CH378,Oeko!EU378)</f>
        <v>1</v>
      </c>
      <c r="V378" s="1998">
        <f>IF(Construction!$F$31=Construction!$R$22,Oeko!CI378,Oeko!EV378)</f>
        <v>1</v>
      </c>
      <c r="W378" s="1998">
        <f>IF(Construction!$F$31=Construction!$R$22,Oeko!CJ378,Oeko!EW378)</f>
        <v>1</v>
      </c>
      <c r="X378" s="1979">
        <f>IF(Construction!$F$31=Construction!$R$22,Oeko!CK378,Oeko!EX378)</f>
        <v>1</v>
      </c>
      <c r="Y378" s="1979">
        <f>IF(Construction!$F$31=Construction!$R$22,Oeko!CL378,Oeko!EY378)</f>
        <v>1</v>
      </c>
      <c r="Z378" s="1979">
        <f>IF(Construction!$F$31=Construction!$R$22,Oeko!CM378,Oeko!EZ378)</f>
        <v>1</v>
      </c>
      <c r="AA378" s="1979">
        <f>IF(Construction!$F$31=Construction!$R$22,Oeko!CN378,Oeko!FA378)</f>
        <v>1</v>
      </c>
      <c r="AB378" s="1979">
        <f>IF(Construction!$F$31=Construction!$R$22,Oeko!CO378,Oeko!FB378)</f>
        <v>1</v>
      </c>
      <c r="AC378" s="1998">
        <f>IF(Construction!$F$31=Construction!$R$22,Oeko!CP378,Oeko!FC378)</f>
        <v>1</v>
      </c>
      <c r="AD378" s="1998">
        <f>IF(Construction!$F$31=Construction!$R$22,Oeko!CQ378,Oeko!FD378)</f>
        <v>1</v>
      </c>
      <c r="AE378" s="1998">
        <f>IF(Construction!$F$31=Construction!$R$22,Oeko!CR378,Oeko!FE378)</f>
        <v>1</v>
      </c>
      <c r="AF378" s="1998">
        <f>IF(Construction!$F$31=Construction!$R$22,Oeko!CS378,Oeko!FF378)</f>
        <v>1</v>
      </c>
      <c r="AG378" s="1998">
        <f>IF(Construction!$F$31=Construction!$R$22,Oeko!CT378,Oeko!FG378)</f>
        <v>1</v>
      </c>
      <c r="AH378" s="1979">
        <f>IF(Construction!$F$31=Construction!$R$22,Oeko!CU378,Oeko!FH378)</f>
        <v>1</v>
      </c>
      <c r="AI378" s="1979">
        <f>IF(Construction!$F$31=Construction!$R$22,Oeko!CV378,Oeko!FI378)</f>
        <v>1</v>
      </c>
      <c r="AJ378" s="1979">
        <f>IF(Construction!$F$31=Construction!$R$22,Oeko!CW378,Oeko!FJ378)</f>
        <v>1</v>
      </c>
      <c r="AK378" s="1979">
        <f>IF(Construction!$F$31=Construction!$R$22,Oeko!CX378,Oeko!FK378)</f>
        <v>1</v>
      </c>
      <c r="AL378" s="1979">
        <f>IF(Construction!$F$31=Construction!$R$22,Oeko!CY378,Oeko!FL378)</f>
        <v>1</v>
      </c>
      <c r="AM378" s="1998">
        <f>IF(Construction!$F$31=Construction!$R$22,Oeko!CZ378,Oeko!FM378)</f>
        <v>1</v>
      </c>
      <c r="AN378" s="1998">
        <f>IF(Construction!$F$31=Construction!$R$22,Oeko!DA378,Oeko!FN378)</f>
        <v>1</v>
      </c>
      <c r="AO378" s="1998">
        <f>IF(Construction!$F$31=Construction!$R$22,Oeko!DB378,Oeko!FO378)</f>
        <v>1</v>
      </c>
      <c r="AP378" s="1998">
        <f>IF(Construction!$F$31=Construction!$R$22,Oeko!DC378,Oeko!FP378)</f>
        <v>1</v>
      </c>
      <c r="AQ378" s="1998">
        <f>IF(Construction!$F$31=Construction!$R$22,Oeko!DD378,Oeko!FQ378)</f>
        <v>1</v>
      </c>
      <c r="AR378" s="1979">
        <f>IF(Construction!$F$31=Construction!$R$22,Oeko!DE378,Oeko!FR378)</f>
        <v>1</v>
      </c>
      <c r="AS378" s="1979">
        <f>IF(Construction!$F$31=Construction!$R$22,Oeko!DF378,Oeko!FS378)</f>
        <v>1</v>
      </c>
      <c r="AT378" s="1979">
        <f>IF(Construction!$F$31=Construction!$R$22,Oeko!DG378,Oeko!FT378)</f>
        <v>1</v>
      </c>
      <c r="AU378" s="1979">
        <f>IF(Construction!$F$31=Construction!$R$22,Oeko!DH378,Oeko!FU378)</f>
        <v>1</v>
      </c>
      <c r="AV378" s="1979">
        <f>IF(Construction!$F$31=Construction!$R$22,Oeko!DI378,Oeko!FV378)</f>
        <v>1</v>
      </c>
      <c r="AW378" s="1998">
        <f>IF(Construction!$F$31=Construction!$R$22,Oeko!DJ378,Oeko!FW378)</f>
        <v>1</v>
      </c>
      <c r="AX378" s="1998">
        <f>IF(Construction!$F$31=Construction!$R$22,Oeko!DK378,Oeko!FX378)</f>
        <v>1</v>
      </c>
      <c r="AY378" s="1998">
        <f>IF(Construction!$F$31=Construction!$R$22,Oeko!DL378,Oeko!FY378)</f>
        <v>1</v>
      </c>
      <c r="AZ378" s="1998">
        <f>IF(Construction!$F$31=Construction!$R$22,Oeko!DM378,Oeko!FZ378)</f>
        <v>1</v>
      </c>
      <c r="BA378" s="1998">
        <f>IF(Construction!$F$31=Construction!$R$22,Oeko!DN378,Oeko!GA378)</f>
        <v>1</v>
      </c>
      <c r="BB378" s="1979">
        <f>IF(Construction!$F$31=Construction!$R$22,Oeko!DO378,Oeko!GB378)</f>
        <v>1</v>
      </c>
      <c r="BC378" s="1979">
        <f>IF(Construction!$F$31=Construction!$R$22,Oeko!DP378,Oeko!GC378)</f>
        <v>1</v>
      </c>
      <c r="BD378" s="1979">
        <f>IF(Construction!$F$31=Construction!$R$22,Oeko!DQ378,Oeko!GD378)</f>
        <v>1</v>
      </c>
      <c r="BE378" s="1979">
        <f>IF(Construction!$F$31=Construction!$R$22,Oeko!DR378,Oeko!GE378)</f>
        <v>1</v>
      </c>
      <c r="BF378" s="1979">
        <f>IF(Construction!$F$31=Construction!$R$22,Oeko!DS378,Oeko!GF378)</f>
        <v>1</v>
      </c>
      <c r="BG378" s="1998">
        <f>IF(Construction!$F$31=Construction!$R$22,Oeko!DT378,Oeko!GG378)</f>
        <v>1</v>
      </c>
      <c r="BH378" s="1998">
        <f>IF(Construction!$F$31=Construction!$R$22,Oeko!DU378,Oeko!GH378)</f>
        <v>1</v>
      </c>
      <c r="BI378" s="1998">
        <f>IF(Construction!$F$31=Construction!$R$22,Oeko!DV378,Oeko!GI378)</f>
        <v>1</v>
      </c>
      <c r="BJ378" s="1998">
        <f>IF(Construction!$F$31=Construction!$R$22,Oeko!DW378,Oeko!GJ378)</f>
        <v>1</v>
      </c>
      <c r="BK378" s="2026">
        <f>IF(Construction!$F$31=Construction!$R$22,Oeko!DX378,Oeko!GK378)</f>
        <v>1</v>
      </c>
      <c r="BN378" s="2022"/>
      <c r="BO378" s="2">
        <v>33</v>
      </c>
      <c r="BP378" s="2" t="str">
        <f>$AD$17</f>
        <v>Pieu en béton préfabriqué (battus)</v>
      </c>
      <c r="BQ378" s="1979">
        <v>1</v>
      </c>
      <c r="BR378" s="1979">
        <v>1</v>
      </c>
      <c r="BS378" s="1979">
        <v>1</v>
      </c>
      <c r="BT378" s="1979">
        <v>1</v>
      </c>
      <c r="BU378" s="1979">
        <v>1</v>
      </c>
      <c r="BV378" s="1998">
        <v>1</v>
      </c>
      <c r="BW378" s="1998">
        <v>1</v>
      </c>
      <c r="BX378" s="1998">
        <v>1</v>
      </c>
      <c r="BY378" s="1998">
        <v>1</v>
      </c>
      <c r="BZ378" s="1998">
        <v>1</v>
      </c>
      <c r="CA378" s="1979">
        <v>1</v>
      </c>
      <c r="CB378" s="1979">
        <v>1</v>
      </c>
      <c r="CC378" s="1979">
        <v>1</v>
      </c>
      <c r="CD378" s="1979">
        <v>1</v>
      </c>
      <c r="CE378" s="1979">
        <v>1</v>
      </c>
      <c r="CF378" s="1998">
        <v>1</v>
      </c>
      <c r="CG378" s="1998">
        <v>1</v>
      </c>
      <c r="CH378" s="1998">
        <v>1</v>
      </c>
      <c r="CI378" s="1998">
        <v>1</v>
      </c>
      <c r="CJ378" s="1998">
        <v>1</v>
      </c>
      <c r="CK378" s="1979">
        <v>1</v>
      </c>
      <c r="CL378" s="1979">
        <v>1</v>
      </c>
      <c r="CM378" s="1979">
        <v>1</v>
      </c>
      <c r="CN378" s="1979">
        <v>1</v>
      </c>
      <c r="CO378" s="1979">
        <v>1</v>
      </c>
      <c r="CP378" s="1998">
        <v>1</v>
      </c>
      <c r="CQ378" s="1998">
        <v>1</v>
      </c>
      <c r="CR378" s="1998">
        <v>1</v>
      </c>
      <c r="CS378" s="1998">
        <v>1</v>
      </c>
      <c r="CT378" s="1998">
        <v>1</v>
      </c>
      <c r="CU378" s="1979">
        <v>1</v>
      </c>
      <c r="CV378" s="1979">
        <v>1</v>
      </c>
      <c r="CW378" s="1979">
        <v>1</v>
      </c>
      <c r="CX378" s="1979">
        <v>1</v>
      </c>
      <c r="CY378" s="1979">
        <v>1</v>
      </c>
      <c r="CZ378" s="1998">
        <v>1</v>
      </c>
      <c r="DA378" s="1998">
        <v>1</v>
      </c>
      <c r="DB378" s="1998">
        <v>1</v>
      </c>
      <c r="DC378" s="1998">
        <v>1</v>
      </c>
      <c r="DD378" s="1998">
        <v>1</v>
      </c>
      <c r="DE378" s="1979">
        <v>1</v>
      </c>
      <c r="DF378" s="1979">
        <v>1</v>
      </c>
      <c r="DG378" s="1979">
        <v>1</v>
      </c>
      <c r="DH378" s="1979">
        <v>1</v>
      </c>
      <c r="DI378" s="1979">
        <v>1</v>
      </c>
      <c r="DJ378" s="1998">
        <v>1</v>
      </c>
      <c r="DK378" s="1998">
        <v>1</v>
      </c>
      <c r="DL378" s="1998">
        <v>1</v>
      </c>
      <c r="DM378" s="1998">
        <v>1</v>
      </c>
      <c r="DN378" s="1998">
        <v>1</v>
      </c>
      <c r="DO378" s="1979">
        <v>1</v>
      </c>
      <c r="DP378" s="1979">
        <v>1</v>
      </c>
      <c r="DQ378" s="1979">
        <v>1</v>
      </c>
      <c r="DR378" s="1979">
        <v>1</v>
      </c>
      <c r="DS378" s="1979">
        <v>1</v>
      </c>
      <c r="DT378" s="1998">
        <v>1</v>
      </c>
      <c r="DU378" s="1998">
        <v>1</v>
      </c>
      <c r="DV378" s="1998">
        <v>1</v>
      </c>
      <c r="DW378" s="1998">
        <v>1</v>
      </c>
      <c r="DX378" s="2026">
        <v>1</v>
      </c>
      <c r="EA378" s="2022"/>
      <c r="EB378" s="2">
        <v>33</v>
      </c>
      <c r="EC378" s="2" t="str">
        <f>$AD$17</f>
        <v>Pieu en béton préfabriqué (battus)</v>
      </c>
      <c r="ED378" s="1979">
        <v>1.3605609674202821</v>
      </c>
      <c r="EE378" s="1979">
        <v>1.3605609674202821</v>
      </c>
      <c r="EF378" s="1979">
        <v>1.3605609674202821</v>
      </c>
      <c r="EG378" s="1979">
        <v>1.3605609674202821</v>
      </c>
      <c r="EH378" s="1979">
        <v>1.3605609674202821</v>
      </c>
      <c r="EI378" s="1998">
        <v>2.0966679740137137</v>
      </c>
      <c r="EJ378" s="1998">
        <v>2.0966679740137137</v>
      </c>
      <c r="EK378" s="1998">
        <v>2.0966679740137137</v>
      </c>
      <c r="EL378" s="1998">
        <v>2.0966679740137137</v>
      </c>
      <c r="EM378" s="1998">
        <v>2.0966679740137137</v>
      </c>
      <c r="EN378" s="1979">
        <v>1.4337071065592959</v>
      </c>
      <c r="EO378" s="1979">
        <v>1.4337071065592959</v>
      </c>
      <c r="EP378" s="1979">
        <v>1.4337071065592959</v>
      </c>
      <c r="EQ378" s="1979">
        <v>1.4337071065592959</v>
      </c>
      <c r="ER378" s="1979">
        <v>1.4337071065592959</v>
      </c>
      <c r="ES378" s="1998">
        <v>1.8379162318633464</v>
      </c>
      <c r="ET378" s="1998">
        <v>1.8379162318633464</v>
      </c>
      <c r="EU378" s="1998">
        <v>1.8379162318633464</v>
      </c>
      <c r="EV378" s="1998">
        <v>1.8379162318633464</v>
      </c>
      <c r="EW378" s="1998">
        <v>1.8379162318633464</v>
      </c>
      <c r="EX378" s="1979">
        <v>1.4662053104562123</v>
      </c>
      <c r="EY378" s="1979">
        <v>1.4662053104562123</v>
      </c>
      <c r="EZ378" s="1979">
        <v>1.4662053104562123</v>
      </c>
      <c r="FA378" s="1979">
        <v>1.4662053104562123</v>
      </c>
      <c r="FB378" s="1979">
        <v>1.4662053104562123</v>
      </c>
      <c r="FC378" s="1998">
        <v>1.6277744053108218</v>
      </c>
      <c r="FD378" s="1998">
        <v>1.6277744053108218</v>
      </c>
      <c r="FE378" s="1998">
        <v>1.6277744053108218</v>
      </c>
      <c r="FF378" s="1998">
        <v>1.6277744053108218</v>
      </c>
      <c r="FG378" s="1998">
        <v>1.6277744053108218</v>
      </c>
      <c r="FH378" s="1979">
        <v>2.3921927569513635</v>
      </c>
      <c r="FI378" s="1979">
        <v>2.3921927569513635</v>
      </c>
      <c r="FJ378" s="1979">
        <v>2.3921927569513635</v>
      </c>
      <c r="FK378" s="1979">
        <v>2.3921927569513635</v>
      </c>
      <c r="FL378" s="1979">
        <v>2.3921927569513635</v>
      </c>
      <c r="FM378" s="1998">
        <v>1.5115041757386145</v>
      </c>
      <c r="FN378" s="1998">
        <v>1.5115041757386145</v>
      </c>
      <c r="FO378" s="1998">
        <v>1.5115041757386145</v>
      </c>
      <c r="FP378" s="1998">
        <v>1.5115041757386145</v>
      </c>
      <c r="FQ378" s="1998">
        <v>1.5115041757386145</v>
      </c>
      <c r="FR378" s="1979">
        <v>8.1198212572277306</v>
      </c>
      <c r="FS378" s="1979">
        <v>8.1198212572277306</v>
      </c>
      <c r="FT378" s="1979">
        <v>8.1198212572277306</v>
      </c>
      <c r="FU378" s="1979">
        <v>8.1198212572277306</v>
      </c>
      <c r="FV378" s="1979">
        <v>8.1198212572277306</v>
      </c>
      <c r="FW378" s="1998">
        <v>8.4799072816005001</v>
      </c>
      <c r="FX378" s="1998">
        <v>8.4799072816005001</v>
      </c>
      <c r="FY378" s="1998">
        <v>8.4799072816005001</v>
      </c>
      <c r="FZ378" s="1998">
        <v>8.4799072816005001</v>
      </c>
      <c r="GA378" s="1998">
        <v>8.4799072816005001</v>
      </c>
      <c r="GB378" s="1979">
        <v>1.3861479372000356</v>
      </c>
      <c r="GC378" s="1979">
        <v>1.3861479372000356</v>
      </c>
      <c r="GD378" s="1979">
        <v>1.3861479372000356</v>
      </c>
      <c r="GE378" s="1979">
        <v>1.3861479372000356</v>
      </c>
      <c r="GF378" s="1979">
        <v>1.3861479372000356</v>
      </c>
      <c r="GG378" s="1998">
        <v>1.4313071575784038</v>
      </c>
      <c r="GH378" s="1998">
        <v>1.4313071575784038</v>
      </c>
      <c r="GI378" s="1998">
        <v>1.4313071575784038</v>
      </c>
      <c r="GJ378" s="1998">
        <v>1.4313071575784038</v>
      </c>
      <c r="GK378" s="2026">
        <v>1.4313071575784038</v>
      </c>
    </row>
    <row r="379" spans="1:193">
      <c r="A379" s="2020"/>
      <c r="B379" s="2">
        <v>34</v>
      </c>
      <c r="C379" s="2" t="str">
        <f>$AF$13</f>
        <v/>
      </c>
      <c r="D379" s="1979">
        <f>IF(Construction!$F$31=Construction!$R$22,Oeko!BQ379,Oeko!ED379)</f>
        <v>1</v>
      </c>
      <c r="E379" s="1979">
        <f>IF(Construction!$F$31=Construction!$R$22,Oeko!BR379,Oeko!EE379)</f>
        <v>1</v>
      </c>
      <c r="F379" s="1979">
        <f>IF(Construction!$F$31=Construction!$R$22,Oeko!BS379,Oeko!EF379)</f>
        <v>1</v>
      </c>
      <c r="G379" s="1979">
        <f>IF(Construction!$F$31=Construction!$R$22,Oeko!BT379,Oeko!EG379)</f>
        <v>1</v>
      </c>
      <c r="H379" s="1979">
        <f>IF(Construction!$F$31=Construction!$R$22,Oeko!BU379,Oeko!EH379)</f>
        <v>1</v>
      </c>
      <c r="I379" s="1998">
        <f>IF(Construction!$F$31=Construction!$R$22,Oeko!BV379,Oeko!EI379)</f>
        <v>1</v>
      </c>
      <c r="J379" s="1998">
        <f>IF(Construction!$F$31=Construction!$R$22,Oeko!BW379,Oeko!EJ379)</f>
        <v>1</v>
      </c>
      <c r="K379" s="1998">
        <f>IF(Construction!$F$31=Construction!$R$22,Oeko!BX379,Oeko!EK379)</f>
        <v>1</v>
      </c>
      <c r="L379" s="1998">
        <f>IF(Construction!$F$31=Construction!$R$22,Oeko!BY379,Oeko!EL379)</f>
        <v>1</v>
      </c>
      <c r="M379" s="1998">
        <f>IF(Construction!$F$31=Construction!$R$22,Oeko!BZ379,Oeko!EM379)</f>
        <v>1</v>
      </c>
      <c r="N379" s="1979">
        <f>IF(Construction!$F$31=Construction!$R$22,Oeko!CA379,Oeko!EN379)</f>
        <v>1</v>
      </c>
      <c r="O379" s="1979">
        <f>IF(Construction!$F$31=Construction!$R$22,Oeko!CB379,Oeko!EO379)</f>
        <v>1</v>
      </c>
      <c r="P379" s="1979">
        <f>IF(Construction!$F$31=Construction!$R$22,Oeko!CC379,Oeko!EP379)</f>
        <v>1</v>
      </c>
      <c r="Q379" s="1979">
        <f>IF(Construction!$F$31=Construction!$R$22,Oeko!CD379,Oeko!EQ379)</f>
        <v>1</v>
      </c>
      <c r="R379" s="1979">
        <f>IF(Construction!$F$31=Construction!$R$22,Oeko!CE379,Oeko!ER379)</f>
        <v>1</v>
      </c>
      <c r="S379" s="1998">
        <f>IF(Construction!$F$31=Construction!$R$22,Oeko!CF379,Oeko!ES379)</f>
        <v>1</v>
      </c>
      <c r="T379" s="1998">
        <f>IF(Construction!$F$31=Construction!$R$22,Oeko!CG379,Oeko!ET379)</f>
        <v>1</v>
      </c>
      <c r="U379" s="1998">
        <f>IF(Construction!$F$31=Construction!$R$22,Oeko!CH379,Oeko!EU379)</f>
        <v>1</v>
      </c>
      <c r="V379" s="1998">
        <f>IF(Construction!$F$31=Construction!$R$22,Oeko!CI379,Oeko!EV379)</f>
        <v>1</v>
      </c>
      <c r="W379" s="1998">
        <f>IF(Construction!$F$31=Construction!$R$22,Oeko!CJ379,Oeko!EW379)</f>
        <v>1</v>
      </c>
      <c r="X379" s="1979">
        <f>IF(Construction!$F$31=Construction!$R$22,Oeko!CK379,Oeko!EX379)</f>
        <v>1</v>
      </c>
      <c r="Y379" s="1979">
        <f>IF(Construction!$F$31=Construction!$R$22,Oeko!CL379,Oeko!EY379)</f>
        <v>1</v>
      </c>
      <c r="Z379" s="1979">
        <f>IF(Construction!$F$31=Construction!$R$22,Oeko!CM379,Oeko!EZ379)</f>
        <v>1</v>
      </c>
      <c r="AA379" s="1979">
        <f>IF(Construction!$F$31=Construction!$R$22,Oeko!CN379,Oeko!FA379)</f>
        <v>1</v>
      </c>
      <c r="AB379" s="1979">
        <f>IF(Construction!$F$31=Construction!$R$22,Oeko!CO379,Oeko!FB379)</f>
        <v>1</v>
      </c>
      <c r="AC379" s="1998">
        <f>IF(Construction!$F$31=Construction!$R$22,Oeko!CP379,Oeko!FC379)</f>
        <v>1</v>
      </c>
      <c r="AD379" s="1998">
        <f>IF(Construction!$F$31=Construction!$R$22,Oeko!CQ379,Oeko!FD379)</f>
        <v>1</v>
      </c>
      <c r="AE379" s="1998">
        <f>IF(Construction!$F$31=Construction!$R$22,Oeko!CR379,Oeko!FE379)</f>
        <v>1</v>
      </c>
      <c r="AF379" s="1998">
        <f>IF(Construction!$F$31=Construction!$R$22,Oeko!CS379,Oeko!FF379)</f>
        <v>1</v>
      </c>
      <c r="AG379" s="1998">
        <f>IF(Construction!$F$31=Construction!$R$22,Oeko!CT379,Oeko!FG379)</f>
        <v>1</v>
      </c>
      <c r="AH379" s="1979">
        <f>IF(Construction!$F$31=Construction!$R$22,Oeko!CU379,Oeko!FH379)</f>
        <v>1</v>
      </c>
      <c r="AI379" s="1979">
        <f>IF(Construction!$F$31=Construction!$R$22,Oeko!CV379,Oeko!FI379)</f>
        <v>1</v>
      </c>
      <c r="AJ379" s="1979">
        <f>IF(Construction!$F$31=Construction!$R$22,Oeko!CW379,Oeko!FJ379)</f>
        <v>1</v>
      </c>
      <c r="AK379" s="1979">
        <f>IF(Construction!$F$31=Construction!$R$22,Oeko!CX379,Oeko!FK379)</f>
        <v>1</v>
      </c>
      <c r="AL379" s="1979">
        <f>IF(Construction!$F$31=Construction!$R$22,Oeko!CY379,Oeko!FL379)</f>
        <v>1</v>
      </c>
      <c r="AM379" s="1998">
        <f>IF(Construction!$F$31=Construction!$R$22,Oeko!CZ379,Oeko!FM379)</f>
        <v>1</v>
      </c>
      <c r="AN379" s="1998">
        <f>IF(Construction!$F$31=Construction!$R$22,Oeko!DA379,Oeko!FN379)</f>
        <v>1</v>
      </c>
      <c r="AO379" s="1998">
        <f>IF(Construction!$F$31=Construction!$R$22,Oeko!DB379,Oeko!FO379)</f>
        <v>1</v>
      </c>
      <c r="AP379" s="1998">
        <f>IF(Construction!$F$31=Construction!$R$22,Oeko!DC379,Oeko!FP379)</f>
        <v>1</v>
      </c>
      <c r="AQ379" s="1998">
        <f>IF(Construction!$F$31=Construction!$R$22,Oeko!DD379,Oeko!FQ379)</f>
        <v>1</v>
      </c>
      <c r="AR379" s="1979">
        <f>IF(Construction!$F$31=Construction!$R$22,Oeko!DE379,Oeko!FR379)</f>
        <v>1</v>
      </c>
      <c r="AS379" s="1979">
        <f>IF(Construction!$F$31=Construction!$R$22,Oeko!DF379,Oeko!FS379)</f>
        <v>1</v>
      </c>
      <c r="AT379" s="1979">
        <f>IF(Construction!$F$31=Construction!$R$22,Oeko!DG379,Oeko!FT379)</f>
        <v>1</v>
      </c>
      <c r="AU379" s="1979">
        <f>IF(Construction!$F$31=Construction!$R$22,Oeko!DH379,Oeko!FU379)</f>
        <v>1</v>
      </c>
      <c r="AV379" s="1979">
        <f>IF(Construction!$F$31=Construction!$R$22,Oeko!DI379,Oeko!FV379)</f>
        <v>1</v>
      </c>
      <c r="AW379" s="1998">
        <f>IF(Construction!$F$31=Construction!$R$22,Oeko!DJ379,Oeko!FW379)</f>
        <v>1</v>
      </c>
      <c r="AX379" s="1998">
        <f>IF(Construction!$F$31=Construction!$R$22,Oeko!DK379,Oeko!FX379)</f>
        <v>1</v>
      </c>
      <c r="AY379" s="1998">
        <f>IF(Construction!$F$31=Construction!$R$22,Oeko!DL379,Oeko!FY379)</f>
        <v>1</v>
      </c>
      <c r="AZ379" s="1998">
        <f>IF(Construction!$F$31=Construction!$R$22,Oeko!DM379,Oeko!FZ379)</f>
        <v>1</v>
      </c>
      <c r="BA379" s="1998">
        <f>IF(Construction!$F$31=Construction!$R$22,Oeko!DN379,Oeko!GA379)</f>
        <v>1</v>
      </c>
      <c r="BB379" s="1979">
        <f>IF(Construction!$F$31=Construction!$R$22,Oeko!DO379,Oeko!GB379)</f>
        <v>1</v>
      </c>
      <c r="BC379" s="1979">
        <f>IF(Construction!$F$31=Construction!$R$22,Oeko!DP379,Oeko!GC379)</f>
        <v>1</v>
      </c>
      <c r="BD379" s="1979">
        <f>IF(Construction!$F$31=Construction!$R$22,Oeko!DQ379,Oeko!GD379)</f>
        <v>1</v>
      </c>
      <c r="BE379" s="1979">
        <f>IF(Construction!$F$31=Construction!$R$22,Oeko!DR379,Oeko!GE379)</f>
        <v>1</v>
      </c>
      <c r="BF379" s="1979">
        <f>IF(Construction!$F$31=Construction!$R$22,Oeko!DS379,Oeko!GF379)</f>
        <v>1</v>
      </c>
      <c r="BG379" s="1998">
        <f>IF(Construction!$F$31=Construction!$R$22,Oeko!DT379,Oeko!GG379)</f>
        <v>1</v>
      </c>
      <c r="BH379" s="1998">
        <f>IF(Construction!$F$31=Construction!$R$22,Oeko!DU379,Oeko!GH379)</f>
        <v>1</v>
      </c>
      <c r="BI379" s="1998">
        <f>IF(Construction!$F$31=Construction!$R$22,Oeko!DV379,Oeko!GI379)</f>
        <v>1</v>
      </c>
      <c r="BJ379" s="1998">
        <f>IF(Construction!$F$31=Construction!$R$22,Oeko!DW379,Oeko!GJ379)</f>
        <v>1</v>
      </c>
      <c r="BK379" s="2026">
        <f>IF(Construction!$F$31=Construction!$R$22,Oeko!DX379,Oeko!GK379)</f>
        <v>1</v>
      </c>
      <c r="BN379" s="2022"/>
      <c r="BO379" s="2">
        <v>34</v>
      </c>
      <c r="BP379" s="2" t="str">
        <f>$AF$13</f>
        <v/>
      </c>
      <c r="BQ379" s="1979">
        <v>1</v>
      </c>
      <c r="BR379" s="1979">
        <v>1</v>
      </c>
      <c r="BS379" s="1979">
        <v>1</v>
      </c>
      <c r="BT379" s="1979">
        <v>1</v>
      </c>
      <c r="BU379" s="1979">
        <v>1</v>
      </c>
      <c r="BV379" s="1998">
        <v>1</v>
      </c>
      <c r="BW379" s="1998">
        <v>1</v>
      </c>
      <c r="BX379" s="1998">
        <v>1</v>
      </c>
      <c r="BY379" s="1998">
        <v>1</v>
      </c>
      <c r="BZ379" s="1998">
        <v>1</v>
      </c>
      <c r="CA379" s="1979">
        <v>1</v>
      </c>
      <c r="CB379" s="1979">
        <v>1</v>
      </c>
      <c r="CC379" s="1979">
        <v>1</v>
      </c>
      <c r="CD379" s="1979">
        <v>1</v>
      </c>
      <c r="CE379" s="1979">
        <v>1</v>
      </c>
      <c r="CF379" s="1998">
        <v>1</v>
      </c>
      <c r="CG379" s="1998">
        <v>1</v>
      </c>
      <c r="CH379" s="1998">
        <v>1</v>
      </c>
      <c r="CI379" s="1998">
        <v>1</v>
      </c>
      <c r="CJ379" s="1998">
        <v>1</v>
      </c>
      <c r="CK379" s="1979">
        <v>1</v>
      </c>
      <c r="CL379" s="1979">
        <v>1</v>
      </c>
      <c r="CM379" s="1979">
        <v>1</v>
      </c>
      <c r="CN379" s="1979">
        <v>1</v>
      </c>
      <c r="CO379" s="1979">
        <v>1</v>
      </c>
      <c r="CP379" s="1998">
        <v>1</v>
      </c>
      <c r="CQ379" s="1998">
        <v>1</v>
      </c>
      <c r="CR379" s="1998">
        <v>1</v>
      </c>
      <c r="CS379" s="1998">
        <v>1</v>
      </c>
      <c r="CT379" s="1998">
        <v>1</v>
      </c>
      <c r="CU379" s="1979">
        <v>1</v>
      </c>
      <c r="CV379" s="1979">
        <v>1</v>
      </c>
      <c r="CW379" s="1979">
        <v>1</v>
      </c>
      <c r="CX379" s="1979">
        <v>1</v>
      </c>
      <c r="CY379" s="1979">
        <v>1</v>
      </c>
      <c r="CZ379" s="1998">
        <v>1</v>
      </c>
      <c r="DA379" s="1998">
        <v>1</v>
      </c>
      <c r="DB379" s="1998">
        <v>1</v>
      </c>
      <c r="DC379" s="1998">
        <v>1</v>
      </c>
      <c r="DD379" s="1998">
        <v>1</v>
      </c>
      <c r="DE379" s="1979">
        <v>1</v>
      </c>
      <c r="DF379" s="1979">
        <v>1</v>
      </c>
      <c r="DG379" s="1979">
        <v>1</v>
      </c>
      <c r="DH379" s="1979">
        <v>1</v>
      </c>
      <c r="DI379" s="1979">
        <v>1</v>
      </c>
      <c r="DJ379" s="1998">
        <v>1</v>
      </c>
      <c r="DK379" s="1998">
        <v>1</v>
      </c>
      <c r="DL379" s="1998">
        <v>1</v>
      </c>
      <c r="DM379" s="1998">
        <v>1</v>
      </c>
      <c r="DN379" s="1998">
        <v>1</v>
      </c>
      <c r="DO379" s="1979">
        <v>1</v>
      </c>
      <c r="DP379" s="1979">
        <v>1</v>
      </c>
      <c r="DQ379" s="1979">
        <v>1</v>
      </c>
      <c r="DR379" s="1979">
        <v>1</v>
      </c>
      <c r="DS379" s="1979">
        <v>1</v>
      </c>
      <c r="DT379" s="1998">
        <v>1</v>
      </c>
      <c r="DU379" s="1998">
        <v>1</v>
      </c>
      <c r="DV379" s="1998">
        <v>1</v>
      </c>
      <c r="DW379" s="1998">
        <v>1</v>
      </c>
      <c r="DX379" s="2026">
        <v>1</v>
      </c>
      <c r="EA379" s="2022"/>
      <c r="EB379" s="2">
        <v>34</v>
      </c>
      <c r="EC379" s="2" t="str">
        <f>$AF$13</f>
        <v/>
      </c>
      <c r="ED379" s="1979">
        <v>1.3605609674202821</v>
      </c>
      <c r="EE379" s="1979">
        <v>1.3605609674202821</v>
      </c>
      <c r="EF379" s="1979">
        <v>1.3605609674202821</v>
      </c>
      <c r="EG379" s="1979">
        <v>1.3605609674202821</v>
      </c>
      <c r="EH379" s="1979">
        <v>1.3605609674202821</v>
      </c>
      <c r="EI379" s="1998">
        <v>2.0966679740137137</v>
      </c>
      <c r="EJ379" s="1998">
        <v>2.0966679740137137</v>
      </c>
      <c r="EK379" s="1998">
        <v>2.0966679740137137</v>
      </c>
      <c r="EL379" s="1998">
        <v>2.0966679740137137</v>
      </c>
      <c r="EM379" s="1998">
        <v>2.0966679740137137</v>
      </c>
      <c r="EN379" s="1979">
        <v>1.4337071065592959</v>
      </c>
      <c r="EO379" s="1979">
        <v>1.4337071065592959</v>
      </c>
      <c r="EP379" s="1979">
        <v>1.4337071065592959</v>
      </c>
      <c r="EQ379" s="1979">
        <v>1.4337071065592959</v>
      </c>
      <c r="ER379" s="1979">
        <v>1.4337071065592959</v>
      </c>
      <c r="ES379" s="1998">
        <v>1.8379162318633464</v>
      </c>
      <c r="ET379" s="1998">
        <v>1.8379162318633464</v>
      </c>
      <c r="EU379" s="1998">
        <v>1.8379162318633464</v>
      </c>
      <c r="EV379" s="1998">
        <v>1.8379162318633464</v>
      </c>
      <c r="EW379" s="1998">
        <v>1.8379162318633464</v>
      </c>
      <c r="EX379" s="1979">
        <v>1.4662053104562123</v>
      </c>
      <c r="EY379" s="1979">
        <v>1.4662053104562123</v>
      </c>
      <c r="EZ379" s="1979">
        <v>1.4662053104562123</v>
      </c>
      <c r="FA379" s="1979">
        <v>1.4662053104562123</v>
      </c>
      <c r="FB379" s="1979">
        <v>1.4662053104562123</v>
      </c>
      <c r="FC379" s="1998">
        <v>1.6277744053108218</v>
      </c>
      <c r="FD379" s="1998">
        <v>1.6277744053108218</v>
      </c>
      <c r="FE379" s="1998">
        <v>1.6277744053108218</v>
      </c>
      <c r="FF379" s="1998">
        <v>1.6277744053108218</v>
      </c>
      <c r="FG379" s="1998">
        <v>1.6277744053108218</v>
      </c>
      <c r="FH379" s="1979">
        <v>2.3921927569513635</v>
      </c>
      <c r="FI379" s="1979">
        <v>2.3921927569513635</v>
      </c>
      <c r="FJ379" s="1979">
        <v>2.3921927569513635</v>
      </c>
      <c r="FK379" s="1979">
        <v>2.3921927569513635</v>
      </c>
      <c r="FL379" s="1979">
        <v>2.3921927569513635</v>
      </c>
      <c r="FM379" s="1998">
        <v>1.5115041757386145</v>
      </c>
      <c r="FN379" s="1998">
        <v>1.5115041757386145</v>
      </c>
      <c r="FO379" s="1998">
        <v>1.5115041757386145</v>
      </c>
      <c r="FP379" s="1998">
        <v>1.5115041757386145</v>
      </c>
      <c r="FQ379" s="1998">
        <v>1.5115041757386145</v>
      </c>
      <c r="FR379" s="1979">
        <v>8.1198212572277306</v>
      </c>
      <c r="FS379" s="1979">
        <v>8.1198212572277306</v>
      </c>
      <c r="FT379" s="1979">
        <v>8.1198212572277306</v>
      </c>
      <c r="FU379" s="1979">
        <v>8.1198212572277306</v>
      </c>
      <c r="FV379" s="1979">
        <v>8.1198212572277306</v>
      </c>
      <c r="FW379" s="1998">
        <v>8.4799072816005001</v>
      </c>
      <c r="FX379" s="1998">
        <v>8.4799072816005001</v>
      </c>
      <c r="FY379" s="1998">
        <v>8.4799072816005001</v>
      </c>
      <c r="FZ379" s="1998">
        <v>8.4799072816005001</v>
      </c>
      <c r="GA379" s="1998">
        <v>8.4799072816005001</v>
      </c>
      <c r="GB379" s="1979">
        <v>1.3861479372000356</v>
      </c>
      <c r="GC379" s="1979">
        <v>1.3861479372000356</v>
      </c>
      <c r="GD379" s="1979">
        <v>1.3861479372000356</v>
      </c>
      <c r="GE379" s="1979">
        <v>1.3861479372000356</v>
      </c>
      <c r="GF379" s="1979">
        <v>1.3861479372000356</v>
      </c>
      <c r="GG379" s="1998">
        <v>1.4313071575784038</v>
      </c>
      <c r="GH379" s="1998">
        <v>1.4313071575784038</v>
      </c>
      <c r="GI379" s="1998">
        <v>1.4313071575784038</v>
      </c>
      <c r="GJ379" s="1998">
        <v>1.4313071575784038</v>
      </c>
      <c r="GK379" s="2026">
        <v>1.4313071575784038</v>
      </c>
    </row>
    <row r="380" spans="1:193">
      <c r="A380" s="2020"/>
      <c r="B380" s="2">
        <v>35</v>
      </c>
      <c r="C380" s="2" t="str">
        <f>$AF$14</f>
        <v/>
      </c>
      <c r="D380" s="1979">
        <f>IF(Construction!$F$31=Construction!$R$22,Oeko!BQ380,Oeko!ED380)</f>
        <v>1</v>
      </c>
      <c r="E380" s="1979">
        <f>IF(Construction!$F$31=Construction!$R$22,Oeko!BR380,Oeko!EE380)</f>
        <v>1</v>
      </c>
      <c r="F380" s="1979">
        <f>IF(Construction!$F$31=Construction!$R$22,Oeko!BS380,Oeko!EF380)</f>
        <v>1</v>
      </c>
      <c r="G380" s="1979">
        <f>IF(Construction!$F$31=Construction!$R$22,Oeko!BT380,Oeko!EG380)</f>
        <v>1</v>
      </c>
      <c r="H380" s="1979">
        <f>IF(Construction!$F$31=Construction!$R$22,Oeko!BU380,Oeko!EH380)</f>
        <v>1</v>
      </c>
      <c r="I380" s="1998">
        <f>IF(Construction!$F$31=Construction!$R$22,Oeko!BV380,Oeko!EI380)</f>
        <v>1</v>
      </c>
      <c r="J380" s="1998">
        <f>IF(Construction!$F$31=Construction!$R$22,Oeko!BW380,Oeko!EJ380)</f>
        <v>1</v>
      </c>
      <c r="K380" s="1998">
        <f>IF(Construction!$F$31=Construction!$R$22,Oeko!BX380,Oeko!EK380)</f>
        <v>1</v>
      </c>
      <c r="L380" s="1998">
        <f>IF(Construction!$F$31=Construction!$R$22,Oeko!BY380,Oeko!EL380)</f>
        <v>1</v>
      </c>
      <c r="M380" s="1998">
        <f>IF(Construction!$F$31=Construction!$R$22,Oeko!BZ380,Oeko!EM380)</f>
        <v>1</v>
      </c>
      <c r="N380" s="1979">
        <f>IF(Construction!$F$31=Construction!$R$22,Oeko!CA380,Oeko!EN380)</f>
        <v>1</v>
      </c>
      <c r="O380" s="1979">
        <f>IF(Construction!$F$31=Construction!$R$22,Oeko!CB380,Oeko!EO380)</f>
        <v>1</v>
      </c>
      <c r="P380" s="1979">
        <f>IF(Construction!$F$31=Construction!$R$22,Oeko!CC380,Oeko!EP380)</f>
        <v>1</v>
      </c>
      <c r="Q380" s="1979">
        <f>IF(Construction!$F$31=Construction!$R$22,Oeko!CD380,Oeko!EQ380)</f>
        <v>1</v>
      </c>
      <c r="R380" s="1979">
        <f>IF(Construction!$F$31=Construction!$R$22,Oeko!CE380,Oeko!ER380)</f>
        <v>1</v>
      </c>
      <c r="S380" s="1998">
        <f>IF(Construction!$F$31=Construction!$R$22,Oeko!CF380,Oeko!ES380)</f>
        <v>1</v>
      </c>
      <c r="T380" s="1998">
        <f>IF(Construction!$F$31=Construction!$R$22,Oeko!CG380,Oeko!ET380)</f>
        <v>1</v>
      </c>
      <c r="U380" s="1998">
        <f>IF(Construction!$F$31=Construction!$R$22,Oeko!CH380,Oeko!EU380)</f>
        <v>1</v>
      </c>
      <c r="V380" s="1998">
        <f>IF(Construction!$F$31=Construction!$R$22,Oeko!CI380,Oeko!EV380)</f>
        <v>1</v>
      </c>
      <c r="W380" s="1998">
        <f>IF(Construction!$F$31=Construction!$R$22,Oeko!CJ380,Oeko!EW380)</f>
        <v>1</v>
      </c>
      <c r="X380" s="1979">
        <f>IF(Construction!$F$31=Construction!$R$22,Oeko!CK380,Oeko!EX380)</f>
        <v>1</v>
      </c>
      <c r="Y380" s="1979">
        <f>IF(Construction!$F$31=Construction!$R$22,Oeko!CL380,Oeko!EY380)</f>
        <v>1</v>
      </c>
      <c r="Z380" s="1979">
        <f>IF(Construction!$F$31=Construction!$R$22,Oeko!CM380,Oeko!EZ380)</f>
        <v>1</v>
      </c>
      <c r="AA380" s="1979">
        <f>IF(Construction!$F$31=Construction!$R$22,Oeko!CN380,Oeko!FA380)</f>
        <v>1</v>
      </c>
      <c r="AB380" s="1979">
        <f>IF(Construction!$F$31=Construction!$R$22,Oeko!CO380,Oeko!FB380)</f>
        <v>1</v>
      </c>
      <c r="AC380" s="1998">
        <f>IF(Construction!$F$31=Construction!$R$22,Oeko!CP380,Oeko!FC380)</f>
        <v>1</v>
      </c>
      <c r="AD380" s="1998">
        <f>IF(Construction!$F$31=Construction!$R$22,Oeko!CQ380,Oeko!FD380)</f>
        <v>1</v>
      </c>
      <c r="AE380" s="1998">
        <f>IF(Construction!$F$31=Construction!$R$22,Oeko!CR380,Oeko!FE380)</f>
        <v>1</v>
      </c>
      <c r="AF380" s="1998">
        <f>IF(Construction!$F$31=Construction!$R$22,Oeko!CS380,Oeko!FF380)</f>
        <v>1</v>
      </c>
      <c r="AG380" s="1998">
        <f>IF(Construction!$F$31=Construction!$R$22,Oeko!CT380,Oeko!FG380)</f>
        <v>1</v>
      </c>
      <c r="AH380" s="1979">
        <f>IF(Construction!$F$31=Construction!$R$22,Oeko!CU380,Oeko!FH380)</f>
        <v>1</v>
      </c>
      <c r="AI380" s="1979">
        <f>IF(Construction!$F$31=Construction!$R$22,Oeko!CV380,Oeko!FI380)</f>
        <v>1</v>
      </c>
      <c r="AJ380" s="1979">
        <f>IF(Construction!$F$31=Construction!$R$22,Oeko!CW380,Oeko!FJ380)</f>
        <v>1</v>
      </c>
      <c r="AK380" s="1979">
        <f>IF(Construction!$F$31=Construction!$R$22,Oeko!CX380,Oeko!FK380)</f>
        <v>1</v>
      </c>
      <c r="AL380" s="1979">
        <f>IF(Construction!$F$31=Construction!$R$22,Oeko!CY380,Oeko!FL380)</f>
        <v>1</v>
      </c>
      <c r="AM380" s="1998">
        <f>IF(Construction!$F$31=Construction!$R$22,Oeko!CZ380,Oeko!FM380)</f>
        <v>1</v>
      </c>
      <c r="AN380" s="1998">
        <f>IF(Construction!$F$31=Construction!$R$22,Oeko!DA380,Oeko!FN380)</f>
        <v>1</v>
      </c>
      <c r="AO380" s="1998">
        <f>IF(Construction!$F$31=Construction!$R$22,Oeko!DB380,Oeko!FO380)</f>
        <v>1</v>
      </c>
      <c r="AP380" s="1998">
        <f>IF(Construction!$F$31=Construction!$R$22,Oeko!DC380,Oeko!FP380)</f>
        <v>1</v>
      </c>
      <c r="AQ380" s="1998">
        <f>IF(Construction!$F$31=Construction!$R$22,Oeko!DD380,Oeko!FQ380)</f>
        <v>1</v>
      </c>
      <c r="AR380" s="1979">
        <f>IF(Construction!$F$31=Construction!$R$22,Oeko!DE380,Oeko!FR380)</f>
        <v>1</v>
      </c>
      <c r="AS380" s="1979">
        <f>IF(Construction!$F$31=Construction!$R$22,Oeko!DF380,Oeko!FS380)</f>
        <v>1</v>
      </c>
      <c r="AT380" s="1979">
        <f>IF(Construction!$F$31=Construction!$R$22,Oeko!DG380,Oeko!FT380)</f>
        <v>1</v>
      </c>
      <c r="AU380" s="1979">
        <f>IF(Construction!$F$31=Construction!$R$22,Oeko!DH380,Oeko!FU380)</f>
        <v>1</v>
      </c>
      <c r="AV380" s="1979">
        <f>IF(Construction!$F$31=Construction!$R$22,Oeko!DI380,Oeko!FV380)</f>
        <v>1</v>
      </c>
      <c r="AW380" s="1998">
        <f>IF(Construction!$F$31=Construction!$R$22,Oeko!DJ380,Oeko!FW380)</f>
        <v>1</v>
      </c>
      <c r="AX380" s="1998">
        <f>IF(Construction!$F$31=Construction!$R$22,Oeko!DK380,Oeko!FX380)</f>
        <v>1</v>
      </c>
      <c r="AY380" s="1998">
        <f>IF(Construction!$F$31=Construction!$R$22,Oeko!DL380,Oeko!FY380)</f>
        <v>1</v>
      </c>
      <c r="AZ380" s="1998">
        <f>IF(Construction!$F$31=Construction!$R$22,Oeko!DM380,Oeko!FZ380)</f>
        <v>1</v>
      </c>
      <c r="BA380" s="1998">
        <f>IF(Construction!$F$31=Construction!$R$22,Oeko!DN380,Oeko!GA380)</f>
        <v>1</v>
      </c>
      <c r="BB380" s="1979">
        <f>IF(Construction!$F$31=Construction!$R$22,Oeko!DO380,Oeko!GB380)</f>
        <v>1</v>
      </c>
      <c r="BC380" s="1979">
        <f>IF(Construction!$F$31=Construction!$R$22,Oeko!DP380,Oeko!GC380)</f>
        <v>1</v>
      </c>
      <c r="BD380" s="1979">
        <f>IF(Construction!$F$31=Construction!$R$22,Oeko!DQ380,Oeko!GD380)</f>
        <v>1</v>
      </c>
      <c r="BE380" s="1979">
        <f>IF(Construction!$F$31=Construction!$R$22,Oeko!DR380,Oeko!GE380)</f>
        <v>1</v>
      </c>
      <c r="BF380" s="1979">
        <f>IF(Construction!$F$31=Construction!$R$22,Oeko!DS380,Oeko!GF380)</f>
        <v>1</v>
      </c>
      <c r="BG380" s="1998">
        <f>IF(Construction!$F$31=Construction!$R$22,Oeko!DT380,Oeko!GG380)</f>
        <v>1</v>
      </c>
      <c r="BH380" s="1998">
        <f>IF(Construction!$F$31=Construction!$R$22,Oeko!DU380,Oeko!GH380)</f>
        <v>1</v>
      </c>
      <c r="BI380" s="1998">
        <f>IF(Construction!$F$31=Construction!$R$22,Oeko!DV380,Oeko!GI380)</f>
        <v>1</v>
      </c>
      <c r="BJ380" s="1998">
        <f>IF(Construction!$F$31=Construction!$R$22,Oeko!DW380,Oeko!GJ380)</f>
        <v>1</v>
      </c>
      <c r="BK380" s="2026">
        <f>IF(Construction!$F$31=Construction!$R$22,Oeko!DX380,Oeko!GK380)</f>
        <v>1</v>
      </c>
      <c r="BN380" s="2022"/>
      <c r="BO380" s="2">
        <v>35</v>
      </c>
      <c r="BP380" s="2" t="str">
        <f>$AF$14</f>
        <v/>
      </c>
      <c r="BQ380" s="1979">
        <v>1</v>
      </c>
      <c r="BR380" s="1979">
        <v>1</v>
      </c>
      <c r="BS380" s="1979">
        <v>1</v>
      </c>
      <c r="BT380" s="1979">
        <v>1</v>
      </c>
      <c r="BU380" s="1979">
        <v>1</v>
      </c>
      <c r="BV380" s="1998">
        <v>1</v>
      </c>
      <c r="BW380" s="1998">
        <v>1</v>
      </c>
      <c r="BX380" s="1998">
        <v>1</v>
      </c>
      <c r="BY380" s="1998">
        <v>1</v>
      </c>
      <c r="BZ380" s="1998">
        <v>1</v>
      </c>
      <c r="CA380" s="1979">
        <v>1</v>
      </c>
      <c r="CB380" s="1979">
        <v>1</v>
      </c>
      <c r="CC380" s="1979">
        <v>1</v>
      </c>
      <c r="CD380" s="1979">
        <v>1</v>
      </c>
      <c r="CE380" s="1979">
        <v>1</v>
      </c>
      <c r="CF380" s="1998">
        <v>1</v>
      </c>
      <c r="CG380" s="1998">
        <v>1</v>
      </c>
      <c r="CH380" s="1998">
        <v>1</v>
      </c>
      <c r="CI380" s="1998">
        <v>1</v>
      </c>
      <c r="CJ380" s="1998">
        <v>1</v>
      </c>
      <c r="CK380" s="1979">
        <v>1</v>
      </c>
      <c r="CL380" s="1979">
        <v>1</v>
      </c>
      <c r="CM380" s="1979">
        <v>1</v>
      </c>
      <c r="CN380" s="1979">
        <v>1</v>
      </c>
      <c r="CO380" s="1979">
        <v>1</v>
      </c>
      <c r="CP380" s="1998">
        <v>1</v>
      </c>
      <c r="CQ380" s="1998">
        <v>1</v>
      </c>
      <c r="CR380" s="1998">
        <v>1</v>
      </c>
      <c r="CS380" s="1998">
        <v>1</v>
      </c>
      <c r="CT380" s="1998">
        <v>1</v>
      </c>
      <c r="CU380" s="1979">
        <v>1</v>
      </c>
      <c r="CV380" s="1979">
        <v>1</v>
      </c>
      <c r="CW380" s="1979">
        <v>1</v>
      </c>
      <c r="CX380" s="1979">
        <v>1</v>
      </c>
      <c r="CY380" s="1979">
        <v>1</v>
      </c>
      <c r="CZ380" s="1998">
        <v>1</v>
      </c>
      <c r="DA380" s="1998">
        <v>1</v>
      </c>
      <c r="DB380" s="1998">
        <v>1</v>
      </c>
      <c r="DC380" s="1998">
        <v>1</v>
      </c>
      <c r="DD380" s="1998">
        <v>1</v>
      </c>
      <c r="DE380" s="1979">
        <v>1</v>
      </c>
      <c r="DF380" s="1979">
        <v>1</v>
      </c>
      <c r="DG380" s="1979">
        <v>1</v>
      </c>
      <c r="DH380" s="1979">
        <v>1</v>
      </c>
      <c r="DI380" s="1979">
        <v>1</v>
      </c>
      <c r="DJ380" s="1998">
        <v>1</v>
      </c>
      <c r="DK380" s="1998">
        <v>1</v>
      </c>
      <c r="DL380" s="1998">
        <v>1</v>
      </c>
      <c r="DM380" s="1998">
        <v>1</v>
      </c>
      <c r="DN380" s="1998">
        <v>1</v>
      </c>
      <c r="DO380" s="1979">
        <v>1</v>
      </c>
      <c r="DP380" s="1979">
        <v>1</v>
      </c>
      <c r="DQ380" s="1979">
        <v>1</v>
      </c>
      <c r="DR380" s="1979">
        <v>1</v>
      </c>
      <c r="DS380" s="1979">
        <v>1</v>
      </c>
      <c r="DT380" s="1998">
        <v>1</v>
      </c>
      <c r="DU380" s="1998">
        <v>1</v>
      </c>
      <c r="DV380" s="1998">
        <v>1</v>
      </c>
      <c r="DW380" s="1998">
        <v>1</v>
      </c>
      <c r="DX380" s="2026">
        <v>1</v>
      </c>
      <c r="EA380" s="2022"/>
      <c r="EB380" s="2">
        <v>35</v>
      </c>
      <c r="EC380" s="2" t="str">
        <f>$AF$14</f>
        <v/>
      </c>
      <c r="ED380" s="1979">
        <v>1.3605609674202821</v>
      </c>
      <c r="EE380" s="1979">
        <v>1.3605609674202821</v>
      </c>
      <c r="EF380" s="1979">
        <v>1.3605609674202821</v>
      </c>
      <c r="EG380" s="1979">
        <v>1.3605609674202821</v>
      </c>
      <c r="EH380" s="1979">
        <v>1.3605609674202821</v>
      </c>
      <c r="EI380" s="1998">
        <v>2.0966679740137137</v>
      </c>
      <c r="EJ380" s="1998">
        <v>2.0966679740137137</v>
      </c>
      <c r="EK380" s="1998">
        <v>2.0966679740137137</v>
      </c>
      <c r="EL380" s="1998">
        <v>2.0966679740137137</v>
      </c>
      <c r="EM380" s="1998">
        <v>2.0966679740137137</v>
      </c>
      <c r="EN380" s="1979">
        <v>1.4337071065592959</v>
      </c>
      <c r="EO380" s="1979">
        <v>1.4337071065592959</v>
      </c>
      <c r="EP380" s="1979">
        <v>1.4337071065592959</v>
      </c>
      <c r="EQ380" s="1979">
        <v>1.4337071065592959</v>
      </c>
      <c r="ER380" s="1979">
        <v>1.4337071065592959</v>
      </c>
      <c r="ES380" s="1998">
        <v>1.8379162318633464</v>
      </c>
      <c r="ET380" s="1998">
        <v>1.8379162318633464</v>
      </c>
      <c r="EU380" s="1998">
        <v>1.8379162318633464</v>
      </c>
      <c r="EV380" s="1998">
        <v>1.8379162318633464</v>
      </c>
      <c r="EW380" s="1998">
        <v>1.8379162318633464</v>
      </c>
      <c r="EX380" s="1979">
        <v>1.4662053104562123</v>
      </c>
      <c r="EY380" s="1979">
        <v>1.4662053104562123</v>
      </c>
      <c r="EZ380" s="1979">
        <v>1.4662053104562123</v>
      </c>
      <c r="FA380" s="1979">
        <v>1.4662053104562123</v>
      </c>
      <c r="FB380" s="1979">
        <v>1.4662053104562123</v>
      </c>
      <c r="FC380" s="1998">
        <v>1.6277744053108218</v>
      </c>
      <c r="FD380" s="1998">
        <v>1.6277744053108218</v>
      </c>
      <c r="FE380" s="1998">
        <v>1.6277744053108218</v>
      </c>
      <c r="FF380" s="1998">
        <v>1.6277744053108218</v>
      </c>
      <c r="FG380" s="1998">
        <v>1.6277744053108218</v>
      </c>
      <c r="FH380" s="1979">
        <v>2.3921927569513635</v>
      </c>
      <c r="FI380" s="1979">
        <v>2.3921927569513635</v>
      </c>
      <c r="FJ380" s="1979">
        <v>2.3921927569513635</v>
      </c>
      <c r="FK380" s="1979">
        <v>2.3921927569513635</v>
      </c>
      <c r="FL380" s="1979">
        <v>2.3921927569513635</v>
      </c>
      <c r="FM380" s="1998">
        <v>1.5115041757386145</v>
      </c>
      <c r="FN380" s="1998">
        <v>1.5115041757386145</v>
      </c>
      <c r="FO380" s="1998">
        <v>1.5115041757386145</v>
      </c>
      <c r="FP380" s="1998">
        <v>1.5115041757386145</v>
      </c>
      <c r="FQ380" s="1998">
        <v>1.5115041757386145</v>
      </c>
      <c r="FR380" s="1979">
        <v>8.1198212572277306</v>
      </c>
      <c r="FS380" s="1979">
        <v>8.1198212572277306</v>
      </c>
      <c r="FT380" s="1979">
        <v>8.1198212572277306</v>
      </c>
      <c r="FU380" s="1979">
        <v>8.1198212572277306</v>
      </c>
      <c r="FV380" s="1979">
        <v>8.1198212572277306</v>
      </c>
      <c r="FW380" s="1998">
        <v>8.4799072816005001</v>
      </c>
      <c r="FX380" s="1998">
        <v>8.4799072816005001</v>
      </c>
      <c r="FY380" s="1998">
        <v>8.4799072816005001</v>
      </c>
      <c r="FZ380" s="1998">
        <v>8.4799072816005001</v>
      </c>
      <c r="GA380" s="1998">
        <v>8.4799072816005001</v>
      </c>
      <c r="GB380" s="1979">
        <v>1.3861479372000356</v>
      </c>
      <c r="GC380" s="1979">
        <v>1.3861479372000356</v>
      </c>
      <c r="GD380" s="1979">
        <v>1.3861479372000356</v>
      </c>
      <c r="GE380" s="1979">
        <v>1.3861479372000356</v>
      </c>
      <c r="GF380" s="1979">
        <v>1.3861479372000356</v>
      </c>
      <c r="GG380" s="1998">
        <v>1.4313071575784038</v>
      </c>
      <c r="GH380" s="1998">
        <v>1.4313071575784038</v>
      </c>
      <c r="GI380" s="1998">
        <v>1.4313071575784038</v>
      </c>
      <c r="GJ380" s="1998">
        <v>1.4313071575784038</v>
      </c>
      <c r="GK380" s="2026">
        <v>1.4313071575784038</v>
      </c>
    </row>
    <row r="381" spans="1:193">
      <c r="A381" s="2020"/>
      <c r="B381" s="2">
        <v>36</v>
      </c>
      <c r="C381" s="2" t="str">
        <f>$AF$15</f>
        <v/>
      </c>
      <c r="D381" s="1979">
        <f>IF(Construction!$F$31=Construction!$R$22,Oeko!BQ381,Oeko!ED381)</f>
        <v>1</v>
      </c>
      <c r="E381" s="1979">
        <f>IF(Construction!$F$31=Construction!$R$22,Oeko!BR381,Oeko!EE381)</f>
        <v>1</v>
      </c>
      <c r="F381" s="1979">
        <f>IF(Construction!$F$31=Construction!$R$22,Oeko!BS381,Oeko!EF381)</f>
        <v>1</v>
      </c>
      <c r="G381" s="1979">
        <f>IF(Construction!$F$31=Construction!$R$22,Oeko!BT381,Oeko!EG381)</f>
        <v>1</v>
      </c>
      <c r="H381" s="1979">
        <f>IF(Construction!$F$31=Construction!$R$22,Oeko!BU381,Oeko!EH381)</f>
        <v>1</v>
      </c>
      <c r="I381" s="1998">
        <f>IF(Construction!$F$31=Construction!$R$22,Oeko!BV381,Oeko!EI381)</f>
        <v>1</v>
      </c>
      <c r="J381" s="1998">
        <f>IF(Construction!$F$31=Construction!$R$22,Oeko!BW381,Oeko!EJ381)</f>
        <v>1</v>
      </c>
      <c r="K381" s="1998">
        <f>IF(Construction!$F$31=Construction!$R$22,Oeko!BX381,Oeko!EK381)</f>
        <v>1</v>
      </c>
      <c r="L381" s="1998">
        <f>IF(Construction!$F$31=Construction!$R$22,Oeko!BY381,Oeko!EL381)</f>
        <v>1</v>
      </c>
      <c r="M381" s="1998">
        <f>IF(Construction!$F$31=Construction!$R$22,Oeko!BZ381,Oeko!EM381)</f>
        <v>1</v>
      </c>
      <c r="N381" s="1979">
        <f>IF(Construction!$F$31=Construction!$R$22,Oeko!CA381,Oeko!EN381)</f>
        <v>1</v>
      </c>
      <c r="O381" s="1979">
        <f>IF(Construction!$F$31=Construction!$R$22,Oeko!CB381,Oeko!EO381)</f>
        <v>1</v>
      </c>
      <c r="P381" s="1979">
        <f>IF(Construction!$F$31=Construction!$R$22,Oeko!CC381,Oeko!EP381)</f>
        <v>1</v>
      </c>
      <c r="Q381" s="1979">
        <f>IF(Construction!$F$31=Construction!$R$22,Oeko!CD381,Oeko!EQ381)</f>
        <v>1</v>
      </c>
      <c r="R381" s="1979">
        <f>IF(Construction!$F$31=Construction!$R$22,Oeko!CE381,Oeko!ER381)</f>
        <v>1</v>
      </c>
      <c r="S381" s="1998">
        <f>IF(Construction!$F$31=Construction!$R$22,Oeko!CF381,Oeko!ES381)</f>
        <v>1</v>
      </c>
      <c r="T381" s="1998">
        <f>IF(Construction!$F$31=Construction!$R$22,Oeko!CG381,Oeko!ET381)</f>
        <v>1</v>
      </c>
      <c r="U381" s="1998">
        <f>IF(Construction!$F$31=Construction!$R$22,Oeko!CH381,Oeko!EU381)</f>
        <v>1</v>
      </c>
      <c r="V381" s="1998">
        <f>IF(Construction!$F$31=Construction!$R$22,Oeko!CI381,Oeko!EV381)</f>
        <v>1</v>
      </c>
      <c r="W381" s="1998">
        <f>IF(Construction!$F$31=Construction!$R$22,Oeko!CJ381,Oeko!EW381)</f>
        <v>1</v>
      </c>
      <c r="X381" s="1979">
        <f>IF(Construction!$F$31=Construction!$R$22,Oeko!CK381,Oeko!EX381)</f>
        <v>1</v>
      </c>
      <c r="Y381" s="1979">
        <f>IF(Construction!$F$31=Construction!$R$22,Oeko!CL381,Oeko!EY381)</f>
        <v>1</v>
      </c>
      <c r="Z381" s="1979">
        <f>IF(Construction!$F$31=Construction!$R$22,Oeko!CM381,Oeko!EZ381)</f>
        <v>1</v>
      </c>
      <c r="AA381" s="1979">
        <f>IF(Construction!$F$31=Construction!$R$22,Oeko!CN381,Oeko!FA381)</f>
        <v>1</v>
      </c>
      <c r="AB381" s="1979">
        <f>IF(Construction!$F$31=Construction!$R$22,Oeko!CO381,Oeko!FB381)</f>
        <v>1</v>
      </c>
      <c r="AC381" s="1998">
        <f>IF(Construction!$F$31=Construction!$R$22,Oeko!CP381,Oeko!FC381)</f>
        <v>1</v>
      </c>
      <c r="AD381" s="1998">
        <f>IF(Construction!$F$31=Construction!$R$22,Oeko!CQ381,Oeko!FD381)</f>
        <v>1</v>
      </c>
      <c r="AE381" s="1998">
        <f>IF(Construction!$F$31=Construction!$R$22,Oeko!CR381,Oeko!FE381)</f>
        <v>1</v>
      </c>
      <c r="AF381" s="1998">
        <f>IF(Construction!$F$31=Construction!$R$22,Oeko!CS381,Oeko!FF381)</f>
        <v>1</v>
      </c>
      <c r="AG381" s="1998">
        <f>IF(Construction!$F$31=Construction!$R$22,Oeko!CT381,Oeko!FG381)</f>
        <v>1</v>
      </c>
      <c r="AH381" s="1979">
        <f>IF(Construction!$F$31=Construction!$R$22,Oeko!CU381,Oeko!FH381)</f>
        <v>1</v>
      </c>
      <c r="AI381" s="1979">
        <f>IF(Construction!$F$31=Construction!$R$22,Oeko!CV381,Oeko!FI381)</f>
        <v>1</v>
      </c>
      <c r="AJ381" s="1979">
        <f>IF(Construction!$F$31=Construction!$R$22,Oeko!CW381,Oeko!FJ381)</f>
        <v>1</v>
      </c>
      <c r="AK381" s="1979">
        <f>IF(Construction!$F$31=Construction!$R$22,Oeko!CX381,Oeko!FK381)</f>
        <v>1</v>
      </c>
      <c r="AL381" s="1979">
        <f>IF(Construction!$F$31=Construction!$R$22,Oeko!CY381,Oeko!FL381)</f>
        <v>1</v>
      </c>
      <c r="AM381" s="1998">
        <f>IF(Construction!$F$31=Construction!$R$22,Oeko!CZ381,Oeko!FM381)</f>
        <v>1</v>
      </c>
      <c r="AN381" s="1998">
        <f>IF(Construction!$F$31=Construction!$R$22,Oeko!DA381,Oeko!FN381)</f>
        <v>1</v>
      </c>
      <c r="AO381" s="1998">
        <f>IF(Construction!$F$31=Construction!$R$22,Oeko!DB381,Oeko!FO381)</f>
        <v>1</v>
      </c>
      <c r="AP381" s="1998">
        <f>IF(Construction!$F$31=Construction!$R$22,Oeko!DC381,Oeko!FP381)</f>
        <v>1</v>
      </c>
      <c r="AQ381" s="1998">
        <f>IF(Construction!$F$31=Construction!$R$22,Oeko!DD381,Oeko!FQ381)</f>
        <v>1</v>
      </c>
      <c r="AR381" s="1979">
        <f>IF(Construction!$F$31=Construction!$R$22,Oeko!DE381,Oeko!FR381)</f>
        <v>1</v>
      </c>
      <c r="AS381" s="1979">
        <f>IF(Construction!$F$31=Construction!$R$22,Oeko!DF381,Oeko!FS381)</f>
        <v>1</v>
      </c>
      <c r="AT381" s="1979">
        <f>IF(Construction!$F$31=Construction!$R$22,Oeko!DG381,Oeko!FT381)</f>
        <v>1</v>
      </c>
      <c r="AU381" s="1979">
        <f>IF(Construction!$F$31=Construction!$R$22,Oeko!DH381,Oeko!FU381)</f>
        <v>1</v>
      </c>
      <c r="AV381" s="1979">
        <f>IF(Construction!$F$31=Construction!$R$22,Oeko!DI381,Oeko!FV381)</f>
        <v>1</v>
      </c>
      <c r="AW381" s="1998">
        <f>IF(Construction!$F$31=Construction!$R$22,Oeko!DJ381,Oeko!FW381)</f>
        <v>1</v>
      </c>
      <c r="AX381" s="1998">
        <f>IF(Construction!$F$31=Construction!$R$22,Oeko!DK381,Oeko!FX381)</f>
        <v>1</v>
      </c>
      <c r="AY381" s="1998">
        <f>IF(Construction!$F$31=Construction!$R$22,Oeko!DL381,Oeko!FY381)</f>
        <v>1</v>
      </c>
      <c r="AZ381" s="1998">
        <f>IF(Construction!$F$31=Construction!$R$22,Oeko!DM381,Oeko!FZ381)</f>
        <v>1</v>
      </c>
      <c r="BA381" s="1998">
        <f>IF(Construction!$F$31=Construction!$R$22,Oeko!DN381,Oeko!GA381)</f>
        <v>1</v>
      </c>
      <c r="BB381" s="1979">
        <f>IF(Construction!$F$31=Construction!$R$22,Oeko!DO381,Oeko!GB381)</f>
        <v>1</v>
      </c>
      <c r="BC381" s="1979">
        <f>IF(Construction!$F$31=Construction!$R$22,Oeko!DP381,Oeko!GC381)</f>
        <v>1</v>
      </c>
      <c r="BD381" s="1979">
        <f>IF(Construction!$F$31=Construction!$R$22,Oeko!DQ381,Oeko!GD381)</f>
        <v>1</v>
      </c>
      <c r="BE381" s="1979">
        <f>IF(Construction!$F$31=Construction!$R$22,Oeko!DR381,Oeko!GE381)</f>
        <v>1</v>
      </c>
      <c r="BF381" s="1979">
        <f>IF(Construction!$F$31=Construction!$R$22,Oeko!DS381,Oeko!GF381)</f>
        <v>1</v>
      </c>
      <c r="BG381" s="1998">
        <f>IF(Construction!$F$31=Construction!$R$22,Oeko!DT381,Oeko!GG381)</f>
        <v>1</v>
      </c>
      <c r="BH381" s="1998">
        <f>IF(Construction!$F$31=Construction!$R$22,Oeko!DU381,Oeko!GH381)</f>
        <v>1</v>
      </c>
      <c r="BI381" s="1998">
        <f>IF(Construction!$F$31=Construction!$R$22,Oeko!DV381,Oeko!GI381)</f>
        <v>1</v>
      </c>
      <c r="BJ381" s="1998">
        <f>IF(Construction!$F$31=Construction!$R$22,Oeko!DW381,Oeko!GJ381)</f>
        <v>1</v>
      </c>
      <c r="BK381" s="2026">
        <f>IF(Construction!$F$31=Construction!$R$22,Oeko!DX381,Oeko!GK381)</f>
        <v>1</v>
      </c>
      <c r="BN381" s="2022"/>
      <c r="BO381" s="2">
        <v>36</v>
      </c>
      <c r="BP381" s="2" t="str">
        <f>$AF$15</f>
        <v/>
      </c>
      <c r="BQ381" s="1979">
        <v>1</v>
      </c>
      <c r="BR381" s="1979">
        <v>1</v>
      </c>
      <c r="BS381" s="1979">
        <v>1</v>
      </c>
      <c r="BT381" s="1979">
        <v>1</v>
      </c>
      <c r="BU381" s="1979">
        <v>1</v>
      </c>
      <c r="BV381" s="1998">
        <v>1</v>
      </c>
      <c r="BW381" s="1998">
        <v>1</v>
      </c>
      <c r="BX381" s="1998">
        <v>1</v>
      </c>
      <c r="BY381" s="1998">
        <v>1</v>
      </c>
      <c r="BZ381" s="1998">
        <v>1</v>
      </c>
      <c r="CA381" s="1979">
        <v>1</v>
      </c>
      <c r="CB381" s="1979">
        <v>1</v>
      </c>
      <c r="CC381" s="1979">
        <v>1</v>
      </c>
      <c r="CD381" s="1979">
        <v>1</v>
      </c>
      <c r="CE381" s="1979">
        <v>1</v>
      </c>
      <c r="CF381" s="1998">
        <v>1</v>
      </c>
      <c r="CG381" s="1998">
        <v>1</v>
      </c>
      <c r="CH381" s="1998">
        <v>1</v>
      </c>
      <c r="CI381" s="1998">
        <v>1</v>
      </c>
      <c r="CJ381" s="1998">
        <v>1</v>
      </c>
      <c r="CK381" s="1979">
        <v>1</v>
      </c>
      <c r="CL381" s="1979">
        <v>1</v>
      </c>
      <c r="CM381" s="1979">
        <v>1</v>
      </c>
      <c r="CN381" s="1979">
        <v>1</v>
      </c>
      <c r="CO381" s="1979">
        <v>1</v>
      </c>
      <c r="CP381" s="1998">
        <v>1</v>
      </c>
      <c r="CQ381" s="1998">
        <v>1</v>
      </c>
      <c r="CR381" s="1998">
        <v>1</v>
      </c>
      <c r="CS381" s="1998">
        <v>1</v>
      </c>
      <c r="CT381" s="1998">
        <v>1</v>
      </c>
      <c r="CU381" s="1979">
        <v>1</v>
      </c>
      <c r="CV381" s="1979">
        <v>1</v>
      </c>
      <c r="CW381" s="1979">
        <v>1</v>
      </c>
      <c r="CX381" s="1979">
        <v>1</v>
      </c>
      <c r="CY381" s="1979">
        <v>1</v>
      </c>
      <c r="CZ381" s="1998">
        <v>1</v>
      </c>
      <c r="DA381" s="1998">
        <v>1</v>
      </c>
      <c r="DB381" s="1998">
        <v>1</v>
      </c>
      <c r="DC381" s="1998">
        <v>1</v>
      </c>
      <c r="DD381" s="1998">
        <v>1</v>
      </c>
      <c r="DE381" s="1979">
        <v>1</v>
      </c>
      <c r="DF381" s="1979">
        <v>1</v>
      </c>
      <c r="DG381" s="1979">
        <v>1</v>
      </c>
      <c r="DH381" s="1979">
        <v>1</v>
      </c>
      <c r="DI381" s="1979">
        <v>1</v>
      </c>
      <c r="DJ381" s="1998">
        <v>1</v>
      </c>
      <c r="DK381" s="1998">
        <v>1</v>
      </c>
      <c r="DL381" s="1998">
        <v>1</v>
      </c>
      <c r="DM381" s="1998">
        <v>1</v>
      </c>
      <c r="DN381" s="1998">
        <v>1</v>
      </c>
      <c r="DO381" s="1979">
        <v>1</v>
      </c>
      <c r="DP381" s="1979">
        <v>1</v>
      </c>
      <c r="DQ381" s="1979">
        <v>1</v>
      </c>
      <c r="DR381" s="1979">
        <v>1</v>
      </c>
      <c r="DS381" s="1979">
        <v>1</v>
      </c>
      <c r="DT381" s="1998">
        <v>1</v>
      </c>
      <c r="DU381" s="1998">
        <v>1</v>
      </c>
      <c r="DV381" s="1998">
        <v>1</v>
      </c>
      <c r="DW381" s="1998">
        <v>1</v>
      </c>
      <c r="DX381" s="2026">
        <v>1</v>
      </c>
      <c r="EA381" s="2022"/>
      <c r="EB381" s="2">
        <v>36</v>
      </c>
      <c r="EC381" s="2" t="str">
        <f>$AF$15</f>
        <v/>
      </c>
      <c r="ED381" s="1979">
        <v>1.3605609674202821</v>
      </c>
      <c r="EE381" s="1979">
        <v>1.3605609674202821</v>
      </c>
      <c r="EF381" s="1979">
        <v>1.3605609674202821</v>
      </c>
      <c r="EG381" s="1979">
        <v>1.3605609674202821</v>
      </c>
      <c r="EH381" s="1979">
        <v>1.3605609674202821</v>
      </c>
      <c r="EI381" s="1998">
        <v>2.0966679740137137</v>
      </c>
      <c r="EJ381" s="1998">
        <v>2.0966679740137137</v>
      </c>
      <c r="EK381" s="1998">
        <v>2.0966679740137137</v>
      </c>
      <c r="EL381" s="1998">
        <v>2.0966679740137137</v>
      </c>
      <c r="EM381" s="1998">
        <v>2.0966679740137137</v>
      </c>
      <c r="EN381" s="1979">
        <v>1.4337071065592959</v>
      </c>
      <c r="EO381" s="1979">
        <v>1.4337071065592959</v>
      </c>
      <c r="EP381" s="1979">
        <v>1.4337071065592959</v>
      </c>
      <c r="EQ381" s="1979">
        <v>1.4337071065592959</v>
      </c>
      <c r="ER381" s="1979">
        <v>1.4337071065592959</v>
      </c>
      <c r="ES381" s="1998">
        <v>1.8379162318633464</v>
      </c>
      <c r="ET381" s="1998">
        <v>1.8379162318633464</v>
      </c>
      <c r="EU381" s="1998">
        <v>1.8379162318633464</v>
      </c>
      <c r="EV381" s="1998">
        <v>1.8379162318633464</v>
      </c>
      <c r="EW381" s="1998">
        <v>1.8379162318633464</v>
      </c>
      <c r="EX381" s="1979">
        <v>1.4662053104562123</v>
      </c>
      <c r="EY381" s="1979">
        <v>1.4662053104562123</v>
      </c>
      <c r="EZ381" s="1979">
        <v>1.4662053104562123</v>
      </c>
      <c r="FA381" s="1979">
        <v>1.4662053104562123</v>
      </c>
      <c r="FB381" s="1979">
        <v>1.4662053104562123</v>
      </c>
      <c r="FC381" s="1998">
        <v>1.6277744053108218</v>
      </c>
      <c r="FD381" s="1998">
        <v>1.6277744053108218</v>
      </c>
      <c r="FE381" s="1998">
        <v>1.6277744053108218</v>
      </c>
      <c r="FF381" s="1998">
        <v>1.6277744053108218</v>
      </c>
      <c r="FG381" s="1998">
        <v>1.6277744053108218</v>
      </c>
      <c r="FH381" s="1979">
        <v>2.3921927569513635</v>
      </c>
      <c r="FI381" s="1979">
        <v>2.3921927569513635</v>
      </c>
      <c r="FJ381" s="1979">
        <v>2.3921927569513635</v>
      </c>
      <c r="FK381" s="1979">
        <v>2.3921927569513635</v>
      </c>
      <c r="FL381" s="1979">
        <v>2.3921927569513635</v>
      </c>
      <c r="FM381" s="1998">
        <v>1.5115041757386145</v>
      </c>
      <c r="FN381" s="1998">
        <v>1.5115041757386145</v>
      </c>
      <c r="FO381" s="1998">
        <v>1.5115041757386145</v>
      </c>
      <c r="FP381" s="1998">
        <v>1.5115041757386145</v>
      </c>
      <c r="FQ381" s="1998">
        <v>1.5115041757386145</v>
      </c>
      <c r="FR381" s="1979">
        <v>8.1198212572277306</v>
      </c>
      <c r="FS381" s="1979">
        <v>8.1198212572277306</v>
      </c>
      <c r="FT381" s="1979">
        <v>8.1198212572277306</v>
      </c>
      <c r="FU381" s="1979">
        <v>8.1198212572277306</v>
      </c>
      <c r="FV381" s="1979">
        <v>8.1198212572277306</v>
      </c>
      <c r="FW381" s="1998">
        <v>8.4799072816005001</v>
      </c>
      <c r="FX381" s="1998">
        <v>8.4799072816005001</v>
      </c>
      <c r="FY381" s="1998">
        <v>8.4799072816005001</v>
      </c>
      <c r="FZ381" s="1998">
        <v>8.4799072816005001</v>
      </c>
      <c r="GA381" s="1998">
        <v>8.4799072816005001</v>
      </c>
      <c r="GB381" s="1979">
        <v>1.3861479372000356</v>
      </c>
      <c r="GC381" s="1979">
        <v>1.3861479372000356</v>
      </c>
      <c r="GD381" s="1979">
        <v>1.3861479372000356</v>
      </c>
      <c r="GE381" s="1979">
        <v>1.3861479372000356</v>
      </c>
      <c r="GF381" s="1979">
        <v>1.3861479372000356</v>
      </c>
      <c r="GG381" s="1998">
        <v>1.4313071575784038</v>
      </c>
      <c r="GH381" s="1998">
        <v>1.4313071575784038</v>
      </c>
      <c r="GI381" s="1998">
        <v>1.4313071575784038</v>
      </c>
      <c r="GJ381" s="1998">
        <v>1.4313071575784038</v>
      </c>
      <c r="GK381" s="2026">
        <v>1.4313071575784038</v>
      </c>
    </row>
    <row r="382" spans="1:193">
      <c r="A382" s="2020"/>
      <c r="B382" s="2">
        <v>37</v>
      </c>
      <c r="C382" s="2" t="str">
        <f>$AF$16</f>
        <v/>
      </c>
      <c r="D382" s="1979">
        <f>IF(Construction!$F$31=Construction!$R$22,Oeko!BQ382,Oeko!ED382)</f>
        <v>1</v>
      </c>
      <c r="E382" s="1979">
        <f>IF(Construction!$F$31=Construction!$R$22,Oeko!BR382,Oeko!EE382)</f>
        <v>1</v>
      </c>
      <c r="F382" s="1979">
        <f>IF(Construction!$F$31=Construction!$R$22,Oeko!BS382,Oeko!EF382)</f>
        <v>1</v>
      </c>
      <c r="G382" s="1979">
        <f>IF(Construction!$F$31=Construction!$R$22,Oeko!BT382,Oeko!EG382)</f>
        <v>1</v>
      </c>
      <c r="H382" s="1979">
        <f>IF(Construction!$F$31=Construction!$R$22,Oeko!BU382,Oeko!EH382)</f>
        <v>1</v>
      </c>
      <c r="I382" s="1998">
        <f>IF(Construction!$F$31=Construction!$R$22,Oeko!BV382,Oeko!EI382)</f>
        <v>1</v>
      </c>
      <c r="J382" s="1998">
        <f>IF(Construction!$F$31=Construction!$R$22,Oeko!BW382,Oeko!EJ382)</f>
        <v>1</v>
      </c>
      <c r="K382" s="1998">
        <f>IF(Construction!$F$31=Construction!$R$22,Oeko!BX382,Oeko!EK382)</f>
        <v>1</v>
      </c>
      <c r="L382" s="1998">
        <f>IF(Construction!$F$31=Construction!$R$22,Oeko!BY382,Oeko!EL382)</f>
        <v>1</v>
      </c>
      <c r="M382" s="1998">
        <f>IF(Construction!$F$31=Construction!$R$22,Oeko!BZ382,Oeko!EM382)</f>
        <v>1</v>
      </c>
      <c r="N382" s="1979">
        <f>IF(Construction!$F$31=Construction!$R$22,Oeko!CA382,Oeko!EN382)</f>
        <v>1</v>
      </c>
      <c r="O382" s="1979">
        <f>IF(Construction!$F$31=Construction!$R$22,Oeko!CB382,Oeko!EO382)</f>
        <v>1</v>
      </c>
      <c r="P382" s="1979">
        <f>IF(Construction!$F$31=Construction!$R$22,Oeko!CC382,Oeko!EP382)</f>
        <v>1</v>
      </c>
      <c r="Q382" s="1979">
        <f>IF(Construction!$F$31=Construction!$R$22,Oeko!CD382,Oeko!EQ382)</f>
        <v>1</v>
      </c>
      <c r="R382" s="1979">
        <f>IF(Construction!$F$31=Construction!$R$22,Oeko!CE382,Oeko!ER382)</f>
        <v>1</v>
      </c>
      <c r="S382" s="1998">
        <f>IF(Construction!$F$31=Construction!$R$22,Oeko!CF382,Oeko!ES382)</f>
        <v>1</v>
      </c>
      <c r="T382" s="1998">
        <f>IF(Construction!$F$31=Construction!$R$22,Oeko!CG382,Oeko!ET382)</f>
        <v>1</v>
      </c>
      <c r="U382" s="1998">
        <f>IF(Construction!$F$31=Construction!$R$22,Oeko!CH382,Oeko!EU382)</f>
        <v>1</v>
      </c>
      <c r="V382" s="1998">
        <f>IF(Construction!$F$31=Construction!$R$22,Oeko!CI382,Oeko!EV382)</f>
        <v>1</v>
      </c>
      <c r="W382" s="1998">
        <f>IF(Construction!$F$31=Construction!$R$22,Oeko!CJ382,Oeko!EW382)</f>
        <v>1</v>
      </c>
      <c r="X382" s="1979">
        <f>IF(Construction!$F$31=Construction!$R$22,Oeko!CK382,Oeko!EX382)</f>
        <v>1</v>
      </c>
      <c r="Y382" s="1979">
        <f>IF(Construction!$F$31=Construction!$R$22,Oeko!CL382,Oeko!EY382)</f>
        <v>1</v>
      </c>
      <c r="Z382" s="1979">
        <f>IF(Construction!$F$31=Construction!$R$22,Oeko!CM382,Oeko!EZ382)</f>
        <v>1</v>
      </c>
      <c r="AA382" s="1979">
        <f>IF(Construction!$F$31=Construction!$R$22,Oeko!CN382,Oeko!FA382)</f>
        <v>1</v>
      </c>
      <c r="AB382" s="1979">
        <f>IF(Construction!$F$31=Construction!$R$22,Oeko!CO382,Oeko!FB382)</f>
        <v>1</v>
      </c>
      <c r="AC382" s="1998">
        <f>IF(Construction!$F$31=Construction!$R$22,Oeko!CP382,Oeko!FC382)</f>
        <v>1</v>
      </c>
      <c r="AD382" s="1998">
        <f>IF(Construction!$F$31=Construction!$R$22,Oeko!CQ382,Oeko!FD382)</f>
        <v>1</v>
      </c>
      <c r="AE382" s="1998">
        <f>IF(Construction!$F$31=Construction!$R$22,Oeko!CR382,Oeko!FE382)</f>
        <v>1</v>
      </c>
      <c r="AF382" s="1998">
        <f>IF(Construction!$F$31=Construction!$R$22,Oeko!CS382,Oeko!FF382)</f>
        <v>1</v>
      </c>
      <c r="AG382" s="1998">
        <f>IF(Construction!$F$31=Construction!$R$22,Oeko!CT382,Oeko!FG382)</f>
        <v>1</v>
      </c>
      <c r="AH382" s="1979">
        <f>IF(Construction!$F$31=Construction!$R$22,Oeko!CU382,Oeko!FH382)</f>
        <v>1</v>
      </c>
      <c r="AI382" s="1979">
        <f>IF(Construction!$F$31=Construction!$R$22,Oeko!CV382,Oeko!FI382)</f>
        <v>1</v>
      </c>
      <c r="AJ382" s="1979">
        <f>IF(Construction!$F$31=Construction!$R$22,Oeko!CW382,Oeko!FJ382)</f>
        <v>1</v>
      </c>
      <c r="AK382" s="1979">
        <f>IF(Construction!$F$31=Construction!$R$22,Oeko!CX382,Oeko!FK382)</f>
        <v>1</v>
      </c>
      <c r="AL382" s="1979">
        <f>IF(Construction!$F$31=Construction!$R$22,Oeko!CY382,Oeko!FL382)</f>
        <v>1</v>
      </c>
      <c r="AM382" s="1998">
        <f>IF(Construction!$F$31=Construction!$R$22,Oeko!CZ382,Oeko!FM382)</f>
        <v>1</v>
      </c>
      <c r="AN382" s="1998">
        <f>IF(Construction!$F$31=Construction!$R$22,Oeko!DA382,Oeko!FN382)</f>
        <v>1</v>
      </c>
      <c r="AO382" s="1998">
        <f>IF(Construction!$F$31=Construction!$R$22,Oeko!DB382,Oeko!FO382)</f>
        <v>1</v>
      </c>
      <c r="AP382" s="1998">
        <f>IF(Construction!$F$31=Construction!$R$22,Oeko!DC382,Oeko!FP382)</f>
        <v>1</v>
      </c>
      <c r="AQ382" s="1998">
        <f>IF(Construction!$F$31=Construction!$R$22,Oeko!DD382,Oeko!FQ382)</f>
        <v>1</v>
      </c>
      <c r="AR382" s="1979">
        <f>IF(Construction!$F$31=Construction!$R$22,Oeko!DE382,Oeko!FR382)</f>
        <v>1</v>
      </c>
      <c r="AS382" s="1979">
        <f>IF(Construction!$F$31=Construction!$R$22,Oeko!DF382,Oeko!FS382)</f>
        <v>1</v>
      </c>
      <c r="AT382" s="1979">
        <f>IF(Construction!$F$31=Construction!$R$22,Oeko!DG382,Oeko!FT382)</f>
        <v>1</v>
      </c>
      <c r="AU382" s="1979">
        <f>IF(Construction!$F$31=Construction!$R$22,Oeko!DH382,Oeko!FU382)</f>
        <v>1</v>
      </c>
      <c r="AV382" s="1979">
        <f>IF(Construction!$F$31=Construction!$R$22,Oeko!DI382,Oeko!FV382)</f>
        <v>1</v>
      </c>
      <c r="AW382" s="1998">
        <f>IF(Construction!$F$31=Construction!$R$22,Oeko!DJ382,Oeko!FW382)</f>
        <v>1</v>
      </c>
      <c r="AX382" s="1998">
        <f>IF(Construction!$F$31=Construction!$R$22,Oeko!DK382,Oeko!FX382)</f>
        <v>1</v>
      </c>
      <c r="AY382" s="1998">
        <f>IF(Construction!$F$31=Construction!$R$22,Oeko!DL382,Oeko!FY382)</f>
        <v>1</v>
      </c>
      <c r="AZ382" s="1998">
        <f>IF(Construction!$F$31=Construction!$R$22,Oeko!DM382,Oeko!FZ382)</f>
        <v>1</v>
      </c>
      <c r="BA382" s="1998">
        <f>IF(Construction!$F$31=Construction!$R$22,Oeko!DN382,Oeko!GA382)</f>
        <v>1</v>
      </c>
      <c r="BB382" s="1979">
        <f>IF(Construction!$F$31=Construction!$R$22,Oeko!DO382,Oeko!GB382)</f>
        <v>1</v>
      </c>
      <c r="BC382" s="1979">
        <f>IF(Construction!$F$31=Construction!$R$22,Oeko!DP382,Oeko!GC382)</f>
        <v>1</v>
      </c>
      <c r="BD382" s="1979">
        <f>IF(Construction!$F$31=Construction!$R$22,Oeko!DQ382,Oeko!GD382)</f>
        <v>1</v>
      </c>
      <c r="BE382" s="1979">
        <f>IF(Construction!$F$31=Construction!$R$22,Oeko!DR382,Oeko!GE382)</f>
        <v>1</v>
      </c>
      <c r="BF382" s="1979">
        <f>IF(Construction!$F$31=Construction!$R$22,Oeko!DS382,Oeko!GF382)</f>
        <v>1</v>
      </c>
      <c r="BG382" s="1998">
        <f>IF(Construction!$F$31=Construction!$R$22,Oeko!DT382,Oeko!GG382)</f>
        <v>1</v>
      </c>
      <c r="BH382" s="1998">
        <f>IF(Construction!$F$31=Construction!$R$22,Oeko!DU382,Oeko!GH382)</f>
        <v>1</v>
      </c>
      <c r="BI382" s="1998">
        <f>IF(Construction!$F$31=Construction!$R$22,Oeko!DV382,Oeko!GI382)</f>
        <v>1</v>
      </c>
      <c r="BJ382" s="1998">
        <f>IF(Construction!$F$31=Construction!$R$22,Oeko!DW382,Oeko!GJ382)</f>
        <v>1</v>
      </c>
      <c r="BK382" s="2026">
        <f>IF(Construction!$F$31=Construction!$R$22,Oeko!DX382,Oeko!GK382)</f>
        <v>1</v>
      </c>
      <c r="BN382" s="2022"/>
      <c r="BO382" s="2">
        <v>37</v>
      </c>
      <c r="BP382" s="2" t="str">
        <f>$AF$16</f>
        <v/>
      </c>
      <c r="BQ382" s="1979">
        <v>1</v>
      </c>
      <c r="BR382" s="1979">
        <v>1</v>
      </c>
      <c r="BS382" s="1979">
        <v>1</v>
      </c>
      <c r="BT382" s="1979">
        <v>1</v>
      </c>
      <c r="BU382" s="1979">
        <v>1</v>
      </c>
      <c r="BV382" s="1998">
        <v>1</v>
      </c>
      <c r="BW382" s="1998">
        <v>1</v>
      </c>
      <c r="BX382" s="1998">
        <v>1</v>
      </c>
      <c r="BY382" s="1998">
        <v>1</v>
      </c>
      <c r="BZ382" s="1998">
        <v>1</v>
      </c>
      <c r="CA382" s="1979">
        <v>1</v>
      </c>
      <c r="CB382" s="1979">
        <v>1</v>
      </c>
      <c r="CC382" s="1979">
        <v>1</v>
      </c>
      <c r="CD382" s="1979">
        <v>1</v>
      </c>
      <c r="CE382" s="1979">
        <v>1</v>
      </c>
      <c r="CF382" s="1998">
        <v>1</v>
      </c>
      <c r="CG382" s="1998">
        <v>1</v>
      </c>
      <c r="CH382" s="1998">
        <v>1</v>
      </c>
      <c r="CI382" s="1998">
        <v>1</v>
      </c>
      <c r="CJ382" s="1998">
        <v>1</v>
      </c>
      <c r="CK382" s="1979">
        <v>1</v>
      </c>
      <c r="CL382" s="1979">
        <v>1</v>
      </c>
      <c r="CM382" s="1979">
        <v>1</v>
      </c>
      <c r="CN382" s="1979">
        <v>1</v>
      </c>
      <c r="CO382" s="1979">
        <v>1</v>
      </c>
      <c r="CP382" s="1998">
        <v>1</v>
      </c>
      <c r="CQ382" s="1998">
        <v>1</v>
      </c>
      <c r="CR382" s="1998">
        <v>1</v>
      </c>
      <c r="CS382" s="1998">
        <v>1</v>
      </c>
      <c r="CT382" s="1998">
        <v>1</v>
      </c>
      <c r="CU382" s="1979">
        <v>1</v>
      </c>
      <c r="CV382" s="1979">
        <v>1</v>
      </c>
      <c r="CW382" s="1979">
        <v>1</v>
      </c>
      <c r="CX382" s="1979">
        <v>1</v>
      </c>
      <c r="CY382" s="1979">
        <v>1</v>
      </c>
      <c r="CZ382" s="1998">
        <v>1</v>
      </c>
      <c r="DA382" s="1998">
        <v>1</v>
      </c>
      <c r="DB382" s="1998">
        <v>1</v>
      </c>
      <c r="DC382" s="1998">
        <v>1</v>
      </c>
      <c r="DD382" s="1998">
        <v>1</v>
      </c>
      <c r="DE382" s="1979">
        <v>1</v>
      </c>
      <c r="DF382" s="1979">
        <v>1</v>
      </c>
      <c r="DG382" s="1979">
        <v>1</v>
      </c>
      <c r="DH382" s="1979">
        <v>1</v>
      </c>
      <c r="DI382" s="1979">
        <v>1</v>
      </c>
      <c r="DJ382" s="1998">
        <v>1</v>
      </c>
      <c r="DK382" s="1998">
        <v>1</v>
      </c>
      <c r="DL382" s="1998">
        <v>1</v>
      </c>
      <c r="DM382" s="1998">
        <v>1</v>
      </c>
      <c r="DN382" s="1998">
        <v>1</v>
      </c>
      <c r="DO382" s="1979">
        <v>1</v>
      </c>
      <c r="DP382" s="1979">
        <v>1</v>
      </c>
      <c r="DQ382" s="1979">
        <v>1</v>
      </c>
      <c r="DR382" s="1979">
        <v>1</v>
      </c>
      <c r="DS382" s="1979">
        <v>1</v>
      </c>
      <c r="DT382" s="1998">
        <v>1</v>
      </c>
      <c r="DU382" s="1998">
        <v>1</v>
      </c>
      <c r="DV382" s="1998">
        <v>1</v>
      </c>
      <c r="DW382" s="1998">
        <v>1</v>
      </c>
      <c r="DX382" s="2026">
        <v>1</v>
      </c>
      <c r="EA382" s="2022"/>
      <c r="EB382" s="2">
        <v>37</v>
      </c>
      <c r="EC382" s="2" t="str">
        <f>$AF$16</f>
        <v/>
      </c>
      <c r="ED382" s="1979">
        <v>1.3605609674202821</v>
      </c>
      <c r="EE382" s="1979">
        <v>1.3605609674202821</v>
      </c>
      <c r="EF382" s="1979">
        <v>1.3605609674202821</v>
      </c>
      <c r="EG382" s="1979">
        <v>1.3605609674202821</v>
      </c>
      <c r="EH382" s="1979">
        <v>1.3605609674202821</v>
      </c>
      <c r="EI382" s="1998">
        <v>2.0966679740137137</v>
      </c>
      <c r="EJ382" s="1998">
        <v>2.0966679740137137</v>
      </c>
      <c r="EK382" s="1998">
        <v>2.0966679740137137</v>
      </c>
      <c r="EL382" s="1998">
        <v>2.0966679740137137</v>
      </c>
      <c r="EM382" s="1998">
        <v>2.0966679740137137</v>
      </c>
      <c r="EN382" s="1979">
        <v>1.4337071065592959</v>
      </c>
      <c r="EO382" s="1979">
        <v>1.4337071065592959</v>
      </c>
      <c r="EP382" s="1979">
        <v>1.4337071065592959</v>
      </c>
      <c r="EQ382" s="1979">
        <v>1.4337071065592959</v>
      </c>
      <c r="ER382" s="1979">
        <v>1.4337071065592959</v>
      </c>
      <c r="ES382" s="1998">
        <v>1.8379162318633464</v>
      </c>
      <c r="ET382" s="1998">
        <v>1.8379162318633464</v>
      </c>
      <c r="EU382" s="1998">
        <v>1.8379162318633464</v>
      </c>
      <c r="EV382" s="1998">
        <v>1.8379162318633464</v>
      </c>
      <c r="EW382" s="1998">
        <v>1.8379162318633464</v>
      </c>
      <c r="EX382" s="1979">
        <v>1.4662053104562123</v>
      </c>
      <c r="EY382" s="1979">
        <v>1.4662053104562123</v>
      </c>
      <c r="EZ382" s="1979">
        <v>1.4662053104562123</v>
      </c>
      <c r="FA382" s="1979">
        <v>1.4662053104562123</v>
      </c>
      <c r="FB382" s="1979">
        <v>1.4662053104562123</v>
      </c>
      <c r="FC382" s="1998">
        <v>1.6277744053108218</v>
      </c>
      <c r="FD382" s="1998">
        <v>1.6277744053108218</v>
      </c>
      <c r="FE382" s="1998">
        <v>1.6277744053108218</v>
      </c>
      <c r="FF382" s="1998">
        <v>1.6277744053108218</v>
      </c>
      <c r="FG382" s="1998">
        <v>1.6277744053108218</v>
      </c>
      <c r="FH382" s="1979">
        <v>2.3921927569513635</v>
      </c>
      <c r="FI382" s="1979">
        <v>2.3921927569513635</v>
      </c>
      <c r="FJ382" s="1979">
        <v>2.3921927569513635</v>
      </c>
      <c r="FK382" s="1979">
        <v>2.3921927569513635</v>
      </c>
      <c r="FL382" s="1979">
        <v>2.3921927569513635</v>
      </c>
      <c r="FM382" s="1998">
        <v>1.5115041757386145</v>
      </c>
      <c r="FN382" s="1998">
        <v>1.5115041757386145</v>
      </c>
      <c r="FO382" s="1998">
        <v>1.5115041757386145</v>
      </c>
      <c r="FP382" s="1998">
        <v>1.5115041757386145</v>
      </c>
      <c r="FQ382" s="1998">
        <v>1.5115041757386145</v>
      </c>
      <c r="FR382" s="1979">
        <v>8.1198212572277306</v>
      </c>
      <c r="FS382" s="1979">
        <v>8.1198212572277306</v>
      </c>
      <c r="FT382" s="1979">
        <v>8.1198212572277306</v>
      </c>
      <c r="FU382" s="1979">
        <v>8.1198212572277306</v>
      </c>
      <c r="FV382" s="1979">
        <v>8.1198212572277306</v>
      </c>
      <c r="FW382" s="1998">
        <v>8.4799072816005001</v>
      </c>
      <c r="FX382" s="1998">
        <v>8.4799072816005001</v>
      </c>
      <c r="FY382" s="1998">
        <v>8.4799072816005001</v>
      </c>
      <c r="FZ382" s="1998">
        <v>8.4799072816005001</v>
      </c>
      <c r="GA382" s="1998">
        <v>8.4799072816005001</v>
      </c>
      <c r="GB382" s="1979">
        <v>1.3861479372000356</v>
      </c>
      <c r="GC382" s="1979">
        <v>1.3861479372000356</v>
      </c>
      <c r="GD382" s="1979">
        <v>1.3861479372000356</v>
      </c>
      <c r="GE382" s="1979">
        <v>1.3861479372000356</v>
      </c>
      <c r="GF382" s="1979">
        <v>1.3861479372000356</v>
      </c>
      <c r="GG382" s="1998">
        <v>1.4313071575784038</v>
      </c>
      <c r="GH382" s="1998">
        <v>1.4313071575784038</v>
      </c>
      <c r="GI382" s="1998">
        <v>1.4313071575784038</v>
      </c>
      <c r="GJ382" s="1998">
        <v>1.4313071575784038</v>
      </c>
      <c r="GK382" s="2026">
        <v>1.4313071575784038</v>
      </c>
    </row>
    <row r="383" spans="1:193">
      <c r="A383" s="2020"/>
      <c r="B383" s="2">
        <v>38</v>
      </c>
      <c r="C383" s="2" t="str">
        <f>$AF$17</f>
        <v/>
      </c>
      <c r="D383" s="1979">
        <f>IF(Construction!$F$31=Construction!$R$22,Oeko!BQ383,Oeko!ED383)</f>
        <v>1</v>
      </c>
      <c r="E383" s="1979">
        <f>IF(Construction!$F$31=Construction!$R$22,Oeko!BR383,Oeko!EE383)</f>
        <v>1</v>
      </c>
      <c r="F383" s="1979">
        <f>IF(Construction!$F$31=Construction!$R$22,Oeko!BS383,Oeko!EF383)</f>
        <v>1</v>
      </c>
      <c r="G383" s="1979">
        <f>IF(Construction!$F$31=Construction!$R$22,Oeko!BT383,Oeko!EG383)</f>
        <v>1</v>
      </c>
      <c r="H383" s="1979">
        <f>IF(Construction!$F$31=Construction!$R$22,Oeko!BU383,Oeko!EH383)</f>
        <v>1</v>
      </c>
      <c r="I383" s="1998">
        <f>IF(Construction!$F$31=Construction!$R$22,Oeko!BV383,Oeko!EI383)</f>
        <v>1</v>
      </c>
      <c r="J383" s="1998">
        <f>IF(Construction!$F$31=Construction!$R$22,Oeko!BW383,Oeko!EJ383)</f>
        <v>1</v>
      </c>
      <c r="K383" s="1998">
        <f>IF(Construction!$F$31=Construction!$R$22,Oeko!BX383,Oeko!EK383)</f>
        <v>1</v>
      </c>
      <c r="L383" s="1998">
        <f>IF(Construction!$F$31=Construction!$R$22,Oeko!BY383,Oeko!EL383)</f>
        <v>1</v>
      </c>
      <c r="M383" s="1998">
        <f>IF(Construction!$F$31=Construction!$R$22,Oeko!BZ383,Oeko!EM383)</f>
        <v>1</v>
      </c>
      <c r="N383" s="1979">
        <f>IF(Construction!$F$31=Construction!$R$22,Oeko!CA383,Oeko!EN383)</f>
        <v>1</v>
      </c>
      <c r="O383" s="1979">
        <f>IF(Construction!$F$31=Construction!$R$22,Oeko!CB383,Oeko!EO383)</f>
        <v>1</v>
      </c>
      <c r="P383" s="1979">
        <f>IF(Construction!$F$31=Construction!$R$22,Oeko!CC383,Oeko!EP383)</f>
        <v>1</v>
      </c>
      <c r="Q383" s="1979">
        <f>IF(Construction!$F$31=Construction!$R$22,Oeko!CD383,Oeko!EQ383)</f>
        <v>1</v>
      </c>
      <c r="R383" s="1979">
        <f>IF(Construction!$F$31=Construction!$R$22,Oeko!CE383,Oeko!ER383)</f>
        <v>1</v>
      </c>
      <c r="S383" s="1998">
        <f>IF(Construction!$F$31=Construction!$R$22,Oeko!CF383,Oeko!ES383)</f>
        <v>1</v>
      </c>
      <c r="T383" s="1998">
        <f>IF(Construction!$F$31=Construction!$R$22,Oeko!CG383,Oeko!ET383)</f>
        <v>1</v>
      </c>
      <c r="U383" s="1998">
        <f>IF(Construction!$F$31=Construction!$R$22,Oeko!CH383,Oeko!EU383)</f>
        <v>1</v>
      </c>
      <c r="V383" s="1998">
        <f>IF(Construction!$F$31=Construction!$R$22,Oeko!CI383,Oeko!EV383)</f>
        <v>1</v>
      </c>
      <c r="W383" s="1998">
        <f>IF(Construction!$F$31=Construction!$R$22,Oeko!CJ383,Oeko!EW383)</f>
        <v>1</v>
      </c>
      <c r="X383" s="1979">
        <f>IF(Construction!$F$31=Construction!$R$22,Oeko!CK383,Oeko!EX383)</f>
        <v>1</v>
      </c>
      <c r="Y383" s="1979">
        <f>IF(Construction!$F$31=Construction!$R$22,Oeko!CL383,Oeko!EY383)</f>
        <v>1</v>
      </c>
      <c r="Z383" s="1979">
        <f>IF(Construction!$F$31=Construction!$R$22,Oeko!CM383,Oeko!EZ383)</f>
        <v>1</v>
      </c>
      <c r="AA383" s="1979">
        <f>IF(Construction!$F$31=Construction!$R$22,Oeko!CN383,Oeko!FA383)</f>
        <v>1</v>
      </c>
      <c r="AB383" s="1979">
        <f>IF(Construction!$F$31=Construction!$R$22,Oeko!CO383,Oeko!FB383)</f>
        <v>1</v>
      </c>
      <c r="AC383" s="1998">
        <f>IF(Construction!$F$31=Construction!$R$22,Oeko!CP383,Oeko!FC383)</f>
        <v>1</v>
      </c>
      <c r="AD383" s="1998">
        <f>IF(Construction!$F$31=Construction!$R$22,Oeko!CQ383,Oeko!FD383)</f>
        <v>1</v>
      </c>
      <c r="AE383" s="1998">
        <f>IF(Construction!$F$31=Construction!$R$22,Oeko!CR383,Oeko!FE383)</f>
        <v>1</v>
      </c>
      <c r="AF383" s="1998">
        <f>IF(Construction!$F$31=Construction!$R$22,Oeko!CS383,Oeko!FF383)</f>
        <v>1</v>
      </c>
      <c r="AG383" s="1998">
        <f>IF(Construction!$F$31=Construction!$R$22,Oeko!CT383,Oeko!FG383)</f>
        <v>1</v>
      </c>
      <c r="AH383" s="1979">
        <f>IF(Construction!$F$31=Construction!$R$22,Oeko!CU383,Oeko!FH383)</f>
        <v>1</v>
      </c>
      <c r="AI383" s="1979">
        <f>IF(Construction!$F$31=Construction!$R$22,Oeko!CV383,Oeko!FI383)</f>
        <v>1</v>
      </c>
      <c r="AJ383" s="1979">
        <f>IF(Construction!$F$31=Construction!$R$22,Oeko!CW383,Oeko!FJ383)</f>
        <v>1</v>
      </c>
      <c r="AK383" s="1979">
        <f>IF(Construction!$F$31=Construction!$R$22,Oeko!CX383,Oeko!FK383)</f>
        <v>1</v>
      </c>
      <c r="AL383" s="1979">
        <f>IF(Construction!$F$31=Construction!$R$22,Oeko!CY383,Oeko!FL383)</f>
        <v>1</v>
      </c>
      <c r="AM383" s="1998">
        <f>IF(Construction!$F$31=Construction!$R$22,Oeko!CZ383,Oeko!FM383)</f>
        <v>1</v>
      </c>
      <c r="AN383" s="1998">
        <f>IF(Construction!$F$31=Construction!$R$22,Oeko!DA383,Oeko!FN383)</f>
        <v>1</v>
      </c>
      <c r="AO383" s="1998">
        <f>IF(Construction!$F$31=Construction!$R$22,Oeko!DB383,Oeko!FO383)</f>
        <v>1</v>
      </c>
      <c r="AP383" s="1998">
        <f>IF(Construction!$F$31=Construction!$R$22,Oeko!DC383,Oeko!FP383)</f>
        <v>1</v>
      </c>
      <c r="AQ383" s="1998">
        <f>IF(Construction!$F$31=Construction!$R$22,Oeko!DD383,Oeko!FQ383)</f>
        <v>1</v>
      </c>
      <c r="AR383" s="1979">
        <f>IF(Construction!$F$31=Construction!$R$22,Oeko!DE383,Oeko!FR383)</f>
        <v>1</v>
      </c>
      <c r="AS383" s="1979">
        <f>IF(Construction!$F$31=Construction!$R$22,Oeko!DF383,Oeko!FS383)</f>
        <v>1</v>
      </c>
      <c r="AT383" s="1979">
        <f>IF(Construction!$F$31=Construction!$R$22,Oeko!DG383,Oeko!FT383)</f>
        <v>1</v>
      </c>
      <c r="AU383" s="1979">
        <f>IF(Construction!$F$31=Construction!$R$22,Oeko!DH383,Oeko!FU383)</f>
        <v>1</v>
      </c>
      <c r="AV383" s="1979">
        <f>IF(Construction!$F$31=Construction!$R$22,Oeko!DI383,Oeko!FV383)</f>
        <v>1</v>
      </c>
      <c r="AW383" s="1998">
        <f>IF(Construction!$F$31=Construction!$R$22,Oeko!DJ383,Oeko!FW383)</f>
        <v>1</v>
      </c>
      <c r="AX383" s="1998">
        <f>IF(Construction!$F$31=Construction!$R$22,Oeko!DK383,Oeko!FX383)</f>
        <v>1</v>
      </c>
      <c r="AY383" s="1998">
        <f>IF(Construction!$F$31=Construction!$R$22,Oeko!DL383,Oeko!FY383)</f>
        <v>1</v>
      </c>
      <c r="AZ383" s="1998">
        <f>IF(Construction!$F$31=Construction!$R$22,Oeko!DM383,Oeko!FZ383)</f>
        <v>1</v>
      </c>
      <c r="BA383" s="1998">
        <f>IF(Construction!$F$31=Construction!$R$22,Oeko!DN383,Oeko!GA383)</f>
        <v>1</v>
      </c>
      <c r="BB383" s="1979">
        <f>IF(Construction!$F$31=Construction!$R$22,Oeko!DO383,Oeko!GB383)</f>
        <v>1</v>
      </c>
      <c r="BC383" s="1979">
        <f>IF(Construction!$F$31=Construction!$R$22,Oeko!DP383,Oeko!GC383)</f>
        <v>1</v>
      </c>
      <c r="BD383" s="1979">
        <f>IF(Construction!$F$31=Construction!$R$22,Oeko!DQ383,Oeko!GD383)</f>
        <v>1</v>
      </c>
      <c r="BE383" s="1979">
        <f>IF(Construction!$F$31=Construction!$R$22,Oeko!DR383,Oeko!GE383)</f>
        <v>1</v>
      </c>
      <c r="BF383" s="1979">
        <f>IF(Construction!$F$31=Construction!$R$22,Oeko!DS383,Oeko!GF383)</f>
        <v>1</v>
      </c>
      <c r="BG383" s="1998">
        <f>IF(Construction!$F$31=Construction!$R$22,Oeko!DT383,Oeko!GG383)</f>
        <v>1</v>
      </c>
      <c r="BH383" s="1998">
        <f>IF(Construction!$F$31=Construction!$R$22,Oeko!DU383,Oeko!GH383)</f>
        <v>1</v>
      </c>
      <c r="BI383" s="1998">
        <f>IF(Construction!$F$31=Construction!$R$22,Oeko!DV383,Oeko!GI383)</f>
        <v>1</v>
      </c>
      <c r="BJ383" s="1998">
        <f>IF(Construction!$F$31=Construction!$R$22,Oeko!DW383,Oeko!GJ383)</f>
        <v>1</v>
      </c>
      <c r="BK383" s="2026">
        <f>IF(Construction!$F$31=Construction!$R$22,Oeko!DX383,Oeko!GK383)</f>
        <v>1</v>
      </c>
      <c r="BN383" s="2022"/>
      <c r="BO383" s="2">
        <v>38</v>
      </c>
      <c r="BP383" s="2" t="str">
        <f>$AF$17</f>
        <v/>
      </c>
      <c r="BQ383" s="1979">
        <v>1</v>
      </c>
      <c r="BR383" s="1979">
        <v>1</v>
      </c>
      <c r="BS383" s="1979">
        <v>1</v>
      </c>
      <c r="BT383" s="1979">
        <v>1</v>
      </c>
      <c r="BU383" s="1979">
        <v>1</v>
      </c>
      <c r="BV383" s="1998">
        <v>1</v>
      </c>
      <c r="BW383" s="1998">
        <v>1</v>
      </c>
      <c r="BX383" s="1998">
        <v>1</v>
      </c>
      <c r="BY383" s="1998">
        <v>1</v>
      </c>
      <c r="BZ383" s="1998">
        <v>1</v>
      </c>
      <c r="CA383" s="1979">
        <v>1</v>
      </c>
      <c r="CB383" s="1979">
        <v>1</v>
      </c>
      <c r="CC383" s="1979">
        <v>1</v>
      </c>
      <c r="CD383" s="1979">
        <v>1</v>
      </c>
      <c r="CE383" s="1979">
        <v>1</v>
      </c>
      <c r="CF383" s="1998">
        <v>1</v>
      </c>
      <c r="CG383" s="1998">
        <v>1</v>
      </c>
      <c r="CH383" s="1998">
        <v>1</v>
      </c>
      <c r="CI383" s="1998">
        <v>1</v>
      </c>
      <c r="CJ383" s="1998">
        <v>1</v>
      </c>
      <c r="CK383" s="1979">
        <v>1</v>
      </c>
      <c r="CL383" s="1979">
        <v>1</v>
      </c>
      <c r="CM383" s="1979">
        <v>1</v>
      </c>
      <c r="CN383" s="1979">
        <v>1</v>
      </c>
      <c r="CO383" s="1979">
        <v>1</v>
      </c>
      <c r="CP383" s="1998">
        <v>1</v>
      </c>
      <c r="CQ383" s="1998">
        <v>1</v>
      </c>
      <c r="CR383" s="1998">
        <v>1</v>
      </c>
      <c r="CS383" s="1998">
        <v>1</v>
      </c>
      <c r="CT383" s="1998">
        <v>1</v>
      </c>
      <c r="CU383" s="1979">
        <v>1</v>
      </c>
      <c r="CV383" s="1979">
        <v>1</v>
      </c>
      <c r="CW383" s="1979">
        <v>1</v>
      </c>
      <c r="CX383" s="1979">
        <v>1</v>
      </c>
      <c r="CY383" s="1979">
        <v>1</v>
      </c>
      <c r="CZ383" s="1998">
        <v>1</v>
      </c>
      <c r="DA383" s="1998">
        <v>1</v>
      </c>
      <c r="DB383" s="1998">
        <v>1</v>
      </c>
      <c r="DC383" s="1998">
        <v>1</v>
      </c>
      <c r="DD383" s="1998">
        <v>1</v>
      </c>
      <c r="DE383" s="1979">
        <v>1</v>
      </c>
      <c r="DF383" s="1979">
        <v>1</v>
      </c>
      <c r="DG383" s="1979">
        <v>1</v>
      </c>
      <c r="DH383" s="1979">
        <v>1</v>
      </c>
      <c r="DI383" s="1979">
        <v>1</v>
      </c>
      <c r="DJ383" s="1998">
        <v>1</v>
      </c>
      <c r="DK383" s="1998">
        <v>1</v>
      </c>
      <c r="DL383" s="1998">
        <v>1</v>
      </c>
      <c r="DM383" s="1998">
        <v>1</v>
      </c>
      <c r="DN383" s="1998">
        <v>1</v>
      </c>
      <c r="DO383" s="1979">
        <v>1</v>
      </c>
      <c r="DP383" s="1979">
        <v>1</v>
      </c>
      <c r="DQ383" s="1979">
        <v>1</v>
      </c>
      <c r="DR383" s="1979">
        <v>1</v>
      </c>
      <c r="DS383" s="1979">
        <v>1</v>
      </c>
      <c r="DT383" s="1998">
        <v>1</v>
      </c>
      <c r="DU383" s="1998">
        <v>1</v>
      </c>
      <c r="DV383" s="1998">
        <v>1</v>
      </c>
      <c r="DW383" s="1998">
        <v>1</v>
      </c>
      <c r="DX383" s="2026">
        <v>1</v>
      </c>
      <c r="EA383" s="2022"/>
      <c r="EB383" s="2">
        <v>38</v>
      </c>
      <c r="EC383" s="2" t="str">
        <f>$AF$17</f>
        <v/>
      </c>
      <c r="ED383" s="1979">
        <v>1.3605609674202821</v>
      </c>
      <c r="EE383" s="1979">
        <v>1.3605609674202821</v>
      </c>
      <c r="EF383" s="1979">
        <v>1.3605609674202821</v>
      </c>
      <c r="EG383" s="1979">
        <v>1.3605609674202821</v>
      </c>
      <c r="EH383" s="1979">
        <v>1.3605609674202821</v>
      </c>
      <c r="EI383" s="1998">
        <v>2.0966679740137137</v>
      </c>
      <c r="EJ383" s="1998">
        <v>2.0966679740137137</v>
      </c>
      <c r="EK383" s="1998">
        <v>2.0966679740137137</v>
      </c>
      <c r="EL383" s="1998">
        <v>2.0966679740137137</v>
      </c>
      <c r="EM383" s="1998">
        <v>2.0966679740137137</v>
      </c>
      <c r="EN383" s="1979">
        <v>1.4337071065592959</v>
      </c>
      <c r="EO383" s="1979">
        <v>1.4337071065592959</v>
      </c>
      <c r="EP383" s="1979">
        <v>1.4337071065592959</v>
      </c>
      <c r="EQ383" s="1979">
        <v>1.4337071065592959</v>
      </c>
      <c r="ER383" s="1979">
        <v>1.4337071065592959</v>
      </c>
      <c r="ES383" s="1998">
        <v>1.8379162318633464</v>
      </c>
      <c r="ET383" s="1998">
        <v>1.8379162318633464</v>
      </c>
      <c r="EU383" s="1998">
        <v>1.8379162318633464</v>
      </c>
      <c r="EV383" s="1998">
        <v>1.8379162318633464</v>
      </c>
      <c r="EW383" s="1998">
        <v>1.8379162318633464</v>
      </c>
      <c r="EX383" s="1979">
        <v>1.4662053104562123</v>
      </c>
      <c r="EY383" s="1979">
        <v>1.4662053104562123</v>
      </c>
      <c r="EZ383" s="1979">
        <v>1.4662053104562123</v>
      </c>
      <c r="FA383" s="1979">
        <v>1.4662053104562123</v>
      </c>
      <c r="FB383" s="1979">
        <v>1.4662053104562123</v>
      </c>
      <c r="FC383" s="1998">
        <v>1.6277744053108218</v>
      </c>
      <c r="FD383" s="1998">
        <v>1.6277744053108218</v>
      </c>
      <c r="FE383" s="1998">
        <v>1.6277744053108218</v>
      </c>
      <c r="FF383" s="1998">
        <v>1.6277744053108218</v>
      </c>
      <c r="FG383" s="1998">
        <v>1.6277744053108218</v>
      </c>
      <c r="FH383" s="1979">
        <v>2.3921927569513635</v>
      </c>
      <c r="FI383" s="1979">
        <v>2.3921927569513635</v>
      </c>
      <c r="FJ383" s="1979">
        <v>2.3921927569513635</v>
      </c>
      <c r="FK383" s="1979">
        <v>2.3921927569513635</v>
      </c>
      <c r="FL383" s="1979">
        <v>2.3921927569513635</v>
      </c>
      <c r="FM383" s="1998">
        <v>1.5115041757386145</v>
      </c>
      <c r="FN383" s="1998">
        <v>1.5115041757386145</v>
      </c>
      <c r="FO383" s="1998">
        <v>1.5115041757386145</v>
      </c>
      <c r="FP383" s="1998">
        <v>1.5115041757386145</v>
      </c>
      <c r="FQ383" s="1998">
        <v>1.5115041757386145</v>
      </c>
      <c r="FR383" s="1979">
        <v>8.1198212572277306</v>
      </c>
      <c r="FS383" s="1979">
        <v>8.1198212572277306</v>
      </c>
      <c r="FT383" s="1979">
        <v>8.1198212572277306</v>
      </c>
      <c r="FU383" s="1979">
        <v>8.1198212572277306</v>
      </c>
      <c r="FV383" s="1979">
        <v>8.1198212572277306</v>
      </c>
      <c r="FW383" s="1998">
        <v>8.4799072816005001</v>
      </c>
      <c r="FX383" s="1998">
        <v>8.4799072816005001</v>
      </c>
      <c r="FY383" s="1998">
        <v>8.4799072816005001</v>
      </c>
      <c r="FZ383" s="1998">
        <v>8.4799072816005001</v>
      </c>
      <c r="GA383" s="1998">
        <v>8.4799072816005001</v>
      </c>
      <c r="GB383" s="1979">
        <v>1.3861479372000356</v>
      </c>
      <c r="GC383" s="1979">
        <v>1.3861479372000356</v>
      </c>
      <c r="GD383" s="1979">
        <v>1.3861479372000356</v>
      </c>
      <c r="GE383" s="1979">
        <v>1.3861479372000356</v>
      </c>
      <c r="GF383" s="1979">
        <v>1.3861479372000356</v>
      </c>
      <c r="GG383" s="1998">
        <v>1.4313071575784038</v>
      </c>
      <c r="GH383" s="1998">
        <v>1.4313071575784038</v>
      </c>
      <c r="GI383" s="1998">
        <v>1.4313071575784038</v>
      </c>
      <c r="GJ383" s="1998">
        <v>1.4313071575784038</v>
      </c>
      <c r="GK383" s="2026">
        <v>1.4313071575784038</v>
      </c>
    </row>
    <row r="384" spans="1:193">
      <c r="A384" s="2020"/>
      <c r="B384" s="2">
        <v>39</v>
      </c>
      <c r="C384" s="2" t="str">
        <f>$AF$18</f>
        <v/>
      </c>
      <c r="D384" s="1979">
        <f>IF(Construction!$F$31=Construction!$R$22,Oeko!BQ384,Oeko!ED384)</f>
        <v>1</v>
      </c>
      <c r="E384" s="1979">
        <f>IF(Construction!$F$31=Construction!$R$22,Oeko!BR384,Oeko!EE384)</f>
        <v>1</v>
      </c>
      <c r="F384" s="1979">
        <f>IF(Construction!$F$31=Construction!$R$22,Oeko!BS384,Oeko!EF384)</f>
        <v>1</v>
      </c>
      <c r="G384" s="1979">
        <f>IF(Construction!$F$31=Construction!$R$22,Oeko!BT384,Oeko!EG384)</f>
        <v>1</v>
      </c>
      <c r="H384" s="1979">
        <f>IF(Construction!$F$31=Construction!$R$22,Oeko!BU384,Oeko!EH384)</f>
        <v>1</v>
      </c>
      <c r="I384" s="1998">
        <f>IF(Construction!$F$31=Construction!$R$22,Oeko!BV384,Oeko!EI384)</f>
        <v>1</v>
      </c>
      <c r="J384" s="1998">
        <f>IF(Construction!$F$31=Construction!$R$22,Oeko!BW384,Oeko!EJ384)</f>
        <v>1</v>
      </c>
      <c r="K384" s="1998">
        <f>IF(Construction!$F$31=Construction!$R$22,Oeko!BX384,Oeko!EK384)</f>
        <v>1</v>
      </c>
      <c r="L384" s="1998">
        <f>IF(Construction!$F$31=Construction!$R$22,Oeko!BY384,Oeko!EL384)</f>
        <v>1</v>
      </c>
      <c r="M384" s="1998">
        <f>IF(Construction!$F$31=Construction!$R$22,Oeko!BZ384,Oeko!EM384)</f>
        <v>1</v>
      </c>
      <c r="N384" s="1979">
        <f>IF(Construction!$F$31=Construction!$R$22,Oeko!CA384,Oeko!EN384)</f>
        <v>1</v>
      </c>
      <c r="O384" s="1979">
        <f>IF(Construction!$F$31=Construction!$R$22,Oeko!CB384,Oeko!EO384)</f>
        <v>1</v>
      </c>
      <c r="P384" s="1979">
        <f>IF(Construction!$F$31=Construction!$R$22,Oeko!CC384,Oeko!EP384)</f>
        <v>1</v>
      </c>
      <c r="Q384" s="1979">
        <f>IF(Construction!$F$31=Construction!$R$22,Oeko!CD384,Oeko!EQ384)</f>
        <v>1</v>
      </c>
      <c r="R384" s="1979">
        <f>IF(Construction!$F$31=Construction!$R$22,Oeko!CE384,Oeko!ER384)</f>
        <v>1</v>
      </c>
      <c r="S384" s="1998">
        <f>IF(Construction!$F$31=Construction!$R$22,Oeko!CF384,Oeko!ES384)</f>
        <v>1</v>
      </c>
      <c r="T384" s="1998">
        <f>IF(Construction!$F$31=Construction!$R$22,Oeko!CG384,Oeko!ET384)</f>
        <v>1</v>
      </c>
      <c r="U384" s="1998">
        <f>IF(Construction!$F$31=Construction!$R$22,Oeko!CH384,Oeko!EU384)</f>
        <v>1</v>
      </c>
      <c r="V384" s="1998">
        <f>IF(Construction!$F$31=Construction!$R$22,Oeko!CI384,Oeko!EV384)</f>
        <v>1</v>
      </c>
      <c r="W384" s="1998">
        <f>IF(Construction!$F$31=Construction!$R$22,Oeko!CJ384,Oeko!EW384)</f>
        <v>1</v>
      </c>
      <c r="X384" s="1979">
        <f>IF(Construction!$F$31=Construction!$R$22,Oeko!CK384,Oeko!EX384)</f>
        <v>1</v>
      </c>
      <c r="Y384" s="1979">
        <f>IF(Construction!$F$31=Construction!$R$22,Oeko!CL384,Oeko!EY384)</f>
        <v>1</v>
      </c>
      <c r="Z384" s="1979">
        <f>IF(Construction!$F$31=Construction!$R$22,Oeko!CM384,Oeko!EZ384)</f>
        <v>1</v>
      </c>
      <c r="AA384" s="1979">
        <f>IF(Construction!$F$31=Construction!$R$22,Oeko!CN384,Oeko!FA384)</f>
        <v>1</v>
      </c>
      <c r="AB384" s="1979">
        <f>IF(Construction!$F$31=Construction!$R$22,Oeko!CO384,Oeko!FB384)</f>
        <v>1</v>
      </c>
      <c r="AC384" s="1998">
        <f>IF(Construction!$F$31=Construction!$R$22,Oeko!CP384,Oeko!FC384)</f>
        <v>1</v>
      </c>
      <c r="AD384" s="1998">
        <f>IF(Construction!$F$31=Construction!$R$22,Oeko!CQ384,Oeko!FD384)</f>
        <v>1</v>
      </c>
      <c r="AE384" s="1998">
        <f>IF(Construction!$F$31=Construction!$R$22,Oeko!CR384,Oeko!FE384)</f>
        <v>1</v>
      </c>
      <c r="AF384" s="1998">
        <f>IF(Construction!$F$31=Construction!$R$22,Oeko!CS384,Oeko!FF384)</f>
        <v>1</v>
      </c>
      <c r="AG384" s="1998">
        <f>IF(Construction!$F$31=Construction!$R$22,Oeko!CT384,Oeko!FG384)</f>
        <v>1</v>
      </c>
      <c r="AH384" s="1979">
        <f>IF(Construction!$F$31=Construction!$R$22,Oeko!CU384,Oeko!FH384)</f>
        <v>1</v>
      </c>
      <c r="AI384" s="1979">
        <f>IF(Construction!$F$31=Construction!$R$22,Oeko!CV384,Oeko!FI384)</f>
        <v>1</v>
      </c>
      <c r="AJ384" s="1979">
        <f>IF(Construction!$F$31=Construction!$R$22,Oeko!CW384,Oeko!FJ384)</f>
        <v>1</v>
      </c>
      <c r="AK384" s="1979">
        <f>IF(Construction!$F$31=Construction!$R$22,Oeko!CX384,Oeko!FK384)</f>
        <v>1</v>
      </c>
      <c r="AL384" s="1979">
        <f>IF(Construction!$F$31=Construction!$R$22,Oeko!CY384,Oeko!FL384)</f>
        <v>1</v>
      </c>
      <c r="AM384" s="1998">
        <f>IF(Construction!$F$31=Construction!$R$22,Oeko!CZ384,Oeko!FM384)</f>
        <v>1</v>
      </c>
      <c r="AN384" s="1998">
        <f>IF(Construction!$F$31=Construction!$R$22,Oeko!DA384,Oeko!FN384)</f>
        <v>1</v>
      </c>
      <c r="AO384" s="1998">
        <f>IF(Construction!$F$31=Construction!$R$22,Oeko!DB384,Oeko!FO384)</f>
        <v>1</v>
      </c>
      <c r="AP384" s="1998">
        <f>IF(Construction!$F$31=Construction!$R$22,Oeko!DC384,Oeko!FP384)</f>
        <v>1</v>
      </c>
      <c r="AQ384" s="1998">
        <f>IF(Construction!$F$31=Construction!$R$22,Oeko!DD384,Oeko!FQ384)</f>
        <v>1</v>
      </c>
      <c r="AR384" s="1979">
        <f>IF(Construction!$F$31=Construction!$R$22,Oeko!DE384,Oeko!FR384)</f>
        <v>1</v>
      </c>
      <c r="AS384" s="1979">
        <f>IF(Construction!$F$31=Construction!$R$22,Oeko!DF384,Oeko!FS384)</f>
        <v>1</v>
      </c>
      <c r="AT384" s="1979">
        <f>IF(Construction!$F$31=Construction!$R$22,Oeko!DG384,Oeko!FT384)</f>
        <v>1</v>
      </c>
      <c r="AU384" s="1979">
        <f>IF(Construction!$F$31=Construction!$R$22,Oeko!DH384,Oeko!FU384)</f>
        <v>1</v>
      </c>
      <c r="AV384" s="1979">
        <f>IF(Construction!$F$31=Construction!$R$22,Oeko!DI384,Oeko!FV384)</f>
        <v>1</v>
      </c>
      <c r="AW384" s="1998">
        <f>IF(Construction!$F$31=Construction!$R$22,Oeko!DJ384,Oeko!FW384)</f>
        <v>1</v>
      </c>
      <c r="AX384" s="1998">
        <f>IF(Construction!$F$31=Construction!$R$22,Oeko!DK384,Oeko!FX384)</f>
        <v>1</v>
      </c>
      <c r="AY384" s="1998">
        <f>IF(Construction!$F$31=Construction!$R$22,Oeko!DL384,Oeko!FY384)</f>
        <v>1</v>
      </c>
      <c r="AZ384" s="1998">
        <f>IF(Construction!$F$31=Construction!$R$22,Oeko!DM384,Oeko!FZ384)</f>
        <v>1</v>
      </c>
      <c r="BA384" s="1998">
        <f>IF(Construction!$F$31=Construction!$R$22,Oeko!DN384,Oeko!GA384)</f>
        <v>1</v>
      </c>
      <c r="BB384" s="1979">
        <f>IF(Construction!$F$31=Construction!$R$22,Oeko!DO384,Oeko!GB384)</f>
        <v>1</v>
      </c>
      <c r="BC384" s="1979">
        <f>IF(Construction!$F$31=Construction!$R$22,Oeko!DP384,Oeko!GC384)</f>
        <v>1</v>
      </c>
      <c r="BD384" s="1979">
        <f>IF(Construction!$F$31=Construction!$R$22,Oeko!DQ384,Oeko!GD384)</f>
        <v>1</v>
      </c>
      <c r="BE384" s="1979">
        <f>IF(Construction!$F$31=Construction!$R$22,Oeko!DR384,Oeko!GE384)</f>
        <v>1</v>
      </c>
      <c r="BF384" s="1979">
        <f>IF(Construction!$F$31=Construction!$R$22,Oeko!DS384,Oeko!GF384)</f>
        <v>1</v>
      </c>
      <c r="BG384" s="1998">
        <f>IF(Construction!$F$31=Construction!$R$22,Oeko!DT384,Oeko!GG384)</f>
        <v>1</v>
      </c>
      <c r="BH384" s="1998">
        <f>IF(Construction!$F$31=Construction!$R$22,Oeko!DU384,Oeko!GH384)</f>
        <v>1</v>
      </c>
      <c r="BI384" s="1998">
        <f>IF(Construction!$F$31=Construction!$R$22,Oeko!DV384,Oeko!GI384)</f>
        <v>1</v>
      </c>
      <c r="BJ384" s="1998">
        <f>IF(Construction!$F$31=Construction!$R$22,Oeko!DW384,Oeko!GJ384)</f>
        <v>1</v>
      </c>
      <c r="BK384" s="2026">
        <f>IF(Construction!$F$31=Construction!$R$22,Oeko!DX384,Oeko!GK384)</f>
        <v>1</v>
      </c>
      <c r="BN384" s="2022"/>
      <c r="BO384" s="2">
        <v>39</v>
      </c>
      <c r="BP384" s="2" t="str">
        <f>$AF$18</f>
        <v/>
      </c>
      <c r="BQ384" s="1979">
        <v>1</v>
      </c>
      <c r="BR384" s="1979">
        <v>1</v>
      </c>
      <c r="BS384" s="1979">
        <v>1</v>
      </c>
      <c r="BT384" s="1979">
        <v>1</v>
      </c>
      <c r="BU384" s="1979">
        <v>1</v>
      </c>
      <c r="BV384" s="1998">
        <v>1</v>
      </c>
      <c r="BW384" s="1998">
        <v>1</v>
      </c>
      <c r="BX384" s="1998">
        <v>1</v>
      </c>
      <c r="BY384" s="1998">
        <v>1</v>
      </c>
      <c r="BZ384" s="1998">
        <v>1</v>
      </c>
      <c r="CA384" s="1979">
        <v>1</v>
      </c>
      <c r="CB384" s="1979">
        <v>1</v>
      </c>
      <c r="CC384" s="1979">
        <v>1</v>
      </c>
      <c r="CD384" s="1979">
        <v>1</v>
      </c>
      <c r="CE384" s="1979">
        <v>1</v>
      </c>
      <c r="CF384" s="1998">
        <v>1</v>
      </c>
      <c r="CG384" s="1998">
        <v>1</v>
      </c>
      <c r="CH384" s="1998">
        <v>1</v>
      </c>
      <c r="CI384" s="1998">
        <v>1</v>
      </c>
      <c r="CJ384" s="1998">
        <v>1</v>
      </c>
      <c r="CK384" s="1979">
        <v>1</v>
      </c>
      <c r="CL384" s="1979">
        <v>1</v>
      </c>
      <c r="CM384" s="1979">
        <v>1</v>
      </c>
      <c r="CN384" s="1979">
        <v>1</v>
      </c>
      <c r="CO384" s="1979">
        <v>1</v>
      </c>
      <c r="CP384" s="1998">
        <v>1</v>
      </c>
      <c r="CQ384" s="1998">
        <v>1</v>
      </c>
      <c r="CR384" s="1998">
        <v>1</v>
      </c>
      <c r="CS384" s="1998">
        <v>1</v>
      </c>
      <c r="CT384" s="1998">
        <v>1</v>
      </c>
      <c r="CU384" s="1979">
        <v>1</v>
      </c>
      <c r="CV384" s="1979">
        <v>1</v>
      </c>
      <c r="CW384" s="1979">
        <v>1</v>
      </c>
      <c r="CX384" s="1979">
        <v>1</v>
      </c>
      <c r="CY384" s="1979">
        <v>1</v>
      </c>
      <c r="CZ384" s="1998">
        <v>1</v>
      </c>
      <c r="DA384" s="1998">
        <v>1</v>
      </c>
      <c r="DB384" s="1998">
        <v>1</v>
      </c>
      <c r="DC384" s="1998">
        <v>1</v>
      </c>
      <c r="DD384" s="1998">
        <v>1</v>
      </c>
      <c r="DE384" s="1979">
        <v>1</v>
      </c>
      <c r="DF384" s="1979">
        <v>1</v>
      </c>
      <c r="DG384" s="1979">
        <v>1</v>
      </c>
      <c r="DH384" s="1979">
        <v>1</v>
      </c>
      <c r="DI384" s="1979">
        <v>1</v>
      </c>
      <c r="DJ384" s="1998">
        <v>1</v>
      </c>
      <c r="DK384" s="1998">
        <v>1</v>
      </c>
      <c r="DL384" s="1998">
        <v>1</v>
      </c>
      <c r="DM384" s="1998">
        <v>1</v>
      </c>
      <c r="DN384" s="1998">
        <v>1</v>
      </c>
      <c r="DO384" s="1979">
        <v>1</v>
      </c>
      <c r="DP384" s="1979">
        <v>1</v>
      </c>
      <c r="DQ384" s="1979">
        <v>1</v>
      </c>
      <c r="DR384" s="1979">
        <v>1</v>
      </c>
      <c r="DS384" s="1979">
        <v>1</v>
      </c>
      <c r="DT384" s="1998">
        <v>1</v>
      </c>
      <c r="DU384" s="1998">
        <v>1</v>
      </c>
      <c r="DV384" s="1998">
        <v>1</v>
      </c>
      <c r="DW384" s="1998">
        <v>1</v>
      </c>
      <c r="DX384" s="2026">
        <v>1</v>
      </c>
      <c r="EA384" s="2022"/>
      <c r="EB384" s="2">
        <v>39</v>
      </c>
      <c r="EC384" s="2" t="str">
        <f>$AF$18</f>
        <v/>
      </c>
      <c r="ED384" s="1979">
        <v>1.3605609674202821</v>
      </c>
      <c r="EE384" s="1979">
        <v>1.3605609674202821</v>
      </c>
      <c r="EF384" s="1979">
        <v>1.3605609674202821</v>
      </c>
      <c r="EG384" s="1979">
        <v>1.3605609674202821</v>
      </c>
      <c r="EH384" s="1979">
        <v>1.3605609674202821</v>
      </c>
      <c r="EI384" s="1998">
        <v>2.0966679740137137</v>
      </c>
      <c r="EJ384" s="1998">
        <v>2.0966679740137137</v>
      </c>
      <c r="EK384" s="1998">
        <v>2.0966679740137137</v>
      </c>
      <c r="EL384" s="1998">
        <v>2.0966679740137137</v>
      </c>
      <c r="EM384" s="1998">
        <v>2.0966679740137137</v>
      </c>
      <c r="EN384" s="1979">
        <v>1.4337071065592959</v>
      </c>
      <c r="EO384" s="1979">
        <v>1.4337071065592959</v>
      </c>
      <c r="EP384" s="1979">
        <v>1.4337071065592959</v>
      </c>
      <c r="EQ384" s="1979">
        <v>1.4337071065592959</v>
      </c>
      <c r="ER384" s="1979">
        <v>1.4337071065592959</v>
      </c>
      <c r="ES384" s="1998">
        <v>1.8379162318633464</v>
      </c>
      <c r="ET384" s="1998">
        <v>1.8379162318633464</v>
      </c>
      <c r="EU384" s="1998">
        <v>1.8379162318633464</v>
      </c>
      <c r="EV384" s="1998">
        <v>1.8379162318633464</v>
      </c>
      <c r="EW384" s="1998">
        <v>1.8379162318633464</v>
      </c>
      <c r="EX384" s="1979">
        <v>1.4662053104562123</v>
      </c>
      <c r="EY384" s="1979">
        <v>1.4662053104562123</v>
      </c>
      <c r="EZ384" s="1979">
        <v>1.4662053104562123</v>
      </c>
      <c r="FA384" s="1979">
        <v>1.4662053104562123</v>
      </c>
      <c r="FB384" s="1979">
        <v>1.4662053104562123</v>
      </c>
      <c r="FC384" s="1998">
        <v>1.6277744053108218</v>
      </c>
      <c r="FD384" s="1998">
        <v>1.6277744053108218</v>
      </c>
      <c r="FE384" s="1998">
        <v>1.6277744053108218</v>
      </c>
      <c r="FF384" s="1998">
        <v>1.6277744053108218</v>
      </c>
      <c r="FG384" s="1998">
        <v>1.6277744053108218</v>
      </c>
      <c r="FH384" s="1979">
        <v>2.3921927569513635</v>
      </c>
      <c r="FI384" s="1979">
        <v>2.3921927569513635</v>
      </c>
      <c r="FJ384" s="1979">
        <v>2.3921927569513635</v>
      </c>
      <c r="FK384" s="1979">
        <v>2.3921927569513635</v>
      </c>
      <c r="FL384" s="1979">
        <v>2.3921927569513635</v>
      </c>
      <c r="FM384" s="1998">
        <v>1.5115041757386145</v>
      </c>
      <c r="FN384" s="1998">
        <v>1.5115041757386145</v>
      </c>
      <c r="FO384" s="1998">
        <v>1.5115041757386145</v>
      </c>
      <c r="FP384" s="1998">
        <v>1.5115041757386145</v>
      </c>
      <c r="FQ384" s="1998">
        <v>1.5115041757386145</v>
      </c>
      <c r="FR384" s="1979">
        <v>8.1198212572277306</v>
      </c>
      <c r="FS384" s="1979">
        <v>8.1198212572277306</v>
      </c>
      <c r="FT384" s="1979">
        <v>8.1198212572277306</v>
      </c>
      <c r="FU384" s="1979">
        <v>8.1198212572277306</v>
      </c>
      <c r="FV384" s="1979">
        <v>8.1198212572277306</v>
      </c>
      <c r="FW384" s="1998">
        <v>8.4799072816005001</v>
      </c>
      <c r="FX384" s="1998">
        <v>8.4799072816005001</v>
      </c>
      <c r="FY384" s="1998">
        <v>8.4799072816005001</v>
      </c>
      <c r="FZ384" s="1998">
        <v>8.4799072816005001</v>
      </c>
      <c r="GA384" s="1998">
        <v>8.4799072816005001</v>
      </c>
      <c r="GB384" s="1979">
        <v>1.3861479372000356</v>
      </c>
      <c r="GC384" s="1979">
        <v>1.3861479372000356</v>
      </c>
      <c r="GD384" s="1979">
        <v>1.3861479372000356</v>
      </c>
      <c r="GE384" s="1979">
        <v>1.3861479372000356</v>
      </c>
      <c r="GF384" s="1979">
        <v>1.3861479372000356</v>
      </c>
      <c r="GG384" s="1998">
        <v>1.4313071575784038</v>
      </c>
      <c r="GH384" s="1998">
        <v>1.4313071575784038</v>
      </c>
      <c r="GI384" s="1998">
        <v>1.4313071575784038</v>
      </c>
      <c r="GJ384" s="1998">
        <v>1.4313071575784038</v>
      </c>
      <c r="GK384" s="2026">
        <v>1.4313071575784038</v>
      </c>
    </row>
    <row r="385" spans="1:193">
      <c r="A385" s="2023" t="str">
        <f>Uebersetzung!$D634</f>
        <v>Construction hybride</v>
      </c>
      <c r="B385" s="2">
        <v>1</v>
      </c>
      <c r="C385" s="2" t="s">
        <v>4327</v>
      </c>
      <c r="D385" s="2004">
        <f>IF(Construction!$F$31=Construction!$R$22,Oeko!BQ385,Oeko!ED385)</f>
        <v>1.0959648400629938</v>
      </c>
      <c r="E385" s="2004">
        <f>IF(Construction!$F$31=Construction!$R$22,Oeko!BR385,Oeko!EE385)</f>
        <v>1.0961510338512805</v>
      </c>
      <c r="F385" s="2004">
        <f>IF(Construction!$F$31=Construction!$R$22,Oeko!BS385,Oeko!EF385)</f>
        <v>1.096369703300315</v>
      </c>
      <c r="G385" s="2004">
        <f>IF(Construction!$F$31=Construction!$R$22,Oeko!BT385,Oeko!EG385)</f>
        <v>1.0965905377933995</v>
      </c>
      <c r="H385" s="2004">
        <f>IF(Construction!$F$31=Construction!$R$22,Oeko!BU385,Oeko!EH385)</f>
        <v>1.0970560222641168</v>
      </c>
      <c r="I385" s="2002">
        <f>IF(Construction!$F$31=Construction!$R$22,Oeko!BV385,Oeko!EI385)</f>
        <v>1.6075139021485076</v>
      </c>
      <c r="J385" s="2002">
        <f>IF(Construction!$F$31=Construction!$R$22,Oeko!BW385,Oeko!EJ385)</f>
        <v>1.6081455693867988</v>
      </c>
      <c r="K385" s="2002">
        <f>IF(Construction!$F$31=Construction!$R$22,Oeko!BX385,Oeko!EK385)</f>
        <v>1.6088874111433964</v>
      </c>
      <c r="L385" s="2002">
        <f>IF(Construction!$F$31=Construction!$R$22,Oeko!BY385,Oeko!EL385)</f>
        <v>1.6096365978678808</v>
      </c>
      <c r="M385" s="2002">
        <f>IF(Construction!$F$31=Construction!$R$22,Oeko!BZ385,Oeko!EM385)</f>
        <v>1.6112157659636084</v>
      </c>
      <c r="N385" s="2004">
        <f>IF(Construction!$F$31=Construction!$R$22,Oeko!CA385,Oeko!EN385)</f>
        <v>1.0413701884280093</v>
      </c>
      <c r="O385" s="2004">
        <f>IF(Construction!$F$31=Construction!$R$22,Oeko!CB385,Oeko!EO385)</f>
        <v>1.0413701884280093</v>
      </c>
      <c r="P385" s="2004">
        <f>IF(Construction!$F$31=Construction!$R$22,Oeko!CC385,Oeko!EP385)</f>
        <v>1.0413701884280093</v>
      </c>
      <c r="Q385" s="2004">
        <f>IF(Construction!$F$31=Construction!$R$22,Oeko!CD385,Oeko!EQ385)</f>
        <v>1.0413701884280093</v>
      </c>
      <c r="R385" s="2004">
        <f>IF(Construction!$F$31=Construction!$R$22,Oeko!CE385,Oeko!ER385)</f>
        <v>1.0413701884280093</v>
      </c>
      <c r="S385" s="2002">
        <f>IF(Construction!$F$31=Construction!$R$22,Oeko!CF385,Oeko!ES385)</f>
        <v>1.3530051730450989</v>
      </c>
      <c r="T385" s="2002">
        <f>IF(Construction!$F$31=Construction!$R$22,Oeko!CG385,Oeko!ET385)</f>
        <v>1.3530051730450989</v>
      </c>
      <c r="U385" s="2002">
        <f>IF(Construction!$F$31=Construction!$R$22,Oeko!CH385,Oeko!EU385)</f>
        <v>1.3530051730450989</v>
      </c>
      <c r="V385" s="2002">
        <f>IF(Construction!$F$31=Construction!$R$22,Oeko!CI385,Oeko!EV385)</f>
        <v>1.3530051730450989</v>
      </c>
      <c r="W385" s="2002">
        <f>IF(Construction!$F$31=Construction!$R$22,Oeko!CJ385,Oeko!EW385)</f>
        <v>1.3530051730450989</v>
      </c>
      <c r="X385" s="2004">
        <f>IF(Construction!$F$31=Construction!$R$22,Oeko!CK385,Oeko!EX385)</f>
        <v>1.0303295570195814</v>
      </c>
      <c r="Y385" s="2004">
        <f>IF(Construction!$F$31=Construction!$R$22,Oeko!CL385,Oeko!EY385)</f>
        <v>1.0303295570195814</v>
      </c>
      <c r="Z385" s="2004">
        <f>IF(Construction!$F$31=Construction!$R$22,Oeko!CM385,Oeko!EZ385)</f>
        <v>1.0303295570195814</v>
      </c>
      <c r="AA385" s="2004">
        <f>IF(Construction!$F$31=Construction!$R$22,Oeko!CN385,Oeko!FA385)</f>
        <v>1.0303295570195814</v>
      </c>
      <c r="AB385" s="2004">
        <f>IF(Construction!$F$31=Construction!$R$22,Oeko!CO385,Oeko!FB385)</f>
        <v>1.0303295570195814</v>
      </c>
      <c r="AC385" s="2002">
        <f>IF(Construction!$F$31=Construction!$R$22,Oeko!CP385,Oeko!FC385)</f>
        <v>1.00192924689315</v>
      </c>
      <c r="AD385" s="2002">
        <f>IF(Construction!$F$31=Construction!$R$22,Oeko!CQ385,Oeko!FD385)</f>
        <v>1.00192924689315</v>
      </c>
      <c r="AE385" s="2002">
        <f>IF(Construction!$F$31=Construction!$R$22,Oeko!CR385,Oeko!FE385)</f>
        <v>1.00192924689315</v>
      </c>
      <c r="AF385" s="2002">
        <f>IF(Construction!$F$31=Construction!$R$22,Oeko!CS385,Oeko!FF385)</f>
        <v>1.00192924689315</v>
      </c>
      <c r="AG385" s="2002">
        <f>IF(Construction!$F$31=Construction!$R$22,Oeko!CT385,Oeko!FG385)</f>
        <v>1.00192924689315</v>
      </c>
      <c r="AH385" s="2004">
        <f>IF(Construction!$F$31=Construction!$R$22,Oeko!CU385,Oeko!FH385)</f>
        <v>1.5069397551899828</v>
      </c>
      <c r="AI385" s="2004">
        <f>IF(Construction!$F$31=Construction!$R$22,Oeko!CV385,Oeko!FI385)</f>
        <v>1.5069397551899828</v>
      </c>
      <c r="AJ385" s="2004">
        <f>IF(Construction!$F$31=Construction!$R$22,Oeko!CW385,Oeko!FJ385)</f>
        <v>1.5069397551899828</v>
      </c>
      <c r="AK385" s="2004">
        <f>IF(Construction!$F$31=Construction!$R$22,Oeko!CX385,Oeko!FK385)</f>
        <v>1.5069397551899828</v>
      </c>
      <c r="AL385" s="2004">
        <f>IF(Construction!$F$31=Construction!$R$22,Oeko!CY385,Oeko!FL385)</f>
        <v>1.5069397551899828</v>
      </c>
      <c r="AM385" s="2002">
        <f>IF(Construction!$F$31=Construction!$R$22,Oeko!CZ385,Oeko!FM385)</f>
        <v>1.2243650757979079</v>
      </c>
      <c r="AN385" s="2002">
        <f>IF(Construction!$F$31=Construction!$R$22,Oeko!DA385,Oeko!FN385)</f>
        <v>1.2245452179362353</v>
      </c>
      <c r="AO385" s="2002">
        <f>IF(Construction!$F$31=Construction!$R$22,Oeko!DB385,Oeko!FO385)</f>
        <v>1.2247567802149686</v>
      </c>
      <c r="AP385" s="2002">
        <f>IF(Construction!$F$31=Construction!$R$22,Oeko!DC385,Oeko!FP385)</f>
        <v>1.224970437169729</v>
      </c>
      <c r="AQ385" s="2002">
        <f>IF(Construction!$F$31=Construction!$R$22,Oeko!DD385,Oeko!FQ385)</f>
        <v>1.2254207925155476</v>
      </c>
      <c r="AR385" s="2004">
        <f>IF(Construction!$F$31=Construction!$R$22,Oeko!DE385,Oeko!FR385)</f>
        <v>13.834538629013245</v>
      </c>
      <c r="AS385" s="2004">
        <f>IF(Construction!$F$31=Construction!$R$22,Oeko!DF385,Oeko!FS385)</f>
        <v>13.834538629013245</v>
      </c>
      <c r="AT385" s="2004">
        <f>IF(Construction!$F$31=Construction!$R$22,Oeko!DG385,Oeko!FT385)</f>
        <v>13.834538629013245</v>
      </c>
      <c r="AU385" s="2004">
        <f>IF(Construction!$F$31=Construction!$R$22,Oeko!DH385,Oeko!FU385)</f>
        <v>13.834538629013245</v>
      </c>
      <c r="AV385" s="2004">
        <f>IF(Construction!$F$31=Construction!$R$22,Oeko!DI385,Oeko!FV385)</f>
        <v>13.834538629013245</v>
      </c>
      <c r="AW385" s="2002">
        <f>IF(Construction!$F$31=Construction!$R$22,Oeko!DJ385,Oeko!FW385)</f>
        <v>13.801914271272478</v>
      </c>
      <c r="AX385" s="2002">
        <f>IF(Construction!$F$31=Construction!$R$22,Oeko!DK385,Oeko!FX385)</f>
        <v>13.801914271272478</v>
      </c>
      <c r="AY385" s="2002">
        <f>IF(Construction!$F$31=Construction!$R$22,Oeko!DL385,Oeko!FY385)</f>
        <v>13.801914271272478</v>
      </c>
      <c r="AZ385" s="2002">
        <f>IF(Construction!$F$31=Construction!$R$22,Oeko!DM385,Oeko!FZ385)</f>
        <v>13.801914271272478</v>
      </c>
      <c r="BA385" s="2002">
        <f>IF(Construction!$F$31=Construction!$R$22,Oeko!DN385,Oeko!GA385)</f>
        <v>13.801914271272478</v>
      </c>
      <c r="BB385" s="2004">
        <f>IF(Construction!$F$31=Construction!$R$22,Oeko!DO385,Oeko!GB385)</f>
        <v>0.98134311960433129</v>
      </c>
      <c r="BC385" s="2004">
        <f>IF(Construction!$F$31=Construction!$R$22,Oeko!DP385,Oeko!GC385)</f>
        <v>0.98134311960433129</v>
      </c>
      <c r="BD385" s="2004">
        <f>IF(Construction!$F$31=Construction!$R$22,Oeko!DQ385,Oeko!GD385)</f>
        <v>0.98134311960433129</v>
      </c>
      <c r="BE385" s="2004">
        <f>IF(Construction!$F$31=Construction!$R$22,Oeko!DR385,Oeko!GE385)</f>
        <v>0.98134311960433129</v>
      </c>
      <c r="BF385" s="2004">
        <f>IF(Construction!$F$31=Construction!$R$22,Oeko!DS385,Oeko!GF385)</f>
        <v>0.98134311960433129</v>
      </c>
      <c r="BG385" s="2002">
        <f>IF(Construction!$F$31=Construction!$R$22,Oeko!DT385,Oeko!GG385)</f>
        <v>0.97795522573083882</v>
      </c>
      <c r="BH385" s="2002">
        <f>IF(Construction!$F$31=Construction!$R$22,Oeko!DU385,Oeko!GH385)</f>
        <v>0.97795522573083882</v>
      </c>
      <c r="BI385" s="2002">
        <f>IF(Construction!$F$31=Construction!$R$22,Oeko!DV385,Oeko!GI385)</f>
        <v>0.97795522573083882</v>
      </c>
      <c r="BJ385" s="2002">
        <f>IF(Construction!$F$31=Construction!$R$22,Oeko!DW385,Oeko!GJ385)</f>
        <v>0.97795522573083882</v>
      </c>
      <c r="BK385" s="2027">
        <f>IF(Construction!$F$31=Construction!$R$22,Oeko!DX385,Oeko!GK385)</f>
        <v>0.97795522573083882</v>
      </c>
      <c r="BN385" s="2025" t="str">
        <f>Uebersetzung!$D634</f>
        <v>Construction hybride</v>
      </c>
      <c r="BO385" s="2">
        <v>1</v>
      </c>
      <c r="BP385" s="2" t="s">
        <v>4327</v>
      </c>
      <c r="BQ385" s="2004">
        <v>1.0959648400629938</v>
      </c>
      <c r="BR385" s="2004">
        <v>1.0961510338512805</v>
      </c>
      <c r="BS385" s="2004">
        <v>1.096369703300315</v>
      </c>
      <c r="BT385" s="2004">
        <v>1.0965905377933995</v>
      </c>
      <c r="BU385" s="2004">
        <v>1.0970560222641168</v>
      </c>
      <c r="BV385" s="2002">
        <v>1.6075139021485076</v>
      </c>
      <c r="BW385" s="2002">
        <v>1.6081455693867988</v>
      </c>
      <c r="BX385" s="2002">
        <v>1.6088874111433964</v>
      </c>
      <c r="BY385" s="2002">
        <v>1.6096365978678808</v>
      </c>
      <c r="BZ385" s="2002">
        <v>1.6112157659636084</v>
      </c>
      <c r="CA385" s="2004">
        <v>1.0413701884280093</v>
      </c>
      <c r="CB385" s="2004">
        <v>1.0413701884280093</v>
      </c>
      <c r="CC385" s="2004">
        <v>1.0413701884280093</v>
      </c>
      <c r="CD385" s="2004">
        <v>1.0413701884280093</v>
      </c>
      <c r="CE385" s="2004">
        <v>1.0413701884280093</v>
      </c>
      <c r="CF385" s="2002">
        <v>1.3530051730450989</v>
      </c>
      <c r="CG385" s="2002">
        <v>1.3530051730450989</v>
      </c>
      <c r="CH385" s="2002">
        <v>1.3530051730450989</v>
      </c>
      <c r="CI385" s="2002">
        <v>1.3530051730450989</v>
      </c>
      <c r="CJ385" s="2002">
        <v>1.3530051730450989</v>
      </c>
      <c r="CK385" s="2004">
        <v>1.0303295570195814</v>
      </c>
      <c r="CL385" s="2004">
        <v>1.0303295570195814</v>
      </c>
      <c r="CM385" s="2004">
        <v>1.0303295570195814</v>
      </c>
      <c r="CN385" s="2004">
        <v>1.0303295570195814</v>
      </c>
      <c r="CO385" s="2004">
        <v>1.0303295570195814</v>
      </c>
      <c r="CP385" s="2002">
        <v>1.00192924689315</v>
      </c>
      <c r="CQ385" s="2002">
        <v>1.00192924689315</v>
      </c>
      <c r="CR385" s="2002">
        <v>1.00192924689315</v>
      </c>
      <c r="CS385" s="2002">
        <v>1.00192924689315</v>
      </c>
      <c r="CT385" s="2002">
        <v>1.00192924689315</v>
      </c>
      <c r="CU385" s="2004">
        <v>1.5069397551899828</v>
      </c>
      <c r="CV385" s="2004">
        <v>1.5069397551899828</v>
      </c>
      <c r="CW385" s="2004">
        <v>1.5069397551899828</v>
      </c>
      <c r="CX385" s="2004">
        <v>1.5069397551899828</v>
      </c>
      <c r="CY385" s="2004">
        <v>1.5069397551899828</v>
      </c>
      <c r="CZ385" s="2002">
        <v>1.2243650757979079</v>
      </c>
      <c r="DA385" s="2002">
        <v>1.2245452179362353</v>
      </c>
      <c r="DB385" s="2002">
        <v>1.2247567802149686</v>
      </c>
      <c r="DC385" s="2002">
        <v>1.224970437169729</v>
      </c>
      <c r="DD385" s="2002">
        <v>1.2254207925155476</v>
      </c>
      <c r="DE385" s="2004">
        <v>13.834538629013245</v>
      </c>
      <c r="DF385" s="2004">
        <v>13.834538629013245</v>
      </c>
      <c r="DG385" s="2004">
        <v>13.834538629013245</v>
      </c>
      <c r="DH385" s="2004">
        <v>13.834538629013245</v>
      </c>
      <c r="DI385" s="2004">
        <v>13.834538629013245</v>
      </c>
      <c r="DJ385" s="2002">
        <v>13.801914271272478</v>
      </c>
      <c r="DK385" s="2002">
        <v>13.801914271272478</v>
      </c>
      <c r="DL385" s="2002">
        <v>13.801914271272478</v>
      </c>
      <c r="DM385" s="2002">
        <v>13.801914271272478</v>
      </c>
      <c r="DN385" s="2002">
        <v>13.801914271272478</v>
      </c>
      <c r="DO385" s="2004">
        <v>0.98134311960433129</v>
      </c>
      <c r="DP385" s="2004">
        <v>0.98134311960433129</v>
      </c>
      <c r="DQ385" s="2004">
        <v>0.98134311960433129</v>
      </c>
      <c r="DR385" s="2004">
        <v>0.98134311960433129</v>
      </c>
      <c r="DS385" s="2004">
        <v>0.98134311960433129</v>
      </c>
      <c r="DT385" s="2002">
        <v>0.97795522573083882</v>
      </c>
      <c r="DU385" s="2002">
        <v>0.97795522573083882</v>
      </c>
      <c r="DV385" s="2002">
        <v>0.97795522573083882</v>
      </c>
      <c r="DW385" s="2002">
        <v>0.97795522573083882</v>
      </c>
      <c r="DX385" s="2027">
        <v>0.97795522573083882</v>
      </c>
      <c r="EA385" s="2025" t="str">
        <f>Uebersetzung!$D634</f>
        <v>Construction hybride</v>
      </c>
      <c r="EB385" s="2">
        <v>1</v>
      </c>
      <c r="EC385" s="2" t="s">
        <v>4327</v>
      </c>
      <c r="ED385" s="2004">
        <v>1.3878612337301903</v>
      </c>
      <c r="EE385" s="2004">
        <v>1.4060894612672044</v>
      </c>
      <c r="EF385" s="2004">
        <v>1.4398147648210184</v>
      </c>
      <c r="EG385" s="2004">
        <v>1.4812745335969082</v>
      </c>
      <c r="EH385" s="2004">
        <v>1.5193705456006859</v>
      </c>
      <c r="EI385" s="2002">
        <v>2.2497836015845305</v>
      </c>
      <c r="EJ385" s="2002">
        <v>2.2871768330977793</v>
      </c>
      <c r="EK385" s="2002">
        <v>2.3473027402216164</v>
      </c>
      <c r="EL385" s="2002">
        <v>2.4187472428594825</v>
      </c>
      <c r="EM385" s="2002">
        <v>2.4712270384128434</v>
      </c>
      <c r="EN385" s="2004">
        <v>1.4083119303739478</v>
      </c>
      <c r="EO385" s="2004">
        <v>1.4435677762320496</v>
      </c>
      <c r="EP385" s="2004">
        <v>1.4450367698094702</v>
      </c>
      <c r="EQ385" s="2004">
        <v>1.446505763386891</v>
      </c>
      <c r="ER385" s="2004">
        <v>1.4479747569643122</v>
      </c>
      <c r="ES385" s="2002">
        <v>1.8404847239258164</v>
      </c>
      <c r="ET385" s="2002">
        <v>1.8860832026899472</v>
      </c>
      <c r="EU385" s="2002">
        <v>1.8882040621673486</v>
      </c>
      <c r="EV385" s="2002">
        <v>1.8903249216447502</v>
      </c>
      <c r="EW385" s="2002">
        <v>1.8924457811221516</v>
      </c>
      <c r="EX385" s="2004">
        <v>1.4359287830763365</v>
      </c>
      <c r="EY385" s="2004">
        <v>1.4698625347147596</v>
      </c>
      <c r="EZ385" s="2004">
        <v>1.4722863741175041</v>
      </c>
      <c r="FA385" s="2004">
        <v>1.4747102135202488</v>
      </c>
      <c r="FB385" s="2004">
        <v>1.477134052922993</v>
      </c>
      <c r="FC385" s="2002">
        <v>1.3305682054691528</v>
      </c>
      <c r="FD385" s="2002">
        <v>1.3576680765692823</v>
      </c>
      <c r="FE385" s="2002">
        <v>1.3600245870997283</v>
      </c>
      <c r="FF385" s="2002">
        <v>1.3623810976301742</v>
      </c>
      <c r="FG385" s="2002">
        <v>1.3647376081606206</v>
      </c>
      <c r="FH385" s="2004">
        <v>2.6221583637235653</v>
      </c>
      <c r="FI385" s="2004">
        <v>2.6256931295192341</v>
      </c>
      <c r="FJ385" s="2004">
        <v>2.6292278953149033</v>
      </c>
      <c r="FK385" s="2004">
        <v>2.6327626611105726</v>
      </c>
      <c r="FL385" s="2004">
        <v>2.6362974269062414</v>
      </c>
      <c r="FM385" s="2002">
        <v>1.5940858679546865</v>
      </c>
      <c r="FN385" s="2002">
        <v>1.6154746048670279</v>
      </c>
      <c r="FO385" s="2002">
        <v>1.6541758391430463</v>
      </c>
      <c r="FP385" s="2002">
        <v>1.7015197067067274</v>
      </c>
      <c r="FQ385" s="2002">
        <v>1.7436017480904262</v>
      </c>
      <c r="FR385" s="2004">
        <v>20.512355855001633</v>
      </c>
      <c r="FS385" s="2004">
        <v>20.528613474541473</v>
      </c>
      <c r="FT385" s="2004">
        <v>20.544871094081309</v>
      </c>
      <c r="FU385" s="2004">
        <v>20.561128713621148</v>
      </c>
      <c r="FV385" s="2004">
        <v>20.577386333160984</v>
      </c>
      <c r="FW385" s="2002">
        <v>20.448241863952749</v>
      </c>
      <c r="FX385" s="2002">
        <v>20.464467259357523</v>
      </c>
      <c r="FY385" s="2002">
        <v>20.480692654762297</v>
      </c>
      <c r="FZ385" s="2002">
        <v>20.496918050167068</v>
      </c>
      <c r="GA385" s="2002">
        <v>20.513143445571842</v>
      </c>
      <c r="GB385" s="2004">
        <v>1.3571014262070562</v>
      </c>
      <c r="GC385" s="2004">
        <v>1.3582558296067575</v>
      </c>
      <c r="GD385" s="2004">
        <v>1.3594102330064588</v>
      </c>
      <c r="GE385" s="2004">
        <v>1.3605646364061594</v>
      </c>
      <c r="GF385" s="2004">
        <v>1.362873443205562</v>
      </c>
      <c r="GG385" s="2002">
        <v>1.3782082679635979</v>
      </c>
      <c r="GH385" s="2002">
        <v>1.3799334965939114</v>
      </c>
      <c r="GI385" s="2002">
        <v>1.3816587252242252</v>
      </c>
      <c r="GJ385" s="2002">
        <v>1.3833839538545387</v>
      </c>
      <c r="GK385" s="2027">
        <v>1.3868344111151658</v>
      </c>
    </row>
    <row r="386" spans="1:193">
      <c r="A386" s="2020"/>
      <c r="B386" s="2">
        <v>2</v>
      </c>
      <c r="C386" s="2" t="s">
        <v>4328</v>
      </c>
      <c r="D386" s="1998">
        <f>IF(Construction!$F$31=Construction!$R$22,Oeko!BQ386,Oeko!ED386)</f>
        <v>1.0717647530818666</v>
      </c>
      <c r="E386" s="1998">
        <f>IF(Construction!$F$31=Construction!$R$22,Oeko!BR386,Oeko!EE386)</f>
        <v>1.0719598132410242</v>
      </c>
      <c r="F386" s="1998">
        <f>IF(Construction!$F$31=Construction!$R$22,Oeko!BS386,Oeko!EF386)</f>
        <v>1.0721888955209651</v>
      </c>
      <c r="G386" s="1998">
        <f>IF(Construction!$F$31=Construction!$R$22,Oeko!BT386,Oeko!EG386)</f>
        <v>1.0724202459422918</v>
      </c>
      <c r="H386" s="1998">
        <f>IF(Construction!$F$31=Construction!$R$22,Oeko!BU386,Oeko!EH386)</f>
        <v>1.0729078963401859</v>
      </c>
      <c r="I386" s="1979">
        <f>IF(Construction!$F$31=Construction!$R$22,Oeko!BV386,Oeko!EI386)</f>
        <v>1.6084857001597148</v>
      </c>
      <c r="J386" s="1979">
        <f>IF(Construction!$F$31=Construction!$R$22,Oeko!BW386,Oeko!EJ386)</f>
        <v>1.6091990630274915</v>
      </c>
      <c r="K386" s="1979">
        <f>IF(Construction!$F$31=Construction!$R$22,Oeko!BX386,Oeko!EK386)</f>
        <v>1.6100368496512756</v>
      </c>
      <c r="L386" s="1979">
        <f>IF(Construction!$F$31=Construction!$R$22,Oeko!BY386,Oeko!EL386)</f>
        <v>1.6108829311921269</v>
      </c>
      <c r="M386" s="1979">
        <f>IF(Construction!$F$31=Construction!$R$22,Oeko!BZ386,Oeko!EM386)</f>
        <v>1.6126663383615685</v>
      </c>
      <c r="N386" s="1998">
        <f>IF(Construction!$F$31=Construction!$R$22,Oeko!CA386,Oeko!EN386)</f>
        <v>1.0417449450117604</v>
      </c>
      <c r="O386" s="1998">
        <f>IF(Construction!$F$31=Construction!$R$22,Oeko!CB386,Oeko!EO386)</f>
        <v>1.0417449450117604</v>
      </c>
      <c r="P386" s="1998">
        <f>IF(Construction!$F$31=Construction!$R$22,Oeko!CC386,Oeko!EP386)</f>
        <v>1.0417449450117604</v>
      </c>
      <c r="Q386" s="1998">
        <f>IF(Construction!$F$31=Construction!$R$22,Oeko!CD386,Oeko!EQ386)</f>
        <v>1.0417449450117604</v>
      </c>
      <c r="R386" s="1998">
        <f>IF(Construction!$F$31=Construction!$R$22,Oeko!CE386,Oeko!ER386)</f>
        <v>1.0417449450117604</v>
      </c>
      <c r="S386" s="1979">
        <f>IF(Construction!$F$31=Construction!$R$22,Oeko!CF386,Oeko!ES386)</f>
        <v>1.3363014054766407</v>
      </c>
      <c r="T386" s="1979">
        <f>IF(Construction!$F$31=Construction!$R$22,Oeko!CG386,Oeko!ET386)</f>
        <v>1.3363014054766407</v>
      </c>
      <c r="U386" s="1979">
        <f>IF(Construction!$F$31=Construction!$R$22,Oeko!CH386,Oeko!EU386)</f>
        <v>1.3363014054766407</v>
      </c>
      <c r="V386" s="1979">
        <f>IF(Construction!$F$31=Construction!$R$22,Oeko!CI386,Oeko!EV386)</f>
        <v>1.3363014054766407</v>
      </c>
      <c r="W386" s="1979">
        <f>IF(Construction!$F$31=Construction!$R$22,Oeko!CJ386,Oeko!EW386)</f>
        <v>1.3363014054766407</v>
      </c>
      <c r="X386" s="1998">
        <f>IF(Construction!$F$31=Construction!$R$22,Oeko!CK386,Oeko!EX386)</f>
        <v>1.031110947440983</v>
      </c>
      <c r="Y386" s="1998">
        <f>IF(Construction!$F$31=Construction!$R$22,Oeko!CL386,Oeko!EY386)</f>
        <v>1.031110947440983</v>
      </c>
      <c r="Z386" s="1998">
        <f>IF(Construction!$F$31=Construction!$R$22,Oeko!CM386,Oeko!EZ386)</f>
        <v>1.031110947440983</v>
      </c>
      <c r="AA386" s="1998">
        <f>IF(Construction!$F$31=Construction!$R$22,Oeko!CN386,Oeko!FA386)</f>
        <v>1.031110947440983</v>
      </c>
      <c r="AB386" s="1998">
        <f>IF(Construction!$F$31=Construction!$R$22,Oeko!CO386,Oeko!FB386)</f>
        <v>1.031110947440983</v>
      </c>
      <c r="AC386" s="1979">
        <f>IF(Construction!$F$31=Construction!$R$22,Oeko!CP386,Oeko!FC386)</f>
        <v>1.0026712649289768</v>
      </c>
      <c r="AD386" s="1979">
        <f>IF(Construction!$F$31=Construction!$R$22,Oeko!CQ386,Oeko!FD386)</f>
        <v>1.0026712649289768</v>
      </c>
      <c r="AE386" s="1979">
        <f>IF(Construction!$F$31=Construction!$R$22,Oeko!CR386,Oeko!FE386)</f>
        <v>1.0026712649289768</v>
      </c>
      <c r="AF386" s="1979">
        <f>IF(Construction!$F$31=Construction!$R$22,Oeko!CS386,Oeko!FF386)</f>
        <v>1.0026712649289768</v>
      </c>
      <c r="AG386" s="1979">
        <f>IF(Construction!$F$31=Construction!$R$22,Oeko!CT386,Oeko!FG386)</f>
        <v>1.0026712649289768</v>
      </c>
      <c r="AH386" s="1998">
        <f>IF(Construction!$F$31=Construction!$R$22,Oeko!CU386,Oeko!FH386)</f>
        <v>1.5083277062279792</v>
      </c>
      <c r="AI386" s="1998">
        <f>IF(Construction!$F$31=Construction!$R$22,Oeko!CV386,Oeko!FI386)</f>
        <v>1.5083277062279792</v>
      </c>
      <c r="AJ386" s="1998">
        <f>IF(Construction!$F$31=Construction!$R$22,Oeko!CW386,Oeko!FJ386)</f>
        <v>1.5083277062279792</v>
      </c>
      <c r="AK386" s="1998">
        <f>IF(Construction!$F$31=Construction!$R$22,Oeko!CX386,Oeko!FK386)</f>
        <v>1.5083277062279792</v>
      </c>
      <c r="AL386" s="1998">
        <f>IF(Construction!$F$31=Construction!$R$22,Oeko!CY386,Oeko!FL386)</f>
        <v>1.5083277062279792</v>
      </c>
      <c r="AM386" s="1979">
        <f>IF(Construction!$F$31=Construction!$R$22,Oeko!CZ386,Oeko!FM386)</f>
        <v>1.2021599964042911</v>
      </c>
      <c r="AN386" s="1979">
        <f>IF(Construction!$F$31=Construction!$R$22,Oeko!DA386,Oeko!FN386)</f>
        <v>1.2023415796797252</v>
      </c>
      <c r="AO386" s="1979">
        <f>IF(Construction!$F$31=Construction!$R$22,Oeko!DB386,Oeko!FO386)</f>
        <v>1.2025548344566883</v>
      </c>
      <c r="AP386" s="1979">
        <f>IF(Construction!$F$31=Construction!$R$22,Oeko!DC386,Oeko!FP386)</f>
        <v>1.2027702006670868</v>
      </c>
      <c r="AQ386" s="1979">
        <f>IF(Construction!$F$31=Construction!$R$22,Oeko!DD386,Oeko!FQ386)</f>
        <v>1.2032241588556722</v>
      </c>
      <c r="AR386" s="1998">
        <f>IF(Construction!$F$31=Construction!$R$22,Oeko!DE386,Oeko!FR386)</f>
        <v>13.450245889318433</v>
      </c>
      <c r="AS386" s="1998">
        <f>IF(Construction!$F$31=Construction!$R$22,Oeko!DF386,Oeko!FS386)</f>
        <v>13.450245889318433</v>
      </c>
      <c r="AT386" s="1998">
        <f>IF(Construction!$F$31=Construction!$R$22,Oeko!DG386,Oeko!FT386)</f>
        <v>13.450245889318433</v>
      </c>
      <c r="AU386" s="1998">
        <f>IF(Construction!$F$31=Construction!$R$22,Oeko!DH386,Oeko!FU386)</f>
        <v>13.450245889318433</v>
      </c>
      <c r="AV386" s="1998">
        <f>IF(Construction!$F$31=Construction!$R$22,Oeko!DI386,Oeko!FV386)</f>
        <v>13.450245889318433</v>
      </c>
      <c r="AW386" s="1979">
        <f>IF(Construction!$F$31=Construction!$R$22,Oeko!DJ386,Oeko!FW386)</f>
        <v>12.881786653187646</v>
      </c>
      <c r="AX386" s="1979">
        <f>IF(Construction!$F$31=Construction!$R$22,Oeko!DK386,Oeko!FX386)</f>
        <v>12.881786653187646</v>
      </c>
      <c r="AY386" s="1979">
        <f>IF(Construction!$F$31=Construction!$R$22,Oeko!DL386,Oeko!FY386)</f>
        <v>12.881786653187646</v>
      </c>
      <c r="AZ386" s="1979">
        <f>IF(Construction!$F$31=Construction!$R$22,Oeko!DM386,Oeko!FZ386)</f>
        <v>12.881786653187646</v>
      </c>
      <c r="BA386" s="1979">
        <f>IF(Construction!$F$31=Construction!$R$22,Oeko!DN386,Oeko!GA386)</f>
        <v>12.881786653187646</v>
      </c>
      <c r="BB386" s="1998">
        <f>IF(Construction!$F$31=Construction!$R$22,Oeko!DO386,Oeko!GB386)</f>
        <v>0.98134311960433129</v>
      </c>
      <c r="BC386" s="1998">
        <f>IF(Construction!$F$31=Construction!$R$22,Oeko!DP386,Oeko!GC386)</f>
        <v>0.98134311960433129</v>
      </c>
      <c r="BD386" s="1998">
        <f>IF(Construction!$F$31=Construction!$R$22,Oeko!DQ386,Oeko!GD386)</f>
        <v>0.98134311960433129</v>
      </c>
      <c r="BE386" s="1998">
        <f>IF(Construction!$F$31=Construction!$R$22,Oeko!DR386,Oeko!GE386)</f>
        <v>0.98134311960433129</v>
      </c>
      <c r="BF386" s="1998">
        <f>IF(Construction!$F$31=Construction!$R$22,Oeko!DS386,Oeko!GF386)</f>
        <v>0.98134311960433129</v>
      </c>
      <c r="BG386" s="1979">
        <f>IF(Construction!$F$31=Construction!$R$22,Oeko!DT386,Oeko!GG386)</f>
        <v>0.97810576425189544</v>
      </c>
      <c r="BH386" s="1979">
        <f>IF(Construction!$F$31=Construction!$R$22,Oeko!DU386,Oeko!GH386)</f>
        <v>0.97810576425189544</v>
      </c>
      <c r="BI386" s="1979">
        <f>IF(Construction!$F$31=Construction!$R$22,Oeko!DV386,Oeko!GI386)</f>
        <v>0.97810576425189544</v>
      </c>
      <c r="BJ386" s="1979">
        <f>IF(Construction!$F$31=Construction!$R$22,Oeko!DW386,Oeko!GJ386)</f>
        <v>0.97810576425189544</v>
      </c>
      <c r="BK386" s="2021">
        <f>IF(Construction!$F$31=Construction!$R$22,Oeko!DX386,Oeko!GK386)</f>
        <v>0.97810576425189544</v>
      </c>
      <c r="BN386" s="2022"/>
      <c r="BO386" s="2">
        <v>2</v>
      </c>
      <c r="BP386" s="2" t="s">
        <v>4328</v>
      </c>
      <c r="BQ386" s="1998">
        <v>1.0717647530818666</v>
      </c>
      <c r="BR386" s="1998">
        <v>1.0719598132410242</v>
      </c>
      <c r="BS386" s="1998">
        <v>1.0721888955209651</v>
      </c>
      <c r="BT386" s="1998">
        <v>1.0724202459422918</v>
      </c>
      <c r="BU386" s="1998">
        <v>1.0729078963401859</v>
      </c>
      <c r="BV386" s="1979">
        <v>1.6084857001597148</v>
      </c>
      <c r="BW386" s="1979">
        <v>1.6091990630274915</v>
      </c>
      <c r="BX386" s="1979">
        <v>1.6100368496512756</v>
      </c>
      <c r="BY386" s="1979">
        <v>1.6108829311921269</v>
      </c>
      <c r="BZ386" s="1979">
        <v>1.6126663383615685</v>
      </c>
      <c r="CA386" s="1998">
        <v>1.0417449450117604</v>
      </c>
      <c r="CB386" s="1998">
        <v>1.0417449450117604</v>
      </c>
      <c r="CC386" s="1998">
        <v>1.0417449450117604</v>
      </c>
      <c r="CD386" s="1998">
        <v>1.0417449450117604</v>
      </c>
      <c r="CE386" s="1998">
        <v>1.0417449450117604</v>
      </c>
      <c r="CF386" s="1979">
        <v>1.3363014054766407</v>
      </c>
      <c r="CG386" s="1979">
        <v>1.3363014054766407</v>
      </c>
      <c r="CH386" s="1979">
        <v>1.3363014054766407</v>
      </c>
      <c r="CI386" s="1979">
        <v>1.3363014054766407</v>
      </c>
      <c r="CJ386" s="1979">
        <v>1.3363014054766407</v>
      </c>
      <c r="CK386" s="1998">
        <v>1.031110947440983</v>
      </c>
      <c r="CL386" s="1998">
        <v>1.031110947440983</v>
      </c>
      <c r="CM386" s="1998">
        <v>1.031110947440983</v>
      </c>
      <c r="CN386" s="1998">
        <v>1.031110947440983</v>
      </c>
      <c r="CO386" s="1998">
        <v>1.031110947440983</v>
      </c>
      <c r="CP386" s="1979">
        <v>1.0026712649289768</v>
      </c>
      <c r="CQ386" s="1979">
        <v>1.0026712649289768</v>
      </c>
      <c r="CR386" s="1979">
        <v>1.0026712649289768</v>
      </c>
      <c r="CS386" s="1979">
        <v>1.0026712649289768</v>
      </c>
      <c r="CT386" s="1979">
        <v>1.0026712649289768</v>
      </c>
      <c r="CU386" s="1998">
        <v>1.5083277062279792</v>
      </c>
      <c r="CV386" s="1998">
        <v>1.5083277062279792</v>
      </c>
      <c r="CW386" s="1998">
        <v>1.5083277062279792</v>
      </c>
      <c r="CX386" s="1998">
        <v>1.5083277062279792</v>
      </c>
      <c r="CY386" s="1998">
        <v>1.5083277062279792</v>
      </c>
      <c r="CZ386" s="1979">
        <v>1.2021599964042911</v>
      </c>
      <c r="DA386" s="1979">
        <v>1.2023415796797252</v>
      </c>
      <c r="DB386" s="1979">
        <v>1.2025548344566883</v>
      </c>
      <c r="DC386" s="1979">
        <v>1.2027702006670868</v>
      </c>
      <c r="DD386" s="1979">
        <v>1.2032241588556722</v>
      </c>
      <c r="DE386" s="1998">
        <v>13.450245889318433</v>
      </c>
      <c r="DF386" s="1998">
        <v>13.450245889318433</v>
      </c>
      <c r="DG386" s="1998">
        <v>13.450245889318433</v>
      </c>
      <c r="DH386" s="1998">
        <v>13.450245889318433</v>
      </c>
      <c r="DI386" s="1998">
        <v>13.450245889318433</v>
      </c>
      <c r="DJ386" s="1979">
        <v>12.881786653187646</v>
      </c>
      <c r="DK386" s="1979">
        <v>12.881786653187646</v>
      </c>
      <c r="DL386" s="1979">
        <v>12.881786653187646</v>
      </c>
      <c r="DM386" s="1979">
        <v>12.881786653187646</v>
      </c>
      <c r="DN386" s="1979">
        <v>12.881786653187646</v>
      </c>
      <c r="DO386" s="1998">
        <v>0.98134311960433129</v>
      </c>
      <c r="DP386" s="1998">
        <v>0.98134311960433129</v>
      </c>
      <c r="DQ386" s="1998">
        <v>0.98134311960433129</v>
      </c>
      <c r="DR386" s="1998">
        <v>0.98134311960433129</v>
      </c>
      <c r="DS386" s="1998">
        <v>0.98134311960433129</v>
      </c>
      <c r="DT386" s="1979">
        <v>0.97810576425189544</v>
      </c>
      <c r="DU386" s="1979">
        <v>0.97810576425189544</v>
      </c>
      <c r="DV386" s="1979">
        <v>0.97810576425189544</v>
      </c>
      <c r="DW386" s="1979">
        <v>0.97810576425189544</v>
      </c>
      <c r="DX386" s="2021">
        <v>0.97810576425189544</v>
      </c>
      <c r="EA386" s="2022"/>
      <c r="EB386" s="2">
        <v>2</v>
      </c>
      <c r="EC386" s="2" t="s">
        <v>4328</v>
      </c>
      <c r="ED386" s="1998">
        <v>1.3746695365980721</v>
      </c>
      <c r="EE386" s="1998">
        <v>1.3934221171844925</v>
      </c>
      <c r="EF386" s="1998">
        <v>1.4273296624620577</v>
      </c>
      <c r="EG386" s="1998">
        <v>1.4687999471661897</v>
      </c>
      <c r="EH386" s="1998">
        <v>1.5057153228472291</v>
      </c>
      <c r="EI386" s="1979">
        <v>2.2641140599404088</v>
      </c>
      <c r="EJ386" s="1979">
        <v>2.301588987083143</v>
      </c>
      <c r="EK386" s="1979">
        <v>2.3618108390741672</v>
      </c>
      <c r="EL386" s="1979">
        <v>2.4333522365283993</v>
      </c>
      <c r="EM386" s="1979">
        <v>2.4860362711554753</v>
      </c>
      <c r="EN386" s="1998">
        <v>1.4102933986830026</v>
      </c>
      <c r="EO386" s="1998">
        <v>1.4455492445411042</v>
      </c>
      <c r="EP386" s="1998">
        <v>1.4470182381185255</v>
      </c>
      <c r="EQ386" s="1998">
        <v>1.4484872316959463</v>
      </c>
      <c r="ER386" s="1998">
        <v>1.4499562252733673</v>
      </c>
      <c r="ES386" s="1979">
        <v>1.8316163538710915</v>
      </c>
      <c r="ET386" s="1979">
        <v>1.8763900539495659</v>
      </c>
      <c r="EU386" s="1979">
        <v>1.8787465644800121</v>
      </c>
      <c r="EV386" s="1979">
        <v>1.881103075010458</v>
      </c>
      <c r="EW386" s="1979">
        <v>1.8834595855409042</v>
      </c>
      <c r="EX386" s="1998">
        <v>1.4403459326018548</v>
      </c>
      <c r="EY386" s="1998">
        <v>1.4742796842402777</v>
      </c>
      <c r="EZ386" s="1998">
        <v>1.4767035236430224</v>
      </c>
      <c r="FA386" s="1998">
        <v>1.4791273630457669</v>
      </c>
      <c r="FB386" s="1998">
        <v>1.4815512024485111</v>
      </c>
      <c r="FC386" s="1979">
        <v>1.3313102235049799</v>
      </c>
      <c r="FD386" s="1979">
        <v>1.3584100946051092</v>
      </c>
      <c r="FE386" s="1979">
        <v>1.3607666051355554</v>
      </c>
      <c r="FF386" s="1979">
        <v>1.3631231156660013</v>
      </c>
      <c r="FG386" s="1979">
        <v>1.3654796261964472</v>
      </c>
      <c r="FH386" s="1998">
        <v>2.627522926281689</v>
      </c>
      <c r="FI386" s="1998">
        <v>2.6310576920773578</v>
      </c>
      <c r="FJ386" s="1998">
        <v>2.6345924578730271</v>
      </c>
      <c r="FK386" s="1998">
        <v>2.6381272236686968</v>
      </c>
      <c r="FL386" s="1998">
        <v>2.6416619894643651</v>
      </c>
      <c r="FM386" s="1979">
        <v>1.5857056503396867</v>
      </c>
      <c r="FN386" s="1979">
        <v>1.6075671304952237</v>
      </c>
      <c r="FO386" s="1979">
        <v>1.6464271579715022</v>
      </c>
      <c r="FP386" s="1979">
        <v>1.6937727347908209</v>
      </c>
      <c r="FQ386" s="1979">
        <v>1.734758674103078</v>
      </c>
      <c r="FR386" s="1998">
        <v>20.290300610298122</v>
      </c>
      <c r="FS386" s="1998">
        <v>20.309267833094598</v>
      </c>
      <c r="FT386" s="1998">
        <v>20.328235055891074</v>
      </c>
      <c r="FU386" s="1998">
        <v>20.347202278687554</v>
      </c>
      <c r="FV386" s="1998">
        <v>20.36616950148403</v>
      </c>
      <c r="FW386" s="1979">
        <v>19.909411037880091</v>
      </c>
      <c r="FX386" s="1979">
        <v>19.932126591446774</v>
      </c>
      <c r="FY386" s="1979">
        <v>19.954842145013455</v>
      </c>
      <c r="FZ386" s="1979">
        <v>19.977557698580139</v>
      </c>
      <c r="GA386" s="1979">
        <v>20.000273252146823</v>
      </c>
      <c r="GB386" s="1998">
        <v>1.3674910568043663</v>
      </c>
      <c r="GC386" s="1998">
        <v>1.3688763408840079</v>
      </c>
      <c r="GD386" s="1998">
        <v>1.3702616249636494</v>
      </c>
      <c r="GE386" s="1998">
        <v>1.3716469090432906</v>
      </c>
      <c r="GF386" s="1998">
        <v>1.3744174772025737</v>
      </c>
      <c r="GG386" s="1979">
        <v>1.3783588064846544</v>
      </c>
      <c r="GH386" s="1979">
        <v>1.3800840351149679</v>
      </c>
      <c r="GI386" s="1979">
        <v>1.3818092637452817</v>
      </c>
      <c r="GJ386" s="1979">
        <v>1.3835344923755954</v>
      </c>
      <c r="GK386" s="2021">
        <v>1.3869849496362223</v>
      </c>
    </row>
    <row r="387" spans="1:193">
      <c r="A387" s="2020"/>
      <c r="B387" s="2">
        <v>3</v>
      </c>
      <c r="C387" s="2" t="s">
        <v>4329</v>
      </c>
      <c r="D387" s="1998">
        <f>IF(Construction!$F$31=Construction!$R$22,Oeko!BQ387,Oeko!ED387)</f>
        <v>1.0631628745315946</v>
      </c>
      <c r="E387" s="1998">
        <f>IF(Construction!$F$31=Construction!$R$22,Oeko!BR387,Oeko!EE387)</f>
        <v>1.0633778168557353</v>
      </c>
      <c r="F387" s="1998">
        <f>IF(Construction!$F$31=Construction!$R$22,Oeko!BS387,Oeko!EF387)</f>
        <v>1.0636302491201328</v>
      </c>
      <c r="G387" s="1998">
        <f>IF(Construction!$F$31=Construction!$R$22,Oeko!BT387,Oeko!EG387)</f>
        <v>1.0638851807138812</v>
      </c>
      <c r="H387" s="1998">
        <f>IF(Construction!$F$31=Construction!$R$22,Oeko!BU387,Oeko!EH387)</f>
        <v>1.0644225365242328</v>
      </c>
      <c r="I387" s="1979">
        <f>IF(Construction!$F$31=Construction!$R$22,Oeko!BV387,Oeko!EI387)</f>
        <v>1.5079553438997326</v>
      </c>
      <c r="J387" s="1979">
        <f>IF(Construction!$F$31=Construction!$R$22,Oeko!BW387,Oeko!EJ387)</f>
        <v>1.5086241215882732</v>
      </c>
      <c r="K387" s="1979">
        <f>IF(Construction!$F$31=Construction!$R$22,Oeko!BX387,Oeko!EK387)</f>
        <v>1.509409546548071</v>
      </c>
      <c r="L387" s="1979">
        <f>IF(Construction!$F$31=Construction!$R$22,Oeko!BY387,Oeko!EL387)</f>
        <v>1.5102027479926192</v>
      </c>
      <c r="M387" s="1979">
        <f>IF(Construction!$F$31=Construction!$R$22,Oeko!BZ387,Oeko!EM387)</f>
        <v>1.5118746922139705</v>
      </c>
      <c r="N387" s="1998">
        <f>IF(Construction!$F$31=Construction!$R$22,Oeko!CA387,Oeko!EN387)</f>
        <v>1.0316455032912826</v>
      </c>
      <c r="O387" s="1998">
        <f>IF(Construction!$F$31=Construction!$R$22,Oeko!CB387,Oeko!EO387)</f>
        <v>1.0316455032912826</v>
      </c>
      <c r="P387" s="1998">
        <f>IF(Construction!$F$31=Construction!$R$22,Oeko!CC387,Oeko!EP387)</f>
        <v>1.0316455032912826</v>
      </c>
      <c r="Q387" s="1998">
        <f>IF(Construction!$F$31=Construction!$R$22,Oeko!CD387,Oeko!EQ387)</f>
        <v>1.0316455032912826</v>
      </c>
      <c r="R387" s="1998">
        <f>IF(Construction!$F$31=Construction!$R$22,Oeko!CE387,Oeko!ER387)</f>
        <v>1.0316455032912826</v>
      </c>
      <c r="S387" s="1979">
        <f>IF(Construction!$F$31=Construction!$R$22,Oeko!CF387,Oeko!ES387)</f>
        <v>1.3166738514515262</v>
      </c>
      <c r="T387" s="1979">
        <f>IF(Construction!$F$31=Construction!$R$22,Oeko!CG387,Oeko!ET387)</f>
        <v>1.3166738514515262</v>
      </c>
      <c r="U387" s="1979">
        <f>IF(Construction!$F$31=Construction!$R$22,Oeko!CH387,Oeko!EU387)</f>
        <v>1.3166738514515262</v>
      </c>
      <c r="V387" s="1979">
        <f>IF(Construction!$F$31=Construction!$R$22,Oeko!CI387,Oeko!EV387)</f>
        <v>1.3166738514515262</v>
      </c>
      <c r="W387" s="1979">
        <f>IF(Construction!$F$31=Construction!$R$22,Oeko!CJ387,Oeko!EW387)</f>
        <v>1.3166738514515262</v>
      </c>
      <c r="X387" s="1998">
        <f>IF(Construction!$F$31=Construction!$R$22,Oeko!CK387,Oeko!EX387)</f>
        <v>1.0024689766787334</v>
      </c>
      <c r="Y387" s="1998">
        <f>IF(Construction!$F$31=Construction!$R$22,Oeko!CL387,Oeko!EY387)</f>
        <v>1.0024689766787334</v>
      </c>
      <c r="Z387" s="1998">
        <f>IF(Construction!$F$31=Construction!$R$22,Oeko!CM387,Oeko!EZ387)</f>
        <v>1.0024689766787334</v>
      </c>
      <c r="AA387" s="1998">
        <f>IF(Construction!$F$31=Construction!$R$22,Oeko!CN387,Oeko!FA387)</f>
        <v>1.0024689766787334</v>
      </c>
      <c r="AB387" s="1998">
        <f>IF(Construction!$F$31=Construction!$R$22,Oeko!CO387,Oeko!FB387)</f>
        <v>1.0024689766787334</v>
      </c>
      <c r="AC387" s="1979">
        <f>IF(Construction!$F$31=Construction!$R$22,Oeko!CP387,Oeko!FC387)</f>
        <v>1.0031482765234367</v>
      </c>
      <c r="AD387" s="1979">
        <f>IF(Construction!$F$31=Construction!$R$22,Oeko!CQ387,Oeko!FD387)</f>
        <v>1.0031482765234367</v>
      </c>
      <c r="AE387" s="1979">
        <f>IF(Construction!$F$31=Construction!$R$22,Oeko!CR387,Oeko!FE387)</f>
        <v>1.0031482765234367</v>
      </c>
      <c r="AF387" s="1979">
        <f>IF(Construction!$F$31=Construction!$R$22,Oeko!CS387,Oeko!FF387)</f>
        <v>1.0031482765234367</v>
      </c>
      <c r="AG387" s="1979">
        <f>IF(Construction!$F$31=Construction!$R$22,Oeko!CT387,Oeko!FG387)</f>
        <v>1.0031482765234367</v>
      </c>
      <c r="AH387" s="1998">
        <f>IF(Construction!$F$31=Construction!$R$22,Oeko!CU387,Oeko!FH387)</f>
        <v>1.5098698740479755</v>
      </c>
      <c r="AI387" s="1998">
        <f>IF(Construction!$F$31=Construction!$R$22,Oeko!CV387,Oeko!FI387)</f>
        <v>1.5098698740479755</v>
      </c>
      <c r="AJ387" s="1998">
        <f>IF(Construction!$F$31=Construction!$R$22,Oeko!CW387,Oeko!FJ387)</f>
        <v>1.5098698740479755</v>
      </c>
      <c r="AK387" s="1998">
        <f>IF(Construction!$F$31=Construction!$R$22,Oeko!CX387,Oeko!FK387)</f>
        <v>1.5098698740479755</v>
      </c>
      <c r="AL387" s="1998">
        <f>IF(Construction!$F$31=Construction!$R$22,Oeko!CY387,Oeko!FL387)</f>
        <v>1.5098698740479755</v>
      </c>
      <c r="AM387" s="1979">
        <f>IF(Construction!$F$31=Construction!$R$22,Oeko!CZ387,Oeko!FM387)</f>
        <v>1.1447857110752597</v>
      </c>
      <c r="AN387" s="1979">
        <f>IF(Construction!$F$31=Construction!$R$22,Oeko!DA387,Oeko!FN387)</f>
        <v>1.1449478389997545</v>
      </c>
      <c r="AO387" s="1979">
        <f>IF(Construction!$F$31=Construction!$R$22,Oeko!DB387,Oeko!FO387)</f>
        <v>1.1451382450506145</v>
      </c>
      <c r="AP387" s="1979">
        <f>IF(Construction!$F$31=Construction!$R$22,Oeko!DC387,Oeko!FP387)</f>
        <v>1.1453305363098989</v>
      </c>
      <c r="AQ387" s="1979">
        <f>IF(Construction!$F$31=Construction!$R$22,Oeko!DD387,Oeko!FQ387)</f>
        <v>1.1457358561211357</v>
      </c>
      <c r="AR387" s="1998">
        <f>IF(Construction!$F$31=Construction!$R$22,Oeko!DE387,Oeko!FR387)</f>
        <v>12.920345679524557</v>
      </c>
      <c r="AS387" s="1998">
        <f>IF(Construction!$F$31=Construction!$R$22,Oeko!DF387,Oeko!FS387)</f>
        <v>12.920345679524557</v>
      </c>
      <c r="AT387" s="1998">
        <f>IF(Construction!$F$31=Construction!$R$22,Oeko!DG387,Oeko!FT387)</f>
        <v>12.920345679524557</v>
      </c>
      <c r="AU387" s="1998">
        <f>IF(Construction!$F$31=Construction!$R$22,Oeko!DH387,Oeko!FU387)</f>
        <v>12.920345679524557</v>
      </c>
      <c r="AV387" s="1998">
        <f>IF(Construction!$F$31=Construction!$R$22,Oeko!DI387,Oeko!FV387)</f>
        <v>12.920345679524557</v>
      </c>
      <c r="AW387" s="1979">
        <f>IF(Construction!$F$31=Construction!$R$22,Oeko!DJ387,Oeko!FW387)</f>
        <v>12.890111449258765</v>
      </c>
      <c r="AX387" s="1979">
        <f>IF(Construction!$F$31=Construction!$R$22,Oeko!DK387,Oeko!FX387)</f>
        <v>12.890111449258765</v>
      </c>
      <c r="AY387" s="1979">
        <f>IF(Construction!$F$31=Construction!$R$22,Oeko!DL387,Oeko!FY387)</f>
        <v>12.890111449258765</v>
      </c>
      <c r="AZ387" s="1979">
        <f>IF(Construction!$F$31=Construction!$R$22,Oeko!DM387,Oeko!FZ387)</f>
        <v>12.890111449258765</v>
      </c>
      <c r="BA387" s="1979">
        <f>IF(Construction!$F$31=Construction!$R$22,Oeko!DN387,Oeko!GA387)</f>
        <v>12.890111449258765</v>
      </c>
      <c r="BB387" s="1998">
        <f>IF(Construction!$F$31=Construction!$R$22,Oeko!DO387,Oeko!GB387)</f>
        <v>0.98134311960433129</v>
      </c>
      <c r="BC387" s="1998">
        <f>IF(Construction!$F$31=Construction!$R$22,Oeko!DP387,Oeko!GC387)</f>
        <v>0.98134311960433129</v>
      </c>
      <c r="BD387" s="1998">
        <f>IF(Construction!$F$31=Construction!$R$22,Oeko!DQ387,Oeko!GD387)</f>
        <v>0.98134311960433129</v>
      </c>
      <c r="BE387" s="1998">
        <f>IF(Construction!$F$31=Construction!$R$22,Oeko!DR387,Oeko!GE387)</f>
        <v>0.98134311960433129</v>
      </c>
      <c r="BF387" s="1998">
        <f>IF(Construction!$F$31=Construction!$R$22,Oeko!DS387,Oeko!GF387)</f>
        <v>0.98134311960433129</v>
      </c>
      <c r="BG387" s="1979">
        <f>IF(Construction!$F$31=Construction!$R$22,Oeko!DT387,Oeko!GG387)</f>
        <v>0.97810576425189544</v>
      </c>
      <c r="BH387" s="1979">
        <f>IF(Construction!$F$31=Construction!$R$22,Oeko!DU387,Oeko!GH387)</f>
        <v>0.97810576425189544</v>
      </c>
      <c r="BI387" s="1979">
        <f>IF(Construction!$F$31=Construction!$R$22,Oeko!DV387,Oeko!GI387)</f>
        <v>0.97810576425189544</v>
      </c>
      <c r="BJ387" s="1979">
        <f>IF(Construction!$F$31=Construction!$R$22,Oeko!DW387,Oeko!GJ387)</f>
        <v>0.97810576425189544</v>
      </c>
      <c r="BK387" s="2021">
        <f>IF(Construction!$F$31=Construction!$R$22,Oeko!DX387,Oeko!GK387)</f>
        <v>0.97810576425189544</v>
      </c>
      <c r="BN387" s="2022"/>
      <c r="BO387" s="2">
        <v>3</v>
      </c>
      <c r="BP387" s="2" t="s">
        <v>4329</v>
      </c>
      <c r="BQ387" s="1998">
        <v>1.0631628745315946</v>
      </c>
      <c r="BR387" s="1998">
        <v>1.0633778168557353</v>
      </c>
      <c r="BS387" s="1998">
        <v>1.0636302491201328</v>
      </c>
      <c r="BT387" s="1998">
        <v>1.0638851807138812</v>
      </c>
      <c r="BU387" s="1998">
        <v>1.0644225365242328</v>
      </c>
      <c r="BV387" s="1979">
        <v>1.5079553438997326</v>
      </c>
      <c r="BW387" s="1979">
        <v>1.5086241215882732</v>
      </c>
      <c r="BX387" s="1979">
        <v>1.509409546548071</v>
      </c>
      <c r="BY387" s="1979">
        <v>1.5102027479926192</v>
      </c>
      <c r="BZ387" s="1979">
        <v>1.5118746922139705</v>
      </c>
      <c r="CA387" s="1998">
        <v>1.0316455032912826</v>
      </c>
      <c r="CB387" s="1998">
        <v>1.0316455032912826</v>
      </c>
      <c r="CC387" s="1998">
        <v>1.0316455032912826</v>
      </c>
      <c r="CD387" s="1998">
        <v>1.0316455032912826</v>
      </c>
      <c r="CE387" s="1998">
        <v>1.0316455032912826</v>
      </c>
      <c r="CF387" s="1979">
        <v>1.3166738514515262</v>
      </c>
      <c r="CG387" s="1979">
        <v>1.3166738514515262</v>
      </c>
      <c r="CH387" s="1979">
        <v>1.3166738514515262</v>
      </c>
      <c r="CI387" s="1979">
        <v>1.3166738514515262</v>
      </c>
      <c r="CJ387" s="1979">
        <v>1.3166738514515262</v>
      </c>
      <c r="CK387" s="1998">
        <v>1.0024689766787334</v>
      </c>
      <c r="CL387" s="1998">
        <v>1.0024689766787334</v>
      </c>
      <c r="CM387" s="1998">
        <v>1.0024689766787334</v>
      </c>
      <c r="CN387" s="1998">
        <v>1.0024689766787334</v>
      </c>
      <c r="CO387" s="1998">
        <v>1.0024689766787334</v>
      </c>
      <c r="CP387" s="1979">
        <v>1.0031482765234367</v>
      </c>
      <c r="CQ387" s="1979">
        <v>1.0031482765234367</v>
      </c>
      <c r="CR387" s="1979">
        <v>1.0031482765234367</v>
      </c>
      <c r="CS387" s="1979">
        <v>1.0031482765234367</v>
      </c>
      <c r="CT387" s="1979">
        <v>1.0031482765234367</v>
      </c>
      <c r="CU387" s="1998">
        <v>1.5098698740479755</v>
      </c>
      <c r="CV387" s="1998">
        <v>1.5098698740479755</v>
      </c>
      <c r="CW387" s="1998">
        <v>1.5098698740479755</v>
      </c>
      <c r="CX387" s="1998">
        <v>1.5098698740479755</v>
      </c>
      <c r="CY387" s="1998">
        <v>1.5098698740479755</v>
      </c>
      <c r="CZ387" s="1979">
        <v>1.1447857110752597</v>
      </c>
      <c r="DA387" s="1979">
        <v>1.1449478389997545</v>
      </c>
      <c r="DB387" s="1979">
        <v>1.1451382450506145</v>
      </c>
      <c r="DC387" s="1979">
        <v>1.1453305363098989</v>
      </c>
      <c r="DD387" s="1979">
        <v>1.1457358561211357</v>
      </c>
      <c r="DE387" s="1998">
        <v>12.920345679524557</v>
      </c>
      <c r="DF387" s="1998">
        <v>12.920345679524557</v>
      </c>
      <c r="DG387" s="1998">
        <v>12.920345679524557</v>
      </c>
      <c r="DH387" s="1998">
        <v>12.920345679524557</v>
      </c>
      <c r="DI387" s="1998">
        <v>12.920345679524557</v>
      </c>
      <c r="DJ387" s="1979">
        <v>12.890111449258765</v>
      </c>
      <c r="DK387" s="1979">
        <v>12.890111449258765</v>
      </c>
      <c r="DL387" s="1979">
        <v>12.890111449258765</v>
      </c>
      <c r="DM387" s="1979">
        <v>12.890111449258765</v>
      </c>
      <c r="DN387" s="1979">
        <v>12.890111449258765</v>
      </c>
      <c r="DO387" s="1998">
        <v>0.98134311960433129</v>
      </c>
      <c r="DP387" s="1998">
        <v>0.98134311960433129</v>
      </c>
      <c r="DQ387" s="1998">
        <v>0.98134311960433129</v>
      </c>
      <c r="DR387" s="1998">
        <v>0.98134311960433129</v>
      </c>
      <c r="DS387" s="1998">
        <v>0.98134311960433129</v>
      </c>
      <c r="DT387" s="1979">
        <v>0.97810576425189544</v>
      </c>
      <c r="DU387" s="1979">
        <v>0.97810576425189544</v>
      </c>
      <c r="DV387" s="1979">
        <v>0.97810576425189544</v>
      </c>
      <c r="DW387" s="1979">
        <v>0.97810576425189544</v>
      </c>
      <c r="DX387" s="2021">
        <v>0.97810576425189544</v>
      </c>
      <c r="EA387" s="2022"/>
      <c r="EB387" s="2">
        <v>3</v>
      </c>
      <c r="EC387" s="2" t="s">
        <v>4329</v>
      </c>
      <c r="ED387" s="1998">
        <v>1.3706988528509931</v>
      </c>
      <c r="EE387" s="1998">
        <v>1.3896587653036816</v>
      </c>
      <c r="EF387" s="1998">
        <v>1.423652143799466</v>
      </c>
      <c r="EG387" s="1998">
        <v>1.4651460096760196</v>
      </c>
      <c r="EH387" s="1998">
        <v>1.5016737081331835</v>
      </c>
      <c r="EI387" s="1979">
        <v>2.2273862262922521</v>
      </c>
      <c r="EJ387" s="1979">
        <v>2.266937427733152</v>
      </c>
      <c r="EK387" s="1979">
        <v>2.3278138712193241</v>
      </c>
      <c r="EL387" s="1979">
        <v>2.3993023885772526</v>
      </c>
      <c r="EM387" s="1979">
        <v>2.446926288142302</v>
      </c>
      <c r="EN387" s="1998">
        <v>1.4067952468510603</v>
      </c>
      <c r="EO387" s="1998">
        <v>1.4415369449570647</v>
      </c>
      <c r="EP387" s="1998">
        <v>1.4431528378922278</v>
      </c>
      <c r="EQ387" s="1998">
        <v>1.4447687308273909</v>
      </c>
      <c r="ER387" s="1998">
        <v>1.4463846237625539</v>
      </c>
      <c r="ES387" s="1979">
        <v>1.8427795555644171</v>
      </c>
      <c r="ET387" s="1979">
        <v>1.8865222822858216</v>
      </c>
      <c r="EU387" s="1979">
        <v>1.8891733566325737</v>
      </c>
      <c r="EV387" s="1979">
        <v>1.8918244309793248</v>
      </c>
      <c r="EW387" s="1979">
        <v>1.8944755053260769</v>
      </c>
      <c r="EX387" s="1998">
        <v>1.4243786220497898</v>
      </c>
      <c r="EY387" s="1998">
        <v>1.4568984673699452</v>
      </c>
      <c r="EZ387" s="1998">
        <v>1.4597262800064807</v>
      </c>
      <c r="FA387" s="1998">
        <v>1.4625540926430158</v>
      </c>
      <c r="FB387" s="1998">
        <v>1.4653819052795511</v>
      </c>
      <c r="FC387" s="1979">
        <v>1.3368772978452033</v>
      </c>
      <c r="FD387" s="1979">
        <v>1.3639771689453328</v>
      </c>
      <c r="FE387" s="1979">
        <v>1.3663336794757788</v>
      </c>
      <c r="FF387" s="1979">
        <v>1.3686901900062247</v>
      </c>
      <c r="FG387" s="1979">
        <v>1.3710467005366709</v>
      </c>
      <c r="FH387" s="1998">
        <v>2.635692779968565</v>
      </c>
      <c r="FI387" s="1998">
        <v>2.6392275457642342</v>
      </c>
      <c r="FJ387" s="1998">
        <v>2.642762311559903</v>
      </c>
      <c r="FK387" s="1998">
        <v>2.6462970773555718</v>
      </c>
      <c r="FL387" s="1998">
        <v>2.6498318431512415</v>
      </c>
      <c r="FM387" s="1979">
        <v>1.5608512103308103</v>
      </c>
      <c r="FN387" s="1979">
        <v>1.5839051548367804</v>
      </c>
      <c r="FO387" s="1979">
        <v>1.6231463068207461</v>
      </c>
      <c r="FP387" s="1979">
        <v>1.6704688086889514</v>
      </c>
      <c r="FQ387" s="1979">
        <v>1.7085782969873247</v>
      </c>
      <c r="FR387" s="1998">
        <v>20.030209144784134</v>
      </c>
      <c r="FS387" s="1998">
        <v>20.05296981213991</v>
      </c>
      <c r="FT387" s="1998">
        <v>20.075730479495682</v>
      </c>
      <c r="FU387" s="1998">
        <v>20.098491146851455</v>
      </c>
      <c r="FV387" s="1998">
        <v>20.121251814207231</v>
      </c>
      <c r="FW387" s="1979">
        <v>20.301060800388981</v>
      </c>
      <c r="FX387" s="1979">
        <v>20.323776353955662</v>
      </c>
      <c r="FY387" s="1979">
        <v>20.346491907522346</v>
      </c>
      <c r="FZ387" s="1979">
        <v>20.369207461089029</v>
      </c>
      <c r="GA387" s="1979">
        <v>20.39192301465571</v>
      </c>
      <c r="GB387" s="1998">
        <v>1.3830755027003323</v>
      </c>
      <c r="GC387" s="1998">
        <v>1.384807107799884</v>
      </c>
      <c r="GD387" s="1998">
        <v>1.3865387128994355</v>
      </c>
      <c r="GE387" s="1998">
        <v>1.3882703179989875</v>
      </c>
      <c r="GF387" s="1998">
        <v>1.3917335281980907</v>
      </c>
      <c r="GG387" s="1979">
        <v>1.4042372359393585</v>
      </c>
      <c r="GH387" s="1979">
        <v>1.4065375407797767</v>
      </c>
      <c r="GI387" s="1979">
        <v>1.4088378456201949</v>
      </c>
      <c r="GJ387" s="1979">
        <v>1.4111381504606131</v>
      </c>
      <c r="GK387" s="2021">
        <v>1.4157387601414493</v>
      </c>
    </row>
    <row r="388" spans="1:193">
      <c r="A388" s="2020"/>
      <c r="B388" s="2">
        <v>4</v>
      </c>
      <c r="C388" s="2" t="s">
        <v>4330</v>
      </c>
      <c r="D388" s="1998">
        <f>IF(Construction!$F$31=Construction!$R$22,Oeko!BQ388,Oeko!ED388)</f>
        <v>1.0637509417344673</v>
      </c>
      <c r="E388" s="1998">
        <f>IF(Construction!$F$31=Construction!$R$22,Oeko!BR388,Oeko!EE388)</f>
        <v>1.0640153207931602</v>
      </c>
      <c r="F388" s="1998">
        <f>IF(Construction!$F$31=Construction!$R$22,Oeko!BS388,Oeko!EF388)</f>
        <v>1.0643258124783697</v>
      </c>
      <c r="G388" s="1998">
        <f>IF(Construction!$F$31=Construction!$R$22,Oeko!BT388,Oeko!EG388)</f>
        <v>1.0646393783386798</v>
      </c>
      <c r="H388" s="1998">
        <f>IF(Construction!$F$31=Construction!$R$22,Oeko!BU388,Oeko!EH388)</f>
        <v>1.0653003259854126</v>
      </c>
      <c r="I388" s="1979">
        <f>IF(Construction!$F$31=Construction!$R$22,Oeko!BV388,Oeko!EI388)</f>
        <v>1.5086785569815266</v>
      </c>
      <c r="J388" s="1979">
        <f>IF(Construction!$F$31=Construction!$R$22,Oeko!BW388,Oeko!EJ388)</f>
        <v>1.509408132641753</v>
      </c>
      <c r="K388" s="1979">
        <f>IF(Construction!$F$31=Construction!$R$22,Oeko!BX388,Oeko!EK388)</f>
        <v>1.5102649598706228</v>
      </c>
      <c r="L388" s="1979">
        <f>IF(Construction!$F$31=Construction!$R$22,Oeko!BY388,Oeko!EL388)</f>
        <v>1.5111302705374028</v>
      </c>
      <c r="M388" s="1979">
        <f>IF(Construction!$F$31=Construction!$R$22,Oeko!BZ388,Oeko!EM388)</f>
        <v>1.5129542096879678</v>
      </c>
      <c r="N388" s="1998">
        <f>IF(Construction!$F$31=Construction!$R$22,Oeko!CA388,Oeko!EN388)</f>
        <v>1.0194849555183105</v>
      </c>
      <c r="O388" s="1998">
        <f>IF(Construction!$F$31=Construction!$R$22,Oeko!CB388,Oeko!EO388)</f>
        <v>1.0194849555183105</v>
      </c>
      <c r="P388" s="1998">
        <f>IF(Construction!$F$31=Construction!$R$22,Oeko!CC388,Oeko!EP388)</f>
        <v>1.0194849555183105</v>
      </c>
      <c r="Q388" s="1998">
        <f>IF(Construction!$F$31=Construction!$R$22,Oeko!CD388,Oeko!EQ388)</f>
        <v>1.0194849555183105</v>
      </c>
      <c r="R388" s="1998">
        <f>IF(Construction!$F$31=Construction!$R$22,Oeko!CE388,Oeko!ER388)</f>
        <v>1.0194849555183105</v>
      </c>
      <c r="S388" s="1979">
        <f>IF(Construction!$F$31=Construction!$R$22,Oeko!CF388,Oeko!ES388)</f>
        <v>1.2539750966205012</v>
      </c>
      <c r="T388" s="1979">
        <f>IF(Construction!$F$31=Construction!$R$22,Oeko!CG388,Oeko!ET388)</f>
        <v>1.2539750966205012</v>
      </c>
      <c r="U388" s="1979">
        <f>IF(Construction!$F$31=Construction!$R$22,Oeko!CH388,Oeko!EU388)</f>
        <v>1.2539750966205012</v>
      </c>
      <c r="V388" s="1979">
        <f>IF(Construction!$F$31=Construction!$R$22,Oeko!CI388,Oeko!EV388)</f>
        <v>1.2539750966205012</v>
      </c>
      <c r="W388" s="1979">
        <f>IF(Construction!$F$31=Construction!$R$22,Oeko!CJ388,Oeko!EW388)</f>
        <v>1.2539750966205012</v>
      </c>
      <c r="X388" s="1998">
        <f>IF(Construction!$F$31=Construction!$R$22,Oeko!CK388,Oeko!EX388)</f>
        <v>1.0032286618106514</v>
      </c>
      <c r="Y388" s="1998">
        <f>IF(Construction!$F$31=Construction!$R$22,Oeko!CL388,Oeko!EY388)</f>
        <v>1.0032286618106514</v>
      </c>
      <c r="Z388" s="1998">
        <f>IF(Construction!$F$31=Construction!$R$22,Oeko!CM388,Oeko!EZ388)</f>
        <v>1.0032286618106514</v>
      </c>
      <c r="AA388" s="1998">
        <f>IF(Construction!$F$31=Construction!$R$22,Oeko!CN388,Oeko!FA388)</f>
        <v>1.0032286618106514</v>
      </c>
      <c r="AB388" s="1998">
        <f>IF(Construction!$F$31=Construction!$R$22,Oeko!CO388,Oeko!FB388)</f>
        <v>1.0032286618106514</v>
      </c>
      <c r="AC388" s="1979">
        <f>IF(Construction!$F$31=Construction!$R$22,Oeko!CP388,Oeko!FC388)</f>
        <v>1.0033390811612208</v>
      </c>
      <c r="AD388" s="1979">
        <f>IF(Construction!$F$31=Construction!$R$22,Oeko!CQ388,Oeko!FD388)</f>
        <v>1.0033390811612208</v>
      </c>
      <c r="AE388" s="1979">
        <f>IF(Construction!$F$31=Construction!$R$22,Oeko!CR388,Oeko!FE388)</f>
        <v>1.0033390811612208</v>
      </c>
      <c r="AF388" s="1979">
        <f>IF(Construction!$F$31=Construction!$R$22,Oeko!CS388,Oeko!FF388)</f>
        <v>1.0033390811612208</v>
      </c>
      <c r="AG388" s="1979">
        <f>IF(Construction!$F$31=Construction!$R$22,Oeko!CT388,Oeko!FG388)</f>
        <v>1.0033390811612208</v>
      </c>
      <c r="AH388" s="1998">
        <f>IF(Construction!$F$31=Construction!$R$22,Oeko!CU388,Oeko!FH388)</f>
        <v>1.3421065547093116</v>
      </c>
      <c r="AI388" s="1998">
        <f>IF(Construction!$F$31=Construction!$R$22,Oeko!CV388,Oeko!FI388)</f>
        <v>1.3421065547093116</v>
      </c>
      <c r="AJ388" s="1998">
        <f>IF(Construction!$F$31=Construction!$R$22,Oeko!CW388,Oeko!FJ388)</f>
        <v>1.3421065547093116</v>
      </c>
      <c r="AK388" s="1998">
        <f>IF(Construction!$F$31=Construction!$R$22,Oeko!CX388,Oeko!FK388)</f>
        <v>1.3421065547093116</v>
      </c>
      <c r="AL388" s="1998">
        <f>IF(Construction!$F$31=Construction!$R$22,Oeko!CY388,Oeko!FL388)</f>
        <v>1.3421065547093116</v>
      </c>
      <c r="AM388" s="1979">
        <f>IF(Construction!$F$31=Construction!$R$22,Oeko!CZ388,Oeko!FM388)</f>
        <v>1.1451530574025202</v>
      </c>
      <c r="AN388" s="1979">
        <f>IF(Construction!$F$31=Construction!$R$22,Oeko!DA388,Oeko!FN388)</f>
        <v>1.1453460668364426</v>
      </c>
      <c r="AO388" s="1979">
        <f>IF(Construction!$F$31=Construction!$R$22,Oeko!DB388,Oeko!FO388)</f>
        <v>1.1455727407065139</v>
      </c>
      <c r="AP388" s="1979">
        <f>IF(Construction!$F$31=Construction!$R$22,Oeko!DC388,Oeko!FP388)</f>
        <v>1.1458016588723285</v>
      </c>
      <c r="AQ388" s="1979">
        <f>IF(Construction!$F$31=Construction!$R$22,Oeko!DD388,Oeko!FQ388)</f>
        <v>1.1462841824571344</v>
      </c>
      <c r="AR388" s="1998">
        <f>IF(Construction!$F$31=Construction!$R$22,Oeko!DE388,Oeko!FR388)</f>
        <v>12.112824074554274</v>
      </c>
      <c r="AS388" s="1998">
        <f>IF(Construction!$F$31=Construction!$R$22,Oeko!DF388,Oeko!FS388)</f>
        <v>12.112824074554274</v>
      </c>
      <c r="AT388" s="1998">
        <f>IF(Construction!$F$31=Construction!$R$22,Oeko!DG388,Oeko!FT388)</f>
        <v>12.112824074554274</v>
      </c>
      <c r="AU388" s="1998">
        <f>IF(Construction!$F$31=Construction!$R$22,Oeko!DH388,Oeko!FU388)</f>
        <v>12.112824074554274</v>
      </c>
      <c r="AV388" s="1998">
        <f>IF(Construction!$F$31=Construction!$R$22,Oeko!DI388,Oeko!FV388)</f>
        <v>12.112824074554274</v>
      </c>
      <c r="AW388" s="1979">
        <f>IF(Construction!$F$31=Construction!$R$22,Oeko!DJ388,Oeko!FW388)</f>
        <v>12.089496659883668</v>
      </c>
      <c r="AX388" s="1979">
        <f>IF(Construction!$F$31=Construction!$R$22,Oeko!DK388,Oeko!FX388)</f>
        <v>12.089496659883668</v>
      </c>
      <c r="AY388" s="1979">
        <f>IF(Construction!$F$31=Construction!$R$22,Oeko!DL388,Oeko!FY388)</f>
        <v>12.089496659883668</v>
      </c>
      <c r="AZ388" s="1979">
        <f>IF(Construction!$F$31=Construction!$R$22,Oeko!DM388,Oeko!FZ388)</f>
        <v>12.089496659883668</v>
      </c>
      <c r="BA388" s="1979">
        <f>IF(Construction!$F$31=Construction!$R$22,Oeko!DN388,Oeko!GA388)</f>
        <v>12.089496659883668</v>
      </c>
      <c r="BB388" s="1998">
        <f>IF(Construction!$F$31=Construction!$R$22,Oeko!DO388,Oeko!GB388)</f>
        <v>0.98169567440259997</v>
      </c>
      <c r="BC388" s="1998">
        <f>IF(Construction!$F$31=Construction!$R$22,Oeko!DP388,Oeko!GC388)</f>
        <v>0.98169567440259997</v>
      </c>
      <c r="BD388" s="1998">
        <f>IF(Construction!$F$31=Construction!$R$22,Oeko!DQ388,Oeko!GD388)</f>
        <v>0.98169567440259997</v>
      </c>
      <c r="BE388" s="1998">
        <f>IF(Construction!$F$31=Construction!$R$22,Oeko!DR388,Oeko!GE388)</f>
        <v>0.98169567440259997</v>
      </c>
      <c r="BF388" s="1998">
        <f>IF(Construction!$F$31=Construction!$R$22,Oeko!DS388,Oeko!GF388)</f>
        <v>0.98169567440259997</v>
      </c>
      <c r="BG388" s="1979">
        <f>IF(Construction!$F$31=Construction!$R$22,Oeko!DT388,Oeko!GG388)</f>
        <v>0.97957351483219635</v>
      </c>
      <c r="BH388" s="1979">
        <f>IF(Construction!$F$31=Construction!$R$22,Oeko!DU388,Oeko!GH388)</f>
        <v>0.97957351483219635</v>
      </c>
      <c r="BI388" s="1979">
        <f>IF(Construction!$F$31=Construction!$R$22,Oeko!DV388,Oeko!GI388)</f>
        <v>0.97957351483219635</v>
      </c>
      <c r="BJ388" s="1979">
        <f>IF(Construction!$F$31=Construction!$R$22,Oeko!DW388,Oeko!GJ388)</f>
        <v>0.97957351483219635</v>
      </c>
      <c r="BK388" s="2021">
        <f>IF(Construction!$F$31=Construction!$R$22,Oeko!DX388,Oeko!GK388)</f>
        <v>0.97957351483219635</v>
      </c>
      <c r="BN388" s="2022"/>
      <c r="BO388" s="2">
        <v>4</v>
      </c>
      <c r="BP388" s="2" t="s">
        <v>4330</v>
      </c>
      <c r="BQ388" s="1998">
        <v>1.0637509417344673</v>
      </c>
      <c r="BR388" s="1998">
        <v>1.0640153207931602</v>
      </c>
      <c r="BS388" s="1998">
        <v>1.0643258124783697</v>
      </c>
      <c r="BT388" s="1998">
        <v>1.0646393783386798</v>
      </c>
      <c r="BU388" s="1998">
        <v>1.0653003259854126</v>
      </c>
      <c r="BV388" s="1979">
        <v>1.5086785569815266</v>
      </c>
      <c r="BW388" s="1979">
        <v>1.509408132641753</v>
      </c>
      <c r="BX388" s="1979">
        <v>1.5102649598706228</v>
      </c>
      <c r="BY388" s="1979">
        <v>1.5111302705374028</v>
      </c>
      <c r="BZ388" s="1979">
        <v>1.5129542096879678</v>
      </c>
      <c r="CA388" s="1998">
        <v>1.0194849555183105</v>
      </c>
      <c r="CB388" s="1998">
        <v>1.0194849555183105</v>
      </c>
      <c r="CC388" s="1998">
        <v>1.0194849555183105</v>
      </c>
      <c r="CD388" s="1998">
        <v>1.0194849555183105</v>
      </c>
      <c r="CE388" s="1998">
        <v>1.0194849555183105</v>
      </c>
      <c r="CF388" s="1979">
        <v>1.2539750966205012</v>
      </c>
      <c r="CG388" s="1979">
        <v>1.2539750966205012</v>
      </c>
      <c r="CH388" s="1979">
        <v>1.2539750966205012</v>
      </c>
      <c r="CI388" s="1979">
        <v>1.2539750966205012</v>
      </c>
      <c r="CJ388" s="1979">
        <v>1.2539750966205012</v>
      </c>
      <c r="CK388" s="1998">
        <v>1.0032286618106514</v>
      </c>
      <c r="CL388" s="1998">
        <v>1.0032286618106514</v>
      </c>
      <c r="CM388" s="1998">
        <v>1.0032286618106514</v>
      </c>
      <c r="CN388" s="1998">
        <v>1.0032286618106514</v>
      </c>
      <c r="CO388" s="1998">
        <v>1.0032286618106514</v>
      </c>
      <c r="CP388" s="1979">
        <v>1.0033390811612208</v>
      </c>
      <c r="CQ388" s="1979">
        <v>1.0033390811612208</v>
      </c>
      <c r="CR388" s="1979">
        <v>1.0033390811612208</v>
      </c>
      <c r="CS388" s="1979">
        <v>1.0033390811612208</v>
      </c>
      <c r="CT388" s="1979">
        <v>1.0033390811612208</v>
      </c>
      <c r="CU388" s="1998">
        <v>1.3421065547093116</v>
      </c>
      <c r="CV388" s="1998">
        <v>1.3421065547093116</v>
      </c>
      <c r="CW388" s="1998">
        <v>1.3421065547093116</v>
      </c>
      <c r="CX388" s="1998">
        <v>1.3421065547093116</v>
      </c>
      <c r="CY388" s="1998">
        <v>1.3421065547093116</v>
      </c>
      <c r="CZ388" s="1979">
        <v>1.1451530574025202</v>
      </c>
      <c r="DA388" s="1979">
        <v>1.1453460668364426</v>
      </c>
      <c r="DB388" s="1979">
        <v>1.1455727407065139</v>
      </c>
      <c r="DC388" s="1979">
        <v>1.1458016588723285</v>
      </c>
      <c r="DD388" s="1979">
        <v>1.1462841824571344</v>
      </c>
      <c r="DE388" s="1998">
        <v>12.112824074554274</v>
      </c>
      <c r="DF388" s="1998">
        <v>12.112824074554274</v>
      </c>
      <c r="DG388" s="1998">
        <v>12.112824074554274</v>
      </c>
      <c r="DH388" s="1998">
        <v>12.112824074554274</v>
      </c>
      <c r="DI388" s="1998">
        <v>12.112824074554274</v>
      </c>
      <c r="DJ388" s="1979">
        <v>12.089496659883668</v>
      </c>
      <c r="DK388" s="1979">
        <v>12.089496659883668</v>
      </c>
      <c r="DL388" s="1979">
        <v>12.089496659883668</v>
      </c>
      <c r="DM388" s="1979">
        <v>12.089496659883668</v>
      </c>
      <c r="DN388" s="1979">
        <v>12.089496659883668</v>
      </c>
      <c r="DO388" s="1998">
        <v>0.98169567440259997</v>
      </c>
      <c r="DP388" s="1998">
        <v>0.98169567440259997</v>
      </c>
      <c r="DQ388" s="1998">
        <v>0.98169567440259997</v>
      </c>
      <c r="DR388" s="1998">
        <v>0.98169567440259997</v>
      </c>
      <c r="DS388" s="1998">
        <v>0.98169567440259997</v>
      </c>
      <c r="DT388" s="1979">
        <v>0.97957351483219635</v>
      </c>
      <c r="DU388" s="1979">
        <v>0.97957351483219635</v>
      </c>
      <c r="DV388" s="1979">
        <v>0.97957351483219635</v>
      </c>
      <c r="DW388" s="1979">
        <v>0.97957351483219635</v>
      </c>
      <c r="DX388" s="2021">
        <v>0.97957351483219635</v>
      </c>
      <c r="EA388" s="2022"/>
      <c r="EB388" s="2">
        <v>4</v>
      </c>
      <c r="EC388" s="2" t="s">
        <v>4330</v>
      </c>
      <c r="ED388" s="1998">
        <v>1.3709573834790059</v>
      </c>
      <c r="EE388" s="1998">
        <v>1.3899667326662468</v>
      </c>
      <c r="EF388" s="1998">
        <v>1.4240181705828427</v>
      </c>
      <c r="EG388" s="1998">
        <v>1.4655706707259584</v>
      </c>
      <c r="EH388" s="1998">
        <v>1.5022219610195031</v>
      </c>
      <c r="EI388" s="1979">
        <v>2.2413648111078057</v>
      </c>
      <c r="EJ388" s="1979">
        <v>2.2809768105203907</v>
      </c>
      <c r="EK388" s="1979">
        <v>2.3419246562756348</v>
      </c>
      <c r="EL388" s="1979">
        <v>2.4134852828557949</v>
      </c>
      <c r="EM388" s="1979">
        <v>2.4612611773500577</v>
      </c>
      <c r="EN388" s="1998">
        <v>1.4041056271147381</v>
      </c>
      <c r="EO388" s="1998">
        <v>1.4382189224126234</v>
      </c>
      <c r="EP388" s="1998">
        <v>1.4400143590072492</v>
      </c>
      <c r="EQ388" s="1998">
        <v>1.4418097956018745</v>
      </c>
      <c r="ER388" s="1998">
        <v>1.4436052321965001</v>
      </c>
      <c r="ES388" s="1979">
        <v>1.8094635414098905</v>
      </c>
      <c r="ET388" s="1979">
        <v>1.8501133480600851</v>
      </c>
      <c r="EU388" s="1979">
        <v>1.8536481138557541</v>
      </c>
      <c r="EV388" s="1979">
        <v>1.8571828796514231</v>
      </c>
      <c r="EW388" s="1979">
        <v>1.8607176454470922</v>
      </c>
      <c r="EX388" s="1998">
        <v>1.4293800261365106</v>
      </c>
      <c r="EY388" s="1998">
        <v>1.461899871456666</v>
      </c>
      <c r="EZ388" s="1998">
        <v>1.4647276840932015</v>
      </c>
      <c r="FA388" s="1998">
        <v>1.4675554967297366</v>
      </c>
      <c r="FB388" s="1998">
        <v>1.4703833093662719</v>
      </c>
      <c r="FC388" s="1979">
        <v>1.3497461291367869</v>
      </c>
      <c r="FD388" s="1979">
        <v>1.3751964428656043</v>
      </c>
      <c r="FE388" s="1979">
        <v>1.3780242555021394</v>
      </c>
      <c r="FF388" s="1979">
        <v>1.3808520681386747</v>
      </c>
      <c r="FG388" s="1979">
        <v>1.38367988077521</v>
      </c>
      <c r="FH388" s="1998">
        <v>2.543337797604174</v>
      </c>
      <c r="FI388" s="1998">
        <v>2.5480508186650659</v>
      </c>
      <c r="FJ388" s="1998">
        <v>2.5527638397259578</v>
      </c>
      <c r="FK388" s="1998">
        <v>2.5574768607868497</v>
      </c>
      <c r="FL388" s="1998">
        <v>2.5621898818477424</v>
      </c>
      <c r="FM388" s="1979">
        <v>1.5692980213338856</v>
      </c>
      <c r="FN388" s="1979">
        <v>1.5923828473492836</v>
      </c>
      <c r="FO388" s="1979">
        <v>1.6316602671524609</v>
      </c>
      <c r="FP388" s="1979">
        <v>1.679019395927196</v>
      </c>
      <c r="FQ388" s="1979">
        <v>1.7172060879991382</v>
      </c>
      <c r="FR388" s="1998">
        <v>19.574055342118598</v>
      </c>
      <c r="FS388" s="1998">
        <v>19.602506176313316</v>
      </c>
      <c r="FT388" s="1998">
        <v>19.63095701050803</v>
      </c>
      <c r="FU388" s="1998">
        <v>19.659407844702745</v>
      </c>
      <c r="FV388" s="1998">
        <v>19.687858678897463</v>
      </c>
      <c r="FW388" s="1979">
        <v>19.861461058770086</v>
      </c>
      <c r="FX388" s="1979">
        <v>19.889855500728441</v>
      </c>
      <c r="FY388" s="1979">
        <v>19.918249942686792</v>
      </c>
      <c r="FZ388" s="1979">
        <v>19.946644384645147</v>
      </c>
      <c r="GA388" s="1979">
        <v>19.975038826603498</v>
      </c>
      <c r="GB388" s="1998">
        <v>1.3834280574986009</v>
      </c>
      <c r="GC388" s="1998">
        <v>1.3851596625981524</v>
      </c>
      <c r="GD388" s="1998">
        <v>1.3868912676977043</v>
      </c>
      <c r="GE388" s="1998">
        <v>1.388622872797256</v>
      </c>
      <c r="GF388" s="1998">
        <v>1.3920860829963595</v>
      </c>
      <c r="GG388" s="1979">
        <v>1.426407730083423</v>
      </c>
      <c r="GH388" s="1979">
        <v>1.4281329587137364</v>
      </c>
      <c r="GI388" s="1979">
        <v>1.4298581873440501</v>
      </c>
      <c r="GJ388" s="1979">
        <v>1.4315834159743639</v>
      </c>
      <c r="GK388" s="2021">
        <v>1.435033873234991</v>
      </c>
    </row>
    <row r="389" spans="1:193">
      <c r="A389" s="2020"/>
      <c r="B389" s="2">
        <v>5</v>
      </c>
      <c r="C389" s="2" t="s">
        <v>4331</v>
      </c>
      <c r="D389" s="1998">
        <f>IF(Construction!$F$31=Construction!$R$22,Oeko!BQ389,Oeko!ED389)</f>
        <v>1.0643901452158508</v>
      </c>
      <c r="E389" s="1998">
        <f>IF(Construction!$F$31=Construction!$R$22,Oeko!BR389,Oeko!EE389)</f>
        <v>1.064708259855579</v>
      </c>
      <c r="F389" s="1998">
        <f>IF(Construction!$F$31=Construction!$R$22,Oeko!BS389,Oeko!EF389)</f>
        <v>1.0650818596068876</v>
      </c>
      <c r="G389" s="1998">
        <f>IF(Construction!$F$31=Construction!$R$22,Oeko!BT389,Oeko!EG389)</f>
        <v>1.065459158365635</v>
      </c>
      <c r="H389" s="1998">
        <f>IF(Construction!$F$31=Construction!$R$22,Oeko!BU389,Oeko!EH389)</f>
        <v>1.0662544449649556</v>
      </c>
      <c r="I389" s="1979">
        <f>IF(Construction!$F$31=Construction!$R$22,Oeko!BV389,Oeko!EI389)</f>
        <v>1.5091606990360558</v>
      </c>
      <c r="J389" s="1979">
        <f>IF(Construction!$F$31=Construction!$R$22,Oeko!BW389,Oeko!EJ389)</f>
        <v>1.5099308066774055</v>
      </c>
      <c r="K389" s="1979">
        <f>IF(Construction!$F$31=Construction!$R$22,Oeko!BX389,Oeko!EK389)</f>
        <v>1.5108352354189907</v>
      </c>
      <c r="L389" s="1979">
        <f>IF(Construction!$F$31=Construction!$R$22,Oeko!BY389,Oeko!EL389)</f>
        <v>1.5117486189005915</v>
      </c>
      <c r="M389" s="1979">
        <f>IF(Construction!$F$31=Construction!$R$22,Oeko!BZ389,Oeko!EM389)</f>
        <v>1.5136738880039657</v>
      </c>
      <c r="N389" s="1998">
        <f>IF(Construction!$F$31=Construction!$R$22,Oeko!CA389,Oeko!EN389)</f>
        <v>1.0202701597890269</v>
      </c>
      <c r="O389" s="1998">
        <f>IF(Construction!$F$31=Construction!$R$22,Oeko!CB389,Oeko!EO389)</f>
        <v>1.0202701597890269</v>
      </c>
      <c r="P389" s="1998">
        <f>IF(Construction!$F$31=Construction!$R$22,Oeko!CC389,Oeko!EP389)</f>
        <v>1.0202701597890269</v>
      </c>
      <c r="Q389" s="1998">
        <f>IF(Construction!$F$31=Construction!$R$22,Oeko!CD389,Oeko!EQ389)</f>
        <v>1.0202701597890269</v>
      </c>
      <c r="R389" s="1998">
        <f>IF(Construction!$F$31=Construction!$R$22,Oeko!CE389,Oeko!ER389)</f>
        <v>1.0202701597890269</v>
      </c>
      <c r="S389" s="1979">
        <f>IF(Construction!$F$31=Construction!$R$22,Oeko!CF389,Oeko!ES389)</f>
        <v>1.2546376127239178</v>
      </c>
      <c r="T389" s="1979">
        <f>IF(Construction!$F$31=Construction!$R$22,Oeko!CG389,Oeko!ET389)</f>
        <v>1.2546376127239178</v>
      </c>
      <c r="U389" s="1979">
        <f>IF(Construction!$F$31=Construction!$R$22,Oeko!CH389,Oeko!EU389)</f>
        <v>1.2546376127239178</v>
      </c>
      <c r="V389" s="1979">
        <f>IF(Construction!$F$31=Construction!$R$22,Oeko!CI389,Oeko!EV389)</f>
        <v>1.2546376127239178</v>
      </c>
      <c r="W389" s="1979">
        <f>IF(Construction!$F$31=Construction!$R$22,Oeko!CJ389,Oeko!EW389)</f>
        <v>1.2546376127239178</v>
      </c>
      <c r="X389" s="1998">
        <f>IF(Construction!$F$31=Construction!$R$22,Oeko!CK389,Oeko!EX389)</f>
        <v>1.0039069521070068</v>
      </c>
      <c r="Y389" s="1998">
        <f>IF(Construction!$F$31=Construction!$R$22,Oeko!CL389,Oeko!EY389)</f>
        <v>1.0039069521070068</v>
      </c>
      <c r="Z389" s="1998">
        <f>IF(Construction!$F$31=Construction!$R$22,Oeko!CM389,Oeko!EZ389)</f>
        <v>1.0039069521070068</v>
      </c>
      <c r="AA389" s="1998">
        <f>IF(Construction!$F$31=Construction!$R$22,Oeko!CN389,Oeko!FA389)</f>
        <v>1.0039069521070068</v>
      </c>
      <c r="AB389" s="1998">
        <f>IF(Construction!$F$31=Construction!$R$22,Oeko!CO389,Oeko!FB389)</f>
        <v>1.0039069521070068</v>
      </c>
      <c r="AC389" s="1979">
        <f>IF(Construction!$F$31=Construction!$R$22,Oeko!CP389,Oeko!FC389)</f>
        <v>1.0034681277761472</v>
      </c>
      <c r="AD389" s="1979">
        <f>IF(Construction!$F$31=Construction!$R$22,Oeko!CQ389,Oeko!FD389)</f>
        <v>1.0034681277761472</v>
      </c>
      <c r="AE389" s="1979">
        <f>IF(Construction!$F$31=Construction!$R$22,Oeko!CR389,Oeko!FE389)</f>
        <v>1.0034681277761472</v>
      </c>
      <c r="AF389" s="1979">
        <f>IF(Construction!$F$31=Construction!$R$22,Oeko!CS389,Oeko!FF389)</f>
        <v>1.0034681277761472</v>
      </c>
      <c r="AG389" s="1979">
        <f>IF(Construction!$F$31=Construction!$R$22,Oeko!CT389,Oeko!FG389)</f>
        <v>1.0034681277761472</v>
      </c>
      <c r="AH389" s="1998">
        <f>IF(Construction!$F$31=Construction!$R$22,Oeko!CU389,Oeko!FH389)</f>
        <v>1.3429290442133095</v>
      </c>
      <c r="AI389" s="1998">
        <f>IF(Construction!$F$31=Construction!$R$22,Oeko!CV389,Oeko!FI389)</f>
        <v>1.3429290442133095</v>
      </c>
      <c r="AJ389" s="1998">
        <f>IF(Construction!$F$31=Construction!$R$22,Oeko!CW389,Oeko!FJ389)</f>
        <v>1.3429290442133095</v>
      </c>
      <c r="AK389" s="1998">
        <f>IF(Construction!$F$31=Construction!$R$22,Oeko!CX389,Oeko!FK389)</f>
        <v>1.3429290442133095</v>
      </c>
      <c r="AL389" s="1998">
        <f>IF(Construction!$F$31=Construction!$R$22,Oeko!CY389,Oeko!FL389)</f>
        <v>1.3429290442133095</v>
      </c>
      <c r="AM389" s="1979">
        <f>IF(Construction!$F$31=Construction!$R$22,Oeko!CZ389,Oeko!FM389)</f>
        <v>1.0685952348847838</v>
      </c>
      <c r="AN389" s="1979">
        <f>IF(Construction!$F$31=Construction!$R$22,Oeko!DA389,Oeko!FN389)</f>
        <v>1.0687573628092786</v>
      </c>
      <c r="AO389" s="1979">
        <f>IF(Construction!$F$31=Construction!$R$22,Oeko!DB389,Oeko!FO389)</f>
        <v>1.0689477688601385</v>
      </c>
      <c r="AP389" s="1979">
        <f>IF(Construction!$F$31=Construction!$R$22,Oeko!DC389,Oeko!FP389)</f>
        <v>1.069140060119423</v>
      </c>
      <c r="AQ389" s="1979">
        <f>IF(Construction!$F$31=Construction!$R$22,Oeko!DD389,Oeko!FQ389)</f>
        <v>1.0695453799306596</v>
      </c>
      <c r="AR389" s="1998">
        <f>IF(Construction!$F$31=Construction!$R$22,Oeko!DE389,Oeko!FR389)</f>
        <v>12.121947403555492</v>
      </c>
      <c r="AS389" s="1998">
        <f>IF(Construction!$F$31=Construction!$R$22,Oeko!DF389,Oeko!FS389)</f>
        <v>12.121947403555492</v>
      </c>
      <c r="AT389" s="1998">
        <f>IF(Construction!$F$31=Construction!$R$22,Oeko!DG389,Oeko!FT389)</f>
        <v>12.121947403555492</v>
      </c>
      <c r="AU389" s="1998">
        <f>IF(Construction!$F$31=Construction!$R$22,Oeko!DH389,Oeko!FU389)</f>
        <v>12.121947403555492</v>
      </c>
      <c r="AV389" s="1998">
        <f>IF(Construction!$F$31=Construction!$R$22,Oeko!DI389,Oeko!FV389)</f>
        <v>12.121947403555492</v>
      </c>
      <c r="AW389" s="1979">
        <f>IF(Construction!$F$31=Construction!$R$22,Oeko!DJ389,Oeko!FW389)</f>
        <v>10.746219253229928</v>
      </c>
      <c r="AX389" s="1979">
        <f>IF(Construction!$F$31=Construction!$R$22,Oeko!DK389,Oeko!FX389)</f>
        <v>10.746219253229928</v>
      </c>
      <c r="AY389" s="1979">
        <f>IF(Construction!$F$31=Construction!$R$22,Oeko!DL389,Oeko!FY389)</f>
        <v>10.746219253229928</v>
      </c>
      <c r="AZ389" s="1979">
        <f>IF(Construction!$F$31=Construction!$R$22,Oeko!DM389,Oeko!FZ389)</f>
        <v>10.746219253229928</v>
      </c>
      <c r="BA389" s="1979">
        <f>IF(Construction!$F$31=Construction!$R$22,Oeko!DN389,Oeko!GA389)</f>
        <v>10.746219253229928</v>
      </c>
      <c r="BB389" s="1998">
        <f>IF(Construction!$F$31=Construction!$R$22,Oeko!DO389,Oeko!GB389)</f>
        <v>0.98169567440259997</v>
      </c>
      <c r="BC389" s="1998">
        <f>IF(Construction!$F$31=Construction!$R$22,Oeko!DP389,Oeko!GC389)</f>
        <v>0.98169567440259997</v>
      </c>
      <c r="BD389" s="1998">
        <f>IF(Construction!$F$31=Construction!$R$22,Oeko!DQ389,Oeko!GD389)</f>
        <v>0.98169567440259997</v>
      </c>
      <c r="BE389" s="1998">
        <f>IF(Construction!$F$31=Construction!$R$22,Oeko!DR389,Oeko!GE389)</f>
        <v>0.98169567440259997</v>
      </c>
      <c r="BF389" s="1998">
        <f>IF(Construction!$F$31=Construction!$R$22,Oeko!DS389,Oeko!GF389)</f>
        <v>0.98169567440259997</v>
      </c>
      <c r="BG389" s="1979">
        <f>IF(Construction!$F$31=Construction!$R$22,Oeko!DT389,Oeko!GG389)</f>
        <v>0.981285890509214</v>
      </c>
      <c r="BH389" s="1979">
        <f>IF(Construction!$F$31=Construction!$R$22,Oeko!DU389,Oeko!GH389)</f>
        <v>0.981285890509214</v>
      </c>
      <c r="BI389" s="1979">
        <f>IF(Construction!$F$31=Construction!$R$22,Oeko!DV389,Oeko!GI389)</f>
        <v>0.981285890509214</v>
      </c>
      <c r="BJ389" s="1979">
        <f>IF(Construction!$F$31=Construction!$R$22,Oeko!DW389,Oeko!GJ389)</f>
        <v>0.981285890509214</v>
      </c>
      <c r="BK389" s="2021">
        <f>IF(Construction!$F$31=Construction!$R$22,Oeko!DX389,Oeko!GK389)</f>
        <v>0.981285890509214</v>
      </c>
      <c r="BN389" s="2022"/>
      <c r="BO389" s="2">
        <v>5</v>
      </c>
      <c r="BP389" s="2" t="s">
        <v>4331</v>
      </c>
      <c r="BQ389" s="1998">
        <v>1.0643901452158508</v>
      </c>
      <c r="BR389" s="1998">
        <v>1.064708259855579</v>
      </c>
      <c r="BS389" s="1998">
        <v>1.0650818596068876</v>
      </c>
      <c r="BT389" s="1998">
        <v>1.065459158365635</v>
      </c>
      <c r="BU389" s="1998">
        <v>1.0662544449649556</v>
      </c>
      <c r="BV389" s="1979">
        <v>1.5091606990360558</v>
      </c>
      <c r="BW389" s="1979">
        <v>1.5099308066774055</v>
      </c>
      <c r="BX389" s="1979">
        <v>1.5108352354189907</v>
      </c>
      <c r="BY389" s="1979">
        <v>1.5117486189005915</v>
      </c>
      <c r="BZ389" s="1979">
        <v>1.5136738880039657</v>
      </c>
      <c r="CA389" s="1998">
        <v>1.0202701597890269</v>
      </c>
      <c r="CB389" s="1998">
        <v>1.0202701597890269</v>
      </c>
      <c r="CC389" s="1998">
        <v>1.0202701597890269</v>
      </c>
      <c r="CD389" s="1998">
        <v>1.0202701597890269</v>
      </c>
      <c r="CE389" s="1998">
        <v>1.0202701597890269</v>
      </c>
      <c r="CF389" s="1979">
        <v>1.2546376127239178</v>
      </c>
      <c r="CG389" s="1979">
        <v>1.2546376127239178</v>
      </c>
      <c r="CH389" s="1979">
        <v>1.2546376127239178</v>
      </c>
      <c r="CI389" s="1979">
        <v>1.2546376127239178</v>
      </c>
      <c r="CJ389" s="1979">
        <v>1.2546376127239178</v>
      </c>
      <c r="CK389" s="1998">
        <v>1.0039069521070068</v>
      </c>
      <c r="CL389" s="1998">
        <v>1.0039069521070068</v>
      </c>
      <c r="CM389" s="1998">
        <v>1.0039069521070068</v>
      </c>
      <c r="CN389" s="1998">
        <v>1.0039069521070068</v>
      </c>
      <c r="CO389" s="1998">
        <v>1.0039069521070068</v>
      </c>
      <c r="CP389" s="1979">
        <v>1.0034681277761472</v>
      </c>
      <c r="CQ389" s="1979">
        <v>1.0034681277761472</v>
      </c>
      <c r="CR389" s="1979">
        <v>1.0034681277761472</v>
      </c>
      <c r="CS389" s="1979">
        <v>1.0034681277761472</v>
      </c>
      <c r="CT389" s="1979">
        <v>1.0034681277761472</v>
      </c>
      <c r="CU389" s="1998">
        <v>1.3429290442133095</v>
      </c>
      <c r="CV389" s="1998">
        <v>1.3429290442133095</v>
      </c>
      <c r="CW389" s="1998">
        <v>1.3429290442133095</v>
      </c>
      <c r="CX389" s="1998">
        <v>1.3429290442133095</v>
      </c>
      <c r="CY389" s="1998">
        <v>1.3429290442133095</v>
      </c>
      <c r="CZ389" s="1979">
        <v>1.0685952348847838</v>
      </c>
      <c r="DA389" s="1979">
        <v>1.0687573628092786</v>
      </c>
      <c r="DB389" s="1979">
        <v>1.0689477688601385</v>
      </c>
      <c r="DC389" s="1979">
        <v>1.069140060119423</v>
      </c>
      <c r="DD389" s="1979">
        <v>1.0695453799306596</v>
      </c>
      <c r="DE389" s="1998">
        <v>12.121947403555492</v>
      </c>
      <c r="DF389" s="1998">
        <v>12.121947403555492</v>
      </c>
      <c r="DG389" s="1998">
        <v>12.121947403555492</v>
      </c>
      <c r="DH389" s="1998">
        <v>12.121947403555492</v>
      </c>
      <c r="DI389" s="1998">
        <v>12.121947403555492</v>
      </c>
      <c r="DJ389" s="1979">
        <v>10.746219253229928</v>
      </c>
      <c r="DK389" s="1979">
        <v>10.746219253229928</v>
      </c>
      <c r="DL389" s="1979">
        <v>10.746219253229928</v>
      </c>
      <c r="DM389" s="1979">
        <v>10.746219253229928</v>
      </c>
      <c r="DN389" s="1979">
        <v>10.746219253229928</v>
      </c>
      <c r="DO389" s="1998">
        <v>0.98169567440259997</v>
      </c>
      <c r="DP389" s="1998">
        <v>0.98169567440259997</v>
      </c>
      <c r="DQ389" s="1998">
        <v>0.98169567440259997</v>
      </c>
      <c r="DR389" s="1998">
        <v>0.98169567440259997</v>
      </c>
      <c r="DS389" s="1998">
        <v>0.98169567440259997</v>
      </c>
      <c r="DT389" s="1979">
        <v>0.981285890509214</v>
      </c>
      <c r="DU389" s="1979">
        <v>0.981285890509214</v>
      </c>
      <c r="DV389" s="1979">
        <v>0.981285890509214</v>
      </c>
      <c r="DW389" s="1979">
        <v>0.981285890509214</v>
      </c>
      <c r="DX389" s="2021">
        <v>0.981285890509214</v>
      </c>
      <c r="EA389" s="2022"/>
      <c r="EB389" s="2">
        <v>5</v>
      </c>
      <c r="EC389" s="2" t="s">
        <v>4331</v>
      </c>
      <c r="ED389" s="1998">
        <v>1.371548224937458</v>
      </c>
      <c r="EE389" s="1998">
        <v>1.390611309705734</v>
      </c>
      <c r="EF389" s="1998">
        <v>1.424725855688429</v>
      </c>
      <c r="EG389" s="1998">
        <v>1.4663420887299818</v>
      </c>
      <c r="EH389" s="1998">
        <v>1.5031277179761147</v>
      </c>
      <c r="EI389" s="1979">
        <v>2.2506838676515075</v>
      </c>
      <c r="EJ389" s="1979">
        <v>2.2903363990452164</v>
      </c>
      <c r="EK389" s="1979">
        <v>2.3513318463131752</v>
      </c>
      <c r="EL389" s="1979">
        <v>2.422940545708157</v>
      </c>
      <c r="EM389" s="1979">
        <v>2.4708177701552287</v>
      </c>
      <c r="EN389" s="1998">
        <v>1.4090988859041076</v>
      </c>
      <c r="EO389" s="1998">
        <v>1.4432121812019933</v>
      </c>
      <c r="EP389" s="1998">
        <v>1.4450076177966189</v>
      </c>
      <c r="EQ389" s="1998">
        <v>1.4468030543912442</v>
      </c>
      <c r="ER389" s="1998">
        <v>1.44859849098587</v>
      </c>
      <c r="ES389" s="1979">
        <v>1.8141026690334352</v>
      </c>
      <c r="ET389" s="1979">
        <v>1.8547524756836296</v>
      </c>
      <c r="EU389" s="1979">
        <v>1.8582872414792986</v>
      </c>
      <c r="EV389" s="1979">
        <v>1.8618220072749676</v>
      </c>
      <c r="EW389" s="1979">
        <v>1.8653567730706366</v>
      </c>
      <c r="EX389" s="1998">
        <v>1.4338455654996545</v>
      </c>
      <c r="EY389" s="1998">
        <v>1.4663654108198099</v>
      </c>
      <c r="EZ389" s="1998">
        <v>1.469193223456345</v>
      </c>
      <c r="FA389" s="1998">
        <v>1.4720210360928803</v>
      </c>
      <c r="FB389" s="1998">
        <v>1.4748488487294156</v>
      </c>
      <c r="FC389" s="1979">
        <v>1.3650746686730906</v>
      </c>
      <c r="FD389" s="1979">
        <v>1.3880506463449394</v>
      </c>
      <c r="FE389" s="1979">
        <v>1.3915854121406082</v>
      </c>
      <c r="FF389" s="1979">
        <v>1.3951201779362774</v>
      </c>
      <c r="FG389" s="1979">
        <v>1.3986549437319462</v>
      </c>
      <c r="FH389" s="1998">
        <v>2.5494624358016753</v>
      </c>
      <c r="FI389" s="1998">
        <v>2.5541754568625672</v>
      </c>
      <c r="FJ389" s="1998">
        <v>2.55888847792346</v>
      </c>
      <c r="FK389" s="1998">
        <v>2.5636014989843519</v>
      </c>
      <c r="FL389" s="1998">
        <v>2.5683145200452437</v>
      </c>
      <c r="FM389" s="1979">
        <v>1.539331778446682</v>
      </c>
      <c r="FN389" s="1979">
        <v>1.5640016158878154</v>
      </c>
      <c r="FO389" s="1979">
        <v>1.6037813988501686</v>
      </c>
      <c r="FP389" s="1979">
        <v>1.6511039007183734</v>
      </c>
      <c r="FQ389" s="1979">
        <v>1.6854429721680333</v>
      </c>
      <c r="FR389" s="1998">
        <v>19.647193048057925</v>
      </c>
      <c r="FS389" s="1998">
        <v>19.675643882252643</v>
      </c>
      <c r="FT389" s="1998">
        <v>19.704094716447361</v>
      </c>
      <c r="FU389" s="1998">
        <v>19.732545550642076</v>
      </c>
      <c r="FV389" s="1998">
        <v>19.760996384836794</v>
      </c>
      <c r="FW389" s="1979">
        <v>19.083368258715947</v>
      </c>
      <c r="FX389" s="1979">
        <v>19.121227514660418</v>
      </c>
      <c r="FY389" s="1979">
        <v>19.15908677060489</v>
      </c>
      <c r="FZ389" s="1979">
        <v>19.196946026549362</v>
      </c>
      <c r="GA389" s="1979">
        <v>19.234805282493831</v>
      </c>
      <c r="GB389" s="1998">
        <v>1.4094021339918767</v>
      </c>
      <c r="GC389" s="1998">
        <v>1.4117109407912791</v>
      </c>
      <c r="GD389" s="1998">
        <v>1.4140197475906815</v>
      </c>
      <c r="GE389" s="1998">
        <v>1.4163285543900836</v>
      </c>
      <c r="GF389" s="1998">
        <v>1.4209461679888884</v>
      </c>
      <c r="GG389" s="1979">
        <v>1.4902283364517308</v>
      </c>
      <c r="GH389" s="1979">
        <v>1.4919535650820444</v>
      </c>
      <c r="GI389" s="1979">
        <v>1.4936787937123579</v>
      </c>
      <c r="GJ389" s="1979">
        <v>1.4954040223426717</v>
      </c>
      <c r="GK389" s="2021">
        <v>1.4988544796032988</v>
      </c>
    </row>
    <row r="390" spans="1:193">
      <c r="A390" s="2020"/>
      <c r="B390" s="2">
        <v>6</v>
      </c>
      <c r="C390" s="2" t="s">
        <v>4332</v>
      </c>
      <c r="D390" s="1998">
        <f>IF(Construction!$F$31=Construction!$R$22,Oeko!BQ390,Oeko!ED390)</f>
        <v>1.0035678512035164</v>
      </c>
      <c r="E390" s="1998">
        <f>IF(Construction!$F$31=Construction!$R$22,Oeko!BR390,Oeko!EE390)</f>
        <v>1.0038677878638316</v>
      </c>
      <c r="F390" s="1998">
        <f>IF(Construction!$F$31=Construction!$R$22,Oeko!BS390,Oeko!EF390)</f>
        <v>1.0042200390579228</v>
      </c>
      <c r="G390" s="1998">
        <f>IF(Construction!$F$31=Construction!$R$22,Oeko!BT390,Oeko!EG390)</f>
        <v>1.0045757778875988</v>
      </c>
      <c r="H390" s="1998">
        <f>IF(Construction!$F$31=Construction!$R$22,Oeko!BU390,Oeko!EH390)</f>
        <v>1.0053256195383868</v>
      </c>
      <c r="I390" s="1979">
        <f>IF(Construction!$F$31=Construction!$R$22,Oeko!BV390,Oeko!EI390)</f>
        <v>1.341125528154008</v>
      </c>
      <c r="J390" s="1979">
        <f>IF(Construction!$F$31=Construction!$R$22,Oeko!BW390,Oeko!EJ390)</f>
        <v>1.3417805904751985</v>
      </c>
      <c r="K390" s="1979">
        <f>IF(Construction!$F$31=Construction!$R$22,Oeko!BX390,Oeko!EK390)</f>
        <v>1.342549907852411</v>
      </c>
      <c r="L390" s="1979">
        <f>IF(Construction!$F$31=Construction!$R$22,Oeko!BY390,Oeko!EL390)</f>
        <v>1.343326842233358</v>
      </c>
      <c r="M390" s="1979">
        <f>IF(Construction!$F$31=Construction!$R$22,Oeko!BZ390,Oeko!EM390)</f>
        <v>1.3449644980363347</v>
      </c>
      <c r="N390" s="1998">
        <f>IF(Construction!$F$31=Construction!$R$22,Oeko!CA390,Oeko!EN390)</f>
        <v>1.0045051095032345</v>
      </c>
      <c r="O390" s="1998">
        <f>IF(Construction!$F$31=Construction!$R$22,Oeko!CB390,Oeko!EO390)</f>
        <v>1.0045051095032345</v>
      </c>
      <c r="P390" s="1998">
        <f>IF(Construction!$F$31=Construction!$R$22,Oeko!CC390,Oeko!EP390)</f>
        <v>1.0045051095032345</v>
      </c>
      <c r="Q390" s="1998">
        <f>IF(Construction!$F$31=Construction!$R$22,Oeko!CD390,Oeko!EQ390)</f>
        <v>1.0045051095032345</v>
      </c>
      <c r="R390" s="1998">
        <f>IF(Construction!$F$31=Construction!$R$22,Oeko!CE390,Oeko!ER390)</f>
        <v>1.0045051095032345</v>
      </c>
      <c r="S390" s="1979">
        <f>IF(Construction!$F$31=Construction!$R$22,Oeko!CF390,Oeko!ES390)</f>
        <v>1.2051234578664238</v>
      </c>
      <c r="T390" s="1979">
        <f>IF(Construction!$F$31=Construction!$R$22,Oeko!CG390,Oeko!ET390)</f>
        <v>1.2051234578664238</v>
      </c>
      <c r="U390" s="1979">
        <f>IF(Construction!$F$31=Construction!$R$22,Oeko!CH390,Oeko!EU390)</f>
        <v>1.2051234578664238</v>
      </c>
      <c r="V390" s="1979">
        <f>IF(Construction!$F$31=Construction!$R$22,Oeko!CI390,Oeko!EV390)</f>
        <v>1.2051234578664238</v>
      </c>
      <c r="W390" s="1979">
        <f>IF(Construction!$F$31=Construction!$R$22,Oeko!CJ390,Oeko!EW390)</f>
        <v>1.2051234578664238</v>
      </c>
      <c r="X390" s="1998">
        <f>IF(Construction!$F$31=Construction!$R$22,Oeko!CK390,Oeko!EX390)</f>
        <v>0.96375067402272641</v>
      </c>
      <c r="Y390" s="1998">
        <f>IF(Construction!$F$31=Construction!$R$22,Oeko!CL390,Oeko!EY390)</f>
        <v>0.96375067402272641</v>
      </c>
      <c r="Z390" s="1998">
        <f>IF(Construction!$F$31=Construction!$R$22,Oeko!CM390,Oeko!EZ390)</f>
        <v>0.96375067402272641</v>
      </c>
      <c r="AA390" s="1998">
        <f>IF(Construction!$F$31=Construction!$R$22,Oeko!CN390,Oeko!FA390)</f>
        <v>0.96375067402272641</v>
      </c>
      <c r="AB390" s="1998">
        <f>IF(Construction!$F$31=Construction!$R$22,Oeko!CO390,Oeko!FB390)</f>
        <v>0.96375067402272641</v>
      </c>
      <c r="AC390" s="1979">
        <f>IF(Construction!$F$31=Construction!$R$22,Oeko!CP390,Oeko!FC390)</f>
        <v>1.0040374510772934</v>
      </c>
      <c r="AD390" s="1979">
        <f>IF(Construction!$F$31=Construction!$R$22,Oeko!CQ390,Oeko!FD390)</f>
        <v>1.0040374510772934</v>
      </c>
      <c r="AE390" s="1979">
        <f>IF(Construction!$F$31=Construction!$R$22,Oeko!CR390,Oeko!FE390)</f>
        <v>1.0040374510772934</v>
      </c>
      <c r="AF390" s="1979">
        <f>IF(Construction!$F$31=Construction!$R$22,Oeko!CS390,Oeko!FF390)</f>
        <v>1.0040374510772934</v>
      </c>
      <c r="AG390" s="1979">
        <f>IF(Construction!$F$31=Construction!$R$22,Oeko!CT390,Oeko!FG390)</f>
        <v>1.0040374510772934</v>
      </c>
      <c r="AH390" s="1998">
        <f>IF(Construction!$F$31=Construction!$R$22,Oeko!CU390,Oeko!FH390)</f>
        <v>1.3440256968853066</v>
      </c>
      <c r="AI390" s="1998">
        <f>IF(Construction!$F$31=Construction!$R$22,Oeko!CV390,Oeko!FI390)</f>
        <v>1.3440256968853066</v>
      </c>
      <c r="AJ390" s="1998">
        <f>IF(Construction!$F$31=Construction!$R$22,Oeko!CW390,Oeko!FJ390)</f>
        <v>1.3440256968853066</v>
      </c>
      <c r="AK390" s="1998">
        <f>IF(Construction!$F$31=Construction!$R$22,Oeko!CX390,Oeko!FK390)</f>
        <v>1.3440256968853066</v>
      </c>
      <c r="AL390" s="1998">
        <f>IF(Construction!$F$31=Construction!$R$22,Oeko!CY390,Oeko!FL390)</f>
        <v>1.3440256968853066</v>
      </c>
      <c r="AM390" s="1979">
        <f>IF(Construction!$F$31=Construction!$R$22,Oeko!CZ390,Oeko!FM390)</f>
        <v>1.0016071401817641</v>
      </c>
      <c r="AN390" s="1979">
        <f>IF(Construction!$F$31=Construction!$R$22,Oeko!DA390,Oeko!FN390)</f>
        <v>1.0017422467855097</v>
      </c>
      <c r="AO390" s="1979">
        <f>IF(Construction!$F$31=Construction!$R$22,Oeko!DB390,Oeko!FO390)</f>
        <v>1.0019009184945598</v>
      </c>
      <c r="AP390" s="1979">
        <f>IF(Construction!$F$31=Construction!$R$22,Oeko!DC390,Oeko!FP390)</f>
        <v>1.00206116121063</v>
      </c>
      <c r="AQ390" s="1979">
        <f>IF(Construction!$F$31=Construction!$R$22,Oeko!DD390,Oeko!FQ390)</f>
        <v>1.0023989277199938</v>
      </c>
      <c r="AR390" s="1998">
        <f>IF(Construction!$F$31=Construction!$R$22,Oeko!DE390,Oeko!FR390)</f>
        <v>10.775064358715994</v>
      </c>
      <c r="AS390" s="1998">
        <f>IF(Construction!$F$31=Construction!$R$22,Oeko!DF390,Oeko!FS390)</f>
        <v>10.775064358715994</v>
      </c>
      <c r="AT390" s="1998">
        <f>IF(Construction!$F$31=Construction!$R$22,Oeko!DG390,Oeko!FT390)</f>
        <v>10.775064358715994</v>
      </c>
      <c r="AU390" s="1998">
        <f>IF(Construction!$F$31=Construction!$R$22,Oeko!DH390,Oeko!FU390)</f>
        <v>10.775064358715994</v>
      </c>
      <c r="AV390" s="1998">
        <f>IF(Construction!$F$31=Construction!$R$22,Oeko!DI390,Oeko!FV390)</f>
        <v>10.775064358715994</v>
      </c>
      <c r="AW390" s="1979">
        <f>IF(Construction!$F$31=Construction!$R$22,Oeko!DJ390,Oeko!FW390)</f>
        <v>10.754147630440517</v>
      </c>
      <c r="AX390" s="1979">
        <f>IF(Construction!$F$31=Construction!$R$22,Oeko!DK390,Oeko!FX390)</f>
        <v>10.754147630440517</v>
      </c>
      <c r="AY390" s="1979">
        <f>IF(Construction!$F$31=Construction!$R$22,Oeko!DL390,Oeko!FY390)</f>
        <v>10.754147630440517</v>
      </c>
      <c r="AZ390" s="1979">
        <f>IF(Construction!$F$31=Construction!$R$22,Oeko!DM390,Oeko!FZ390)</f>
        <v>10.754147630440517</v>
      </c>
      <c r="BA390" s="1979">
        <f>IF(Construction!$F$31=Construction!$R$22,Oeko!DN390,Oeko!GA390)</f>
        <v>10.754147630440517</v>
      </c>
      <c r="BB390" s="1998">
        <f>IF(Construction!$F$31=Construction!$R$22,Oeko!DO390,Oeko!GB390)</f>
        <v>0.98224968908559362</v>
      </c>
      <c r="BC390" s="1998">
        <f>IF(Construction!$F$31=Construction!$R$22,Oeko!DP390,Oeko!GC390)</f>
        <v>0.98224968908559362</v>
      </c>
      <c r="BD390" s="1998">
        <f>IF(Construction!$F$31=Construction!$R$22,Oeko!DQ390,Oeko!GD390)</f>
        <v>0.98224968908559362</v>
      </c>
      <c r="BE390" s="1998">
        <f>IF(Construction!$F$31=Construction!$R$22,Oeko!DR390,Oeko!GE390)</f>
        <v>0.98224968908559362</v>
      </c>
      <c r="BF390" s="1998">
        <f>IF(Construction!$F$31=Construction!$R$22,Oeko!DS390,Oeko!GF390)</f>
        <v>0.98224968908559362</v>
      </c>
      <c r="BG390" s="1979">
        <f>IF(Construction!$F$31=Construction!$R$22,Oeko!DT390,Oeko!GG390)</f>
        <v>0.98273482377438304</v>
      </c>
      <c r="BH390" s="1979">
        <f>IF(Construction!$F$31=Construction!$R$22,Oeko!DU390,Oeko!GH390)</f>
        <v>0.98273482377438304</v>
      </c>
      <c r="BI390" s="1979">
        <f>IF(Construction!$F$31=Construction!$R$22,Oeko!DV390,Oeko!GI390)</f>
        <v>0.98273482377438304</v>
      </c>
      <c r="BJ390" s="1979">
        <f>IF(Construction!$F$31=Construction!$R$22,Oeko!DW390,Oeko!GJ390)</f>
        <v>0.98273482377438304</v>
      </c>
      <c r="BK390" s="2021">
        <f>IF(Construction!$F$31=Construction!$R$22,Oeko!DX390,Oeko!GK390)</f>
        <v>0.98273482377438304</v>
      </c>
      <c r="BN390" s="2022"/>
      <c r="BO390" s="2">
        <v>6</v>
      </c>
      <c r="BP390" s="2" t="s">
        <v>4332</v>
      </c>
      <c r="BQ390" s="1998">
        <v>1.0035678512035164</v>
      </c>
      <c r="BR390" s="1998">
        <v>1.0038677878638316</v>
      </c>
      <c r="BS390" s="1998">
        <v>1.0042200390579228</v>
      </c>
      <c r="BT390" s="1998">
        <v>1.0045757778875988</v>
      </c>
      <c r="BU390" s="1998">
        <v>1.0053256195383868</v>
      </c>
      <c r="BV390" s="1979">
        <v>1.341125528154008</v>
      </c>
      <c r="BW390" s="1979">
        <v>1.3417805904751985</v>
      </c>
      <c r="BX390" s="1979">
        <v>1.342549907852411</v>
      </c>
      <c r="BY390" s="1979">
        <v>1.343326842233358</v>
      </c>
      <c r="BZ390" s="1979">
        <v>1.3449644980363347</v>
      </c>
      <c r="CA390" s="1998">
        <v>1.0045051095032345</v>
      </c>
      <c r="CB390" s="1998">
        <v>1.0045051095032345</v>
      </c>
      <c r="CC390" s="1998">
        <v>1.0045051095032345</v>
      </c>
      <c r="CD390" s="1998">
        <v>1.0045051095032345</v>
      </c>
      <c r="CE390" s="1998">
        <v>1.0045051095032345</v>
      </c>
      <c r="CF390" s="1979">
        <v>1.2051234578664238</v>
      </c>
      <c r="CG390" s="1979">
        <v>1.2051234578664238</v>
      </c>
      <c r="CH390" s="1979">
        <v>1.2051234578664238</v>
      </c>
      <c r="CI390" s="1979">
        <v>1.2051234578664238</v>
      </c>
      <c r="CJ390" s="1979">
        <v>1.2051234578664238</v>
      </c>
      <c r="CK390" s="1998">
        <v>0.96375067402272641</v>
      </c>
      <c r="CL390" s="1998">
        <v>0.96375067402272641</v>
      </c>
      <c r="CM390" s="1998">
        <v>0.96375067402272641</v>
      </c>
      <c r="CN390" s="1998">
        <v>0.96375067402272641</v>
      </c>
      <c r="CO390" s="1998">
        <v>0.96375067402272641</v>
      </c>
      <c r="CP390" s="1979">
        <v>1.0040374510772934</v>
      </c>
      <c r="CQ390" s="1979">
        <v>1.0040374510772934</v>
      </c>
      <c r="CR390" s="1979">
        <v>1.0040374510772934</v>
      </c>
      <c r="CS390" s="1979">
        <v>1.0040374510772934</v>
      </c>
      <c r="CT390" s="1979">
        <v>1.0040374510772934</v>
      </c>
      <c r="CU390" s="1998">
        <v>1.3440256968853066</v>
      </c>
      <c r="CV390" s="1998">
        <v>1.3440256968853066</v>
      </c>
      <c r="CW390" s="1998">
        <v>1.3440256968853066</v>
      </c>
      <c r="CX390" s="1998">
        <v>1.3440256968853066</v>
      </c>
      <c r="CY390" s="1998">
        <v>1.3440256968853066</v>
      </c>
      <c r="CZ390" s="1979">
        <v>1.0016071401817641</v>
      </c>
      <c r="DA390" s="1979">
        <v>1.0017422467855097</v>
      </c>
      <c r="DB390" s="1979">
        <v>1.0019009184945598</v>
      </c>
      <c r="DC390" s="1979">
        <v>1.00206116121063</v>
      </c>
      <c r="DD390" s="1979">
        <v>1.0023989277199938</v>
      </c>
      <c r="DE390" s="1998">
        <v>10.775064358715994</v>
      </c>
      <c r="DF390" s="1998">
        <v>10.775064358715994</v>
      </c>
      <c r="DG390" s="1998">
        <v>10.775064358715994</v>
      </c>
      <c r="DH390" s="1998">
        <v>10.775064358715994</v>
      </c>
      <c r="DI390" s="1998">
        <v>10.775064358715994</v>
      </c>
      <c r="DJ390" s="1979">
        <v>10.754147630440517</v>
      </c>
      <c r="DK390" s="1979">
        <v>10.754147630440517</v>
      </c>
      <c r="DL390" s="1979">
        <v>10.754147630440517</v>
      </c>
      <c r="DM390" s="1979">
        <v>10.754147630440517</v>
      </c>
      <c r="DN390" s="1979">
        <v>10.754147630440517</v>
      </c>
      <c r="DO390" s="1998">
        <v>0.98224968908559362</v>
      </c>
      <c r="DP390" s="1998">
        <v>0.98224968908559362</v>
      </c>
      <c r="DQ390" s="1998">
        <v>0.98224968908559362</v>
      </c>
      <c r="DR390" s="1998">
        <v>0.98224968908559362</v>
      </c>
      <c r="DS390" s="1998">
        <v>0.98224968908559362</v>
      </c>
      <c r="DT390" s="1979">
        <v>0.98273482377438304</v>
      </c>
      <c r="DU390" s="1979">
        <v>0.98273482377438304</v>
      </c>
      <c r="DV390" s="1979">
        <v>0.98273482377438304</v>
      </c>
      <c r="DW390" s="1979">
        <v>0.98273482377438304</v>
      </c>
      <c r="DX390" s="2021">
        <v>0.98273482377438304</v>
      </c>
      <c r="EA390" s="2022"/>
      <c r="EB390" s="2">
        <v>6</v>
      </c>
      <c r="EC390" s="2" t="s">
        <v>4332</v>
      </c>
      <c r="ED390" s="1998">
        <v>1.3400469203143135</v>
      </c>
      <c r="EE390" s="1998">
        <v>1.3603771964834195</v>
      </c>
      <c r="EF390" s="1998">
        <v>1.3948988503689785</v>
      </c>
      <c r="EG390" s="1998">
        <v>1.4364935234814595</v>
      </c>
      <c r="EH390" s="1998">
        <v>1.4702345125584924</v>
      </c>
      <c r="EI390" s="1979">
        <v>2.1867100595116558</v>
      </c>
      <c r="EJ390" s="1979">
        <v>2.2297823113808746</v>
      </c>
      <c r="EK390" s="1979">
        <v>2.2918209025496838</v>
      </c>
      <c r="EL390" s="1979">
        <v>2.3632931528440113</v>
      </c>
      <c r="EM390" s="1979">
        <v>2.4026349771341242</v>
      </c>
      <c r="EN390" s="1998">
        <v>1.4033089286630098</v>
      </c>
      <c r="EO390" s="1998">
        <v>1.4366367204507466</v>
      </c>
      <c r="EP390" s="1998">
        <v>1.4386565866197003</v>
      </c>
      <c r="EQ390" s="1998">
        <v>1.4406764527886542</v>
      </c>
      <c r="ER390" s="1998">
        <v>1.4426963189576079</v>
      </c>
      <c r="ES390" s="1979">
        <v>1.7939270702799939</v>
      </c>
      <c r="ET390" s="1979">
        <v>1.8321025408732199</v>
      </c>
      <c r="EU390" s="1979">
        <v>1.8363442598280224</v>
      </c>
      <c r="EV390" s="1979">
        <v>1.8405859787828251</v>
      </c>
      <c r="EW390" s="1979">
        <v>1.8448276977376281</v>
      </c>
      <c r="EX390" s="1998">
        <v>1.4130396053139509</v>
      </c>
      <c r="EY390" s="1998">
        <v>1.4435799817885315</v>
      </c>
      <c r="EZ390" s="1998">
        <v>1.4469733569523737</v>
      </c>
      <c r="FA390" s="1998">
        <v>1.4503667321162161</v>
      </c>
      <c r="FB390" s="1998">
        <v>1.4537601072800581</v>
      </c>
      <c r="FC390" s="1979">
        <v>1.390976480176531</v>
      </c>
      <c r="FD390" s="1979">
        <v>1.4098285644200994</v>
      </c>
      <c r="FE390" s="1979">
        <v>1.4145415854809917</v>
      </c>
      <c r="FF390" s="1979">
        <v>1.4192546065418836</v>
      </c>
      <c r="FG390" s="1979">
        <v>1.4239676276027755</v>
      </c>
      <c r="FH390" s="1998">
        <v>2.5576286200650107</v>
      </c>
      <c r="FI390" s="1998">
        <v>2.5623416411259026</v>
      </c>
      <c r="FJ390" s="1998">
        <v>2.5670546621867949</v>
      </c>
      <c r="FK390" s="1998">
        <v>2.5717676832476872</v>
      </c>
      <c r="FL390" s="1998">
        <v>2.5764807043085791</v>
      </c>
      <c r="FM390" s="1979">
        <v>1.5131113159203788</v>
      </c>
      <c r="FN390" s="1979">
        <v>1.5391680383590307</v>
      </c>
      <c r="FO390" s="1979">
        <v>1.5793873890856633</v>
      </c>
      <c r="FP390" s="1979">
        <v>1.6266778424106538</v>
      </c>
      <c r="FQ390" s="1979">
        <v>1.6576502458158164</v>
      </c>
      <c r="FR390" s="1998">
        <v>18.907261132705706</v>
      </c>
      <c r="FS390" s="1998">
        <v>18.945195578298659</v>
      </c>
      <c r="FT390" s="1998">
        <v>18.983130023891615</v>
      </c>
      <c r="FU390" s="1998">
        <v>19.021064469484571</v>
      </c>
      <c r="FV390" s="1998">
        <v>19.058998915077527</v>
      </c>
      <c r="FW390" s="1979">
        <v>19.474621602364305</v>
      </c>
      <c r="FX390" s="1979">
        <v>19.512480858308777</v>
      </c>
      <c r="FY390" s="1979">
        <v>19.550340114253249</v>
      </c>
      <c r="FZ390" s="1979">
        <v>19.588199370197717</v>
      </c>
      <c r="GA390" s="1979">
        <v>19.626058626142189</v>
      </c>
      <c r="GB390" s="1998">
        <v>1.4255405945708359</v>
      </c>
      <c r="GC390" s="1998">
        <v>1.4278494013702381</v>
      </c>
      <c r="GD390" s="1998">
        <v>1.4301582081696405</v>
      </c>
      <c r="GE390" s="1998">
        <v>1.4324670149690431</v>
      </c>
      <c r="GF390" s="1998">
        <v>1.4370846285678476</v>
      </c>
      <c r="GG390" s="1979">
        <v>1.4916772697168996</v>
      </c>
      <c r="GH390" s="1979">
        <v>1.4934024983472134</v>
      </c>
      <c r="GI390" s="1979">
        <v>1.4951277269775269</v>
      </c>
      <c r="GJ390" s="1979">
        <v>1.4968529556078407</v>
      </c>
      <c r="GK390" s="2021">
        <v>1.5003034128684678</v>
      </c>
    </row>
    <row r="391" spans="1:193">
      <c r="A391" s="2020"/>
      <c r="B391" s="2">
        <v>7</v>
      </c>
      <c r="C391" s="2" t="s">
        <v>4333</v>
      </c>
      <c r="D391" s="1998">
        <f>IF(Construction!$F$31=Construction!$R$22,Oeko!BQ391,Oeko!ED391)</f>
        <v>1.003668472154027</v>
      </c>
      <c r="E391" s="1998">
        <f>IF(Construction!$F$31=Construction!$R$22,Oeko!BR391,Oeko!EE391)</f>
        <v>1.0039768676625764</v>
      </c>
      <c r="F391" s="1998">
        <f>IF(Construction!$F$31=Construction!$R$22,Oeko!BS391,Oeko!EF391)</f>
        <v>1.0043390530854082</v>
      </c>
      <c r="G391" s="1998">
        <f>IF(Construction!$F$31=Construction!$R$22,Oeko!BT391,Oeko!EG391)</f>
        <v>1.0047048245025252</v>
      </c>
      <c r="H391" s="1998">
        <f>IF(Construction!$F$31=Construction!$R$22,Oeko!BU391,Oeko!EH391)</f>
        <v>1.0054758132738995</v>
      </c>
      <c r="I391" s="1979">
        <f>IF(Construction!$F$31=Construction!$R$22,Oeko!BV391,Oeko!EI391)</f>
        <v>1.3420118903148601</v>
      </c>
      <c r="J391" s="1979">
        <f>IF(Construction!$F$31=Construction!$R$22,Oeko!BW391,Oeko!EJ391)</f>
        <v>1.342741465975086</v>
      </c>
      <c r="K391" s="1979">
        <f>IF(Construction!$F$31=Construction!$R$22,Oeko!BX391,Oeko!EK391)</f>
        <v>1.3435982932039561</v>
      </c>
      <c r="L391" s="1979">
        <f>IF(Construction!$F$31=Construction!$R$22,Oeko!BY391,Oeko!EL391)</f>
        <v>1.344463603870736</v>
      </c>
      <c r="M391" s="1979">
        <f>IF(Construction!$F$31=Construction!$R$22,Oeko!BZ391,Oeko!EM391)</f>
        <v>1.3462875430213013</v>
      </c>
      <c r="N391" s="1998">
        <f>IF(Construction!$F$31=Construction!$R$22,Oeko!CA391,Oeko!EN391)</f>
        <v>0.9572604360632605</v>
      </c>
      <c r="O391" s="1998">
        <f>IF(Construction!$F$31=Construction!$R$22,Oeko!CB391,Oeko!EO391)</f>
        <v>0.9572604360632605</v>
      </c>
      <c r="P391" s="1998">
        <f>IF(Construction!$F$31=Construction!$R$22,Oeko!CC391,Oeko!EP391)</f>
        <v>0.9572604360632605</v>
      </c>
      <c r="Q391" s="1998">
        <f>IF(Construction!$F$31=Construction!$R$22,Oeko!CD391,Oeko!EQ391)</f>
        <v>0.9572604360632605</v>
      </c>
      <c r="R391" s="1998">
        <f>IF(Construction!$F$31=Construction!$R$22,Oeko!CE391,Oeko!ER391)</f>
        <v>0.9572604360632605</v>
      </c>
      <c r="S391" s="1979">
        <f>IF(Construction!$F$31=Construction!$R$22,Oeko!CF391,Oeko!ES391)</f>
        <v>1.1302173143144076</v>
      </c>
      <c r="T391" s="1979">
        <f>IF(Construction!$F$31=Construction!$R$22,Oeko!CG391,Oeko!ET391)</f>
        <v>1.1302173143144076</v>
      </c>
      <c r="U391" s="1979">
        <f>IF(Construction!$F$31=Construction!$R$22,Oeko!CH391,Oeko!EU391)</f>
        <v>1.1302173143144076</v>
      </c>
      <c r="V391" s="1979">
        <f>IF(Construction!$F$31=Construction!$R$22,Oeko!CI391,Oeko!EV391)</f>
        <v>1.1302173143144076</v>
      </c>
      <c r="W391" s="1979">
        <f>IF(Construction!$F$31=Construction!$R$22,Oeko!CJ391,Oeko!EW391)</f>
        <v>1.1302173143144076</v>
      </c>
      <c r="X391" s="1998">
        <f>IF(Construction!$F$31=Construction!$R$22,Oeko!CK391,Oeko!EX391)</f>
        <v>0.90427322886703843</v>
      </c>
      <c r="Y391" s="1998">
        <f>IF(Construction!$F$31=Construction!$R$22,Oeko!CL391,Oeko!EY391)</f>
        <v>0.90427322886703843</v>
      </c>
      <c r="Z391" s="1998">
        <f>IF(Construction!$F$31=Construction!$R$22,Oeko!CM391,Oeko!EZ391)</f>
        <v>0.90427322886703843</v>
      </c>
      <c r="AA391" s="1998">
        <f>IF(Construction!$F$31=Construction!$R$22,Oeko!CN391,Oeko!FA391)</f>
        <v>0.90427322886703843</v>
      </c>
      <c r="AB391" s="1998">
        <f>IF(Construction!$F$31=Construction!$R$22,Oeko!CO391,Oeko!FB391)</f>
        <v>0.90427322886703843</v>
      </c>
      <c r="AC391" s="1979">
        <f>IF(Construction!$F$31=Construction!$R$22,Oeko!CP391,Oeko!FC391)</f>
        <v>1.0049467869055124</v>
      </c>
      <c r="AD391" s="1979">
        <f>IF(Construction!$F$31=Construction!$R$22,Oeko!CQ391,Oeko!FD391)</f>
        <v>1.0049467869055124</v>
      </c>
      <c r="AE391" s="1979">
        <f>IF(Construction!$F$31=Construction!$R$22,Oeko!CR391,Oeko!FE391)</f>
        <v>1.0049467869055124</v>
      </c>
      <c r="AF391" s="1979">
        <f>IF(Construction!$F$31=Construction!$R$22,Oeko!CS391,Oeko!FF391)</f>
        <v>1.0049467869055124</v>
      </c>
      <c r="AG391" s="1979">
        <f>IF(Construction!$F$31=Construction!$R$22,Oeko!CT391,Oeko!FG391)</f>
        <v>1.0049467869055124</v>
      </c>
      <c r="AH391" s="1998">
        <f>IF(Construction!$F$31=Construction!$R$22,Oeko!CU391,Oeko!FH391)</f>
        <v>1.3451853559996394</v>
      </c>
      <c r="AI391" s="1998">
        <f>IF(Construction!$F$31=Construction!$R$22,Oeko!CV391,Oeko!FI391)</f>
        <v>1.3451853559996394</v>
      </c>
      <c r="AJ391" s="1998">
        <f>IF(Construction!$F$31=Construction!$R$22,Oeko!CW391,Oeko!FJ391)</f>
        <v>1.3451853559996394</v>
      </c>
      <c r="AK391" s="1998">
        <f>IF(Construction!$F$31=Construction!$R$22,Oeko!CX391,Oeko!FK391)</f>
        <v>1.3451853559996394</v>
      </c>
      <c r="AL391" s="1998">
        <f>IF(Construction!$F$31=Construction!$R$22,Oeko!CY391,Oeko!FL391)</f>
        <v>1.3451853559996394</v>
      </c>
      <c r="AM391" s="1979">
        <f>IF(Construction!$F$31=Construction!$R$22,Oeko!CZ391,Oeko!FM391)</f>
        <v>1.0021696392453814</v>
      </c>
      <c r="AN391" s="1979">
        <f>IF(Construction!$F$31=Construction!$R$22,Oeko!DA391,Oeko!FN391)</f>
        <v>1.0023520331604381</v>
      </c>
      <c r="AO391" s="1979">
        <f>IF(Construction!$F$31=Construction!$R$22,Oeko!DB391,Oeko!FO391)</f>
        <v>1.0025662399676556</v>
      </c>
      <c r="AP391" s="1979">
        <f>IF(Construction!$F$31=Construction!$R$22,Oeko!DC391,Oeko!FP391)</f>
        <v>1.0027825676343505</v>
      </c>
      <c r="AQ391" s="1979">
        <f>IF(Construction!$F$31=Construction!$R$22,Oeko!DD391,Oeko!FQ391)</f>
        <v>1.0032385524219918</v>
      </c>
      <c r="AR391" s="1998">
        <f>IF(Construction!$F$31=Construction!$R$22,Oeko!DE391,Oeko!FR391)</f>
        <v>10.799393236052577</v>
      </c>
      <c r="AS391" s="1998">
        <f>IF(Construction!$F$31=Construction!$R$22,Oeko!DF391,Oeko!FS391)</f>
        <v>10.799393236052577</v>
      </c>
      <c r="AT391" s="1998">
        <f>IF(Construction!$F$31=Construction!$R$22,Oeko!DG391,Oeko!FT391)</f>
        <v>10.799393236052577</v>
      </c>
      <c r="AU391" s="1998">
        <f>IF(Construction!$F$31=Construction!$R$22,Oeko!DH391,Oeko!FU391)</f>
        <v>10.799393236052577</v>
      </c>
      <c r="AV391" s="1998">
        <f>IF(Construction!$F$31=Construction!$R$22,Oeko!DI391,Oeko!FV391)</f>
        <v>10.799393236052577</v>
      </c>
      <c r="AW391" s="1979">
        <f>IF(Construction!$F$31=Construction!$R$22,Oeko!DJ391,Oeko!FW391)</f>
        <v>8.0537181570145044</v>
      </c>
      <c r="AX391" s="1979">
        <f>IF(Construction!$F$31=Construction!$R$22,Oeko!DK391,Oeko!FX391)</f>
        <v>8.0537181570145044</v>
      </c>
      <c r="AY391" s="1979">
        <f>IF(Construction!$F$31=Construction!$R$22,Oeko!DL391,Oeko!FY391)</f>
        <v>8.0537181570145044</v>
      </c>
      <c r="AZ391" s="1979">
        <f>IF(Construction!$F$31=Construction!$R$22,Oeko!DM391,Oeko!FZ391)</f>
        <v>8.0537181570145044</v>
      </c>
      <c r="BA391" s="1979">
        <f>IF(Construction!$F$31=Construction!$R$22,Oeko!DN391,Oeko!GA391)</f>
        <v>8.0537181570145044</v>
      </c>
      <c r="BB391" s="1998">
        <f>IF(Construction!$F$31=Construction!$R$22,Oeko!DO391,Oeko!GB391)</f>
        <v>0.98391173313457481</v>
      </c>
      <c r="BC391" s="1998">
        <f>IF(Construction!$F$31=Construction!$R$22,Oeko!DP391,Oeko!GC391)</f>
        <v>0.98391173313457481</v>
      </c>
      <c r="BD391" s="1998">
        <f>IF(Construction!$F$31=Construction!$R$22,Oeko!DQ391,Oeko!GD391)</f>
        <v>0.98391173313457481</v>
      </c>
      <c r="BE391" s="1998">
        <f>IF(Construction!$F$31=Construction!$R$22,Oeko!DR391,Oeko!GE391)</f>
        <v>0.98391173313457481</v>
      </c>
      <c r="BF391" s="1998">
        <f>IF(Construction!$F$31=Construction!$R$22,Oeko!DS391,Oeko!GF391)</f>
        <v>0.98391173313457481</v>
      </c>
      <c r="BG391" s="1979">
        <f>IF(Construction!$F$31=Construction!$R$22,Oeko!DT391,Oeko!GG391)</f>
        <v>0.98326170859808071</v>
      </c>
      <c r="BH391" s="1979">
        <f>IF(Construction!$F$31=Construction!$R$22,Oeko!DU391,Oeko!GH391)</f>
        <v>0.98326170859808071</v>
      </c>
      <c r="BI391" s="1979">
        <f>IF(Construction!$F$31=Construction!$R$22,Oeko!DV391,Oeko!GI391)</f>
        <v>0.98326170859808071</v>
      </c>
      <c r="BJ391" s="1979">
        <f>IF(Construction!$F$31=Construction!$R$22,Oeko!DW391,Oeko!GJ391)</f>
        <v>0.98326170859808071</v>
      </c>
      <c r="BK391" s="2021">
        <f>IF(Construction!$F$31=Construction!$R$22,Oeko!DX391,Oeko!GK391)</f>
        <v>0.98326170859808071</v>
      </c>
      <c r="BN391" s="2022"/>
      <c r="BO391" s="2">
        <v>7</v>
      </c>
      <c r="BP391" s="2" t="s">
        <v>4333</v>
      </c>
      <c r="BQ391" s="1998">
        <v>1.003668472154027</v>
      </c>
      <c r="BR391" s="1998">
        <v>1.0039768676625764</v>
      </c>
      <c r="BS391" s="1998">
        <v>1.0043390530854082</v>
      </c>
      <c r="BT391" s="1998">
        <v>1.0047048245025252</v>
      </c>
      <c r="BU391" s="1998">
        <v>1.0054758132738995</v>
      </c>
      <c r="BV391" s="1979">
        <v>1.3420118903148601</v>
      </c>
      <c r="BW391" s="1979">
        <v>1.342741465975086</v>
      </c>
      <c r="BX391" s="1979">
        <v>1.3435982932039561</v>
      </c>
      <c r="BY391" s="1979">
        <v>1.344463603870736</v>
      </c>
      <c r="BZ391" s="1979">
        <v>1.3462875430213013</v>
      </c>
      <c r="CA391" s="1998">
        <v>0.9572604360632605</v>
      </c>
      <c r="CB391" s="1998">
        <v>0.9572604360632605</v>
      </c>
      <c r="CC391" s="1998">
        <v>0.9572604360632605</v>
      </c>
      <c r="CD391" s="1998">
        <v>0.9572604360632605</v>
      </c>
      <c r="CE391" s="1998">
        <v>0.9572604360632605</v>
      </c>
      <c r="CF391" s="1979">
        <v>1.1302173143144076</v>
      </c>
      <c r="CG391" s="1979">
        <v>1.1302173143144076</v>
      </c>
      <c r="CH391" s="1979">
        <v>1.1302173143144076</v>
      </c>
      <c r="CI391" s="1979">
        <v>1.1302173143144076</v>
      </c>
      <c r="CJ391" s="1979">
        <v>1.1302173143144076</v>
      </c>
      <c r="CK391" s="1998">
        <v>0.90427322886703843</v>
      </c>
      <c r="CL391" s="1998">
        <v>0.90427322886703843</v>
      </c>
      <c r="CM391" s="1998">
        <v>0.90427322886703843</v>
      </c>
      <c r="CN391" s="1998">
        <v>0.90427322886703843</v>
      </c>
      <c r="CO391" s="1998">
        <v>0.90427322886703843</v>
      </c>
      <c r="CP391" s="1979">
        <v>1.0049467869055124</v>
      </c>
      <c r="CQ391" s="1979">
        <v>1.0049467869055124</v>
      </c>
      <c r="CR391" s="1979">
        <v>1.0049467869055124</v>
      </c>
      <c r="CS391" s="1979">
        <v>1.0049467869055124</v>
      </c>
      <c r="CT391" s="1979">
        <v>1.0049467869055124</v>
      </c>
      <c r="CU391" s="1998">
        <v>1.3451853559996394</v>
      </c>
      <c r="CV391" s="1998">
        <v>1.3451853559996394</v>
      </c>
      <c r="CW391" s="1998">
        <v>1.3451853559996394</v>
      </c>
      <c r="CX391" s="1998">
        <v>1.3451853559996394</v>
      </c>
      <c r="CY391" s="1998">
        <v>1.3451853559996394</v>
      </c>
      <c r="CZ391" s="1979">
        <v>1.0021696392453814</v>
      </c>
      <c r="DA391" s="1979">
        <v>1.0023520331604381</v>
      </c>
      <c r="DB391" s="1979">
        <v>1.0025662399676556</v>
      </c>
      <c r="DC391" s="1979">
        <v>1.0027825676343505</v>
      </c>
      <c r="DD391" s="1979">
        <v>1.0032385524219918</v>
      </c>
      <c r="DE391" s="1998">
        <v>10.799393236052577</v>
      </c>
      <c r="DF391" s="1998">
        <v>10.799393236052577</v>
      </c>
      <c r="DG391" s="1998">
        <v>10.799393236052577</v>
      </c>
      <c r="DH391" s="1998">
        <v>10.799393236052577</v>
      </c>
      <c r="DI391" s="1998">
        <v>10.799393236052577</v>
      </c>
      <c r="DJ391" s="1979">
        <v>8.0537181570145044</v>
      </c>
      <c r="DK391" s="1979">
        <v>8.0537181570145044</v>
      </c>
      <c r="DL391" s="1979">
        <v>8.0537181570145044</v>
      </c>
      <c r="DM391" s="1979">
        <v>8.0537181570145044</v>
      </c>
      <c r="DN391" s="1979">
        <v>8.0537181570145044</v>
      </c>
      <c r="DO391" s="1998">
        <v>0.98391173313457481</v>
      </c>
      <c r="DP391" s="1998">
        <v>0.98391173313457481</v>
      </c>
      <c r="DQ391" s="1998">
        <v>0.98391173313457481</v>
      </c>
      <c r="DR391" s="1998">
        <v>0.98391173313457481</v>
      </c>
      <c r="DS391" s="1998">
        <v>0.98391173313457481</v>
      </c>
      <c r="DT391" s="1979">
        <v>0.98326170859808071</v>
      </c>
      <c r="DU391" s="1979">
        <v>0.98326170859808071</v>
      </c>
      <c r="DV391" s="1979">
        <v>0.98326170859808071</v>
      </c>
      <c r="DW391" s="1979">
        <v>0.98326170859808071</v>
      </c>
      <c r="DX391" s="2021">
        <v>0.98326170859808071</v>
      </c>
      <c r="EA391" s="2022"/>
      <c r="EB391" s="2">
        <v>7</v>
      </c>
      <c r="EC391" s="2" t="s">
        <v>4333</v>
      </c>
      <c r="ED391" s="1998">
        <v>1.3375066101590509</v>
      </c>
      <c r="EE391" s="1998">
        <v>1.3578453451763917</v>
      </c>
      <c r="EF391" s="1998">
        <v>1.392376933290691</v>
      </c>
      <c r="EG391" s="1998">
        <v>1.4339816389906133</v>
      </c>
      <c r="EH391" s="1998">
        <v>1.4677437751882318</v>
      </c>
      <c r="EI391" s="1979">
        <v>2.2119648828396192</v>
      </c>
      <c r="EJ391" s="1979">
        <v>2.2551116480478739</v>
      </c>
      <c r="EK391" s="1979">
        <v>2.3172377490683411</v>
      </c>
      <c r="EL391" s="1979">
        <v>2.3887983756485016</v>
      </c>
      <c r="EM391" s="1979">
        <v>2.4283264832862033</v>
      </c>
      <c r="EN391" s="1998">
        <v>1.388153676680997</v>
      </c>
      <c r="EO391" s="1998">
        <v>1.4191249579382881</v>
      </c>
      <c r="EP391" s="1998">
        <v>1.4218181128302263</v>
      </c>
      <c r="EQ391" s="1998">
        <v>1.4245112677221645</v>
      </c>
      <c r="ER391" s="1998">
        <v>1.4272044226141032</v>
      </c>
      <c r="ES391" s="1979">
        <v>1.760874762977322</v>
      </c>
      <c r="ET391" s="1979">
        <v>1.7953387294850953</v>
      </c>
      <c r="EU391" s="1979">
        <v>1.8006408781785985</v>
      </c>
      <c r="EV391" s="1979">
        <v>1.8059430268721022</v>
      </c>
      <c r="EW391" s="1979">
        <v>1.8112451755656058</v>
      </c>
      <c r="EX391" s="1998">
        <v>1.3896319202703542</v>
      </c>
      <c r="EY391" s="1998">
        <v>1.4172030934765729</v>
      </c>
      <c r="EZ391" s="1998">
        <v>1.4214448124313759</v>
      </c>
      <c r="FA391" s="1998">
        <v>1.4256865313861786</v>
      </c>
      <c r="FB391" s="1998">
        <v>1.4299282503409818</v>
      </c>
      <c r="FC391" s="1979">
        <v>1.3918858160047503</v>
      </c>
      <c r="FD391" s="1979">
        <v>1.4107379002483185</v>
      </c>
      <c r="FE391" s="1979">
        <v>1.4154509213092106</v>
      </c>
      <c r="FF391" s="1979">
        <v>1.4201639423701027</v>
      </c>
      <c r="FG391" s="1979">
        <v>1.4248769634309946</v>
      </c>
      <c r="FH391" s="1998">
        <v>2.5662639795111777</v>
      </c>
      <c r="FI391" s="1998">
        <v>2.5709770005720691</v>
      </c>
      <c r="FJ391" s="1998">
        <v>2.5756900216329619</v>
      </c>
      <c r="FK391" s="1998">
        <v>2.5804030426938538</v>
      </c>
      <c r="FL391" s="1998">
        <v>2.5851160637547461</v>
      </c>
      <c r="FM391" s="1979">
        <v>1.5446030156961004</v>
      </c>
      <c r="FN391" s="1979">
        <v>1.5707070254460631</v>
      </c>
      <c r="FO391" s="1979">
        <v>1.6109819112708632</v>
      </c>
      <c r="FP391" s="1979">
        <v>1.658328449546479</v>
      </c>
      <c r="FQ391" s="1979">
        <v>1.6894190712299186</v>
      </c>
      <c r="FR391" s="1998">
        <v>19.187647517794737</v>
      </c>
      <c r="FS391" s="1998">
        <v>19.225581963387693</v>
      </c>
      <c r="FT391" s="1998">
        <v>19.263516408980649</v>
      </c>
      <c r="FU391" s="1998">
        <v>19.301450854573606</v>
      </c>
      <c r="FV391" s="1998">
        <v>19.339385300166558</v>
      </c>
      <c r="FW391" s="1979">
        <v>17.137911409261964</v>
      </c>
      <c r="FX391" s="1979">
        <v>17.19470029317867</v>
      </c>
      <c r="FY391" s="1979">
        <v>17.251489177095376</v>
      </c>
      <c r="FZ391" s="1979">
        <v>17.308278061012086</v>
      </c>
      <c r="GA391" s="1979">
        <v>17.365066944928788</v>
      </c>
      <c r="GB391" s="1998">
        <v>1.4739559763077139</v>
      </c>
      <c r="GC391" s="1998">
        <v>1.4762647831071161</v>
      </c>
      <c r="GD391" s="1998">
        <v>1.4785735899065184</v>
      </c>
      <c r="GE391" s="1998">
        <v>1.4808823967059206</v>
      </c>
      <c r="GF391" s="1998">
        <v>1.4855000103047253</v>
      </c>
      <c r="GG391" s="1979">
        <v>1.5180825839953016</v>
      </c>
      <c r="GH391" s="1979">
        <v>1.52038288883572</v>
      </c>
      <c r="GI391" s="1979">
        <v>1.522683193676138</v>
      </c>
      <c r="GJ391" s="1979">
        <v>1.5249834985165562</v>
      </c>
      <c r="GK391" s="2021">
        <v>1.5295841081973924</v>
      </c>
    </row>
    <row r="392" spans="1:193">
      <c r="A392" s="2020"/>
      <c r="B392" s="2">
        <v>8</v>
      </c>
      <c r="C392" s="2" t="s">
        <v>4334</v>
      </c>
      <c r="D392" s="1998">
        <f>IF(Construction!$F$31=Construction!$R$22,Oeko!BQ392,Oeko!ED392)</f>
        <v>1.0042187429771308</v>
      </c>
      <c r="E392" s="1998">
        <f>IF(Construction!$F$31=Construction!$R$22,Oeko!BR392,Oeko!EE392)</f>
        <v>1.0045733978119629</v>
      </c>
      <c r="F392" s="1998">
        <f>IF(Construction!$F$31=Construction!$R$22,Oeko!BS392,Oeko!EF392)</f>
        <v>1.0049899110482194</v>
      </c>
      <c r="G392" s="1998">
        <f>IF(Construction!$F$31=Construction!$R$22,Oeko!BT392,Oeko!EG392)</f>
        <v>1.0054105481779039</v>
      </c>
      <c r="H392" s="1998">
        <f>IF(Construction!$F$31=Construction!$R$22,Oeko!BU392,Oeko!EH392)</f>
        <v>1.0062971852649842</v>
      </c>
      <c r="I392" s="1979">
        <f>IF(Construction!$F$31=Construction!$R$22,Oeko!BV392,Oeko!EI392)</f>
        <v>1.3416612415479294</v>
      </c>
      <c r="J392" s="1979">
        <f>IF(Construction!$F$31=Construction!$R$22,Oeko!BW392,Oeko!EJ392)</f>
        <v>1.3423613394037019</v>
      </c>
      <c r="K392" s="1979">
        <f>IF(Construction!$F$31=Construction!$R$22,Oeko!BX392,Oeko!EK392)</f>
        <v>1.3431835473505975</v>
      </c>
      <c r="L392" s="1979">
        <f>IF(Construction!$F$31=Construction!$R$22,Oeko!BY392,Oeko!EL392)</f>
        <v>1.344013895970235</v>
      </c>
      <c r="M392" s="1979">
        <f>IF(Construction!$F$31=Construction!$R$22,Oeko!BZ392,Oeko!EM392)</f>
        <v>1.3457641406096659</v>
      </c>
      <c r="N392" s="1998">
        <f>IF(Construction!$F$31=Construction!$R$22,Oeko!CA392,Oeko!EN392)</f>
        <v>0.91937383795995553</v>
      </c>
      <c r="O392" s="1998">
        <f>IF(Construction!$F$31=Construction!$R$22,Oeko!CB392,Oeko!EO392)</f>
        <v>0.91937383795995553</v>
      </c>
      <c r="P392" s="1998">
        <f>IF(Construction!$F$31=Construction!$R$22,Oeko!CC392,Oeko!EP392)</f>
        <v>0.91937383795995553</v>
      </c>
      <c r="Q392" s="1998">
        <f>IF(Construction!$F$31=Construction!$R$22,Oeko!CD392,Oeko!EQ392)</f>
        <v>0.91937383795995553</v>
      </c>
      <c r="R392" s="1998">
        <f>IF(Construction!$F$31=Construction!$R$22,Oeko!CE392,Oeko!ER392)</f>
        <v>0.91937383795995553</v>
      </c>
      <c r="S392" s="1979">
        <f>IF(Construction!$F$31=Construction!$R$22,Oeko!CF392,Oeko!ES392)</f>
        <v>1.132353928747927</v>
      </c>
      <c r="T392" s="1979">
        <f>IF(Construction!$F$31=Construction!$R$22,Oeko!CG392,Oeko!ET392)</f>
        <v>1.132353928747927</v>
      </c>
      <c r="U392" s="1979">
        <f>IF(Construction!$F$31=Construction!$R$22,Oeko!CH392,Oeko!EU392)</f>
        <v>1.132353928747927</v>
      </c>
      <c r="V392" s="1979">
        <f>IF(Construction!$F$31=Construction!$R$22,Oeko!CI392,Oeko!EV392)</f>
        <v>1.132353928747927</v>
      </c>
      <c r="W392" s="1979">
        <f>IF(Construction!$F$31=Construction!$R$22,Oeko!CJ392,Oeko!EW392)</f>
        <v>1.132353928747927</v>
      </c>
      <c r="X392" s="1998">
        <f>IF(Construction!$F$31=Construction!$R$22,Oeko!CK392,Oeko!EX392)</f>
        <v>0.90598252041385385</v>
      </c>
      <c r="Y392" s="1998">
        <f>IF(Construction!$F$31=Construction!$R$22,Oeko!CL392,Oeko!EY392)</f>
        <v>0.90598252041385385</v>
      </c>
      <c r="Z392" s="1998">
        <f>IF(Construction!$F$31=Construction!$R$22,Oeko!CM392,Oeko!EZ392)</f>
        <v>0.90598252041385385</v>
      </c>
      <c r="AA392" s="1998">
        <f>IF(Construction!$F$31=Construction!$R$22,Oeko!CN392,Oeko!FA392)</f>
        <v>0.90598252041385385</v>
      </c>
      <c r="AB392" s="1998">
        <f>IF(Construction!$F$31=Construction!$R$22,Oeko!CO392,Oeko!FB392)</f>
        <v>0.90598252041385385</v>
      </c>
      <c r="AC392" s="1979">
        <f>IF(Construction!$F$31=Construction!$R$22,Oeko!CP392,Oeko!FC392)</f>
        <v>1.0061834836318906</v>
      </c>
      <c r="AD392" s="1979">
        <f>IF(Construction!$F$31=Construction!$R$22,Oeko!CQ392,Oeko!FD392)</f>
        <v>1.0061834836318906</v>
      </c>
      <c r="AE392" s="1979">
        <f>IF(Construction!$F$31=Construction!$R$22,Oeko!CR392,Oeko!FE392)</f>
        <v>1.0061834836318906</v>
      </c>
      <c r="AF392" s="1979">
        <f>IF(Construction!$F$31=Construction!$R$22,Oeko!CS392,Oeko!FF392)</f>
        <v>1.0061834836318906</v>
      </c>
      <c r="AG392" s="1979">
        <f>IF(Construction!$F$31=Construction!$R$22,Oeko!CT392,Oeko!FG392)</f>
        <v>1.0061834836318906</v>
      </c>
      <c r="AH392" s="1998">
        <f>IF(Construction!$F$31=Construction!$R$22,Oeko!CU392,Oeko!FH392)</f>
        <v>1.3462581683961585</v>
      </c>
      <c r="AI392" s="1998">
        <f>IF(Construction!$F$31=Construction!$R$22,Oeko!CV392,Oeko!FI392)</f>
        <v>1.3462581683961585</v>
      </c>
      <c r="AJ392" s="1998">
        <f>IF(Construction!$F$31=Construction!$R$22,Oeko!CW392,Oeko!FJ392)</f>
        <v>1.3462581683961585</v>
      </c>
      <c r="AK392" s="1998">
        <f>IF(Construction!$F$31=Construction!$R$22,Oeko!CX392,Oeko!FK392)</f>
        <v>1.3462581683961585</v>
      </c>
      <c r="AL392" s="1998">
        <f>IF(Construction!$F$31=Construction!$R$22,Oeko!CY392,Oeko!FL392)</f>
        <v>1.3462581683961585</v>
      </c>
      <c r="AM392" s="1979">
        <f>IF(Construction!$F$31=Construction!$R$22,Oeko!CZ392,Oeko!FM392)</f>
        <v>1.0028928523271756</v>
      </c>
      <c r="AN392" s="1979">
        <f>IF(Construction!$F$31=Construction!$R$22,Oeko!DA392,Oeko!FN392)</f>
        <v>1.0031360442139177</v>
      </c>
      <c r="AO392" s="1979">
        <f>IF(Construction!$F$31=Construction!$R$22,Oeko!DB392,Oeko!FO392)</f>
        <v>1.0034216532902078</v>
      </c>
      <c r="AP392" s="1979">
        <f>IF(Construction!$F$31=Construction!$R$22,Oeko!DC392,Oeko!FP392)</f>
        <v>1.0037100901791343</v>
      </c>
      <c r="AQ392" s="1979">
        <f>IF(Construction!$F$31=Construction!$R$22,Oeko!DD392,Oeko!FQ392)</f>
        <v>1.0043180698959893</v>
      </c>
      <c r="AR392" s="1998">
        <f>IF(Construction!$F$31=Construction!$R$22,Oeko!DE392,Oeko!FR392)</f>
        <v>8.0975175205947174</v>
      </c>
      <c r="AS392" s="1998">
        <f>IF(Construction!$F$31=Construction!$R$22,Oeko!DF392,Oeko!FS392)</f>
        <v>8.0975175205947174</v>
      </c>
      <c r="AT392" s="1998">
        <f>IF(Construction!$F$31=Construction!$R$22,Oeko!DG392,Oeko!FT392)</f>
        <v>8.0975175205947174</v>
      </c>
      <c r="AU392" s="1998">
        <f>IF(Construction!$F$31=Construction!$R$22,Oeko!DH392,Oeko!FU392)</f>
        <v>8.0975175205947174</v>
      </c>
      <c r="AV392" s="1998">
        <f>IF(Construction!$F$31=Construction!$R$22,Oeko!DI392,Oeko!FV392)</f>
        <v>8.0975175205947174</v>
      </c>
      <c r="AW392" s="1979">
        <f>IF(Construction!$F$31=Construction!$R$22,Oeko!DJ392,Oeko!FW392)</f>
        <v>8.0834495715542101</v>
      </c>
      <c r="AX392" s="1979">
        <f>IF(Construction!$F$31=Construction!$R$22,Oeko!DK392,Oeko!FX392)</f>
        <v>8.0834495715542101</v>
      </c>
      <c r="AY392" s="1979">
        <f>IF(Construction!$F$31=Construction!$R$22,Oeko!DL392,Oeko!FY392)</f>
        <v>8.0834495715542101</v>
      </c>
      <c r="AZ392" s="1979">
        <f>IF(Construction!$F$31=Construction!$R$22,Oeko!DM392,Oeko!FZ392)</f>
        <v>8.0834495715542101</v>
      </c>
      <c r="BA392" s="1979">
        <f>IF(Construction!$F$31=Construction!$R$22,Oeko!DN392,Oeko!GA392)</f>
        <v>8.0834495715542101</v>
      </c>
      <c r="BB392" s="1998">
        <f>IF(Construction!$F$31=Construction!$R$22,Oeko!DO392,Oeko!GB392)</f>
        <v>0.98542268227001228</v>
      </c>
      <c r="BC392" s="1998">
        <f>IF(Construction!$F$31=Construction!$R$22,Oeko!DP392,Oeko!GC392)</f>
        <v>0.98542268227001228</v>
      </c>
      <c r="BD392" s="1998">
        <f>IF(Construction!$F$31=Construction!$R$22,Oeko!DQ392,Oeko!GD392)</f>
        <v>0.98542268227001228</v>
      </c>
      <c r="BE392" s="1998">
        <f>IF(Construction!$F$31=Construction!$R$22,Oeko!DR392,Oeko!GE392)</f>
        <v>0.98542268227001228</v>
      </c>
      <c r="BF392" s="1998">
        <f>IF(Construction!$F$31=Construction!$R$22,Oeko!DS392,Oeko!GF392)</f>
        <v>0.98542268227001228</v>
      </c>
      <c r="BG392" s="1979">
        <f>IF(Construction!$F$31=Construction!$R$22,Oeko!DT392,Oeko!GG392)</f>
        <v>0.98457892065732533</v>
      </c>
      <c r="BH392" s="1979">
        <f>IF(Construction!$F$31=Construction!$R$22,Oeko!DU392,Oeko!GH392)</f>
        <v>0.98457892065732533</v>
      </c>
      <c r="BI392" s="1979">
        <f>IF(Construction!$F$31=Construction!$R$22,Oeko!DV392,Oeko!GI392)</f>
        <v>0.98457892065732533</v>
      </c>
      <c r="BJ392" s="1979">
        <f>IF(Construction!$F$31=Construction!$R$22,Oeko!DW392,Oeko!GJ392)</f>
        <v>0.98457892065732533</v>
      </c>
      <c r="BK392" s="2021">
        <f>IF(Construction!$F$31=Construction!$R$22,Oeko!DX392,Oeko!GK392)</f>
        <v>0.98457892065732533</v>
      </c>
      <c r="BN392" s="2022"/>
      <c r="BO392" s="2">
        <v>8</v>
      </c>
      <c r="BP392" s="2" t="s">
        <v>4334</v>
      </c>
      <c r="BQ392" s="1998">
        <v>1.0042187429771308</v>
      </c>
      <c r="BR392" s="1998">
        <v>1.0045733978119629</v>
      </c>
      <c r="BS392" s="1998">
        <v>1.0049899110482194</v>
      </c>
      <c r="BT392" s="1998">
        <v>1.0054105481779039</v>
      </c>
      <c r="BU392" s="1998">
        <v>1.0062971852649842</v>
      </c>
      <c r="BV392" s="1979">
        <v>1.3416612415479294</v>
      </c>
      <c r="BW392" s="1979">
        <v>1.3423613394037019</v>
      </c>
      <c r="BX392" s="1979">
        <v>1.3431835473505975</v>
      </c>
      <c r="BY392" s="1979">
        <v>1.344013895970235</v>
      </c>
      <c r="BZ392" s="1979">
        <v>1.3457641406096659</v>
      </c>
      <c r="CA392" s="1998">
        <v>0.91937383795995553</v>
      </c>
      <c r="CB392" s="1998">
        <v>0.91937383795995553</v>
      </c>
      <c r="CC392" s="1998">
        <v>0.91937383795995553</v>
      </c>
      <c r="CD392" s="1998">
        <v>0.91937383795995553</v>
      </c>
      <c r="CE392" s="1998">
        <v>0.91937383795995553</v>
      </c>
      <c r="CF392" s="1979">
        <v>1.132353928747927</v>
      </c>
      <c r="CG392" s="1979">
        <v>1.132353928747927</v>
      </c>
      <c r="CH392" s="1979">
        <v>1.132353928747927</v>
      </c>
      <c r="CI392" s="1979">
        <v>1.132353928747927</v>
      </c>
      <c r="CJ392" s="1979">
        <v>1.132353928747927</v>
      </c>
      <c r="CK392" s="1998">
        <v>0.90598252041385385</v>
      </c>
      <c r="CL392" s="1998">
        <v>0.90598252041385385</v>
      </c>
      <c r="CM392" s="1998">
        <v>0.90598252041385385</v>
      </c>
      <c r="CN392" s="1998">
        <v>0.90598252041385385</v>
      </c>
      <c r="CO392" s="1998">
        <v>0.90598252041385385</v>
      </c>
      <c r="CP392" s="1979">
        <v>1.0061834836318906</v>
      </c>
      <c r="CQ392" s="1979">
        <v>1.0061834836318906</v>
      </c>
      <c r="CR392" s="1979">
        <v>1.0061834836318906</v>
      </c>
      <c r="CS392" s="1979">
        <v>1.0061834836318906</v>
      </c>
      <c r="CT392" s="1979">
        <v>1.0061834836318906</v>
      </c>
      <c r="CU392" s="1998">
        <v>1.3462581683961585</v>
      </c>
      <c r="CV392" s="1998">
        <v>1.3462581683961585</v>
      </c>
      <c r="CW392" s="1998">
        <v>1.3462581683961585</v>
      </c>
      <c r="CX392" s="1998">
        <v>1.3462581683961585</v>
      </c>
      <c r="CY392" s="1998">
        <v>1.3462581683961585</v>
      </c>
      <c r="CZ392" s="1979">
        <v>1.0028928523271756</v>
      </c>
      <c r="DA392" s="1979">
        <v>1.0031360442139177</v>
      </c>
      <c r="DB392" s="1979">
        <v>1.0034216532902078</v>
      </c>
      <c r="DC392" s="1979">
        <v>1.0037100901791343</v>
      </c>
      <c r="DD392" s="1979">
        <v>1.0043180698959893</v>
      </c>
      <c r="DE392" s="1998">
        <v>8.0975175205947174</v>
      </c>
      <c r="DF392" s="1998">
        <v>8.0975175205947174</v>
      </c>
      <c r="DG392" s="1998">
        <v>8.0975175205947174</v>
      </c>
      <c r="DH392" s="1998">
        <v>8.0975175205947174</v>
      </c>
      <c r="DI392" s="1998">
        <v>8.0975175205947174</v>
      </c>
      <c r="DJ392" s="1979">
        <v>8.0834495715542101</v>
      </c>
      <c r="DK392" s="1979">
        <v>8.0834495715542101</v>
      </c>
      <c r="DL392" s="1979">
        <v>8.0834495715542101</v>
      </c>
      <c r="DM392" s="1979">
        <v>8.0834495715542101</v>
      </c>
      <c r="DN392" s="1979">
        <v>8.0834495715542101</v>
      </c>
      <c r="DO392" s="1998">
        <v>0.98542268227001228</v>
      </c>
      <c r="DP392" s="1998">
        <v>0.98542268227001228</v>
      </c>
      <c r="DQ392" s="1998">
        <v>0.98542268227001228</v>
      </c>
      <c r="DR392" s="1998">
        <v>0.98542268227001228</v>
      </c>
      <c r="DS392" s="1998">
        <v>0.98542268227001228</v>
      </c>
      <c r="DT392" s="1979">
        <v>0.98457892065732533</v>
      </c>
      <c r="DU392" s="1979">
        <v>0.98457892065732533</v>
      </c>
      <c r="DV392" s="1979">
        <v>0.98457892065732533</v>
      </c>
      <c r="DW392" s="1979">
        <v>0.98457892065732533</v>
      </c>
      <c r="DX392" s="2021">
        <v>0.98457892065732533</v>
      </c>
      <c r="EA392" s="2022"/>
      <c r="EB392" s="2">
        <v>8</v>
      </c>
      <c r="EC392" s="2" t="s">
        <v>4334</v>
      </c>
      <c r="ED392" s="1998">
        <v>1.3395366415240504</v>
      </c>
      <c r="EE392" s="1998">
        <v>1.3599216358676738</v>
      </c>
      <c r="EF392" s="1998">
        <v>1.3945075517953975</v>
      </c>
      <c r="EG392" s="1998">
        <v>1.4361671232078876</v>
      </c>
      <c r="EH392" s="1998">
        <v>1.4700449077212123</v>
      </c>
      <c r="EI392" s="1979">
        <v>2.2019739637208642</v>
      </c>
      <c r="EJ392" s="1979">
        <v>2.2450912511246655</v>
      </c>
      <c r="EK392" s="1979">
        <v>2.3071827328631582</v>
      </c>
      <c r="EL392" s="1979">
        <v>2.3787083973961756</v>
      </c>
      <c r="EM392" s="1979">
        <v>2.4181628105227437</v>
      </c>
      <c r="EN392" s="1998">
        <v>1.3772371011383888</v>
      </c>
      <c r="EO392" s="1998">
        <v>1.4063231739713227</v>
      </c>
      <c r="EP392" s="1998">
        <v>1.4095549598416488</v>
      </c>
      <c r="EQ392" s="1998">
        <v>1.4127867457119747</v>
      </c>
      <c r="ER392" s="1998">
        <v>1.4160185315823006</v>
      </c>
      <c r="ES392" s="1979">
        <v>1.7843856643315275</v>
      </c>
      <c r="ET392" s="1979">
        <v>1.818849630839301</v>
      </c>
      <c r="EU392" s="1979">
        <v>1.8241517795328042</v>
      </c>
      <c r="EV392" s="1979">
        <v>1.8294539282263078</v>
      </c>
      <c r="EW392" s="1979">
        <v>1.8347560769198115</v>
      </c>
      <c r="EX392" s="1998">
        <v>1.4072476578976805</v>
      </c>
      <c r="EY392" s="1998">
        <v>1.4348188311038992</v>
      </c>
      <c r="EZ392" s="1998">
        <v>1.4390605500587017</v>
      </c>
      <c r="FA392" s="1998">
        <v>1.4433022690135047</v>
      </c>
      <c r="FB392" s="1998">
        <v>1.4475439879683076</v>
      </c>
      <c r="FC392" s="1979">
        <v>1.3931225127311284</v>
      </c>
      <c r="FD392" s="1979">
        <v>1.4119745969746964</v>
      </c>
      <c r="FE392" s="1979">
        <v>1.4166876180355885</v>
      </c>
      <c r="FF392" s="1979">
        <v>1.4214006390964806</v>
      </c>
      <c r="FG392" s="1979">
        <v>1.4261136601573727</v>
      </c>
      <c r="FH392" s="1998">
        <v>2.5742526380296584</v>
      </c>
      <c r="FI392" s="1998">
        <v>2.5789656590905499</v>
      </c>
      <c r="FJ392" s="1998">
        <v>2.5836786801514418</v>
      </c>
      <c r="FK392" s="1998">
        <v>2.5883917012123341</v>
      </c>
      <c r="FL392" s="1998">
        <v>2.5931047222732264</v>
      </c>
      <c r="FM392" s="1979">
        <v>1.5850923439791709</v>
      </c>
      <c r="FN392" s="1979">
        <v>1.6112571517008192</v>
      </c>
      <c r="FO392" s="1979">
        <v>1.6516034397946917</v>
      </c>
      <c r="FP392" s="1979">
        <v>1.6990220872925388</v>
      </c>
      <c r="FQ392" s="1979">
        <v>1.7302647039051924</v>
      </c>
      <c r="FR392" s="1998">
        <v>18.745242217967263</v>
      </c>
      <c r="FS392" s="1998">
        <v>18.802143886356692</v>
      </c>
      <c r="FT392" s="1998">
        <v>18.859045554746121</v>
      </c>
      <c r="FU392" s="1998">
        <v>18.915947223135557</v>
      </c>
      <c r="FV392" s="1998">
        <v>18.97284889152499</v>
      </c>
      <c r="FW392" s="1979">
        <v>19.084267655990523</v>
      </c>
      <c r="FX392" s="1979">
        <v>19.141056539907225</v>
      </c>
      <c r="FY392" s="1979">
        <v>19.197845423823932</v>
      </c>
      <c r="FZ392" s="1979">
        <v>19.254634307740641</v>
      </c>
      <c r="GA392" s="1979">
        <v>19.311423191657344</v>
      </c>
      <c r="GB392" s="1998">
        <v>1.4754669254431514</v>
      </c>
      <c r="GC392" s="1998">
        <v>1.4777757322425535</v>
      </c>
      <c r="GD392" s="1998">
        <v>1.4800845390419559</v>
      </c>
      <c r="GE392" s="1998">
        <v>1.4823933458413581</v>
      </c>
      <c r="GF392" s="1998">
        <v>1.4870109594401628</v>
      </c>
      <c r="GG392" s="1979">
        <v>1.5193997960545462</v>
      </c>
      <c r="GH392" s="1979">
        <v>1.5217001008949644</v>
      </c>
      <c r="GI392" s="1979">
        <v>1.5240004057353826</v>
      </c>
      <c r="GJ392" s="1979">
        <v>1.5263007105758006</v>
      </c>
      <c r="GK392" s="2021">
        <v>1.5309013202566371</v>
      </c>
    </row>
    <row r="393" spans="1:193">
      <c r="A393" s="2020"/>
      <c r="B393" s="2">
        <v>9</v>
      </c>
      <c r="C393" s="2" t="s">
        <v>4335</v>
      </c>
      <c r="D393" s="1998">
        <f>IF(Construction!$F$31=Construction!$R$22,Oeko!BQ393,Oeko!ED393)</f>
        <v>1.0044770333634858</v>
      </c>
      <c r="E393" s="1998">
        <f>IF(Construction!$F$31=Construction!$R$22,Oeko!BR393,Oeko!EE393)</f>
        <v>1.0048534017596342</v>
      </c>
      <c r="F393" s="1998">
        <f>IF(Construction!$F$31=Construction!$R$22,Oeko!BS393,Oeko!EF393)</f>
        <v>1.0052954158062735</v>
      </c>
      <c r="G393" s="1998">
        <f>IF(Construction!$F$31=Construction!$R$22,Oeko!BT393,Oeko!EG393)</f>
        <v>1.0057418062296124</v>
      </c>
      <c r="H393" s="1998">
        <f>IF(Construction!$F$31=Construction!$R$22,Oeko!BU393,Oeko!EH393)</f>
        <v>1.0066827272199834</v>
      </c>
      <c r="I393" s="1979">
        <f>IF(Construction!$F$31=Construction!$R$22,Oeko!BV393,Oeko!EI393)</f>
        <v>1.3424404610299967</v>
      </c>
      <c r="J393" s="1979">
        <f>IF(Construction!$F$31=Construction!$R$22,Oeko!BW393,Oeko!EJ393)</f>
        <v>1.3432060651178885</v>
      </c>
      <c r="K393" s="1979">
        <f>IF(Construction!$F$31=Construction!$R$22,Oeko!BX393,Oeko!EK393)</f>
        <v>1.3441052048025055</v>
      </c>
      <c r="L393" s="1979">
        <f>IF(Construction!$F$31=Construction!$R$22,Oeko!BY393,Oeko!EL393)</f>
        <v>1.3450132468602374</v>
      </c>
      <c r="M393" s="1979">
        <f>IF(Construction!$F$31=Construction!$R$22,Oeko!BZ393,Oeko!EM393)</f>
        <v>1.3469272570799662</v>
      </c>
      <c r="N393" s="1998">
        <f>IF(Construction!$F$31=Construction!$R$22,Oeko!CA393,Oeko!EN393)</f>
        <v>0.86244298597019187</v>
      </c>
      <c r="O393" s="1998">
        <f>IF(Construction!$F$31=Construction!$R$22,Oeko!CB393,Oeko!EO393)</f>
        <v>0.86244298597019187</v>
      </c>
      <c r="P393" s="1998">
        <f>IF(Construction!$F$31=Construction!$R$22,Oeko!CC393,Oeko!EP393)</f>
        <v>0.86244298597019187</v>
      </c>
      <c r="Q393" s="1998">
        <f>IF(Construction!$F$31=Construction!$R$22,Oeko!CD393,Oeko!EQ393)</f>
        <v>0.86244298597019187</v>
      </c>
      <c r="R393" s="1998">
        <f>IF(Construction!$F$31=Construction!$R$22,Oeko!CE393,Oeko!ER393)</f>
        <v>0.86244298597019187</v>
      </c>
      <c r="S393" s="1979">
        <f>IF(Construction!$F$31=Construction!$R$22,Oeko!CF393,Oeko!ES393)</f>
        <v>1.1339439673961271</v>
      </c>
      <c r="T393" s="1979">
        <f>IF(Construction!$F$31=Construction!$R$22,Oeko!CG393,Oeko!ET393)</f>
        <v>1.1339439673961271</v>
      </c>
      <c r="U393" s="1979">
        <f>IF(Construction!$F$31=Construction!$R$22,Oeko!CH393,Oeko!EU393)</f>
        <v>1.1339439673961271</v>
      </c>
      <c r="V393" s="1979">
        <f>IF(Construction!$F$31=Construction!$R$22,Oeko!CI393,Oeko!EV393)</f>
        <v>1.1339439673961271</v>
      </c>
      <c r="W393" s="1979">
        <f>IF(Construction!$F$31=Construction!$R$22,Oeko!CJ393,Oeko!EW393)</f>
        <v>1.1339439673961271</v>
      </c>
      <c r="X393" s="1998">
        <f>IF(Construction!$F$31=Construction!$R$22,Oeko!CK393,Oeko!EX393)</f>
        <v>0.90683716618726173</v>
      </c>
      <c r="Y393" s="1998">
        <f>IF(Construction!$F$31=Construction!$R$22,Oeko!CL393,Oeko!EY393)</f>
        <v>0.90683716618726173</v>
      </c>
      <c r="Z393" s="1998">
        <f>IF(Construction!$F$31=Construction!$R$22,Oeko!CM393,Oeko!EZ393)</f>
        <v>0.90683716618726173</v>
      </c>
      <c r="AA393" s="1998">
        <f>IF(Construction!$F$31=Construction!$R$22,Oeko!CN393,Oeko!FA393)</f>
        <v>0.90683716618726173</v>
      </c>
      <c r="AB393" s="1998">
        <f>IF(Construction!$F$31=Construction!$R$22,Oeko!CO393,Oeko!FB393)</f>
        <v>0.90683716618726173</v>
      </c>
      <c r="AC393" s="1979">
        <f>IF(Construction!$F$31=Construction!$R$22,Oeko!CP393,Oeko!FC393)</f>
        <v>1.0068018319950796</v>
      </c>
      <c r="AD393" s="1979">
        <f>IF(Construction!$F$31=Construction!$R$22,Oeko!CQ393,Oeko!FD393)</f>
        <v>1.0068018319950796</v>
      </c>
      <c r="AE393" s="1979">
        <f>IF(Construction!$F$31=Construction!$R$22,Oeko!CR393,Oeko!FE393)</f>
        <v>1.0068018319950796</v>
      </c>
      <c r="AF393" s="1979">
        <f>IF(Construction!$F$31=Construction!$R$22,Oeko!CS393,Oeko!FF393)</f>
        <v>1.0068018319950796</v>
      </c>
      <c r="AG393" s="1979">
        <f>IF(Construction!$F$31=Construction!$R$22,Oeko!CT393,Oeko!FG393)</f>
        <v>1.0068018319950796</v>
      </c>
      <c r="AH393" s="1998">
        <f>IF(Construction!$F$31=Construction!$R$22,Oeko!CU393,Oeko!FH393)</f>
        <v>1.3481381444052964</v>
      </c>
      <c r="AI393" s="1998">
        <f>IF(Construction!$F$31=Construction!$R$22,Oeko!CV393,Oeko!FI393)</f>
        <v>1.3481381444052964</v>
      </c>
      <c r="AJ393" s="1998">
        <f>IF(Construction!$F$31=Construction!$R$22,Oeko!CW393,Oeko!FJ393)</f>
        <v>1.3481381444052964</v>
      </c>
      <c r="AK393" s="1998">
        <f>IF(Construction!$F$31=Construction!$R$22,Oeko!CX393,Oeko!FK393)</f>
        <v>1.3481381444052964</v>
      </c>
      <c r="AL393" s="1998">
        <f>IF(Construction!$F$31=Construction!$R$22,Oeko!CY393,Oeko!FL393)</f>
        <v>1.3481381444052964</v>
      </c>
      <c r="AM393" s="1979">
        <f>IF(Construction!$F$31=Construction!$R$22,Oeko!CZ393,Oeko!FM393)</f>
        <v>1.0035357083998813</v>
      </c>
      <c r="AN393" s="1979">
        <f>IF(Construction!$F$31=Construction!$R$22,Oeko!DA393,Oeko!FN393)</f>
        <v>1.0038329429281214</v>
      </c>
      <c r="AO393" s="1979">
        <f>IF(Construction!$F$31=Construction!$R$22,Oeko!DB393,Oeko!FO393)</f>
        <v>1.0041820206880316</v>
      </c>
      <c r="AP393" s="1979">
        <f>IF(Construction!$F$31=Construction!$R$22,Oeko!DC393,Oeko!FP393)</f>
        <v>1.0045345546633864</v>
      </c>
      <c r="AQ393" s="1979">
        <f>IF(Construction!$F$31=Construction!$R$22,Oeko!DD393,Oeko!FQ393)</f>
        <v>1.005277640983987</v>
      </c>
      <c r="AR393" s="1998">
        <f>IF(Construction!$F$31=Construction!$R$22,Oeko!DE393,Oeko!FR393)</f>
        <v>8.118370844026078</v>
      </c>
      <c r="AS393" s="1998">
        <f>IF(Construction!$F$31=Construction!$R$22,Oeko!DF393,Oeko!FS393)</f>
        <v>8.118370844026078</v>
      </c>
      <c r="AT393" s="1998">
        <f>IF(Construction!$F$31=Construction!$R$22,Oeko!DG393,Oeko!FT393)</f>
        <v>8.118370844026078</v>
      </c>
      <c r="AU393" s="1998">
        <f>IF(Construction!$F$31=Construction!$R$22,Oeko!DH393,Oeko!FU393)</f>
        <v>8.118370844026078</v>
      </c>
      <c r="AV393" s="1998">
        <f>IF(Construction!$F$31=Construction!$R$22,Oeko!DI393,Oeko!FV393)</f>
        <v>8.118370844026078</v>
      </c>
      <c r="AW393" s="1979">
        <f>IF(Construction!$F$31=Construction!$R$22,Oeko!DJ393,Oeko!FW393)</f>
        <v>8.1115292408417119</v>
      </c>
      <c r="AX393" s="1979">
        <f>IF(Construction!$F$31=Construction!$R$22,Oeko!DK393,Oeko!FX393)</f>
        <v>8.1115292408417119</v>
      </c>
      <c r="AY393" s="1979">
        <f>IF(Construction!$F$31=Construction!$R$22,Oeko!DL393,Oeko!FY393)</f>
        <v>8.1115292408417119</v>
      </c>
      <c r="AZ393" s="1979">
        <f>IF(Construction!$F$31=Construction!$R$22,Oeko!DM393,Oeko!FZ393)</f>
        <v>8.1115292408417119</v>
      </c>
      <c r="BA393" s="1979">
        <f>IF(Construction!$F$31=Construction!$R$22,Oeko!DN393,Oeko!GA393)</f>
        <v>8.1115292408417119</v>
      </c>
      <c r="BB393" s="1998">
        <f>IF(Construction!$F$31=Construction!$R$22,Oeko!DO393,Oeko!GB393)</f>
        <v>0.98391173313457481</v>
      </c>
      <c r="BC393" s="1998">
        <f>IF(Construction!$F$31=Construction!$R$22,Oeko!DP393,Oeko!GC393)</f>
        <v>0.98391173313457481</v>
      </c>
      <c r="BD393" s="1998">
        <f>IF(Construction!$F$31=Construction!$R$22,Oeko!DQ393,Oeko!GD393)</f>
        <v>0.98391173313457481</v>
      </c>
      <c r="BE393" s="1998">
        <f>IF(Construction!$F$31=Construction!$R$22,Oeko!DR393,Oeko!GE393)</f>
        <v>0.98391173313457481</v>
      </c>
      <c r="BF393" s="1998">
        <f>IF(Construction!$F$31=Construction!$R$22,Oeko!DS393,Oeko!GF393)</f>
        <v>0.98391173313457481</v>
      </c>
      <c r="BG393" s="1979">
        <f>IF(Construction!$F$31=Construction!$R$22,Oeko!DT393,Oeko!GG393)</f>
        <v>0.98382622805204278</v>
      </c>
      <c r="BH393" s="1979">
        <f>IF(Construction!$F$31=Construction!$R$22,Oeko!DU393,Oeko!GH393)</f>
        <v>0.98382622805204278</v>
      </c>
      <c r="BI393" s="1979">
        <f>IF(Construction!$F$31=Construction!$R$22,Oeko!DV393,Oeko!GI393)</f>
        <v>0.98382622805204278</v>
      </c>
      <c r="BJ393" s="1979">
        <f>IF(Construction!$F$31=Construction!$R$22,Oeko!DW393,Oeko!GJ393)</f>
        <v>0.98382622805204278</v>
      </c>
      <c r="BK393" s="2021">
        <f>IF(Construction!$F$31=Construction!$R$22,Oeko!DX393,Oeko!GK393)</f>
        <v>0.98382622805204278</v>
      </c>
      <c r="BN393" s="2022"/>
      <c r="BO393" s="2">
        <v>9</v>
      </c>
      <c r="BP393" s="2" t="s">
        <v>4335</v>
      </c>
      <c r="BQ393" s="1998">
        <v>1.0044770333634858</v>
      </c>
      <c r="BR393" s="1998">
        <v>1.0048534017596342</v>
      </c>
      <c r="BS393" s="1998">
        <v>1.0052954158062735</v>
      </c>
      <c r="BT393" s="1998">
        <v>1.0057418062296124</v>
      </c>
      <c r="BU393" s="1998">
        <v>1.0066827272199834</v>
      </c>
      <c r="BV393" s="1979">
        <v>1.3424404610299967</v>
      </c>
      <c r="BW393" s="1979">
        <v>1.3432060651178885</v>
      </c>
      <c r="BX393" s="1979">
        <v>1.3441052048025055</v>
      </c>
      <c r="BY393" s="1979">
        <v>1.3450132468602374</v>
      </c>
      <c r="BZ393" s="1979">
        <v>1.3469272570799662</v>
      </c>
      <c r="CA393" s="1998">
        <v>0.86244298597019187</v>
      </c>
      <c r="CB393" s="1998">
        <v>0.86244298597019187</v>
      </c>
      <c r="CC393" s="1998">
        <v>0.86244298597019187</v>
      </c>
      <c r="CD393" s="1998">
        <v>0.86244298597019187</v>
      </c>
      <c r="CE393" s="1998">
        <v>0.86244298597019187</v>
      </c>
      <c r="CF393" s="1979">
        <v>1.1339439673961271</v>
      </c>
      <c r="CG393" s="1979">
        <v>1.1339439673961271</v>
      </c>
      <c r="CH393" s="1979">
        <v>1.1339439673961271</v>
      </c>
      <c r="CI393" s="1979">
        <v>1.1339439673961271</v>
      </c>
      <c r="CJ393" s="1979">
        <v>1.1339439673961271</v>
      </c>
      <c r="CK393" s="1998">
        <v>0.90683716618726173</v>
      </c>
      <c r="CL393" s="1998">
        <v>0.90683716618726173</v>
      </c>
      <c r="CM393" s="1998">
        <v>0.90683716618726173</v>
      </c>
      <c r="CN393" s="1998">
        <v>0.90683716618726173</v>
      </c>
      <c r="CO393" s="1998">
        <v>0.90683716618726173</v>
      </c>
      <c r="CP393" s="1979">
        <v>1.0068018319950796</v>
      </c>
      <c r="CQ393" s="1979">
        <v>1.0068018319950796</v>
      </c>
      <c r="CR393" s="1979">
        <v>1.0068018319950796</v>
      </c>
      <c r="CS393" s="1979">
        <v>1.0068018319950796</v>
      </c>
      <c r="CT393" s="1979">
        <v>1.0068018319950796</v>
      </c>
      <c r="CU393" s="1998">
        <v>1.3481381444052964</v>
      </c>
      <c r="CV393" s="1998">
        <v>1.3481381444052964</v>
      </c>
      <c r="CW393" s="1998">
        <v>1.3481381444052964</v>
      </c>
      <c r="CX393" s="1998">
        <v>1.3481381444052964</v>
      </c>
      <c r="CY393" s="1998">
        <v>1.3481381444052964</v>
      </c>
      <c r="CZ393" s="1979">
        <v>1.0035357083998813</v>
      </c>
      <c r="DA393" s="1979">
        <v>1.0038329429281214</v>
      </c>
      <c r="DB393" s="1979">
        <v>1.0041820206880316</v>
      </c>
      <c r="DC393" s="1979">
        <v>1.0045345546633864</v>
      </c>
      <c r="DD393" s="1979">
        <v>1.005277640983987</v>
      </c>
      <c r="DE393" s="1998">
        <v>8.118370844026078</v>
      </c>
      <c r="DF393" s="1998">
        <v>8.118370844026078</v>
      </c>
      <c r="DG393" s="1998">
        <v>8.118370844026078</v>
      </c>
      <c r="DH393" s="1998">
        <v>8.118370844026078</v>
      </c>
      <c r="DI393" s="1998">
        <v>8.118370844026078</v>
      </c>
      <c r="DJ393" s="1979">
        <v>8.1115292408417119</v>
      </c>
      <c r="DK393" s="1979">
        <v>8.1115292408417119</v>
      </c>
      <c r="DL393" s="1979">
        <v>8.1115292408417119</v>
      </c>
      <c r="DM393" s="1979">
        <v>8.1115292408417119</v>
      </c>
      <c r="DN393" s="1979">
        <v>8.1115292408417119</v>
      </c>
      <c r="DO393" s="1998">
        <v>0.98391173313457481</v>
      </c>
      <c r="DP393" s="1998">
        <v>0.98391173313457481</v>
      </c>
      <c r="DQ393" s="1998">
        <v>0.98391173313457481</v>
      </c>
      <c r="DR393" s="1998">
        <v>0.98391173313457481</v>
      </c>
      <c r="DS393" s="1998">
        <v>0.98391173313457481</v>
      </c>
      <c r="DT393" s="1979">
        <v>0.98382622805204278</v>
      </c>
      <c r="DU393" s="1979">
        <v>0.98382622805204278</v>
      </c>
      <c r="DV393" s="1979">
        <v>0.98382622805204278</v>
      </c>
      <c r="DW393" s="1979">
        <v>0.98382622805204278</v>
      </c>
      <c r="DX393" s="2021">
        <v>0.98382622805204278</v>
      </c>
      <c r="EA393" s="2022"/>
      <c r="EB393" s="2">
        <v>9</v>
      </c>
      <c r="EC393" s="2" t="s">
        <v>4335</v>
      </c>
      <c r="ED393" s="1998">
        <v>1.3385989186551137</v>
      </c>
      <c r="EE393" s="1998">
        <v>1.3590056265600532</v>
      </c>
      <c r="EF393" s="1998">
        <v>1.3936170432981603</v>
      </c>
      <c r="EG393" s="1998">
        <v>1.4353023680043042</v>
      </c>
      <c r="EH393" s="1998">
        <v>1.4692344364209198</v>
      </c>
      <c r="EI393" s="1979">
        <v>2.2241760062069869</v>
      </c>
      <c r="EJ393" s="1979">
        <v>2.2673587998429068</v>
      </c>
      <c r="EK393" s="1979">
        <v>2.3295272133191207</v>
      </c>
      <c r="EL393" s="1979">
        <v>2.4011305712902331</v>
      </c>
      <c r="EM393" s="1979">
        <v>2.4407487499970983</v>
      </c>
      <c r="EN393" s="1998">
        <v>1.362925425313549</v>
      </c>
      <c r="EO393" s="1998">
        <v>1.3891836855099475</v>
      </c>
      <c r="EP393" s="1998">
        <v>1.3932234178478551</v>
      </c>
      <c r="EQ393" s="1998">
        <v>1.3972631501857626</v>
      </c>
      <c r="ER393" s="1998">
        <v>1.4013028825236702</v>
      </c>
      <c r="ES393" s="1979">
        <v>1.8018821490602381</v>
      </c>
      <c r="ET393" s="1979">
        <v>1.8363461155680114</v>
      </c>
      <c r="EU393" s="1979">
        <v>1.8416482642615151</v>
      </c>
      <c r="EV393" s="1979">
        <v>1.8469504129550187</v>
      </c>
      <c r="EW393" s="1979">
        <v>1.8522525616485224</v>
      </c>
      <c r="EX393" s="1998">
        <v>1.4160555267113435</v>
      </c>
      <c r="EY393" s="1998">
        <v>1.443626699917562</v>
      </c>
      <c r="EZ393" s="1998">
        <v>1.4478684188723649</v>
      </c>
      <c r="FA393" s="1998">
        <v>1.4521101378271677</v>
      </c>
      <c r="FB393" s="1998">
        <v>1.4563518567819707</v>
      </c>
      <c r="FC393" s="1979">
        <v>1.3937408610943174</v>
      </c>
      <c r="FD393" s="1979">
        <v>1.4125929453378856</v>
      </c>
      <c r="FE393" s="1979">
        <v>1.4173059663987777</v>
      </c>
      <c r="FF393" s="1979">
        <v>1.4220189874596698</v>
      </c>
      <c r="FG393" s="1979">
        <v>1.4267320085205617</v>
      </c>
      <c r="FH393" s="1998">
        <v>2.5882518110525181</v>
      </c>
      <c r="FI393" s="1998">
        <v>2.59296483211341</v>
      </c>
      <c r="FJ393" s="1998">
        <v>2.5976778531743028</v>
      </c>
      <c r="FK393" s="1998">
        <v>2.6023908742351947</v>
      </c>
      <c r="FL393" s="1998">
        <v>2.6071038952960865</v>
      </c>
      <c r="FM393" s="1979">
        <v>1.6210828580085668</v>
      </c>
      <c r="FN393" s="1979">
        <v>1.6473017083717136</v>
      </c>
      <c r="FO393" s="1979">
        <v>1.6877114651492064</v>
      </c>
      <c r="FP393" s="1979">
        <v>1.7351942097334814</v>
      </c>
      <c r="FQ393" s="1979">
        <v>1.7665719329498806</v>
      </c>
      <c r="FR393" s="1998">
        <v>18.958138672212954</v>
      </c>
      <c r="FS393" s="1998">
        <v>19.015040340602386</v>
      </c>
      <c r="FT393" s="1998">
        <v>19.071942008991815</v>
      </c>
      <c r="FU393" s="1998">
        <v>19.128843677381248</v>
      </c>
      <c r="FV393" s="1998">
        <v>19.185745345770684</v>
      </c>
      <c r="FW393" s="1979">
        <v>19.355728256349622</v>
      </c>
      <c r="FX393" s="1979">
        <v>19.412517140266328</v>
      </c>
      <c r="FY393" s="1979">
        <v>19.469306024183034</v>
      </c>
      <c r="FZ393" s="1979">
        <v>19.52609490809974</v>
      </c>
      <c r="GA393" s="1979">
        <v>19.582883792016446</v>
      </c>
      <c r="GB393" s="1998">
        <v>1.5259041292942654</v>
      </c>
      <c r="GC393" s="1998">
        <v>1.5293673394933689</v>
      </c>
      <c r="GD393" s="1998">
        <v>1.5328305496924726</v>
      </c>
      <c r="GE393" s="1998">
        <v>1.536293759891576</v>
      </c>
      <c r="GF393" s="1998">
        <v>1.5432201802897829</v>
      </c>
      <c r="GG393" s="1979">
        <v>1.5704039623586721</v>
      </c>
      <c r="GH393" s="1979">
        <v>1.5738544196192992</v>
      </c>
      <c r="GI393" s="1979">
        <v>1.5773048768799265</v>
      </c>
      <c r="GJ393" s="1979">
        <v>1.5807553341405536</v>
      </c>
      <c r="GK393" s="2021">
        <v>1.5876562486618082</v>
      </c>
    </row>
    <row r="394" spans="1:193">
      <c r="A394" s="2020"/>
      <c r="B394" s="2">
        <v>10</v>
      </c>
      <c r="C394" s="2" t="s">
        <v>4336</v>
      </c>
      <c r="D394" s="1998">
        <f>IF(Construction!$F$31=Construction!$R$22,Oeko!BQ394,Oeko!ED394)</f>
        <v>1.0050405760246239</v>
      </c>
      <c r="E394" s="1998">
        <f>IF(Construction!$F$31=Construction!$R$22,Oeko!BR394,Oeko!EE394)</f>
        <v>1.0054643194636441</v>
      </c>
      <c r="F394" s="1998">
        <f>IF(Construction!$F$31=Construction!$R$22,Oeko!BS394,Oeko!EF394)</f>
        <v>1.0059619716420283</v>
      </c>
      <c r="G394" s="1998">
        <f>IF(Construction!$F$31=Construction!$R$22,Oeko!BT394,Oeko!EG394)</f>
        <v>1.0064645510697035</v>
      </c>
      <c r="H394" s="1998">
        <f>IF(Construction!$F$31=Construction!$R$22,Oeko!BU394,Oeko!EH394)</f>
        <v>1.0075239096672539</v>
      </c>
      <c r="I394" s="1979">
        <f>IF(Construction!$F$31=Construction!$R$22,Oeko!BV394,Oeko!EI394)</f>
        <v>1.0048214205452926</v>
      </c>
      <c r="J394" s="1979">
        <f>IF(Construction!$F$31=Construction!$R$22,Oeko!BW394,Oeko!EJ394)</f>
        <v>1.0052267403565291</v>
      </c>
      <c r="K394" s="1979">
        <f>IF(Construction!$F$31=Construction!$R$22,Oeko!BX394,Oeko!EK394)</f>
        <v>1.0057027554836795</v>
      </c>
      <c r="L394" s="1979">
        <f>IF(Construction!$F$31=Construction!$R$22,Oeko!BY394,Oeko!EL394)</f>
        <v>1.0061834836318901</v>
      </c>
      <c r="M394" s="1979">
        <f>IF(Construction!$F$31=Construction!$R$22,Oeko!BZ394,Oeko!EM394)</f>
        <v>1.0071967831599822</v>
      </c>
      <c r="N394" s="1998">
        <f>IF(Construction!$F$31=Construction!$R$22,Oeko!CA394,Oeko!EN394)</f>
        <v>0.76661598752905924</v>
      </c>
      <c r="O394" s="1998">
        <f>IF(Construction!$F$31=Construction!$R$22,Oeko!CB394,Oeko!EO394)</f>
        <v>0.76661598752905924</v>
      </c>
      <c r="P394" s="1998">
        <f>IF(Construction!$F$31=Construction!$R$22,Oeko!CC394,Oeko!EP394)</f>
        <v>0.76661598752905924</v>
      </c>
      <c r="Q394" s="1998">
        <f>IF(Construction!$F$31=Construction!$R$22,Oeko!CD394,Oeko!EQ394)</f>
        <v>0.76661598752905924</v>
      </c>
      <c r="R394" s="1998">
        <f>IF(Construction!$F$31=Construction!$R$22,Oeko!CE394,Oeko!ER394)</f>
        <v>0.76661598752905924</v>
      </c>
      <c r="S394" s="1979">
        <f>IF(Construction!$F$31=Construction!$R$22,Oeko!CF394,Oeko!ES394)</f>
        <v>1.1349377415512525</v>
      </c>
      <c r="T394" s="1979">
        <f>IF(Construction!$F$31=Construction!$R$22,Oeko!CG394,Oeko!ET394)</f>
        <v>1.1349377415512525</v>
      </c>
      <c r="U394" s="1979">
        <f>IF(Construction!$F$31=Construction!$R$22,Oeko!CH394,Oeko!EU394)</f>
        <v>1.1349377415512525</v>
      </c>
      <c r="V394" s="1979">
        <f>IF(Construction!$F$31=Construction!$R$22,Oeko!CI394,Oeko!EV394)</f>
        <v>1.1349377415512525</v>
      </c>
      <c r="W394" s="1979">
        <f>IF(Construction!$F$31=Construction!$R$22,Oeko!CJ394,Oeko!EW394)</f>
        <v>1.1349377415512525</v>
      </c>
      <c r="X394" s="1998">
        <f>IF(Construction!$F$31=Construction!$R$22,Oeko!CK394,Oeko!EX394)</f>
        <v>0.80664724490428208</v>
      </c>
      <c r="Y394" s="1998">
        <f>IF(Construction!$F$31=Construction!$R$22,Oeko!CL394,Oeko!EY394)</f>
        <v>0.80664724490428208</v>
      </c>
      <c r="Z394" s="1998">
        <f>IF(Construction!$F$31=Construction!$R$22,Oeko!CM394,Oeko!EZ394)</f>
        <v>0.80664724490428208</v>
      </c>
      <c r="AA394" s="1998">
        <f>IF(Construction!$F$31=Construction!$R$22,Oeko!CN394,Oeko!FA394)</f>
        <v>0.80664724490428208</v>
      </c>
      <c r="AB394" s="1998">
        <f>IF(Construction!$F$31=Construction!$R$22,Oeko!CO394,Oeko!FB394)</f>
        <v>0.80664724490428208</v>
      </c>
      <c r="AC394" s="1979">
        <f>IF(Construction!$F$31=Construction!$R$22,Oeko!CP394,Oeko!FC394)</f>
        <v>1.0083477029030523</v>
      </c>
      <c r="AD394" s="1979">
        <f>IF(Construction!$F$31=Construction!$R$22,Oeko!CQ394,Oeko!FD394)</f>
        <v>1.0083477029030523</v>
      </c>
      <c r="AE394" s="1979">
        <f>IF(Construction!$F$31=Construction!$R$22,Oeko!CR394,Oeko!FE394)</f>
        <v>1.0083477029030523</v>
      </c>
      <c r="AF394" s="1979">
        <f>IF(Construction!$F$31=Construction!$R$22,Oeko!CS394,Oeko!FF394)</f>
        <v>1.0083477029030523</v>
      </c>
      <c r="AG394" s="1979">
        <f>IF(Construction!$F$31=Construction!$R$22,Oeko!CT394,Oeko!FG394)</f>
        <v>1.0083477029030523</v>
      </c>
      <c r="AH394" s="1998">
        <f>IF(Construction!$F$31=Construction!$R$22,Oeko!CU394,Oeko!FH394)</f>
        <v>1.0096936262971188</v>
      </c>
      <c r="AI394" s="1998">
        <f>IF(Construction!$F$31=Construction!$R$22,Oeko!CV394,Oeko!FI394)</f>
        <v>1.0096936262971188</v>
      </c>
      <c r="AJ394" s="1998">
        <f>IF(Construction!$F$31=Construction!$R$22,Oeko!CW394,Oeko!FJ394)</f>
        <v>1.0096936262971188</v>
      </c>
      <c r="AK394" s="1998">
        <f>IF(Construction!$F$31=Construction!$R$22,Oeko!CX394,Oeko!FK394)</f>
        <v>1.0096936262971188</v>
      </c>
      <c r="AL394" s="1998">
        <f>IF(Construction!$F$31=Construction!$R$22,Oeko!CY394,Oeko!FL394)</f>
        <v>1.0096936262971188</v>
      </c>
      <c r="AM394" s="1979">
        <f>IF(Construction!$F$31=Construction!$R$22,Oeko!CZ394,Oeko!FM394)</f>
        <v>0.89146031317971164</v>
      </c>
      <c r="AN394" s="1979">
        <f>IF(Construction!$F$31=Construction!$R$22,Oeko!DA394,Oeko!FN394)</f>
        <v>0.89167648374570452</v>
      </c>
      <c r="AO394" s="1979">
        <f>IF(Construction!$F$31=Construction!$R$22,Oeko!DB394,Oeko!FO394)</f>
        <v>0.89193035848018454</v>
      </c>
      <c r="AP394" s="1979">
        <f>IF(Construction!$F$31=Construction!$R$22,Oeko!DC394,Oeko!FP394)</f>
        <v>0.89218674682589705</v>
      </c>
      <c r="AQ394" s="1979">
        <f>IF(Construction!$F$31=Construction!$R$22,Oeko!DD394,Oeko!FQ394)</f>
        <v>0.89272717324087936</v>
      </c>
      <c r="AR394" s="1998">
        <f>IF(Construction!$F$31=Construction!$R$22,Oeko!DE394,Oeko!FR394)</f>
        <v>8.1508093471415233</v>
      </c>
      <c r="AS394" s="1998">
        <f>IF(Construction!$F$31=Construction!$R$22,Oeko!DF394,Oeko!FS394)</f>
        <v>8.1508093471415233</v>
      </c>
      <c r="AT394" s="1998">
        <f>IF(Construction!$F$31=Construction!$R$22,Oeko!DG394,Oeko!FT394)</f>
        <v>8.1508093471415233</v>
      </c>
      <c r="AU394" s="1998">
        <f>IF(Construction!$F$31=Construction!$R$22,Oeko!DH394,Oeko!FU394)</f>
        <v>8.1508093471415233</v>
      </c>
      <c r="AV394" s="1998">
        <f>IF(Construction!$F$31=Construction!$R$22,Oeko!DI394,Oeko!FV394)</f>
        <v>8.1508093471415233</v>
      </c>
      <c r="AW394" s="1979">
        <f>IF(Construction!$F$31=Construction!$R$22,Oeko!DJ394,Oeko!FW394)</f>
        <v>8.1360989514682718</v>
      </c>
      <c r="AX394" s="1979">
        <f>IF(Construction!$F$31=Construction!$R$22,Oeko!DK394,Oeko!FX394)</f>
        <v>8.1360989514682718</v>
      </c>
      <c r="AY394" s="1979">
        <f>IF(Construction!$F$31=Construction!$R$22,Oeko!DL394,Oeko!FY394)</f>
        <v>8.1360989514682718</v>
      </c>
      <c r="AZ394" s="1979">
        <f>IF(Construction!$F$31=Construction!$R$22,Oeko!DM394,Oeko!FZ394)</f>
        <v>8.1360989514682718</v>
      </c>
      <c r="BA394" s="1979">
        <f>IF(Construction!$F$31=Construction!$R$22,Oeko!DN394,Oeko!GA394)</f>
        <v>8.1360989514682718</v>
      </c>
      <c r="BB394" s="1998">
        <f>IF(Construction!$F$31=Construction!$R$22,Oeko!DO394,Oeko!GB394)</f>
        <v>0.98542268227001228</v>
      </c>
      <c r="BC394" s="1998">
        <f>IF(Construction!$F$31=Construction!$R$22,Oeko!DP394,Oeko!GC394)</f>
        <v>0.98542268227001228</v>
      </c>
      <c r="BD394" s="1998">
        <f>IF(Construction!$F$31=Construction!$R$22,Oeko!DQ394,Oeko!GD394)</f>
        <v>0.98542268227001228</v>
      </c>
      <c r="BE394" s="1998">
        <f>IF(Construction!$F$31=Construction!$R$22,Oeko!DR394,Oeko!GE394)</f>
        <v>0.98542268227001228</v>
      </c>
      <c r="BF394" s="1998">
        <f>IF(Construction!$F$31=Construction!$R$22,Oeko!DS394,Oeko!GF394)</f>
        <v>0.98542268227001228</v>
      </c>
      <c r="BG394" s="1979">
        <f>IF(Construction!$F$31=Construction!$R$22,Oeko!DT394,Oeko!GG394)</f>
        <v>0.98518107474155125</v>
      </c>
      <c r="BH394" s="1979">
        <f>IF(Construction!$F$31=Construction!$R$22,Oeko!DU394,Oeko!GH394)</f>
        <v>0.98518107474155125</v>
      </c>
      <c r="BI394" s="1979">
        <f>IF(Construction!$F$31=Construction!$R$22,Oeko!DV394,Oeko!GI394)</f>
        <v>0.98518107474155125</v>
      </c>
      <c r="BJ394" s="1979">
        <f>IF(Construction!$F$31=Construction!$R$22,Oeko!DW394,Oeko!GJ394)</f>
        <v>0.98518107474155125</v>
      </c>
      <c r="BK394" s="2021">
        <f>IF(Construction!$F$31=Construction!$R$22,Oeko!DX394,Oeko!GK394)</f>
        <v>0.98518107474155125</v>
      </c>
      <c r="BN394" s="2022"/>
      <c r="BO394" s="2">
        <v>10</v>
      </c>
      <c r="BP394" s="2" t="s">
        <v>4336</v>
      </c>
      <c r="BQ394" s="1998">
        <v>1.0050405760246239</v>
      </c>
      <c r="BR394" s="1998">
        <v>1.0054643194636441</v>
      </c>
      <c r="BS394" s="1998">
        <v>1.0059619716420283</v>
      </c>
      <c r="BT394" s="1998">
        <v>1.0064645510697035</v>
      </c>
      <c r="BU394" s="1998">
        <v>1.0075239096672539</v>
      </c>
      <c r="BV394" s="1979">
        <v>1.0048214205452926</v>
      </c>
      <c r="BW394" s="1979">
        <v>1.0052267403565291</v>
      </c>
      <c r="BX394" s="1979">
        <v>1.0057027554836795</v>
      </c>
      <c r="BY394" s="1979">
        <v>1.0061834836318901</v>
      </c>
      <c r="BZ394" s="1979">
        <v>1.0071967831599822</v>
      </c>
      <c r="CA394" s="1998">
        <v>0.76661598752905924</v>
      </c>
      <c r="CB394" s="1998">
        <v>0.76661598752905924</v>
      </c>
      <c r="CC394" s="1998">
        <v>0.76661598752905924</v>
      </c>
      <c r="CD394" s="1998">
        <v>0.76661598752905924</v>
      </c>
      <c r="CE394" s="1998">
        <v>0.76661598752905924</v>
      </c>
      <c r="CF394" s="1979">
        <v>1.1349377415512525</v>
      </c>
      <c r="CG394" s="1979">
        <v>1.1349377415512525</v>
      </c>
      <c r="CH394" s="1979">
        <v>1.1349377415512525</v>
      </c>
      <c r="CI394" s="1979">
        <v>1.1349377415512525</v>
      </c>
      <c r="CJ394" s="1979">
        <v>1.1349377415512525</v>
      </c>
      <c r="CK394" s="1998">
        <v>0.80664724490428208</v>
      </c>
      <c r="CL394" s="1998">
        <v>0.80664724490428208</v>
      </c>
      <c r="CM394" s="1998">
        <v>0.80664724490428208</v>
      </c>
      <c r="CN394" s="1998">
        <v>0.80664724490428208</v>
      </c>
      <c r="CO394" s="1998">
        <v>0.80664724490428208</v>
      </c>
      <c r="CP394" s="1979">
        <v>1.0083477029030523</v>
      </c>
      <c r="CQ394" s="1979">
        <v>1.0083477029030523</v>
      </c>
      <c r="CR394" s="1979">
        <v>1.0083477029030523</v>
      </c>
      <c r="CS394" s="1979">
        <v>1.0083477029030523</v>
      </c>
      <c r="CT394" s="1979">
        <v>1.0083477029030523</v>
      </c>
      <c r="CU394" s="1998">
        <v>1.0096936262971188</v>
      </c>
      <c r="CV394" s="1998">
        <v>1.0096936262971188</v>
      </c>
      <c r="CW394" s="1998">
        <v>1.0096936262971188</v>
      </c>
      <c r="CX394" s="1998">
        <v>1.0096936262971188</v>
      </c>
      <c r="CY394" s="1998">
        <v>1.0096936262971188</v>
      </c>
      <c r="CZ394" s="1979">
        <v>0.89146031317971164</v>
      </c>
      <c r="DA394" s="1979">
        <v>0.89167648374570452</v>
      </c>
      <c r="DB394" s="1979">
        <v>0.89193035848018454</v>
      </c>
      <c r="DC394" s="1979">
        <v>0.89218674682589705</v>
      </c>
      <c r="DD394" s="1979">
        <v>0.89272717324087936</v>
      </c>
      <c r="DE394" s="1998">
        <v>8.1508093471415233</v>
      </c>
      <c r="DF394" s="1998">
        <v>8.1508093471415233</v>
      </c>
      <c r="DG394" s="1998">
        <v>8.1508093471415233</v>
      </c>
      <c r="DH394" s="1998">
        <v>8.1508093471415233</v>
      </c>
      <c r="DI394" s="1998">
        <v>8.1508093471415233</v>
      </c>
      <c r="DJ394" s="1979">
        <v>8.1360989514682718</v>
      </c>
      <c r="DK394" s="1979">
        <v>8.1360989514682718</v>
      </c>
      <c r="DL394" s="1979">
        <v>8.1360989514682718</v>
      </c>
      <c r="DM394" s="1979">
        <v>8.1360989514682718</v>
      </c>
      <c r="DN394" s="1979">
        <v>8.1360989514682718</v>
      </c>
      <c r="DO394" s="1998">
        <v>0.98542268227001228</v>
      </c>
      <c r="DP394" s="1998">
        <v>0.98542268227001228</v>
      </c>
      <c r="DQ394" s="1998">
        <v>0.98542268227001228</v>
      </c>
      <c r="DR394" s="1998">
        <v>0.98542268227001228</v>
      </c>
      <c r="DS394" s="1998">
        <v>0.98542268227001228</v>
      </c>
      <c r="DT394" s="1979">
        <v>0.98518107474155125</v>
      </c>
      <c r="DU394" s="1979">
        <v>0.98518107474155125</v>
      </c>
      <c r="DV394" s="1979">
        <v>0.98518107474155125</v>
      </c>
      <c r="DW394" s="1979">
        <v>0.98518107474155125</v>
      </c>
      <c r="DX394" s="2021">
        <v>0.98518107474155125</v>
      </c>
      <c r="EA394" s="2022"/>
      <c r="EB394" s="2">
        <v>10</v>
      </c>
      <c r="EC394" s="2" t="s">
        <v>4336</v>
      </c>
      <c r="ED394" s="1998">
        <v>1.3407638479398378</v>
      </c>
      <c r="EE394" s="1998">
        <v>1.3612179308876491</v>
      </c>
      <c r="EF394" s="1998">
        <v>1.3958849857575013</v>
      </c>
      <c r="EG394" s="1998">
        <v>1.4376264994679815</v>
      </c>
      <c r="EH394" s="1998">
        <v>1.4716770054917765</v>
      </c>
      <c r="EI394" s="1979">
        <v>2.0167541725294256</v>
      </c>
      <c r="EJ394" s="1979">
        <v>2.0666462134800283</v>
      </c>
      <c r="EK394" s="1979">
        <v>2.1307480129292218</v>
      </c>
      <c r="EL394" s="1979">
        <v>2.2019240569908134</v>
      </c>
      <c r="EM394" s="1979">
        <v>2.2241459512929196</v>
      </c>
      <c r="EN394" s="1998">
        <v>1.3280310563025208</v>
      </c>
      <c r="EO394" s="1998">
        <v>1.3495762954380277</v>
      </c>
      <c r="EP394" s="1998">
        <v>1.3549626052219039</v>
      </c>
      <c r="EQ394" s="1998">
        <v>1.3603489150057808</v>
      </c>
      <c r="ER394" s="1998">
        <v>1.3657352247896573</v>
      </c>
      <c r="ES394" s="1979">
        <v>1.812817452015683</v>
      </c>
      <c r="ET394" s="1979">
        <v>1.8472814185234563</v>
      </c>
      <c r="EU394" s="1979">
        <v>1.8525835672169595</v>
      </c>
      <c r="EV394" s="1979">
        <v>1.8578857159104631</v>
      </c>
      <c r="EW394" s="1979">
        <v>1.8631878646039668</v>
      </c>
      <c r="EX394" s="1998">
        <v>1.3824959406767254</v>
      </c>
      <c r="EY394" s="1998">
        <v>1.4051184417690077</v>
      </c>
      <c r="EZ394" s="1998">
        <v>1.4107740670420781</v>
      </c>
      <c r="FA394" s="1998">
        <v>1.4164296923151485</v>
      </c>
      <c r="FB394" s="1998">
        <v>1.4220853175882189</v>
      </c>
      <c r="FC394" s="1979">
        <v>1.3952867320022899</v>
      </c>
      <c r="FD394" s="1979">
        <v>1.4141388162458584</v>
      </c>
      <c r="FE394" s="1979">
        <v>1.41885183730675</v>
      </c>
      <c r="FF394" s="1979">
        <v>1.4235648583676423</v>
      </c>
      <c r="FG394" s="1979">
        <v>1.428277879428534</v>
      </c>
      <c r="FH394" s="1998">
        <v>2.4018863832484825</v>
      </c>
      <c r="FI394" s="1998">
        <v>2.4089559148398205</v>
      </c>
      <c r="FJ394" s="1998">
        <v>2.4160254464311586</v>
      </c>
      <c r="FK394" s="1998">
        <v>2.4230949780224966</v>
      </c>
      <c r="FL394" s="1998">
        <v>2.4301645096138347</v>
      </c>
      <c r="FM394" s="1979">
        <v>1.6358662796774084</v>
      </c>
      <c r="FN394" s="1979">
        <v>1.6643605766087537</v>
      </c>
      <c r="FO394" s="1979">
        <v>1.705460633870965</v>
      </c>
      <c r="FP394" s="1979">
        <v>1.752847232825598</v>
      </c>
      <c r="FQ394" s="1979">
        <v>1.7785237715653379</v>
      </c>
      <c r="FR394" s="1998">
        <v>19.289310934372921</v>
      </c>
      <c r="FS394" s="1998">
        <v>19.346212602762353</v>
      </c>
      <c r="FT394" s="1998">
        <v>19.403114271151782</v>
      </c>
      <c r="FU394" s="1998">
        <v>19.460015939541215</v>
      </c>
      <c r="FV394" s="1998">
        <v>19.516917607930647</v>
      </c>
      <c r="FW394" s="1979">
        <v>19.593256281663834</v>
      </c>
      <c r="FX394" s="1979">
        <v>19.65004516558054</v>
      </c>
      <c r="FY394" s="1979">
        <v>19.706834049497246</v>
      </c>
      <c r="FZ394" s="1979">
        <v>19.763622933413952</v>
      </c>
      <c r="GA394" s="1979">
        <v>19.820411817330658</v>
      </c>
      <c r="GB394" s="1998">
        <v>1.5274150784297034</v>
      </c>
      <c r="GC394" s="1998">
        <v>1.5308782886288066</v>
      </c>
      <c r="GD394" s="1998">
        <v>1.5343414988279103</v>
      </c>
      <c r="GE394" s="1998">
        <v>1.5378047090270137</v>
      </c>
      <c r="GF394" s="1998">
        <v>1.5447311294252206</v>
      </c>
      <c r="GG394" s="1979">
        <v>1.5717588090481804</v>
      </c>
      <c r="GH394" s="1979">
        <v>1.5752092663088078</v>
      </c>
      <c r="GI394" s="1979">
        <v>1.5786597235694353</v>
      </c>
      <c r="GJ394" s="1979">
        <v>1.5821101808300622</v>
      </c>
      <c r="GK394" s="2021">
        <v>1.5890110953513168</v>
      </c>
    </row>
    <row r="395" spans="1:193">
      <c r="A395" s="2020"/>
      <c r="B395" s="2">
        <v>11</v>
      </c>
      <c r="C395" s="2" t="s">
        <v>4337</v>
      </c>
      <c r="D395" s="1998">
        <f>IF(Construction!$F$31=Construction!$R$22,Oeko!BQ395,Oeko!ED395)</f>
        <v>0.97712278224616211</v>
      </c>
      <c r="E395" s="1998">
        <f>IF(Construction!$F$31=Construction!$R$22,Oeko!BR395,Oeko!EE395)</f>
        <v>0.97753475503409837</v>
      </c>
      <c r="F395" s="1998">
        <f>IF(Construction!$F$31=Construction!$R$22,Oeko!BS395,Oeko!EF395)</f>
        <v>0.9780185835408608</v>
      </c>
      <c r="G395" s="1998">
        <f>IF(Construction!$F$31=Construction!$R$22,Oeko!BT395,Oeko!EG395)</f>
        <v>0.97850720242887834</v>
      </c>
      <c r="H395" s="1998">
        <f>IF(Construction!$F$31=Construction!$R$22,Oeko!BU395,Oeko!EH395)</f>
        <v>0.97953713439871903</v>
      </c>
      <c r="I395" s="1979">
        <f>IF(Construction!$F$31=Construction!$R$22,Oeko!BV395,Oeko!EI395)</f>
        <v>1.0058702360535219</v>
      </c>
      <c r="J395" s="1979">
        <f>IF(Construction!$F$31=Construction!$R$22,Oeko!BW395,Oeko!EJ395)</f>
        <v>1.0063637260834366</v>
      </c>
      <c r="K395" s="1979">
        <f>IF(Construction!$F$31=Construction!$R$22,Oeko!BX395,Oeko!EK395)</f>
        <v>1.0069432899557782</v>
      </c>
      <c r="L395" s="1979">
        <f>IF(Construction!$F$31=Construction!$R$22,Oeko!BY395,Oeko!EL395)</f>
        <v>1.007528592084282</v>
      </c>
      <c r="M395" s="1979">
        <f>IF(Construction!$F$31=Construction!$R$22,Oeko!BZ395,Oeko!EM395)</f>
        <v>1.0087623171590694</v>
      </c>
      <c r="N395" s="1998">
        <f>IF(Construction!$F$31=Construction!$R$22,Oeko!CA395,Oeko!EN395)</f>
        <v>0.76708711009148911</v>
      </c>
      <c r="O395" s="1998">
        <f>IF(Construction!$F$31=Construction!$R$22,Oeko!CB395,Oeko!EO395)</f>
        <v>0.76708711009148911</v>
      </c>
      <c r="P395" s="1998">
        <f>IF(Construction!$F$31=Construction!$R$22,Oeko!CC395,Oeko!EP395)</f>
        <v>0.76708711009148911</v>
      </c>
      <c r="Q395" s="1998">
        <f>IF(Construction!$F$31=Construction!$R$22,Oeko!CD395,Oeko!EQ395)</f>
        <v>0.76708711009148911</v>
      </c>
      <c r="R395" s="1998">
        <f>IF(Construction!$F$31=Construction!$R$22,Oeko!CE395,Oeko!ER395)</f>
        <v>0.76708711009148911</v>
      </c>
      <c r="S395" s="1979">
        <f>IF(Construction!$F$31=Construction!$R$22,Oeko!CF395,Oeko!ES395)</f>
        <v>1.0097169028501134</v>
      </c>
      <c r="T395" s="1979">
        <f>IF(Construction!$F$31=Construction!$R$22,Oeko!CG395,Oeko!ET395)</f>
        <v>1.0097169028501134</v>
      </c>
      <c r="U395" s="1979">
        <f>IF(Construction!$F$31=Construction!$R$22,Oeko!CH395,Oeko!EU395)</f>
        <v>1.0097169028501134</v>
      </c>
      <c r="V395" s="1979">
        <f>IF(Construction!$F$31=Construction!$R$22,Oeko!CI395,Oeko!EV395)</f>
        <v>1.0097169028501134</v>
      </c>
      <c r="W395" s="1979">
        <f>IF(Construction!$F$31=Construction!$R$22,Oeko!CJ395,Oeko!EW395)</f>
        <v>1.0097169028501134</v>
      </c>
      <c r="X395" s="1998">
        <f>IF(Construction!$F$31=Construction!$R$22,Oeko!CK395,Oeko!EX395)</f>
        <v>0.80759685131917947</v>
      </c>
      <c r="Y395" s="1998">
        <f>IF(Construction!$F$31=Construction!$R$22,Oeko!CL395,Oeko!EY395)</f>
        <v>0.80759685131917947</v>
      </c>
      <c r="Z395" s="1998">
        <f>IF(Construction!$F$31=Construction!$R$22,Oeko!CM395,Oeko!EZ395)</f>
        <v>0.80759685131917947</v>
      </c>
      <c r="AA395" s="1998">
        <f>IF(Construction!$F$31=Construction!$R$22,Oeko!CN395,Oeko!FA395)</f>
        <v>0.80759685131917947</v>
      </c>
      <c r="AB395" s="1998">
        <f>IF(Construction!$F$31=Construction!$R$22,Oeko!CO395,Oeko!FB395)</f>
        <v>0.80759685131917947</v>
      </c>
      <c r="AC395" s="1979">
        <f>IF(Construction!$F$31=Construction!$R$22,Oeko!CP395,Oeko!FC395)</f>
        <v>1.0074201803582687</v>
      </c>
      <c r="AD395" s="1979">
        <f>IF(Construction!$F$31=Construction!$R$22,Oeko!CQ395,Oeko!FD395)</f>
        <v>1.0074201803582687</v>
      </c>
      <c r="AE395" s="1979">
        <f>IF(Construction!$F$31=Construction!$R$22,Oeko!CR395,Oeko!FE395)</f>
        <v>1.0074201803582687</v>
      </c>
      <c r="AF395" s="1979">
        <f>IF(Construction!$F$31=Construction!$R$22,Oeko!CS395,Oeko!FF395)</f>
        <v>1.0074201803582687</v>
      </c>
      <c r="AG395" s="1979">
        <f>IF(Construction!$F$31=Construction!$R$22,Oeko!CT395,Oeko!FG395)</f>
        <v>1.0074201803582687</v>
      </c>
      <c r="AH395" s="1998">
        <f>IF(Construction!$F$31=Construction!$R$22,Oeko!CU395,Oeko!FH395)</f>
        <v>1.0111036083039722</v>
      </c>
      <c r="AI395" s="1998">
        <f>IF(Construction!$F$31=Construction!$R$22,Oeko!CV395,Oeko!FI395)</f>
        <v>1.0111036083039722</v>
      </c>
      <c r="AJ395" s="1998">
        <f>IF(Construction!$F$31=Construction!$R$22,Oeko!CW395,Oeko!FJ395)</f>
        <v>1.0111036083039722</v>
      </c>
      <c r="AK395" s="1998">
        <f>IF(Construction!$F$31=Construction!$R$22,Oeko!CX395,Oeko!FK395)</f>
        <v>1.0111036083039722</v>
      </c>
      <c r="AL395" s="1998">
        <f>IF(Construction!$F$31=Construction!$R$22,Oeko!CY395,Oeko!FL395)</f>
        <v>1.0111036083039722</v>
      </c>
      <c r="AM395" s="1979">
        <f>IF(Construction!$F$31=Construction!$R$22,Oeko!CZ395,Oeko!FM395)</f>
        <v>0.89210316925241728</v>
      </c>
      <c r="AN395" s="1979">
        <f>IF(Construction!$F$31=Construction!$R$22,Oeko!DA395,Oeko!FN395)</f>
        <v>0.89237338245990838</v>
      </c>
      <c r="AO395" s="1979">
        <f>IF(Construction!$F$31=Construction!$R$22,Oeko!DB395,Oeko!FO395)</f>
        <v>0.89269072587800857</v>
      </c>
      <c r="AP395" s="1979">
        <f>IF(Construction!$F$31=Construction!$R$22,Oeko!DC395,Oeko!FP395)</f>
        <v>0.89301121131014904</v>
      </c>
      <c r="AQ395" s="1979">
        <f>IF(Construction!$F$31=Construction!$R$22,Oeko!DD395,Oeko!FQ395)</f>
        <v>0.89368674432887707</v>
      </c>
      <c r="AR395" s="1998">
        <f>IF(Construction!$F$31=Construction!$R$22,Oeko!DE395,Oeko!FR395)</f>
        <v>8.1739797065097015</v>
      </c>
      <c r="AS395" s="1998">
        <f>IF(Construction!$F$31=Construction!$R$22,Oeko!DF395,Oeko!FS395)</f>
        <v>8.1739797065097015</v>
      </c>
      <c r="AT395" s="1998">
        <f>IF(Construction!$F$31=Construction!$R$22,Oeko!DG395,Oeko!FT395)</f>
        <v>8.1739797065097015</v>
      </c>
      <c r="AU395" s="1998">
        <f>IF(Construction!$F$31=Construction!$R$22,Oeko!DH395,Oeko!FU395)</f>
        <v>8.1739797065097015</v>
      </c>
      <c r="AV395" s="1998">
        <f>IF(Construction!$F$31=Construction!$R$22,Oeko!DI395,Oeko!FV395)</f>
        <v>8.1739797065097015</v>
      </c>
      <c r="AW395" s="1979">
        <f>IF(Construction!$F$31=Construction!$R$22,Oeko!DJ395,Oeko!FW395)</f>
        <v>8.1557547199695239</v>
      </c>
      <c r="AX395" s="1979">
        <f>IF(Construction!$F$31=Construction!$R$22,Oeko!DK395,Oeko!FX395)</f>
        <v>8.1557547199695239</v>
      </c>
      <c r="AY395" s="1979">
        <f>IF(Construction!$F$31=Construction!$R$22,Oeko!DL395,Oeko!FY395)</f>
        <v>8.1557547199695239</v>
      </c>
      <c r="AZ395" s="1979">
        <f>IF(Construction!$F$31=Construction!$R$22,Oeko!DM395,Oeko!FZ395)</f>
        <v>8.1557547199695239</v>
      </c>
      <c r="BA395" s="1979">
        <f>IF(Construction!$F$31=Construction!$R$22,Oeko!DN395,Oeko!GA395)</f>
        <v>8.1557547199695239</v>
      </c>
      <c r="BB395" s="1998">
        <f>IF(Construction!$F$31=Construction!$R$22,Oeko!DO395,Oeko!GB395)</f>
        <v>0.98731136868930891</v>
      </c>
      <c r="BC395" s="1998">
        <f>IF(Construction!$F$31=Construction!$R$22,Oeko!DP395,Oeko!GC395)</f>
        <v>0.98731136868930891</v>
      </c>
      <c r="BD395" s="1998">
        <f>IF(Construction!$F$31=Construction!$R$22,Oeko!DQ395,Oeko!GD395)</f>
        <v>0.98731136868930891</v>
      </c>
      <c r="BE395" s="1998">
        <f>IF(Construction!$F$31=Construction!$R$22,Oeko!DR395,Oeko!GE395)</f>
        <v>0.98731136868930891</v>
      </c>
      <c r="BF395" s="1998">
        <f>IF(Construction!$F$31=Construction!$R$22,Oeko!DS395,Oeko!GF395)</f>
        <v>0.98731136868930891</v>
      </c>
      <c r="BG395" s="1979">
        <f>IF(Construction!$F$31=Construction!$R$22,Oeko!DT395,Oeko!GG395)</f>
        <v>0.9864230175402674</v>
      </c>
      <c r="BH395" s="1979">
        <f>IF(Construction!$F$31=Construction!$R$22,Oeko!DU395,Oeko!GH395)</f>
        <v>0.9864230175402674</v>
      </c>
      <c r="BI395" s="1979">
        <f>IF(Construction!$F$31=Construction!$R$22,Oeko!DV395,Oeko!GI395)</f>
        <v>0.9864230175402674</v>
      </c>
      <c r="BJ395" s="1979">
        <f>IF(Construction!$F$31=Construction!$R$22,Oeko!DW395,Oeko!GJ395)</f>
        <v>0.9864230175402674</v>
      </c>
      <c r="BK395" s="2021">
        <f>IF(Construction!$F$31=Construction!$R$22,Oeko!DX395,Oeko!GK395)</f>
        <v>0.9864230175402674</v>
      </c>
      <c r="BN395" s="2022"/>
      <c r="BO395" s="2">
        <v>11</v>
      </c>
      <c r="BP395" s="2" t="s">
        <v>4337</v>
      </c>
      <c r="BQ395" s="1998">
        <v>0.97712278224616211</v>
      </c>
      <c r="BR395" s="1998">
        <v>0.97753475503409837</v>
      </c>
      <c r="BS395" s="1998">
        <v>0.9780185835408608</v>
      </c>
      <c r="BT395" s="1998">
        <v>0.97850720242887834</v>
      </c>
      <c r="BU395" s="1998">
        <v>0.97953713439871903</v>
      </c>
      <c r="BV395" s="1979">
        <v>1.0058702360535219</v>
      </c>
      <c r="BW395" s="1979">
        <v>1.0063637260834366</v>
      </c>
      <c r="BX395" s="1979">
        <v>1.0069432899557782</v>
      </c>
      <c r="BY395" s="1979">
        <v>1.007528592084282</v>
      </c>
      <c r="BZ395" s="1979">
        <v>1.0087623171590694</v>
      </c>
      <c r="CA395" s="1998">
        <v>0.76708711009148911</v>
      </c>
      <c r="CB395" s="1998">
        <v>0.76708711009148911</v>
      </c>
      <c r="CC395" s="1998">
        <v>0.76708711009148911</v>
      </c>
      <c r="CD395" s="1998">
        <v>0.76708711009148911</v>
      </c>
      <c r="CE395" s="1998">
        <v>0.76708711009148911</v>
      </c>
      <c r="CF395" s="1979">
        <v>1.0097169028501134</v>
      </c>
      <c r="CG395" s="1979">
        <v>1.0097169028501134</v>
      </c>
      <c r="CH395" s="1979">
        <v>1.0097169028501134</v>
      </c>
      <c r="CI395" s="1979">
        <v>1.0097169028501134</v>
      </c>
      <c r="CJ395" s="1979">
        <v>1.0097169028501134</v>
      </c>
      <c r="CK395" s="1998">
        <v>0.80759685131917947</v>
      </c>
      <c r="CL395" s="1998">
        <v>0.80759685131917947</v>
      </c>
      <c r="CM395" s="1998">
        <v>0.80759685131917947</v>
      </c>
      <c r="CN395" s="1998">
        <v>0.80759685131917947</v>
      </c>
      <c r="CO395" s="1998">
        <v>0.80759685131917947</v>
      </c>
      <c r="CP395" s="1979">
        <v>1.0074201803582687</v>
      </c>
      <c r="CQ395" s="1979">
        <v>1.0074201803582687</v>
      </c>
      <c r="CR395" s="1979">
        <v>1.0074201803582687</v>
      </c>
      <c r="CS395" s="1979">
        <v>1.0074201803582687</v>
      </c>
      <c r="CT395" s="1979">
        <v>1.0074201803582687</v>
      </c>
      <c r="CU395" s="1998">
        <v>1.0111036083039722</v>
      </c>
      <c r="CV395" s="1998">
        <v>1.0111036083039722</v>
      </c>
      <c r="CW395" s="1998">
        <v>1.0111036083039722</v>
      </c>
      <c r="CX395" s="1998">
        <v>1.0111036083039722</v>
      </c>
      <c r="CY395" s="1998">
        <v>1.0111036083039722</v>
      </c>
      <c r="CZ395" s="1979">
        <v>0.89210316925241728</v>
      </c>
      <c r="DA395" s="1979">
        <v>0.89237338245990838</v>
      </c>
      <c r="DB395" s="1979">
        <v>0.89269072587800857</v>
      </c>
      <c r="DC395" s="1979">
        <v>0.89301121131014904</v>
      </c>
      <c r="DD395" s="1979">
        <v>0.89368674432887707</v>
      </c>
      <c r="DE395" s="1998">
        <v>8.1739797065097015</v>
      </c>
      <c r="DF395" s="1998">
        <v>8.1739797065097015</v>
      </c>
      <c r="DG395" s="1998">
        <v>8.1739797065097015</v>
      </c>
      <c r="DH395" s="1998">
        <v>8.1739797065097015</v>
      </c>
      <c r="DI395" s="1998">
        <v>8.1739797065097015</v>
      </c>
      <c r="DJ395" s="1979">
        <v>8.1557547199695239</v>
      </c>
      <c r="DK395" s="1979">
        <v>8.1557547199695239</v>
      </c>
      <c r="DL395" s="1979">
        <v>8.1557547199695239</v>
      </c>
      <c r="DM395" s="1979">
        <v>8.1557547199695239</v>
      </c>
      <c r="DN395" s="1979">
        <v>8.1557547199695239</v>
      </c>
      <c r="DO395" s="1998">
        <v>0.98731136868930891</v>
      </c>
      <c r="DP395" s="1998">
        <v>0.98731136868930891</v>
      </c>
      <c r="DQ395" s="1998">
        <v>0.98731136868930891</v>
      </c>
      <c r="DR395" s="1998">
        <v>0.98731136868930891</v>
      </c>
      <c r="DS395" s="1998">
        <v>0.98731136868930891</v>
      </c>
      <c r="DT395" s="1979">
        <v>0.9864230175402674</v>
      </c>
      <c r="DU395" s="1979">
        <v>0.9864230175402674</v>
      </c>
      <c r="DV395" s="1979">
        <v>0.9864230175402674</v>
      </c>
      <c r="DW395" s="1979">
        <v>0.9864230175402674</v>
      </c>
      <c r="DX395" s="2021">
        <v>0.9864230175402674</v>
      </c>
      <c r="EA395" s="2022"/>
      <c r="EB395" s="2">
        <v>11</v>
      </c>
      <c r="EC395" s="2" t="s">
        <v>4337</v>
      </c>
      <c r="ED395" s="1998">
        <v>1.3266042552557451</v>
      </c>
      <c r="EE395" s="1998">
        <v>1.3476356951850839</v>
      </c>
      <c r="EF395" s="1998">
        <v>1.3824853022608512</v>
      </c>
      <c r="EG395" s="1998">
        <v>1.424212855431674</v>
      </c>
      <c r="EH395" s="1998">
        <v>1.4568593036849988</v>
      </c>
      <c r="EI395" s="1979">
        <v>2.0261872688807845</v>
      </c>
      <c r="EJ395" s="1979">
        <v>2.0761674800500658</v>
      </c>
      <c r="EK395" s="1979">
        <v>2.140372828244451</v>
      </c>
      <c r="EL395" s="1979">
        <v>2.2116534462863346</v>
      </c>
      <c r="EM395" s="1979">
        <v>2.2340957661351362</v>
      </c>
      <c r="EN395" s="1998">
        <v>1.3386015097097193</v>
      </c>
      <c r="EO395" s="1998">
        <v>1.3601467488452259</v>
      </c>
      <c r="EP395" s="1998">
        <v>1.3655330586291026</v>
      </c>
      <c r="EQ395" s="1998">
        <v>1.3709193684129795</v>
      </c>
      <c r="ER395" s="1998">
        <v>1.3763056781968557</v>
      </c>
      <c r="ES395" s="1979">
        <v>1.7808260611753151</v>
      </c>
      <c r="ET395" s="1979">
        <v>1.8091041875406673</v>
      </c>
      <c r="EU395" s="1979">
        <v>1.8161737191320053</v>
      </c>
      <c r="EV395" s="1979">
        <v>1.8232432507233436</v>
      </c>
      <c r="EW395" s="1979">
        <v>1.8303127823146816</v>
      </c>
      <c r="EX395" s="1998">
        <v>1.3967009188253818</v>
      </c>
      <c r="EY395" s="1998">
        <v>1.4193234199176636</v>
      </c>
      <c r="EZ395" s="1998">
        <v>1.4249790451907343</v>
      </c>
      <c r="FA395" s="1998">
        <v>1.4306346704638044</v>
      </c>
      <c r="FB395" s="1998">
        <v>1.4362902957368751</v>
      </c>
      <c r="FC395" s="1979">
        <v>1.4450241858620958</v>
      </c>
      <c r="FD395" s="1979">
        <v>1.4556284832491029</v>
      </c>
      <c r="FE395" s="1979">
        <v>1.4626980148404414</v>
      </c>
      <c r="FF395" s="1979">
        <v>1.4697675464317794</v>
      </c>
      <c r="FG395" s="1979">
        <v>1.4768370780231175</v>
      </c>
      <c r="FH395" s="1998">
        <v>2.4214751607759197</v>
      </c>
      <c r="FI395" s="1998">
        <v>2.4285446923672578</v>
      </c>
      <c r="FJ395" s="1998">
        <v>2.4356142239585958</v>
      </c>
      <c r="FK395" s="1998">
        <v>2.4426837555499339</v>
      </c>
      <c r="FL395" s="1998">
        <v>2.4497532871412724</v>
      </c>
      <c r="FM395" s="1979">
        <v>1.6568693867331676</v>
      </c>
      <c r="FN395" s="1979">
        <v>1.6854177263060111</v>
      </c>
      <c r="FO395" s="1979">
        <v>1.7265812522518424</v>
      </c>
      <c r="FP395" s="1979">
        <v>1.7740319482929034</v>
      </c>
      <c r="FQ395" s="1979">
        <v>1.7998435936363892</v>
      </c>
      <c r="FR395" s="1998">
        <v>19.52586255020147</v>
      </c>
      <c r="FS395" s="1998">
        <v>19.582764218590903</v>
      </c>
      <c r="FT395" s="1998">
        <v>19.639665886980332</v>
      </c>
      <c r="FU395" s="1998">
        <v>19.696567555369768</v>
      </c>
      <c r="FV395" s="1998">
        <v>19.753469223759197</v>
      </c>
      <c r="FW395" s="1979">
        <v>19.783278701915204</v>
      </c>
      <c r="FX395" s="1979">
        <v>19.84006758583191</v>
      </c>
      <c r="FY395" s="1979">
        <v>19.89685646974862</v>
      </c>
      <c r="FZ395" s="1979">
        <v>19.953645353665323</v>
      </c>
      <c r="GA395" s="1979">
        <v>20.010434237582032</v>
      </c>
      <c r="GB395" s="1998">
        <v>1.529303764849</v>
      </c>
      <c r="GC395" s="1998">
        <v>1.5327669750481032</v>
      </c>
      <c r="GD395" s="1998">
        <v>1.5362301852472069</v>
      </c>
      <c r="GE395" s="1998">
        <v>1.5396933954463103</v>
      </c>
      <c r="GF395" s="1998">
        <v>1.5466198158445172</v>
      </c>
      <c r="GG395" s="1979">
        <v>1.5730007518468969</v>
      </c>
      <c r="GH395" s="1979">
        <v>1.576451209107524</v>
      </c>
      <c r="GI395" s="1979">
        <v>1.5799016663681515</v>
      </c>
      <c r="GJ395" s="1979">
        <v>1.5833521236287786</v>
      </c>
      <c r="GK395" s="2021">
        <v>1.590253038150033</v>
      </c>
    </row>
    <row r="396" spans="1:193">
      <c r="A396" s="2020"/>
      <c r="B396" s="2">
        <v>12</v>
      </c>
      <c r="C396" s="2" t="s">
        <v>4338</v>
      </c>
      <c r="D396" s="1998">
        <f>IF(Construction!$F$31=Construction!$R$22,Oeko!BQ396,Oeko!ED396)</f>
        <v>0.93873332434406098</v>
      </c>
      <c r="E396" s="1998">
        <f>IF(Construction!$F$31=Construction!$R$22,Oeko!BR396,Oeko!EE396)</f>
        <v>0.93918728253264605</v>
      </c>
      <c r="F396" s="1998">
        <f>IF(Construction!$F$31=Construction!$R$22,Oeko!BS396,Oeko!EF396)</f>
        <v>0.93972041947505414</v>
      </c>
      <c r="G396" s="1998">
        <f>IF(Construction!$F$31=Construction!$R$22,Oeko!BT396,Oeko!EG396)</f>
        <v>0.94025883500105045</v>
      </c>
      <c r="H396" s="1998">
        <f>IF(Construction!$F$31=Construction!$R$22,Oeko!BU396,Oeko!EH396)</f>
        <v>0.9413937304725134</v>
      </c>
      <c r="I396" s="1979">
        <f>IF(Construction!$F$31=Construction!$R$22,Oeko!BV396,Oeko!EI396)</f>
        <v>1.0063976541850996</v>
      </c>
      <c r="J396" s="1979">
        <f>IF(Construction!$F$31=Construction!$R$22,Oeko!BW396,Oeko!EJ396)</f>
        <v>1.0069354823961638</v>
      </c>
      <c r="K396" s="1979">
        <f>IF(Construction!$F$31=Construction!$R$22,Oeko!BX396,Oeko!EK396)</f>
        <v>1.0075671178533436</v>
      </c>
      <c r="L396" s="1979">
        <f>IF(Construction!$F$31=Construction!$R$22,Oeko!BY396,Oeko!EL396)</f>
        <v>1.0082050071269313</v>
      </c>
      <c r="M396" s="1979">
        <f>IF(Construction!$F$31=Construction!$R$22,Oeko!BZ396,Oeko!EM396)</f>
        <v>1.0095495776545915</v>
      </c>
      <c r="N396" s="1998">
        <f>IF(Construction!$F$31=Construction!$R$22,Oeko!CA396,Oeko!EN396)</f>
        <v>0.57531533256861678</v>
      </c>
      <c r="O396" s="1998">
        <f>IF(Construction!$F$31=Construction!$R$22,Oeko!CB396,Oeko!EO396)</f>
        <v>0.57531533256861678</v>
      </c>
      <c r="P396" s="1998">
        <f>IF(Construction!$F$31=Construction!$R$22,Oeko!CC396,Oeko!EP396)</f>
        <v>0.57531533256861678</v>
      </c>
      <c r="Q396" s="1998">
        <f>IF(Construction!$F$31=Construction!$R$22,Oeko!CD396,Oeko!EQ396)</f>
        <v>0.57531533256861678</v>
      </c>
      <c r="R396" s="1998">
        <f>IF(Construction!$F$31=Construction!$R$22,Oeko!CE396,Oeko!ER396)</f>
        <v>0.57531533256861678</v>
      </c>
      <c r="S396" s="1979">
        <f>IF(Construction!$F$31=Construction!$R$22,Oeko!CF396,Oeko!ES396)</f>
        <v>0.75894396739612724</v>
      </c>
      <c r="T396" s="1979">
        <f>IF(Construction!$F$31=Construction!$R$22,Oeko!CG396,Oeko!ET396)</f>
        <v>0.75894396739612724</v>
      </c>
      <c r="U396" s="1979">
        <f>IF(Construction!$F$31=Construction!$R$22,Oeko!CH396,Oeko!EU396)</f>
        <v>0.75894396739612724</v>
      </c>
      <c r="V396" s="1979">
        <f>IF(Construction!$F$31=Construction!$R$22,Oeko!CI396,Oeko!EV396)</f>
        <v>0.75894396739612724</v>
      </c>
      <c r="W396" s="1979">
        <f>IF(Construction!$F$31=Construction!$R$22,Oeko!CJ396,Oeko!EW396)</f>
        <v>0.75894396739612724</v>
      </c>
      <c r="X396" s="1998">
        <f>IF(Construction!$F$31=Construction!$R$22,Oeko!CK396,Oeko!EX396)</f>
        <v>0.60683716618726169</v>
      </c>
      <c r="Y396" s="1998">
        <f>IF(Construction!$F$31=Construction!$R$22,Oeko!CL396,Oeko!EY396)</f>
        <v>0.60683716618726169</v>
      </c>
      <c r="Z396" s="1998">
        <f>IF(Construction!$F$31=Construction!$R$22,Oeko!CM396,Oeko!EZ396)</f>
        <v>0.60683716618726169</v>
      </c>
      <c r="AA396" s="1998">
        <f>IF(Construction!$F$31=Construction!$R$22,Oeko!CN396,Oeko!FA396)</f>
        <v>0.60683716618726169</v>
      </c>
      <c r="AB396" s="1998">
        <f>IF(Construction!$F$31=Construction!$R$22,Oeko!CO396,Oeko!FB396)</f>
        <v>0.60683716618726169</v>
      </c>
      <c r="AC396" s="1979">
        <f>IF(Construction!$F$31=Construction!$R$22,Oeko!CP396,Oeko!FC396)</f>
        <v>1.0107929896120271</v>
      </c>
      <c r="AD396" s="1979">
        <f>IF(Construction!$F$31=Construction!$R$22,Oeko!CQ396,Oeko!FD396)</f>
        <v>1.0107929896120271</v>
      </c>
      <c r="AE396" s="1979">
        <f>IF(Construction!$F$31=Construction!$R$22,Oeko!CR396,Oeko!FE396)</f>
        <v>1.0107929896120271</v>
      </c>
      <c r="AF396" s="1979">
        <f>IF(Construction!$F$31=Construction!$R$22,Oeko!CS396,Oeko!FF396)</f>
        <v>1.0107929896120271</v>
      </c>
      <c r="AG396" s="1979">
        <f>IF(Construction!$F$31=Construction!$R$22,Oeko!CT396,Oeko!FG396)</f>
        <v>1.0107929896120271</v>
      </c>
      <c r="AH396" s="1998">
        <f>IF(Construction!$F$31=Construction!$R$22,Oeko!CU396,Oeko!FH396)</f>
        <v>1.0172722795839573</v>
      </c>
      <c r="AI396" s="1998">
        <f>IF(Construction!$F$31=Construction!$R$22,Oeko!CV396,Oeko!FI396)</f>
        <v>1.0172722795839573</v>
      </c>
      <c r="AJ396" s="1998">
        <f>IF(Construction!$F$31=Construction!$R$22,Oeko!CW396,Oeko!FJ396)</f>
        <v>1.0172722795839573</v>
      </c>
      <c r="AK396" s="1998">
        <f>IF(Construction!$F$31=Construction!$R$22,Oeko!CX396,Oeko!FK396)</f>
        <v>1.0172722795839573</v>
      </c>
      <c r="AL396" s="1998">
        <f>IF(Construction!$F$31=Construction!$R$22,Oeko!CY396,Oeko!FL396)</f>
        <v>1.0172722795839573</v>
      </c>
      <c r="AM396" s="1979">
        <f>IF(Construction!$F$31=Construction!$R$22,Oeko!CZ396,Oeko!FM396)</f>
        <v>0.89302153507056825</v>
      </c>
      <c r="AN396" s="1979">
        <f>IF(Construction!$F$31=Construction!$R$22,Oeko!DA396,Oeko!FN396)</f>
        <v>0.89336895205162825</v>
      </c>
      <c r="AO396" s="1979">
        <f>IF(Construction!$F$31=Construction!$R$22,Oeko!DB396,Oeko!FO396)</f>
        <v>0.89377696501775694</v>
      </c>
      <c r="AP396" s="1979">
        <f>IF(Construction!$F$31=Construction!$R$22,Oeko!DC396,Oeko!FP396)</f>
        <v>0.8941890177162235</v>
      </c>
      <c r="AQ396" s="1979">
        <f>IF(Construction!$F$31=Construction!$R$22,Oeko!DD396,Oeko!FQ396)</f>
        <v>0.89505756016887372</v>
      </c>
      <c r="AR396" s="1998">
        <f>IF(Construction!$F$31=Construction!$R$22,Oeko!DE396,Oeko!FR396)</f>
        <v>8.2342226408669621</v>
      </c>
      <c r="AS396" s="1998">
        <f>IF(Construction!$F$31=Construction!$R$22,Oeko!DF396,Oeko!FS396)</f>
        <v>8.2342226408669621</v>
      </c>
      <c r="AT396" s="1998">
        <f>IF(Construction!$F$31=Construction!$R$22,Oeko!DG396,Oeko!FT396)</f>
        <v>8.2342226408669621</v>
      </c>
      <c r="AU396" s="1998">
        <f>IF(Construction!$F$31=Construction!$R$22,Oeko!DH396,Oeko!FU396)</f>
        <v>8.2342226408669621</v>
      </c>
      <c r="AV396" s="1998">
        <f>IF(Construction!$F$31=Construction!$R$22,Oeko!DI396,Oeko!FV396)</f>
        <v>8.2342226408669621</v>
      </c>
      <c r="AW396" s="1979">
        <f>IF(Construction!$F$31=Construction!$R$22,Oeko!DJ396,Oeko!FW396)</f>
        <v>8.2294638518492125</v>
      </c>
      <c r="AX396" s="1979">
        <f>IF(Construction!$F$31=Construction!$R$22,Oeko!DK396,Oeko!FX396)</f>
        <v>8.2294638518492125</v>
      </c>
      <c r="AY396" s="1979">
        <f>IF(Construction!$F$31=Construction!$R$22,Oeko!DL396,Oeko!FY396)</f>
        <v>8.2294638518492125</v>
      </c>
      <c r="AZ396" s="1979">
        <f>IF(Construction!$F$31=Construction!$R$22,Oeko!DM396,Oeko!FZ396)</f>
        <v>8.2294638518492125</v>
      </c>
      <c r="BA396" s="1979">
        <f>IF(Construction!$F$31=Construction!$R$22,Oeko!DN396,Oeko!GA396)</f>
        <v>8.2294638518492125</v>
      </c>
      <c r="BB396" s="1998">
        <f>IF(Construction!$F$31=Construction!$R$22,Oeko!DO396,Oeko!GB396)</f>
        <v>0.98328217099480908</v>
      </c>
      <c r="BC396" s="1998">
        <f>IF(Construction!$F$31=Construction!$R$22,Oeko!DP396,Oeko!GC396)</f>
        <v>0.98328217099480908</v>
      </c>
      <c r="BD396" s="1998">
        <f>IF(Construction!$F$31=Construction!$R$22,Oeko!DQ396,Oeko!GD396)</f>
        <v>0.98328217099480908</v>
      </c>
      <c r="BE396" s="1998">
        <f>IF(Construction!$F$31=Construction!$R$22,Oeko!DR396,Oeko!GE396)</f>
        <v>0.98328217099480908</v>
      </c>
      <c r="BF396" s="1998">
        <f>IF(Construction!$F$31=Construction!$R$22,Oeko!DS396,Oeko!GF396)</f>
        <v>0.98328217099480908</v>
      </c>
      <c r="BG396" s="1979">
        <f>IF(Construction!$F$31=Construction!$R$22,Oeko!DT396,Oeko!GG396)</f>
        <v>0.98382622805204278</v>
      </c>
      <c r="BH396" s="1979">
        <f>IF(Construction!$F$31=Construction!$R$22,Oeko!DU396,Oeko!GH396)</f>
        <v>0.98382622805204278</v>
      </c>
      <c r="BI396" s="1979">
        <f>IF(Construction!$F$31=Construction!$R$22,Oeko!DV396,Oeko!GI396)</f>
        <v>0.98382622805204278</v>
      </c>
      <c r="BJ396" s="1979">
        <f>IF(Construction!$F$31=Construction!$R$22,Oeko!DW396,Oeko!GJ396)</f>
        <v>0.98382622805204278</v>
      </c>
      <c r="BK396" s="2021">
        <f>IF(Construction!$F$31=Construction!$R$22,Oeko!DX396,Oeko!GK396)</f>
        <v>0.98382622805204278</v>
      </c>
      <c r="BN396" s="2022"/>
      <c r="BO396" s="2">
        <v>12</v>
      </c>
      <c r="BP396" s="2" t="s">
        <v>4338</v>
      </c>
      <c r="BQ396" s="1998">
        <v>0.93873332434406098</v>
      </c>
      <c r="BR396" s="1998">
        <v>0.93918728253264605</v>
      </c>
      <c r="BS396" s="1998">
        <v>0.93972041947505414</v>
      </c>
      <c r="BT396" s="1998">
        <v>0.94025883500105045</v>
      </c>
      <c r="BU396" s="1998">
        <v>0.9413937304725134</v>
      </c>
      <c r="BV396" s="1979">
        <v>1.0063976541850996</v>
      </c>
      <c r="BW396" s="1979">
        <v>1.0069354823961638</v>
      </c>
      <c r="BX396" s="1979">
        <v>1.0075671178533436</v>
      </c>
      <c r="BY396" s="1979">
        <v>1.0082050071269313</v>
      </c>
      <c r="BZ396" s="1979">
        <v>1.0095495776545915</v>
      </c>
      <c r="CA396" s="1998">
        <v>0.57531533256861678</v>
      </c>
      <c r="CB396" s="1998">
        <v>0.57531533256861678</v>
      </c>
      <c r="CC396" s="1998">
        <v>0.57531533256861678</v>
      </c>
      <c r="CD396" s="1998">
        <v>0.57531533256861678</v>
      </c>
      <c r="CE396" s="1998">
        <v>0.57531533256861678</v>
      </c>
      <c r="CF396" s="1979">
        <v>0.75894396739612724</v>
      </c>
      <c r="CG396" s="1979">
        <v>0.75894396739612724</v>
      </c>
      <c r="CH396" s="1979">
        <v>0.75894396739612724</v>
      </c>
      <c r="CI396" s="1979">
        <v>0.75894396739612724</v>
      </c>
      <c r="CJ396" s="1979">
        <v>0.75894396739612724</v>
      </c>
      <c r="CK396" s="1998">
        <v>0.60683716618726169</v>
      </c>
      <c r="CL396" s="1998">
        <v>0.60683716618726169</v>
      </c>
      <c r="CM396" s="1998">
        <v>0.60683716618726169</v>
      </c>
      <c r="CN396" s="1998">
        <v>0.60683716618726169</v>
      </c>
      <c r="CO396" s="1998">
        <v>0.60683716618726169</v>
      </c>
      <c r="CP396" s="1979">
        <v>1.0107929896120271</v>
      </c>
      <c r="CQ396" s="1979">
        <v>1.0107929896120271</v>
      </c>
      <c r="CR396" s="1979">
        <v>1.0107929896120271</v>
      </c>
      <c r="CS396" s="1979">
        <v>1.0107929896120271</v>
      </c>
      <c r="CT396" s="1979">
        <v>1.0107929896120271</v>
      </c>
      <c r="CU396" s="1998">
        <v>1.0172722795839573</v>
      </c>
      <c r="CV396" s="1998">
        <v>1.0172722795839573</v>
      </c>
      <c r="CW396" s="1998">
        <v>1.0172722795839573</v>
      </c>
      <c r="CX396" s="1998">
        <v>1.0172722795839573</v>
      </c>
      <c r="CY396" s="1998">
        <v>1.0172722795839573</v>
      </c>
      <c r="CZ396" s="1979">
        <v>0.89302153507056825</v>
      </c>
      <c r="DA396" s="1979">
        <v>0.89336895205162825</v>
      </c>
      <c r="DB396" s="1979">
        <v>0.89377696501775694</v>
      </c>
      <c r="DC396" s="1979">
        <v>0.8941890177162235</v>
      </c>
      <c r="DD396" s="1979">
        <v>0.89505756016887372</v>
      </c>
      <c r="DE396" s="1998">
        <v>8.2342226408669621</v>
      </c>
      <c r="DF396" s="1998">
        <v>8.2342226408669621</v>
      </c>
      <c r="DG396" s="1998">
        <v>8.2342226408669621</v>
      </c>
      <c r="DH396" s="1998">
        <v>8.2342226408669621</v>
      </c>
      <c r="DI396" s="1998">
        <v>8.2342226408669621</v>
      </c>
      <c r="DJ396" s="1979">
        <v>8.2294638518492125</v>
      </c>
      <c r="DK396" s="1979">
        <v>8.2294638518492125</v>
      </c>
      <c r="DL396" s="1979">
        <v>8.2294638518492125</v>
      </c>
      <c r="DM396" s="1979">
        <v>8.2294638518492125</v>
      </c>
      <c r="DN396" s="1979">
        <v>8.2294638518492125</v>
      </c>
      <c r="DO396" s="1998">
        <v>0.98328217099480908</v>
      </c>
      <c r="DP396" s="1998">
        <v>0.98328217099480908</v>
      </c>
      <c r="DQ396" s="1998">
        <v>0.98328217099480908</v>
      </c>
      <c r="DR396" s="1998">
        <v>0.98328217099480908</v>
      </c>
      <c r="DS396" s="1998">
        <v>0.98328217099480908</v>
      </c>
      <c r="DT396" s="1979">
        <v>0.98382622805204278</v>
      </c>
      <c r="DU396" s="1979">
        <v>0.98382622805204278</v>
      </c>
      <c r="DV396" s="1979">
        <v>0.98382622805204278</v>
      </c>
      <c r="DW396" s="1979">
        <v>0.98382622805204278</v>
      </c>
      <c r="DX396" s="2021">
        <v>0.98382622805204278</v>
      </c>
      <c r="EA396" s="2022"/>
      <c r="EB396" s="2">
        <v>12</v>
      </c>
      <c r="EC396" s="2" t="s">
        <v>4338</v>
      </c>
      <c r="ED396" s="1998">
        <v>1.3184614312201339</v>
      </c>
      <c r="EE396" s="1998">
        <v>1.3403596352357776</v>
      </c>
      <c r="EF396" s="1998">
        <v>1.3755334769757426</v>
      </c>
      <c r="EG396" s="1998">
        <v>1.4173108267845442</v>
      </c>
      <c r="EH396" s="1998">
        <v>1.4481377549396275</v>
      </c>
      <c r="EI396" s="1979">
        <v>2.0499148980788418</v>
      </c>
      <c r="EJ396" s="1979">
        <v>2.0999394474292714</v>
      </c>
      <c r="EK396" s="1979">
        <v>2.1641968672084948</v>
      </c>
      <c r="EL396" s="1979">
        <v>2.2355300723954636</v>
      </c>
      <c r="EM396" s="1979">
        <v>2.2580832376971376</v>
      </c>
      <c r="EN396" s="1998">
        <v>1.2737446564694401</v>
      </c>
      <c r="EO396" s="1998">
        <v>1.2858638534831628</v>
      </c>
      <c r="EP396" s="1998">
        <v>1.2939433181589777</v>
      </c>
      <c r="EQ396" s="1998">
        <v>1.3020227828347928</v>
      </c>
      <c r="ER396" s="1998">
        <v>1.3101022475106077</v>
      </c>
      <c r="ES396" s="1979">
        <v>1.7260558890911766</v>
      </c>
      <c r="ET396" s="1979">
        <v>1.7419623351716877</v>
      </c>
      <c r="EU396" s="1979">
        <v>1.7525666325586948</v>
      </c>
      <c r="EV396" s="1979">
        <v>1.7631709299457017</v>
      </c>
      <c r="EW396" s="1979">
        <v>1.773775227332709</v>
      </c>
      <c r="EX396" s="1998">
        <v>1.3557126476577044</v>
      </c>
      <c r="EY396" s="1998">
        <v>1.3684378045221133</v>
      </c>
      <c r="EZ396" s="1998">
        <v>1.376921242431719</v>
      </c>
      <c r="FA396" s="1998">
        <v>1.3854046803413245</v>
      </c>
      <c r="FB396" s="1998">
        <v>1.3938881182509304</v>
      </c>
      <c r="FC396" s="1979">
        <v>1.6003919243296234</v>
      </c>
      <c r="FD396" s="1979">
        <v>1.5862528611469471</v>
      </c>
      <c r="FE396" s="1979">
        <v>1.6003919243296234</v>
      </c>
      <c r="FF396" s="1979">
        <v>1.6145309875122993</v>
      </c>
      <c r="FG396" s="1979">
        <v>1.6286700506949756</v>
      </c>
      <c r="FH396" s="1998">
        <v>2.5071760624584583</v>
      </c>
      <c r="FI396" s="1998">
        <v>2.5142455940497959</v>
      </c>
      <c r="FJ396" s="1998">
        <v>2.5213151256411339</v>
      </c>
      <c r="FK396" s="1998">
        <v>2.5283846572324724</v>
      </c>
      <c r="FL396" s="1998">
        <v>2.53545418882381</v>
      </c>
      <c r="FM396" s="1979">
        <v>1.7101022863272211</v>
      </c>
      <c r="FN396" s="1979">
        <v>1.738727829673633</v>
      </c>
      <c r="FO396" s="1979">
        <v>1.7799820251674932</v>
      </c>
      <c r="FP396" s="1979">
        <v>1.8275242884748804</v>
      </c>
      <c r="FQ396" s="1979">
        <v>1.8535289432522879</v>
      </c>
      <c r="FR396" s="1998">
        <v>20.140896751355694</v>
      </c>
      <c r="FS396" s="1998">
        <v>20.197798419745126</v>
      </c>
      <c r="FT396" s="1998">
        <v>20.254700088134559</v>
      </c>
      <c r="FU396" s="1998">
        <v>20.311601756523991</v>
      </c>
      <c r="FV396" s="1998">
        <v>20.368503424913424</v>
      </c>
      <c r="FW396" s="1979">
        <v>20.495862777857845</v>
      </c>
      <c r="FX396" s="1979">
        <v>20.552651661774551</v>
      </c>
      <c r="FY396" s="1979">
        <v>20.609440545691257</v>
      </c>
      <c r="FZ396" s="1979">
        <v>20.666229429607959</v>
      </c>
      <c r="GA396" s="1979">
        <v>20.723018313524666</v>
      </c>
      <c r="GB396" s="1998">
        <v>1.6187812425302934</v>
      </c>
      <c r="GC396" s="1998">
        <v>1.6257076629285001</v>
      </c>
      <c r="GD396" s="1998">
        <v>1.632634083326707</v>
      </c>
      <c r="GE396" s="1998">
        <v>1.6395605037249141</v>
      </c>
      <c r="GF396" s="1998">
        <v>1.6534133445213279</v>
      </c>
      <c r="GG396" s="1979">
        <v>1.7256745390868973</v>
      </c>
      <c r="GH396" s="1979">
        <v>1.7325754536081521</v>
      </c>
      <c r="GI396" s="1979">
        <v>1.7394763681294065</v>
      </c>
      <c r="GJ396" s="1979">
        <v>1.7463772826506607</v>
      </c>
      <c r="GK396" s="2021">
        <v>1.7601791116931698</v>
      </c>
    </row>
    <row r="397" spans="1:193">
      <c r="A397" s="2020"/>
      <c r="B397" s="2">
        <v>13</v>
      </c>
      <c r="C397" s="2" t="str">
        <f>CONCATENATE($U$8," ",EI$7)</f>
        <v xml:space="preserve">Proportion de fenêtres </v>
      </c>
      <c r="D397" s="1998">
        <f>IF(Construction!$F$31=Construction!$R$22,Oeko!BQ397,Oeko!ED397)</f>
        <v>0</v>
      </c>
      <c r="E397" s="1998">
        <f>IF(Construction!$F$31=Construction!$R$22,Oeko!BR397,Oeko!EE397)</f>
        <v>0</v>
      </c>
      <c r="F397" s="1998">
        <f>IF(Construction!$F$31=Construction!$R$22,Oeko!BS397,Oeko!EF397)</f>
        <v>0</v>
      </c>
      <c r="G397" s="1998">
        <f>IF(Construction!$F$31=Construction!$R$22,Oeko!BT397,Oeko!EG397)</f>
        <v>0</v>
      </c>
      <c r="H397" s="1998">
        <f>IF(Construction!$F$31=Construction!$R$22,Oeko!BU397,Oeko!EH397)</f>
        <v>0</v>
      </c>
      <c r="I397" s="1979">
        <f>IF(Construction!$F$31=Construction!$R$22,Oeko!BV397,Oeko!EI397)</f>
        <v>0</v>
      </c>
      <c r="J397" s="1979">
        <f>IF(Construction!$F$31=Construction!$R$22,Oeko!BW397,Oeko!EJ397)</f>
        <v>0</v>
      </c>
      <c r="K397" s="1979">
        <f>IF(Construction!$F$31=Construction!$R$22,Oeko!BX397,Oeko!EK397)</f>
        <v>0</v>
      </c>
      <c r="L397" s="1979">
        <f>IF(Construction!$F$31=Construction!$R$22,Oeko!BY397,Oeko!EL397)</f>
        <v>0</v>
      </c>
      <c r="M397" s="1979">
        <f>IF(Construction!$F$31=Construction!$R$22,Oeko!BZ397,Oeko!EM397)</f>
        <v>0</v>
      </c>
      <c r="N397" s="1998">
        <f>IF(Construction!$F$31=Construction!$R$22,Oeko!CA397,Oeko!EN397)</f>
        <v>0</v>
      </c>
      <c r="O397" s="1998">
        <f>IF(Construction!$F$31=Construction!$R$22,Oeko!CB397,Oeko!EO397)</f>
        <v>0</v>
      </c>
      <c r="P397" s="1998">
        <f>IF(Construction!$F$31=Construction!$R$22,Oeko!CC397,Oeko!EP397)</f>
        <v>0</v>
      </c>
      <c r="Q397" s="1998">
        <f>IF(Construction!$F$31=Construction!$R$22,Oeko!CD397,Oeko!EQ397)</f>
        <v>0</v>
      </c>
      <c r="R397" s="1998">
        <f>IF(Construction!$F$31=Construction!$R$22,Oeko!CE397,Oeko!ER397)</f>
        <v>0</v>
      </c>
      <c r="S397" s="1979">
        <f>IF(Construction!$F$31=Construction!$R$22,Oeko!CF397,Oeko!ES397)</f>
        <v>0</v>
      </c>
      <c r="T397" s="1979">
        <f>IF(Construction!$F$31=Construction!$R$22,Oeko!CG397,Oeko!ET397)</f>
        <v>0</v>
      </c>
      <c r="U397" s="1979">
        <f>IF(Construction!$F$31=Construction!$R$22,Oeko!CH397,Oeko!EU397)</f>
        <v>0</v>
      </c>
      <c r="V397" s="1979">
        <f>IF(Construction!$F$31=Construction!$R$22,Oeko!CI397,Oeko!EV397)</f>
        <v>0</v>
      </c>
      <c r="W397" s="1979">
        <f>IF(Construction!$F$31=Construction!$R$22,Oeko!CJ397,Oeko!EW397)</f>
        <v>0</v>
      </c>
      <c r="X397" s="1998">
        <f>IF(Construction!$F$31=Construction!$R$22,Oeko!CK397,Oeko!EX397)</f>
        <v>1.0078139042140133</v>
      </c>
      <c r="Y397" s="1998">
        <f>IF(Construction!$F$31=Construction!$R$22,Oeko!CL397,Oeko!EY397)</f>
        <v>1.0078139042140133</v>
      </c>
      <c r="Z397" s="1998">
        <f>IF(Construction!$F$31=Construction!$R$22,Oeko!CM397,Oeko!EZ397)</f>
        <v>1.0078139042140133</v>
      </c>
      <c r="AA397" s="1998">
        <f>IF(Construction!$F$31=Construction!$R$22,Oeko!CN397,Oeko!FA397)</f>
        <v>1.0078139042140133</v>
      </c>
      <c r="AB397" s="1998">
        <f>IF(Construction!$F$31=Construction!$R$22,Oeko!CO397,Oeko!FB397)</f>
        <v>1.0078139042140133</v>
      </c>
      <c r="AC397" s="1979">
        <f>IF(Construction!$F$31=Construction!$R$22,Oeko!CP397,Oeko!FC397)</f>
        <v>0</v>
      </c>
      <c r="AD397" s="1979">
        <f>IF(Construction!$F$31=Construction!$R$22,Oeko!CQ397,Oeko!FD397)</f>
        <v>0</v>
      </c>
      <c r="AE397" s="1979">
        <f>IF(Construction!$F$31=Construction!$R$22,Oeko!CR397,Oeko!FE397)</f>
        <v>0</v>
      </c>
      <c r="AF397" s="1979">
        <f>IF(Construction!$F$31=Construction!$R$22,Oeko!CS397,Oeko!FF397)</f>
        <v>0</v>
      </c>
      <c r="AG397" s="1979">
        <f>IF(Construction!$F$31=Construction!$R$22,Oeko!CT397,Oeko!FG397)</f>
        <v>0</v>
      </c>
      <c r="AH397" s="1998">
        <f>IF(Construction!$F$31=Construction!$R$22,Oeko!CU397,Oeko!FH397)</f>
        <v>1.0193872525942376</v>
      </c>
      <c r="AI397" s="1998">
        <f>IF(Construction!$F$31=Construction!$R$22,Oeko!CV397,Oeko!FI397)</f>
        <v>1.0193872525942376</v>
      </c>
      <c r="AJ397" s="1998">
        <f>IF(Construction!$F$31=Construction!$R$22,Oeko!CW397,Oeko!FJ397)</f>
        <v>1.0193872525942376</v>
      </c>
      <c r="AK397" s="1998">
        <f>IF(Construction!$F$31=Construction!$R$22,Oeko!CX397,Oeko!FK397)</f>
        <v>1.0193872525942376</v>
      </c>
      <c r="AL397" s="1998">
        <f>IF(Construction!$F$31=Construction!$R$22,Oeko!CY397,Oeko!FL397)</f>
        <v>1.0193872525942376</v>
      </c>
      <c r="AM397" s="1979">
        <f>IF(Construction!$F$31=Construction!$R$22,Oeko!CZ397,Oeko!FM397)</f>
        <v>1.0032142803635282</v>
      </c>
      <c r="AN397" s="1979">
        <f>IF(Construction!$F$31=Construction!$R$22,Oeko!DA397,Oeko!FN397)</f>
        <v>1.0034844935710194</v>
      </c>
      <c r="AO397" s="1979">
        <f>IF(Construction!$F$31=Construction!$R$22,Oeko!DB397,Oeko!FO397)</f>
        <v>1.0038018369891195</v>
      </c>
      <c r="AP397" s="1979">
        <f>IF(Construction!$F$31=Construction!$R$22,Oeko!DC397,Oeko!FP397)</f>
        <v>1.0041223224212601</v>
      </c>
      <c r="AQ397" s="1979">
        <f>IF(Construction!$F$31=Construction!$R$22,Oeko!DD397,Oeko!FQ397)</f>
        <v>1.0047978554399881</v>
      </c>
      <c r="AR397" s="1998">
        <f>IF(Construction!$F$31=Construction!$R$22,Oeko!DE397,Oeko!FR397)</f>
        <v>8.1183708440260762</v>
      </c>
      <c r="AS397" s="1998">
        <f>IF(Construction!$F$31=Construction!$R$22,Oeko!DF397,Oeko!FS397)</f>
        <v>8.1183708440260762</v>
      </c>
      <c r="AT397" s="1998">
        <f>IF(Construction!$F$31=Construction!$R$22,Oeko!DG397,Oeko!FT397)</f>
        <v>8.1183708440260762</v>
      </c>
      <c r="AU397" s="1998">
        <f>IF(Construction!$F$31=Construction!$R$22,Oeko!DH397,Oeko!FU397)</f>
        <v>8.1183708440260762</v>
      </c>
      <c r="AV397" s="1998">
        <f>IF(Construction!$F$31=Construction!$R$22,Oeko!DI397,Oeko!FV397)</f>
        <v>8.1183708440260762</v>
      </c>
      <c r="AW397" s="1979">
        <f>IF(Construction!$F$31=Construction!$R$22,Oeko!DJ397,Oeko!FW397)</f>
        <v>8.1051110307188523</v>
      </c>
      <c r="AX397" s="1979">
        <f>IF(Construction!$F$31=Construction!$R$22,Oeko!DK397,Oeko!FX397)</f>
        <v>8.1051110307188523</v>
      </c>
      <c r="AY397" s="1979">
        <f>IF(Construction!$F$31=Construction!$R$22,Oeko!DL397,Oeko!FY397)</f>
        <v>8.1051110307188523</v>
      </c>
      <c r="AZ397" s="1979">
        <f>IF(Construction!$F$31=Construction!$R$22,Oeko!DM397,Oeko!FZ397)</f>
        <v>8.1051110307188523</v>
      </c>
      <c r="BA397" s="1979">
        <f>IF(Construction!$F$31=Construction!$R$22,Oeko!DN397,Oeko!GA397)</f>
        <v>8.1051110307188523</v>
      </c>
      <c r="BB397" s="1998">
        <f>IF(Construction!$F$31=Construction!$R$22,Oeko!DO397,Oeko!GB397)</f>
        <v>0.98777627611559748</v>
      </c>
      <c r="BC397" s="1998">
        <f>IF(Construction!$F$31=Construction!$R$22,Oeko!DP397,Oeko!GC397)</f>
        <v>0.98777627611559748</v>
      </c>
      <c r="BD397" s="1998">
        <f>IF(Construction!$F$31=Construction!$R$22,Oeko!DQ397,Oeko!GD397)</f>
        <v>0.98777627611559748</v>
      </c>
      <c r="BE397" s="1998">
        <f>IF(Construction!$F$31=Construction!$R$22,Oeko!DR397,Oeko!GE397)</f>
        <v>0.98777627611559748</v>
      </c>
      <c r="BF397" s="1998">
        <f>IF(Construction!$F$31=Construction!$R$22,Oeko!DS397,Oeko!GF397)</f>
        <v>0.98777627611559748</v>
      </c>
      <c r="BG397" s="1979">
        <f>IF(Construction!$F$31=Construction!$R$22,Oeko!DT397,Oeko!GG397)</f>
        <v>0.99150369262592464</v>
      </c>
      <c r="BH397" s="1979">
        <f>IF(Construction!$F$31=Construction!$R$22,Oeko!DU397,Oeko!GH397)</f>
        <v>0.99150369262592464</v>
      </c>
      <c r="BI397" s="1979">
        <f>IF(Construction!$F$31=Construction!$R$22,Oeko!DV397,Oeko!GI397)</f>
        <v>0.99150369262592464</v>
      </c>
      <c r="BJ397" s="1979">
        <f>IF(Construction!$F$31=Construction!$R$22,Oeko!DW397,Oeko!GJ397)</f>
        <v>0.99150369262592464</v>
      </c>
      <c r="BK397" s="2021">
        <f>IF(Construction!$F$31=Construction!$R$22,Oeko!DX397,Oeko!GK397)</f>
        <v>0.99150369262592464</v>
      </c>
      <c r="BN397" s="2022"/>
      <c r="BO397" s="2">
        <v>13</v>
      </c>
      <c r="BP397" s="2" t="str">
        <f>CONCATENATE($U$8," ",GV$7)</f>
        <v xml:space="preserve">Proportion de fenêtres </v>
      </c>
      <c r="BQ397" s="1998">
        <v>0</v>
      </c>
      <c r="BR397" s="1998">
        <v>0</v>
      </c>
      <c r="BS397" s="1998">
        <v>0</v>
      </c>
      <c r="BT397" s="1998">
        <v>0</v>
      </c>
      <c r="BU397" s="1998">
        <v>0</v>
      </c>
      <c r="BV397" s="1979">
        <v>0</v>
      </c>
      <c r="BW397" s="1979">
        <v>0</v>
      </c>
      <c r="BX397" s="1979">
        <v>0</v>
      </c>
      <c r="BY397" s="1979">
        <v>0</v>
      </c>
      <c r="BZ397" s="1979">
        <v>0</v>
      </c>
      <c r="CA397" s="1998">
        <v>0</v>
      </c>
      <c r="CB397" s="1998">
        <v>0</v>
      </c>
      <c r="CC397" s="1998">
        <v>0</v>
      </c>
      <c r="CD397" s="1998">
        <v>0</v>
      </c>
      <c r="CE397" s="1998">
        <v>0</v>
      </c>
      <c r="CF397" s="1979">
        <v>0</v>
      </c>
      <c r="CG397" s="1979">
        <v>0</v>
      </c>
      <c r="CH397" s="1979">
        <v>0</v>
      </c>
      <c r="CI397" s="1979">
        <v>0</v>
      </c>
      <c r="CJ397" s="1979">
        <v>0</v>
      </c>
      <c r="CK397" s="1998">
        <v>1.0078139042140133</v>
      </c>
      <c r="CL397" s="1998">
        <v>1.0078139042140133</v>
      </c>
      <c r="CM397" s="1998">
        <v>1.0078139042140133</v>
      </c>
      <c r="CN397" s="1998">
        <v>1.0078139042140133</v>
      </c>
      <c r="CO397" s="1998">
        <v>1.0078139042140133</v>
      </c>
      <c r="CP397" s="1979">
        <v>0</v>
      </c>
      <c r="CQ397" s="1979">
        <v>0</v>
      </c>
      <c r="CR397" s="1979">
        <v>0</v>
      </c>
      <c r="CS397" s="1979">
        <v>0</v>
      </c>
      <c r="CT397" s="1979">
        <v>0</v>
      </c>
      <c r="CU397" s="1998">
        <v>1.0193872525942376</v>
      </c>
      <c r="CV397" s="1998">
        <v>1.0193872525942376</v>
      </c>
      <c r="CW397" s="1998">
        <v>1.0193872525942376</v>
      </c>
      <c r="CX397" s="1998">
        <v>1.0193872525942376</v>
      </c>
      <c r="CY397" s="1998">
        <v>1.0193872525942376</v>
      </c>
      <c r="CZ397" s="1979">
        <v>1.0032142803635282</v>
      </c>
      <c r="DA397" s="1979">
        <v>1.0034844935710194</v>
      </c>
      <c r="DB397" s="1979">
        <v>1.0038018369891195</v>
      </c>
      <c r="DC397" s="1979">
        <v>1.0041223224212601</v>
      </c>
      <c r="DD397" s="1979">
        <v>1.0047978554399881</v>
      </c>
      <c r="DE397" s="1998">
        <v>8.1183708440260762</v>
      </c>
      <c r="DF397" s="1998">
        <v>8.1183708440260762</v>
      </c>
      <c r="DG397" s="1998">
        <v>8.1183708440260762</v>
      </c>
      <c r="DH397" s="1998">
        <v>8.1183708440260762</v>
      </c>
      <c r="DI397" s="1998">
        <v>8.1183708440260762</v>
      </c>
      <c r="DJ397" s="1979">
        <v>8.1051110307188523</v>
      </c>
      <c r="DK397" s="1979">
        <v>8.1051110307188523</v>
      </c>
      <c r="DL397" s="1979">
        <v>8.1051110307188523</v>
      </c>
      <c r="DM397" s="1979">
        <v>8.1051110307188523</v>
      </c>
      <c r="DN397" s="1979">
        <v>8.1051110307188523</v>
      </c>
      <c r="DO397" s="1998">
        <v>0.98777627611559748</v>
      </c>
      <c r="DP397" s="1998">
        <v>0.98777627611559748</v>
      </c>
      <c r="DQ397" s="1998">
        <v>0.98777627611559748</v>
      </c>
      <c r="DR397" s="1998">
        <v>0.98777627611559748</v>
      </c>
      <c r="DS397" s="1998">
        <v>0.98777627611559748</v>
      </c>
      <c r="DT397" s="1979">
        <v>0.99150369262592464</v>
      </c>
      <c r="DU397" s="1979">
        <v>0.99150369262592464</v>
      </c>
      <c r="DV397" s="1979">
        <v>0.99150369262592464</v>
      </c>
      <c r="DW397" s="1979">
        <v>0.99150369262592464</v>
      </c>
      <c r="DX397" s="2021">
        <v>0.99150369262592464</v>
      </c>
      <c r="EA397" s="2022"/>
      <c r="EB397" s="2">
        <v>13</v>
      </c>
      <c r="EC397" s="2" t="str">
        <f>CONCATENATE($U$8," ",JI$7)</f>
        <v xml:space="preserve">Proportion de fenêtres </v>
      </c>
      <c r="ED397" s="1998">
        <v>0</v>
      </c>
      <c r="EE397" s="1998">
        <v>0</v>
      </c>
      <c r="EF397" s="1998">
        <v>0</v>
      </c>
      <c r="EG397" s="1998">
        <v>0</v>
      </c>
      <c r="EH397" s="1998">
        <v>0</v>
      </c>
      <c r="EI397" s="1979">
        <v>0</v>
      </c>
      <c r="EJ397" s="1979">
        <v>0</v>
      </c>
      <c r="EK397" s="1979">
        <v>0</v>
      </c>
      <c r="EL397" s="1979">
        <v>0</v>
      </c>
      <c r="EM397" s="1979">
        <v>0</v>
      </c>
      <c r="EN397" s="1998">
        <v>0</v>
      </c>
      <c r="EO397" s="1998">
        <v>0</v>
      </c>
      <c r="EP397" s="1998">
        <v>0</v>
      </c>
      <c r="EQ397" s="1998">
        <v>0</v>
      </c>
      <c r="ER397" s="1998">
        <v>0</v>
      </c>
      <c r="ES397" s="1979">
        <v>0</v>
      </c>
      <c r="ET397" s="1979">
        <v>0</v>
      </c>
      <c r="EU397" s="1979">
        <v>0</v>
      </c>
      <c r="EV397" s="1979">
        <v>0</v>
      </c>
      <c r="EW397" s="1979">
        <v>0</v>
      </c>
      <c r="EX397" s="1998">
        <v>1.4377525176066612</v>
      </c>
      <c r="EY397" s="1998">
        <v>1.4702723629268162</v>
      </c>
      <c r="EZ397" s="1998">
        <v>1.4731001755633517</v>
      </c>
      <c r="FA397" s="1998">
        <v>1.475927988199887</v>
      </c>
      <c r="FB397" s="1998">
        <v>1.4787558008364221</v>
      </c>
      <c r="FC397" s="1979">
        <v>0</v>
      </c>
      <c r="FD397" s="1979">
        <v>0</v>
      </c>
      <c r="FE397" s="1979">
        <v>0</v>
      </c>
      <c r="FF397" s="1979">
        <v>0</v>
      </c>
      <c r="FG397" s="1979">
        <v>0</v>
      </c>
      <c r="FH397" s="1998">
        <v>2.4115800095456015</v>
      </c>
      <c r="FI397" s="1998">
        <v>2.4186495411369391</v>
      </c>
      <c r="FJ397" s="1998">
        <v>2.4257190727282771</v>
      </c>
      <c r="FK397" s="1998">
        <v>2.4327886043196156</v>
      </c>
      <c r="FL397" s="1998">
        <v>2.4398581359109532</v>
      </c>
      <c r="FM397" s="1979">
        <v>1.514718456102143</v>
      </c>
      <c r="FN397" s="1979">
        <v>1.5409102851445402</v>
      </c>
      <c r="FO397" s="1979">
        <v>1.5812883075802229</v>
      </c>
      <c r="FP397" s="1979">
        <v>1.6287390036212841</v>
      </c>
      <c r="FQ397" s="1979">
        <v>1.6600491735358105</v>
      </c>
      <c r="FR397" s="1998">
        <v>18.766095541398617</v>
      </c>
      <c r="FS397" s="1998">
        <v>18.822997209788053</v>
      </c>
      <c r="FT397" s="1998">
        <v>18.879898878177482</v>
      </c>
      <c r="FU397" s="1998">
        <v>18.936800546566914</v>
      </c>
      <c r="FV397" s="1998">
        <v>18.99370221495635</v>
      </c>
      <c r="FW397" s="1979">
        <v>19.105929115155163</v>
      </c>
      <c r="FX397" s="1979">
        <v>19.162717999071866</v>
      </c>
      <c r="FY397" s="1979">
        <v>19.219506882988576</v>
      </c>
      <c r="FZ397" s="1979">
        <v>19.276295766905282</v>
      </c>
      <c r="GA397" s="1979">
        <v>19.333084650821988</v>
      </c>
      <c r="GB397" s="1998">
        <v>1.6856131312349441</v>
      </c>
      <c r="GC397" s="1998">
        <v>1.6925395516331505</v>
      </c>
      <c r="GD397" s="1998">
        <v>1.6994659720313576</v>
      </c>
      <c r="GE397" s="1998">
        <v>1.7063923924295645</v>
      </c>
      <c r="GF397" s="1998">
        <v>1.7202452332259783</v>
      </c>
      <c r="GG397" s="1979">
        <v>1.7333520036607792</v>
      </c>
      <c r="GH397" s="1979">
        <v>1.7402529181820336</v>
      </c>
      <c r="GI397" s="1979">
        <v>1.7471538327032883</v>
      </c>
      <c r="GJ397" s="1979">
        <v>1.7540547472245427</v>
      </c>
      <c r="GK397" s="2021">
        <v>1.7678565762670517</v>
      </c>
    </row>
    <row r="398" spans="1:193">
      <c r="A398" s="2020"/>
      <c r="B398" s="2">
        <v>14</v>
      </c>
      <c r="C398" s="2" t="str">
        <f>CONCATENATE($U$8," ",EI$8)</f>
        <v xml:space="preserve">Proportion de fenêtres </v>
      </c>
      <c r="D398" s="1998">
        <f>IF(Construction!$F$31=Construction!$R$22,Oeko!BQ398,Oeko!ED398)</f>
        <v>0</v>
      </c>
      <c r="E398" s="1998">
        <f>IF(Construction!$F$31=Construction!$R$22,Oeko!BR398,Oeko!EE398)</f>
        <v>0</v>
      </c>
      <c r="F398" s="1998">
        <f>IF(Construction!$F$31=Construction!$R$22,Oeko!BS398,Oeko!EF398)</f>
        <v>0</v>
      </c>
      <c r="G398" s="1998">
        <f>IF(Construction!$F$31=Construction!$R$22,Oeko!BT398,Oeko!EG398)</f>
        <v>0</v>
      </c>
      <c r="H398" s="1998">
        <f>IF(Construction!$F$31=Construction!$R$22,Oeko!BU398,Oeko!EH398)</f>
        <v>0</v>
      </c>
      <c r="I398" s="1979">
        <f>IF(Construction!$F$31=Construction!$R$22,Oeko!BV398,Oeko!EI398)</f>
        <v>0</v>
      </c>
      <c r="J398" s="1979">
        <f>IF(Construction!$F$31=Construction!$R$22,Oeko!BW398,Oeko!EJ398)</f>
        <v>0</v>
      </c>
      <c r="K398" s="1979">
        <f>IF(Construction!$F$31=Construction!$R$22,Oeko!BX398,Oeko!EK398)</f>
        <v>0</v>
      </c>
      <c r="L398" s="1979">
        <f>IF(Construction!$F$31=Construction!$R$22,Oeko!BY398,Oeko!EL398)</f>
        <v>0</v>
      </c>
      <c r="M398" s="1979">
        <f>IF(Construction!$F$31=Construction!$R$22,Oeko!BZ398,Oeko!EM398)</f>
        <v>0</v>
      </c>
      <c r="N398" s="1998">
        <f>IF(Construction!$F$31=Construction!$R$22,Oeko!CA398,Oeko!EN398)</f>
        <v>0</v>
      </c>
      <c r="O398" s="1998">
        <f>IF(Construction!$F$31=Construction!$R$22,Oeko!CB398,Oeko!EO398)</f>
        <v>0</v>
      </c>
      <c r="P398" s="1998">
        <f>IF(Construction!$F$31=Construction!$R$22,Oeko!CC398,Oeko!EP398)</f>
        <v>0</v>
      </c>
      <c r="Q398" s="1998">
        <f>IF(Construction!$F$31=Construction!$R$22,Oeko!CD398,Oeko!EQ398)</f>
        <v>0</v>
      </c>
      <c r="R398" s="1998">
        <f>IF(Construction!$F$31=Construction!$R$22,Oeko!CE398,Oeko!ER398)</f>
        <v>0</v>
      </c>
      <c r="S398" s="1979">
        <f>IF(Construction!$F$31=Construction!$R$22,Oeko!CF398,Oeko!ES398)</f>
        <v>0</v>
      </c>
      <c r="T398" s="1979">
        <f>IF(Construction!$F$31=Construction!$R$22,Oeko!CG398,Oeko!ET398)</f>
        <v>0</v>
      </c>
      <c r="U398" s="1979">
        <f>IF(Construction!$F$31=Construction!$R$22,Oeko!CH398,Oeko!EU398)</f>
        <v>0</v>
      </c>
      <c r="V398" s="1979">
        <f>IF(Construction!$F$31=Construction!$R$22,Oeko!CI398,Oeko!EV398)</f>
        <v>0</v>
      </c>
      <c r="W398" s="1979">
        <f>IF(Construction!$F$31=Construction!$R$22,Oeko!CJ398,Oeko!EW398)</f>
        <v>0</v>
      </c>
      <c r="X398" s="1998">
        <f>IF(Construction!$F$31=Construction!$R$22,Oeko!CK398,Oeko!EX398)</f>
        <v>1.0070325137926119</v>
      </c>
      <c r="Y398" s="1998">
        <f>IF(Construction!$F$31=Construction!$R$22,Oeko!CL398,Oeko!EY398)</f>
        <v>1.0070325137926119</v>
      </c>
      <c r="Z398" s="1998">
        <f>IF(Construction!$F$31=Construction!$R$22,Oeko!CM398,Oeko!EZ398)</f>
        <v>1.0070325137926119</v>
      </c>
      <c r="AA398" s="1998">
        <f>IF(Construction!$F$31=Construction!$R$22,Oeko!CN398,Oeko!FA398)</f>
        <v>1.0070325137926119</v>
      </c>
      <c r="AB398" s="1998">
        <f>IF(Construction!$F$31=Construction!$R$22,Oeko!CO398,Oeko!FB398)</f>
        <v>1.0070325137926119</v>
      </c>
      <c r="AC398" s="1979">
        <f>IF(Construction!$F$31=Construction!$R$22,Oeko!CP398,Oeko!FC398)</f>
        <v>0</v>
      </c>
      <c r="AD398" s="1979">
        <f>IF(Construction!$F$31=Construction!$R$22,Oeko!CQ398,Oeko!FD398)</f>
        <v>0</v>
      </c>
      <c r="AE398" s="1979">
        <f>IF(Construction!$F$31=Construction!$R$22,Oeko!CR398,Oeko!FE398)</f>
        <v>0</v>
      </c>
      <c r="AF398" s="1979">
        <f>IF(Construction!$F$31=Construction!$R$22,Oeko!CS398,Oeko!FF398)</f>
        <v>0</v>
      </c>
      <c r="AG398" s="1979">
        <f>IF(Construction!$F$31=Construction!$R$22,Oeko!CT398,Oeko!FG398)</f>
        <v>0</v>
      </c>
      <c r="AH398" s="1998">
        <f>IF(Construction!$F$31=Construction!$R$22,Oeko!CU398,Oeko!FH398)</f>
        <v>1.0174485273348139</v>
      </c>
      <c r="AI398" s="1998">
        <f>IF(Construction!$F$31=Construction!$R$22,Oeko!CV398,Oeko!FI398)</f>
        <v>1.0174485273348139</v>
      </c>
      <c r="AJ398" s="1998">
        <f>IF(Construction!$F$31=Construction!$R$22,Oeko!CW398,Oeko!FJ398)</f>
        <v>1.0174485273348139</v>
      </c>
      <c r="AK398" s="1998">
        <f>IF(Construction!$F$31=Construction!$R$22,Oeko!CX398,Oeko!FK398)</f>
        <v>1.0174485273348139</v>
      </c>
      <c r="AL398" s="1998">
        <f>IF(Construction!$F$31=Construction!$R$22,Oeko!CY398,Oeko!FL398)</f>
        <v>1.0174485273348139</v>
      </c>
      <c r="AM398" s="1979">
        <f>IF(Construction!$F$31=Construction!$R$22,Oeko!CZ398,Oeko!FM398)</f>
        <v>1.0028928523271754</v>
      </c>
      <c r="AN398" s="1979">
        <f>IF(Construction!$F$31=Construction!$R$22,Oeko!DA398,Oeko!FN398)</f>
        <v>1.0031360442139174</v>
      </c>
      <c r="AO398" s="1979">
        <f>IF(Construction!$F$31=Construction!$R$22,Oeko!DB398,Oeko!FO398)</f>
        <v>1.0034216532902076</v>
      </c>
      <c r="AP398" s="1979">
        <f>IF(Construction!$F$31=Construction!$R$22,Oeko!DC398,Oeko!FP398)</f>
        <v>1.0037100901791343</v>
      </c>
      <c r="AQ398" s="1979">
        <f>IF(Construction!$F$31=Construction!$R$22,Oeko!DD398,Oeko!FQ398)</f>
        <v>1.0043180698959893</v>
      </c>
      <c r="AR398" s="1998">
        <f>IF(Construction!$F$31=Construction!$R$22,Oeko!DE398,Oeko!FR398)</f>
        <v>8.1114197362156233</v>
      </c>
      <c r="AS398" s="1998">
        <f>IF(Construction!$F$31=Construction!$R$22,Oeko!DF398,Oeko!FS398)</f>
        <v>8.1114197362156233</v>
      </c>
      <c r="AT398" s="1998">
        <f>IF(Construction!$F$31=Construction!$R$22,Oeko!DG398,Oeko!FT398)</f>
        <v>8.1114197362156233</v>
      </c>
      <c r="AU398" s="1998">
        <f>IF(Construction!$F$31=Construction!$R$22,Oeko!DH398,Oeko!FU398)</f>
        <v>8.1114197362156233</v>
      </c>
      <c r="AV398" s="1998">
        <f>IF(Construction!$F$31=Construction!$R$22,Oeko!DI398,Oeko!FV398)</f>
        <v>8.1114197362156233</v>
      </c>
      <c r="AW398" s="1979">
        <f>IF(Construction!$F$31=Construction!$R$22,Oeko!DJ398,Oeko!FW398)</f>
        <v>8.0978905443306406</v>
      </c>
      <c r="AX398" s="1979">
        <f>IF(Construction!$F$31=Construction!$R$22,Oeko!DK398,Oeko!FX398)</f>
        <v>8.0978905443306406</v>
      </c>
      <c r="AY398" s="1979">
        <f>IF(Construction!$F$31=Construction!$R$22,Oeko!DL398,Oeko!FY398)</f>
        <v>8.0978905443306406</v>
      </c>
      <c r="AZ398" s="1979">
        <f>IF(Construction!$F$31=Construction!$R$22,Oeko!DM398,Oeko!FZ398)</f>
        <v>8.0978905443306406</v>
      </c>
      <c r="BA398" s="1979">
        <f>IF(Construction!$F$31=Construction!$R$22,Oeko!DN398,Oeko!GA398)</f>
        <v>8.0978905443306406</v>
      </c>
      <c r="BB398" s="1998">
        <f>IF(Construction!$F$31=Construction!$R$22,Oeko!DO398,Oeko!GB398)</f>
        <v>0.98697431080524978</v>
      </c>
      <c r="BC398" s="1998">
        <f>IF(Construction!$F$31=Construction!$R$22,Oeko!DP398,Oeko!GC398)</f>
        <v>0.98697431080524978</v>
      </c>
      <c r="BD398" s="1998">
        <f>IF(Construction!$F$31=Construction!$R$22,Oeko!DQ398,Oeko!GD398)</f>
        <v>0.98697431080524978</v>
      </c>
      <c r="BE398" s="1998">
        <f>IF(Construction!$F$31=Construction!$R$22,Oeko!DR398,Oeko!GE398)</f>
        <v>0.98697431080524978</v>
      </c>
      <c r="BF398" s="1998">
        <f>IF(Construction!$F$31=Construction!$R$22,Oeko!DS398,Oeko!GF398)</f>
        <v>0.98697431080524978</v>
      </c>
      <c r="BG398" s="1979">
        <f>IF(Construction!$F$31=Construction!$R$22,Oeko!DT398,Oeko!GG398)</f>
        <v>0.98996819971114824</v>
      </c>
      <c r="BH398" s="1979">
        <f>IF(Construction!$F$31=Construction!$R$22,Oeko!DU398,Oeko!GH398)</f>
        <v>0.98996819971114824</v>
      </c>
      <c r="BI398" s="1979">
        <f>IF(Construction!$F$31=Construction!$R$22,Oeko!DV398,Oeko!GI398)</f>
        <v>0.98996819971114824</v>
      </c>
      <c r="BJ398" s="1979">
        <f>IF(Construction!$F$31=Construction!$R$22,Oeko!DW398,Oeko!GJ398)</f>
        <v>0.98996819971114824</v>
      </c>
      <c r="BK398" s="2021">
        <f>IF(Construction!$F$31=Construction!$R$22,Oeko!DX398,Oeko!GK398)</f>
        <v>0.98996819971114824</v>
      </c>
      <c r="BN398" s="2022"/>
      <c r="BO398" s="2">
        <v>14</v>
      </c>
      <c r="BP398" s="2" t="str">
        <f>CONCATENATE($U$8," ",GV$8)</f>
        <v xml:space="preserve">Proportion de fenêtres </v>
      </c>
      <c r="BQ398" s="1998">
        <v>0</v>
      </c>
      <c r="BR398" s="1998">
        <v>0</v>
      </c>
      <c r="BS398" s="1998">
        <v>0</v>
      </c>
      <c r="BT398" s="1998">
        <v>0</v>
      </c>
      <c r="BU398" s="1998">
        <v>0</v>
      </c>
      <c r="BV398" s="1979">
        <v>0</v>
      </c>
      <c r="BW398" s="1979">
        <v>0</v>
      </c>
      <c r="BX398" s="1979">
        <v>0</v>
      </c>
      <c r="BY398" s="1979">
        <v>0</v>
      </c>
      <c r="BZ398" s="1979">
        <v>0</v>
      </c>
      <c r="CA398" s="1998">
        <v>0</v>
      </c>
      <c r="CB398" s="1998">
        <v>0</v>
      </c>
      <c r="CC398" s="1998">
        <v>0</v>
      </c>
      <c r="CD398" s="1998">
        <v>0</v>
      </c>
      <c r="CE398" s="1998">
        <v>0</v>
      </c>
      <c r="CF398" s="1979">
        <v>0</v>
      </c>
      <c r="CG398" s="1979">
        <v>0</v>
      </c>
      <c r="CH398" s="1979">
        <v>0</v>
      </c>
      <c r="CI398" s="1979">
        <v>0</v>
      </c>
      <c r="CJ398" s="1979">
        <v>0</v>
      </c>
      <c r="CK398" s="1998">
        <v>1.0070325137926119</v>
      </c>
      <c r="CL398" s="1998">
        <v>1.0070325137926119</v>
      </c>
      <c r="CM398" s="1998">
        <v>1.0070325137926119</v>
      </c>
      <c r="CN398" s="1998">
        <v>1.0070325137926119</v>
      </c>
      <c r="CO398" s="1998">
        <v>1.0070325137926119</v>
      </c>
      <c r="CP398" s="1979">
        <v>0</v>
      </c>
      <c r="CQ398" s="1979">
        <v>0</v>
      </c>
      <c r="CR398" s="1979">
        <v>0</v>
      </c>
      <c r="CS398" s="1979">
        <v>0</v>
      </c>
      <c r="CT398" s="1979">
        <v>0</v>
      </c>
      <c r="CU398" s="1998">
        <v>1.0174485273348139</v>
      </c>
      <c r="CV398" s="1998">
        <v>1.0174485273348139</v>
      </c>
      <c r="CW398" s="1998">
        <v>1.0174485273348139</v>
      </c>
      <c r="CX398" s="1998">
        <v>1.0174485273348139</v>
      </c>
      <c r="CY398" s="1998">
        <v>1.0174485273348139</v>
      </c>
      <c r="CZ398" s="1979">
        <v>1.0028928523271754</v>
      </c>
      <c r="DA398" s="1979">
        <v>1.0031360442139174</v>
      </c>
      <c r="DB398" s="1979">
        <v>1.0034216532902076</v>
      </c>
      <c r="DC398" s="1979">
        <v>1.0037100901791343</v>
      </c>
      <c r="DD398" s="1979">
        <v>1.0043180698959893</v>
      </c>
      <c r="DE398" s="1998">
        <v>8.1114197362156233</v>
      </c>
      <c r="DF398" s="1998">
        <v>8.1114197362156233</v>
      </c>
      <c r="DG398" s="1998">
        <v>8.1114197362156233</v>
      </c>
      <c r="DH398" s="1998">
        <v>8.1114197362156233</v>
      </c>
      <c r="DI398" s="1998">
        <v>8.1114197362156233</v>
      </c>
      <c r="DJ398" s="1979">
        <v>8.0978905443306406</v>
      </c>
      <c r="DK398" s="1979">
        <v>8.0978905443306406</v>
      </c>
      <c r="DL398" s="1979">
        <v>8.0978905443306406</v>
      </c>
      <c r="DM398" s="1979">
        <v>8.0978905443306406</v>
      </c>
      <c r="DN398" s="1979">
        <v>8.0978905443306406</v>
      </c>
      <c r="DO398" s="1998">
        <v>0.98697431080524978</v>
      </c>
      <c r="DP398" s="1998">
        <v>0.98697431080524978</v>
      </c>
      <c r="DQ398" s="1998">
        <v>0.98697431080524978</v>
      </c>
      <c r="DR398" s="1998">
        <v>0.98697431080524978</v>
      </c>
      <c r="DS398" s="1998">
        <v>0.98697431080524978</v>
      </c>
      <c r="DT398" s="1979">
        <v>0.98996819971114824</v>
      </c>
      <c r="DU398" s="1979">
        <v>0.98996819971114824</v>
      </c>
      <c r="DV398" s="1979">
        <v>0.98996819971114824</v>
      </c>
      <c r="DW398" s="1979">
        <v>0.98996819971114824</v>
      </c>
      <c r="DX398" s="2021">
        <v>0.98996819971114824</v>
      </c>
      <c r="EA398" s="2022"/>
      <c r="EB398" s="2">
        <v>14</v>
      </c>
      <c r="EC398" s="2" t="str">
        <f>CONCATENATE($U$8," ",JI$8)</f>
        <v xml:space="preserve">Proportion de fenêtres </v>
      </c>
      <c r="ED398" s="1998">
        <v>0</v>
      </c>
      <c r="EE398" s="1998">
        <v>0</v>
      </c>
      <c r="EF398" s="1998">
        <v>0</v>
      </c>
      <c r="EG398" s="1998">
        <v>0</v>
      </c>
      <c r="EH398" s="1998">
        <v>0</v>
      </c>
      <c r="EI398" s="1979">
        <v>0</v>
      </c>
      <c r="EJ398" s="1979">
        <v>0</v>
      </c>
      <c r="EK398" s="1979">
        <v>0</v>
      </c>
      <c r="EL398" s="1979">
        <v>0</v>
      </c>
      <c r="EM398" s="1979">
        <v>0</v>
      </c>
      <c r="EN398" s="1998">
        <v>0</v>
      </c>
      <c r="EO398" s="1998">
        <v>0</v>
      </c>
      <c r="EP398" s="1998">
        <v>0</v>
      </c>
      <c r="EQ398" s="1998">
        <v>0</v>
      </c>
      <c r="ER398" s="1998">
        <v>0</v>
      </c>
      <c r="ES398" s="1979">
        <v>0</v>
      </c>
      <c r="ET398" s="1979">
        <v>0</v>
      </c>
      <c r="EU398" s="1979">
        <v>0</v>
      </c>
      <c r="EV398" s="1979">
        <v>0</v>
      </c>
      <c r="EW398" s="1979">
        <v>0</v>
      </c>
      <c r="EX398" s="1998">
        <v>1.4369711271852597</v>
      </c>
      <c r="EY398" s="1998">
        <v>1.469490972505415</v>
      </c>
      <c r="EZ398" s="1998">
        <v>1.4723187851419504</v>
      </c>
      <c r="FA398" s="1998">
        <v>1.4751465977784854</v>
      </c>
      <c r="FB398" s="1998">
        <v>1.4779744104150208</v>
      </c>
      <c r="FC398" s="1979">
        <v>0</v>
      </c>
      <c r="FD398" s="1979">
        <v>0</v>
      </c>
      <c r="FE398" s="1979">
        <v>0</v>
      </c>
      <c r="FF398" s="1979">
        <v>0</v>
      </c>
      <c r="FG398" s="1979">
        <v>0</v>
      </c>
      <c r="FH398" s="1998">
        <v>2.4096412842861774</v>
      </c>
      <c r="FI398" s="1998">
        <v>2.4167108158775155</v>
      </c>
      <c r="FJ398" s="1998">
        <v>2.4237803474688535</v>
      </c>
      <c r="FK398" s="1998">
        <v>2.4308498790601916</v>
      </c>
      <c r="FL398" s="1998">
        <v>2.4379194106515296</v>
      </c>
      <c r="FM398" s="1979">
        <v>1.5143970280657904</v>
      </c>
      <c r="FN398" s="1979">
        <v>1.5405618357874382</v>
      </c>
      <c r="FO398" s="1979">
        <v>1.5809081238813112</v>
      </c>
      <c r="FP398" s="1979">
        <v>1.628326771379158</v>
      </c>
      <c r="FQ398" s="1979">
        <v>1.6595693879918119</v>
      </c>
      <c r="FR398" s="1998">
        <v>18.759144433588165</v>
      </c>
      <c r="FS398" s="1998">
        <v>18.816046101977594</v>
      </c>
      <c r="FT398" s="1998">
        <v>18.872947770367027</v>
      </c>
      <c r="FU398" s="1998">
        <v>18.929849438756463</v>
      </c>
      <c r="FV398" s="1998">
        <v>18.986751107145896</v>
      </c>
      <c r="FW398" s="1979">
        <v>19.09870862876695</v>
      </c>
      <c r="FX398" s="1979">
        <v>19.155497512683652</v>
      </c>
      <c r="FY398" s="1979">
        <v>19.212286396600362</v>
      </c>
      <c r="FZ398" s="1979">
        <v>19.269075280517068</v>
      </c>
      <c r="GA398" s="1979">
        <v>19.325864164433774</v>
      </c>
      <c r="GB398" s="1998">
        <v>1.6848111659245963</v>
      </c>
      <c r="GC398" s="1998">
        <v>1.6917375863228032</v>
      </c>
      <c r="GD398" s="1998">
        <v>1.6986640067210099</v>
      </c>
      <c r="GE398" s="1998">
        <v>1.7055904271192168</v>
      </c>
      <c r="GF398" s="1998">
        <v>1.7194432679156308</v>
      </c>
      <c r="GG398" s="1979">
        <v>1.7318165107460031</v>
      </c>
      <c r="GH398" s="1979">
        <v>1.7387174252672575</v>
      </c>
      <c r="GI398" s="1979">
        <v>1.7456183397885119</v>
      </c>
      <c r="GJ398" s="1979">
        <v>1.7525192543097663</v>
      </c>
      <c r="GK398" s="2021">
        <v>1.7663210833522751</v>
      </c>
    </row>
    <row r="399" spans="1:193">
      <c r="A399" s="2020"/>
      <c r="B399" s="2">
        <v>15</v>
      </c>
      <c r="C399" s="2" t="str">
        <f>CONCATENATE($U$8," ",EI$9)</f>
        <v xml:space="preserve">Proportion de fenêtres </v>
      </c>
      <c r="D399" s="1998">
        <f>IF(Construction!$F$31=Construction!$R$22,Oeko!BQ399,Oeko!ED399)</f>
        <v>0</v>
      </c>
      <c r="E399" s="1998">
        <f>IF(Construction!$F$31=Construction!$R$22,Oeko!BR399,Oeko!EE399)</f>
        <v>0</v>
      </c>
      <c r="F399" s="1998">
        <f>IF(Construction!$F$31=Construction!$R$22,Oeko!BS399,Oeko!EF399)</f>
        <v>0</v>
      </c>
      <c r="G399" s="1998">
        <f>IF(Construction!$F$31=Construction!$R$22,Oeko!BT399,Oeko!EG399)</f>
        <v>0</v>
      </c>
      <c r="H399" s="1998">
        <f>IF(Construction!$F$31=Construction!$R$22,Oeko!BU399,Oeko!EH399)</f>
        <v>0</v>
      </c>
      <c r="I399" s="1979">
        <f>IF(Construction!$F$31=Construction!$R$22,Oeko!BV399,Oeko!EI399)</f>
        <v>0</v>
      </c>
      <c r="J399" s="1979">
        <f>IF(Construction!$F$31=Construction!$R$22,Oeko!BW399,Oeko!EJ399)</f>
        <v>0</v>
      </c>
      <c r="K399" s="1979">
        <f>IF(Construction!$F$31=Construction!$R$22,Oeko!BX399,Oeko!EK399)</f>
        <v>0</v>
      </c>
      <c r="L399" s="1979">
        <f>IF(Construction!$F$31=Construction!$R$22,Oeko!BY399,Oeko!EL399)</f>
        <v>0</v>
      </c>
      <c r="M399" s="1979">
        <f>IF(Construction!$F$31=Construction!$R$22,Oeko!BZ399,Oeko!EM399)</f>
        <v>0</v>
      </c>
      <c r="N399" s="1998">
        <f>IF(Construction!$F$31=Construction!$R$22,Oeko!CA399,Oeko!EN399)</f>
        <v>0</v>
      </c>
      <c r="O399" s="1998">
        <f>IF(Construction!$F$31=Construction!$R$22,Oeko!CB399,Oeko!EO399)</f>
        <v>0</v>
      </c>
      <c r="P399" s="1998">
        <f>IF(Construction!$F$31=Construction!$R$22,Oeko!CC399,Oeko!EP399)</f>
        <v>0</v>
      </c>
      <c r="Q399" s="1998">
        <f>IF(Construction!$F$31=Construction!$R$22,Oeko!CD399,Oeko!EQ399)</f>
        <v>0</v>
      </c>
      <c r="R399" s="1998">
        <f>IF(Construction!$F$31=Construction!$R$22,Oeko!CE399,Oeko!ER399)</f>
        <v>0</v>
      </c>
      <c r="S399" s="1979">
        <f>IF(Construction!$F$31=Construction!$R$22,Oeko!CF399,Oeko!ES399)</f>
        <v>0</v>
      </c>
      <c r="T399" s="1979">
        <f>IF(Construction!$F$31=Construction!$R$22,Oeko!CG399,Oeko!ET399)</f>
        <v>0</v>
      </c>
      <c r="U399" s="1979">
        <f>IF(Construction!$F$31=Construction!$R$22,Oeko!CH399,Oeko!EU399)</f>
        <v>0</v>
      </c>
      <c r="V399" s="1979">
        <f>IF(Construction!$F$31=Construction!$R$22,Oeko!CI399,Oeko!EV399)</f>
        <v>0</v>
      </c>
      <c r="W399" s="1979">
        <f>IF(Construction!$F$31=Construction!$R$22,Oeko!CJ399,Oeko!EW399)</f>
        <v>0</v>
      </c>
      <c r="X399" s="1998">
        <f>IF(Construction!$F$31=Construction!$R$22,Oeko!CK399,Oeko!EX399)</f>
        <v>1.0062511233712106</v>
      </c>
      <c r="Y399" s="1998">
        <f>IF(Construction!$F$31=Construction!$R$22,Oeko!CL399,Oeko!EY399)</f>
        <v>1.0062511233712106</v>
      </c>
      <c r="Z399" s="1998">
        <f>IF(Construction!$F$31=Construction!$R$22,Oeko!CM399,Oeko!EZ399)</f>
        <v>1.0062511233712106</v>
      </c>
      <c r="AA399" s="1998">
        <f>IF(Construction!$F$31=Construction!$R$22,Oeko!CN399,Oeko!FA399)</f>
        <v>1.0062511233712106</v>
      </c>
      <c r="AB399" s="1998">
        <f>IF(Construction!$F$31=Construction!$R$22,Oeko!CO399,Oeko!FB399)</f>
        <v>1.0062511233712106</v>
      </c>
      <c r="AC399" s="1979">
        <f>IF(Construction!$F$31=Construction!$R$22,Oeko!CP399,Oeko!FC399)</f>
        <v>0</v>
      </c>
      <c r="AD399" s="1979">
        <f>IF(Construction!$F$31=Construction!$R$22,Oeko!CQ399,Oeko!FD399)</f>
        <v>0</v>
      </c>
      <c r="AE399" s="1979">
        <f>IF(Construction!$F$31=Construction!$R$22,Oeko!CR399,Oeko!FE399)</f>
        <v>0</v>
      </c>
      <c r="AF399" s="1979">
        <f>IF(Construction!$F$31=Construction!$R$22,Oeko!CS399,Oeko!FF399)</f>
        <v>0</v>
      </c>
      <c r="AG399" s="1979">
        <f>IF(Construction!$F$31=Construction!$R$22,Oeko!CT399,Oeko!FG399)</f>
        <v>0</v>
      </c>
      <c r="AH399" s="1998">
        <f>IF(Construction!$F$31=Construction!$R$22,Oeko!CU399,Oeko!FH399)</f>
        <v>1.0155098020753901</v>
      </c>
      <c r="AI399" s="1998">
        <f>IF(Construction!$F$31=Construction!$R$22,Oeko!CV399,Oeko!FI399)</f>
        <v>1.0155098020753901</v>
      </c>
      <c r="AJ399" s="1998">
        <f>IF(Construction!$F$31=Construction!$R$22,Oeko!CW399,Oeko!FJ399)</f>
        <v>1.0155098020753901</v>
      </c>
      <c r="AK399" s="1998">
        <f>IF(Construction!$F$31=Construction!$R$22,Oeko!CX399,Oeko!FK399)</f>
        <v>1.0155098020753901</v>
      </c>
      <c r="AL399" s="1998">
        <f>IF(Construction!$F$31=Construction!$R$22,Oeko!CY399,Oeko!FL399)</f>
        <v>1.0155098020753901</v>
      </c>
      <c r="AM399" s="1979">
        <f>IF(Construction!$F$31=Construction!$R$22,Oeko!CZ399,Oeko!FM399)</f>
        <v>1.0025714242908228</v>
      </c>
      <c r="AN399" s="1979">
        <f>IF(Construction!$F$31=Construction!$R$22,Oeko!DA399,Oeko!FN399)</f>
        <v>1.0027875948568155</v>
      </c>
      <c r="AO399" s="1979">
        <f>IF(Construction!$F$31=Construction!$R$22,Oeko!DB399,Oeko!FO399)</f>
        <v>1.0030414695912955</v>
      </c>
      <c r="AP399" s="1979">
        <f>IF(Construction!$F$31=Construction!$R$22,Oeko!DC399,Oeko!FP399)</f>
        <v>1.0032978579370082</v>
      </c>
      <c r="AQ399" s="1979">
        <f>IF(Construction!$F$31=Construction!$R$22,Oeko!DD399,Oeko!FQ399)</f>
        <v>1.0038382843519904</v>
      </c>
      <c r="AR399" s="1998">
        <f>IF(Construction!$F$31=Construction!$R$22,Oeko!DE399,Oeko!FR399)</f>
        <v>8.1044686284051703</v>
      </c>
      <c r="AS399" s="1998">
        <f>IF(Construction!$F$31=Construction!$R$22,Oeko!DF399,Oeko!FS399)</f>
        <v>8.1044686284051703</v>
      </c>
      <c r="AT399" s="1998">
        <f>IF(Construction!$F$31=Construction!$R$22,Oeko!DG399,Oeko!FT399)</f>
        <v>8.1044686284051703</v>
      </c>
      <c r="AU399" s="1998">
        <f>IF(Construction!$F$31=Construction!$R$22,Oeko!DH399,Oeko!FU399)</f>
        <v>8.1044686284051703</v>
      </c>
      <c r="AV399" s="1998">
        <f>IF(Construction!$F$31=Construction!$R$22,Oeko!DI399,Oeko!FV399)</f>
        <v>8.1044686284051703</v>
      </c>
      <c r="AW399" s="1979">
        <f>IF(Construction!$F$31=Construction!$R$22,Oeko!DJ399,Oeko!FW399)</f>
        <v>8.0906700579424253</v>
      </c>
      <c r="AX399" s="1979">
        <f>IF(Construction!$F$31=Construction!$R$22,Oeko!DK399,Oeko!FX399)</f>
        <v>8.0906700579424253</v>
      </c>
      <c r="AY399" s="1979">
        <f>IF(Construction!$F$31=Construction!$R$22,Oeko!DL399,Oeko!FY399)</f>
        <v>8.0906700579424253</v>
      </c>
      <c r="AZ399" s="1979">
        <f>IF(Construction!$F$31=Construction!$R$22,Oeko!DM399,Oeko!FZ399)</f>
        <v>8.0906700579424253</v>
      </c>
      <c r="BA399" s="1979">
        <f>IF(Construction!$F$31=Construction!$R$22,Oeko!DN399,Oeko!GA399)</f>
        <v>8.0906700579424253</v>
      </c>
      <c r="BB399" s="1998">
        <f>IF(Construction!$F$31=Construction!$R$22,Oeko!DO399,Oeko!GB399)</f>
        <v>0.98617234549490229</v>
      </c>
      <c r="BC399" s="1998">
        <f>IF(Construction!$F$31=Construction!$R$22,Oeko!DP399,Oeko!GC399)</f>
        <v>0.98617234549490229</v>
      </c>
      <c r="BD399" s="1998">
        <f>IF(Construction!$F$31=Construction!$R$22,Oeko!DQ399,Oeko!GD399)</f>
        <v>0.98617234549490229</v>
      </c>
      <c r="BE399" s="1998">
        <f>IF(Construction!$F$31=Construction!$R$22,Oeko!DR399,Oeko!GE399)</f>
        <v>0.98617234549490229</v>
      </c>
      <c r="BF399" s="1998">
        <f>IF(Construction!$F$31=Construction!$R$22,Oeko!DS399,Oeko!GF399)</f>
        <v>0.98617234549490229</v>
      </c>
      <c r="BG399" s="1979">
        <f>IF(Construction!$F$31=Construction!$R$22,Oeko!DT399,Oeko!GG399)</f>
        <v>0.98843270679637185</v>
      </c>
      <c r="BH399" s="1979">
        <f>IF(Construction!$F$31=Construction!$R$22,Oeko!DU399,Oeko!GH399)</f>
        <v>0.98843270679637185</v>
      </c>
      <c r="BI399" s="1979">
        <f>IF(Construction!$F$31=Construction!$R$22,Oeko!DV399,Oeko!GI399)</f>
        <v>0.98843270679637185</v>
      </c>
      <c r="BJ399" s="1979">
        <f>IF(Construction!$F$31=Construction!$R$22,Oeko!DW399,Oeko!GJ399)</f>
        <v>0.98843270679637185</v>
      </c>
      <c r="BK399" s="2021">
        <f>IF(Construction!$F$31=Construction!$R$22,Oeko!DX399,Oeko!GK399)</f>
        <v>0.98843270679637185</v>
      </c>
      <c r="BN399" s="2022"/>
      <c r="BO399" s="2">
        <v>15</v>
      </c>
      <c r="BP399" s="2" t="str">
        <f>CONCATENATE($U$8," ",GV$9)</f>
        <v xml:space="preserve">Proportion de fenêtres </v>
      </c>
      <c r="BQ399" s="1998">
        <v>0</v>
      </c>
      <c r="BR399" s="1998">
        <v>0</v>
      </c>
      <c r="BS399" s="1998">
        <v>0</v>
      </c>
      <c r="BT399" s="1998">
        <v>0</v>
      </c>
      <c r="BU399" s="1998">
        <v>0</v>
      </c>
      <c r="BV399" s="1979">
        <v>0</v>
      </c>
      <c r="BW399" s="1979">
        <v>0</v>
      </c>
      <c r="BX399" s="1979">
        <v>0</v>
      </c>
      <c r="BY399" s="1979">
        <v>0</v>
      </c>
      <c r="BZ399" s="1979">
        <v>0</v>
      </c>
      <c r="CA399" s="1998">
        <v>0</v>
      </c>
      <c r="CB399" s="1998">
        <v>0</v>
      </c>
      <c r="CC399" s="1998">
        <v>0</v>
      </c>
      <c r="CD399" s="1998">
        <v>0</v>
      </c>
      <c r="CE399" s="1998">
        <v>0</v>
      </c>
      <c r="CF399" s="1979">
        <v>0</v>
      </c>
      <c r="CG399" s="1979">
        <v>0</v>
      </c>
      <c r="CH399" s="1979">
        <v>0</v>
      </c>
      <c r="CI399" s="1979">
        <v>0</v>
      </c>
      <c r="CJ399" s="1979">
        <v>0</v>
      </c>
      <c r="CK399" s="1998">
        <v>1.0062511233712106</v>
      </c>
      <c r="CL399" s="1998">
        <v>1.0062511233712106</v>
      </c>
      <c r="CM399" s="1998">
        <v>1.0062511233712106</v>
      </c>
      <c r="CN399" s="1998">
        <v>1.0062511233712106</v>
      </c>
      <c r="CO399" s="1998">
        <v>1.0062511233712106</v>
      </c>
      <c r="CP399" s="1979">
        <v>0</v>
      </c>
      <c r="CQ399" s="1979">
        <v>0</v>
      </c>
      <c r="CR399" s="1979">
        <v>0</v>
      </c>
      <c r="CS399" s="1979">
        <v>0</v>
      </c>
      <c r="CT399" s="1979">
        <v>0</v>
      </c>
      <c r="CU399" s="1998">
        <v>1.0155098020753901</v>
      </c>
      <c r="CV399" s="1998">
        <v>1.0155098020753901</v>
      </c>
      <c r="CW399" s="1998">
        <v>1.0155098020753901</v>
      </c>
      <c r="CX399" s="1998">
        <v>1.0155098020753901</v>
      </c>
      <c r="CY399" s="1998">
        <v>1.0155098020753901</v>
      </c>
      <c r="CZ399" s="1979">
        <v>1.0025714242908228</v>
      </c>
      <c r="DA399" s="1979">
        <v>1.0027875948568155</v>
      </c>
      <c r="DB399" s="1979">
        <v>1.0030414695912955</v>
      </c>
      <c r="DC399" s="1979">
        <v>1.0032978579370082</v>
      </c>
      <c r="DD399" s="1979">
        <v>1.0038382843519904</v>
      </c>
      <c r="DE399" s="1998">
        <v>8.1044686284051703</v>
      </c>
      <c r="DF399" s="1998">
        <v>8.1044686284051703</v>
      </c>
      <c r="DG399" s="1998">
        <v>8.1044686284051703</v>
      </c>
      <c r="DH399" s="1998">
        <v>8.1044686284051703</v>
      </c>
      <c r="DI399" s="1998">
        <v>8.1044686284051703</v>
      </c>
      <c r="DJ399" s="1979">
        <v>8.0906700579424253</v>
      </c>
      <c r="DK399" s="1979">
        <v>8.0906700579424253</v>
      </c>
      <c r="DL399" s="1979">
        <v>8.0906700579424253</v>
      </c>
      <c r="DM399" s="1979">
        <v>8.0906700579424253</v>
      </c>
      <c r="DN399" s="1979">
        <v>8.0906700579424253</v>
      </c>
      <c r="DO399" s="1998">
        <v>0.98617234549490229</v>
      </c>
      <c r="DP399" s="1998">
        <v>0.98617234549490229</v>
      </c>
      <c r="DQ399" s="1998">
        <v>0.98617234549490229</v>
      </c>
      <c r="DR399" s="1998">
        <v>0.98617234549490229</v>
      </c>
      <c r="DS399" s="1998">
        <v>0.98617234549490229</v>
      </c>
      <c r="DT399" s="1979">
        <v>0.98843270679637185</v>
      </c>
      <c r="DU399" s="1979">
        <v>0.98843270679637185</v>
      </c>
      <c r="DV399" s="1979">
        <v>0.98843270679637185</v>
      </c>
      <c r="DW399" s="1979">
        <v>0.98843270679637185</v>
      </c>
      <c r="DX399" s="2021">
        <v>0.98843270679637185</v>
      </c>
      <c r="EA399" s="2022"/>
      <c r="EB399" s="2">
        <v>15</v>
      </c>
      <c r="EC399" s="2" t="str">
        <f>CONCATENATE($U$8," ",JI$9)</f>
        <v xml:space="preserve">Proportion de fenêtres </v>
      </c>
      <c r="ED399" s="1998">
        <v>0</v>
      </c>
      <c r="EE399" s="1998">
        <v>0</v>
      </c>
      <c r="EF399" s="1998">
        <v>0</v>
      </c>
      <c r="EG399" s="1998">
        <v>0</v>
      </c>
      <c r="EH399" s="1998">
        <v>0</v>
      </c>
      <c r="EI399" s="1979">
        <v>0</v>
      </c>
      <c r="EJ399" s="1979">
        <v>0</v>
      </c>
      <c r="EK399" s="1979">
        <v>0</v>
      </c>
      <c r="EL399" s="1979">
        <v>0</v>
      </c>
      <c r="EM399" s="1979">
        <v>0</v>
      </c>
      <c r="EN399" s="1998">
        <v>0</v>
      </c>
      <c r="EO399" s="1998">
        <v>0</v>
      </c>
      <c r="EP399" s="1998">
        <v>0</v>
      </c>
      <c r="EQ399" s="1998">
        <v>0</v>
      </c>
      <c r="ER399" s="1998">
        <v>0</v>
      </c>
      <c r="ES399" s="1979">
        <v>0</v>
      </c>
      <c r="ET399" s="1979">
        <v>0</v>
      </c>
      <c r="EU399" s="1979">
        <v>0</v>
      </c>
      <c r="EV399" s="1979">
        <v>0</v>
      </c>
      <c r="EW399" s="1979">
        <v>0</v>
      </c>
      <c r="EX399" s="1998">
        <v>1.4361897367638583</v>
      </c>
      <c r="EY399" s="1998">
        <v>1.4687095820840139</v>
      </c>
      <c r="EZ399" s="1998">
        <v>1.4715373947205488</v>
      </c>
      <c r="FA399" s="1998">
        <v>1.4743652073570843</v>
      </c>
      <c r="FB399" s="1998">
        <v>1.4771930199936194</v>
      </c>
      <c r="FC399" s="1979">
        <v>0</v>
      </c>
      <c r="FD399" s="1979">
        <v>0</v>
      </c>
      <c r="FE399" s="1979">
        <v>0</v>
      </c>
      <c r="FF399" s="1979">
        <v>0</v>
      </c>
      <c r="FG399" s="1979">
        <v>0</v>
      </c>
      <c r="FH399" s="1998">
        <v>2.4077025590267542</v>
      </c>
      <c r="FI399" s="1998">
        <v>2.4147720906180918</v>
      </c>
      <c r="FJ399" s="1998">
        <v>2.4218416222094294</v>
      </c>
      <c r="FK399" s="1998">
        <v>2.4289111538007679</v>
      </c>
      <c r="FL399" s="1998">
        <v>2.435980685392106</v>
      </c>
      <c r="FM399" s="1979">
        <v>1.5140756000294371</v>
      </c>
      <c r="FN399" s="1979">
        <v>1.5402133864303362</v>
      </c>
      <c r="FO399" s="1979">
        <v>1.5805279401823993</v>
      </c>
      <c r="FP399" s="1979">
        <v>1.627914539137032</v>
      </c>
      <c r="FQ399" s="1979">
        <v>1.659089602447813</v>
      </c>
      <c r="FR399" s="1998">
        <v>18.752193325777711</v>
      </c>
      <c r="FS399" s="1998">
        <v>18.809094994167147</v>
      </c>
      <c r="FT399" s="1998">
        <v>18.865996662556579</v>
      </c>
      <c r="FU399" s="1998">
        <v>18.922898330946008</v>
      </c>
      <c r="FV399" s="1998">
        <v>18.979799999335437</v>
      </c>
      <c r="FW399" s="1979">
        <v>19.091488142378733</v>
      </c>
      <c r="FX399" s="1979">
        <v>19.148277026295439</v>
      </c>
      <c r="FY399" s="1979">
        <v>19.205065910212145</v>
      </c>
      <c r="FZ399" s="1979">
        <v>19.261854794128855</v>
      </c>
      <c r="GA399" s="1979">
        <v>19.318643678045557</v>
      </c>
      <c r="GB399" s="1998">
        <v>1.6840092006142486</v>
      </c>
      <c r="GC399" s="1998">
        <v>1.6909356210124555</v>
      </c>
      <c r="GD399" s="1998">
        <v>1.6978620414106624</v>
      </c>
      <c r="GE399" s="1998">
        <v>1.7047884618088693</v>
      </c>
      <c r="GF399" s="1998">
        <v>1.7186413026052831</v>
      </c>
      <c r="GG399" s="1979">
        <v>1.7302810178312265</v>
      </c>
      <c r="GH399" s="1979">
        <v>1.7371819323524811</v>
      </c>
      <c r="GI399" s="1979">
        <v>1.7440828468737353</v>
      </c>
      <c r="GJ399" s="1979">
        <v>1.7509837613949899</v>
      </c>
      <c r="GK399" s="2021">
        <v>1.7647855904374989</v>
      </c>
    </row>
    <row r="400" spans="1:193">
      <c r="A400" s="2020"/>
      <c r="B400" s="2">
        <v>16</v>
      </c>
      <c r="C400" s="2" t="str">
        <f>CONCATENATE($U$8," ",EI$10)</f>
        <v xml:space="preserve">Proportion de fenêtres </v>
      </c>
      <c r="D400" s="1998">
        <f>IF(Construction!$F$31=Construction!$R$22,Oeko!BQ400,Oeko!ED400)</f>
        <v>1.0051358610156378</v>
      </c>
      <c r="E400" s="1998">
        <f>IF(Construction!$F$31=Construction!$R$22,Oeko!BR400,Oeko!EE400)</f>
        <v>1.0055676147276071</v>
      </c>
      <c r="F400" s="1998">
        <f>IF(Construction!$F$31=Construction!$R$22,Oeko!BS400,Oeko!EF400)</f>
        <v>1.0060746743195714</v>
      </c>
      <c r="G400" s="1998">
        <f>IF(Construction!$F$31=Construction!$R$22,Oeko!BT400,Oeko!EG400)</f>
        <v>1.0065867543035354</v>
      </c>
      <c r="H400" s="1998">
        <f>IF(Construction!$F$31=Construction!$R$22,Oeko!BU400,Oeko!EH400)</f>
        <v>1.0076661385834593</v>
      </c>
      <c r="I400" s="1979">
        <f>IF(Construction!$F$31=Construction!$R$22,Oeko!BV400,Oeko!EI400)</f>
        <v>1.0082183304749306</v>
      </c>
      <c r="J400" s="1979">
        <f>IF(Construction!$F$31=Construction!$R$22,Oeko!BW400,Oeko!EJ400)</f>
        <v>1.0089092165168112</v>
      </c>
      <c r="K400" s="1979">
        <f>IF(Construction!$F$31=Construction!$R$22,Oeko!BX400,Oeko!EK400)</f>
        <v>1.0097206059380897</v>
      </c>
      <c r="L400" s="1979">
        <f>IF(Construction!$F$31=Construction!$R$22,Oeko!BY400,Oeko!EL400)</f>
        <v>1.0105400289179949</v>
      </c>
      <c r="M400" s="1979">
        <f>IF(Construction!$F$31=Construction!$R$22,Oeko!BZ400,Oeko!EM400)</f>
        <v>1.0122672440226967</v>
      </c>
      <c r="N400" s="1998">
        <f>IF(Construction!$F$31=Construction!$R$22,Oeko!CA400,Oeko!EN400)</f>
        <v>1.0063071533045282</v>
      </c>
      <c r="O400" s="1998">
        <f>IF(Construction!$F$31=Construction!$R$22,Oeko!CB400,Oeko!EO400)</f>
        <v>1.0063071533045282</v>
      </c>
      <c r="P400" s="1998">
        <f>IF(Construction!$F$31=Construction!$R$22,Oeko!CC400,Oeko!EP400)</f>
        <v>1.0063071533045282</v>
      </c>
      <c r="Q400" s="1998">
        <f>IF(Construction!$F$31=Construction!$R$22,Oeko!CD400,Oeko!EQ400)</f>
        <v>1.0063071533045282</v>
      </c>
      <c r="R400" s="1998">
        <f>IF(Construction!$F$31=Construction!$R$22,Oeko!CE400,Oeko!ER400)</f>
        <v>1.0063071533045282</v>
      </c>
      <c r="S400" s="1979">
        <f>IF(Construction!$F$31=Construction!$R$22,Oeko!CF400,Oeko!ES400)</f>
        <v>1.0136036639901589</v>
      </c>
      <c r="T400" s="1979">
        <f>IF(Construction!$F$31=Construction!$R$22,Oeko!CG400,Oeko!ET400)</f>
        <v>1.0136036639901589</v>
      </c>
      <c r="U400" s="1979">
        <f>IF(Construction!$F$31=Construction!$R$22,Oeko!CH400,Oeko!EU400)</f>
        <v>1.0136036639901589</v>
      </c>
      <c r="V400" s="1979">
        <f>IF(Construction!$F$31=Construction!$R$22,Oeko!CI400,Oeko!EV400)</f>
        <v>1.0136036639901589</v>
      </c>
      <c r="W400" s="1979">
        <f>IF(Construction!$F$31=Construction!$R$22,Oeko!CJ400,Oeko!EW400)</f>
        <v>1.0136036639901589</v>
      </c>
      <c r="X400" s="1998">
        <f>IF(Construction!$F$31=Construction!$R$22,Oeko!CK400,Oeko!EX400)</f>
        <v>1.0054697329498092</v>
      </c>
      <c r="Y400" s="1998">
        <f>IF(Construction!$F$31=Construction!$R$22,Oeko!CL400,Oeko!EY400)</f>
        <v>1.0054697329498092</v>
      </c>
      <c r="Z400" s="1998">
        <f>IF(Construction!$F$31=Construction!$R$22,Oeko!CM400,Oeko!EZ400)</f>
        <v>1.0054697329498092</v>
      </c>
      <c r="AA400" s="1998">
        <f>IF(Construction!$F$31=Construction!$R$22,Oeko!CN400,Oeko!FA400)</f>
        <v>1.0054697329498092</v>
      </c>
      <c r="AB400" s="1998">
        <f>IF(Construction!$F$31=Construction!$R$22,Oeko!CO400,Oeko!FB400)</f>
        <v>1.0054697329498092</v>
      </c>
      <c r="AC400" s="1979">
        <f>IF(Construction!$F$31=Construction!$R$22,Oeko!CP400,Oeko!FC400)</f>
        <v>1.0058433920321364</v>
      </c>
      <c r="AD400" s="1979">
        <f>IF(Construction!$F$31=Construction!$R$22,Oeko!CQ400,Oeko!FD400)</f>
        <v>1.0058433920321364</v>
      </c>
      <c r="AE400" s="1979">
        <f>IF(Construction!$F$31=Construction!$R$22,Oeko!CR400,Oeko!FE400)</f>
        <v>1.0058433920321364</v>
      </c>
      <c r="AF400" s="1979">
        <f>IF(Construction!$F$31=Construction!$R$22,Oeko!CS400,Oeko!FF400)</f>
        <v>1.0058433920321364</v>
      </c>
      <c r="AG400" s="1979">
        <f>IF(Construction!$F$31=Construction!$R$22,Oeko!CT400,Oeko!FG400)</f>
        <v>1.0058433920321364</v>
      </c>
      <c r="AH400" s="1998">
        <f>IF(Construction!$F$31=Construction!$R$22,Oeko!CU400,Oeko!FH400)</f>
        <v>1.0135710768159663</v>
      </c>
      <c r="AI400" s="1998">
        <f>IF(Construction!$F$31=Construction!$R$22,Oeko!CV400,Oeko!FI400)</f>
        <v>1.0135710768159663</v>
      </c>
      <c r="AJ400" s="1998">
        <f>IF(Construction!$F$31=Construction!$R$22,Oeko!CW400,Oeko!FJ400)</f>
        <v>1.0135710768159663</v>
      </c>
      <c r="AK400" s="1998">
        <f>IF(Construction!$F$31=Construction!$R$22,Oeko!CX400,Oeko!FK400)</f>
        <v>1.0135710768159663</v>
      </c>
      <c r="AL400" s="1998">
        <f>IF(Construction!$F$31=Construction!$R$22,Oeko!CY400,Oeko!FL400)</f>
        <v>1.0135710768159663</v>
      </c>
      <c r="AM400" s="1979">
        <f>IF(Construction!$F$31=Construction!$R$22,Oeko!CZ400,Oeko!FM400)</f>
        <v>1.0022499962544698</v>
      </c>
      <c r="AN400" s="1979">
        <f>IF(Construction!$F$31=Construction!$R$22,Oeko!DA400,Oeko!FN400)</f>
        <v>1.0024391454997137</v>
      </c>
      <c r="AO400" s="1979">
        <f>IF(Construction!$F$31=Construction!$R$22,Oeko!DB400,Oeko!FO400)</f>
        <v>1.0026612858923836</v>
      </c>
      <c r="AP400" s="1979">
        <f>IF(Construction!$F$31=Construction!$R$22,Oeko!DC400,Oeko!FP400)</f>
        <v>1.0028856256948822</v>
      </c>
      <c r="AQ400" s="1979">
        <f>IF(Construction!$F$31=Construction!$R$22,Oeko!DD400,Oeko!FQ400)</f>
        <v>1.0033584988079916</v>
      </c>
      <c r="AR400" s="1998">
        <f>IF(Construction!$F$31=Construction!$R$22,Oeko!DE400,Oeko!FR400)</f>
        <v>8.0975175205947174</v>
      </c>
      <c r="AS400" s="1998">
        <f>IF(Construction!$F$31=Construction!$R$22,Oeko!DF400,Oeko!FS400)</f>
        <v>8.0975175205947174</v>
      </c>
      <c r="AT400" s="1998">
        <f>IF(Construction!$F$31=Construction!$R$22,Oeko!DG400,Oeko!FT400)</f>
        <v>8.0975175205947174</v>
      </c>
      <c r="AU400" s="1998">
        <f>IF(Construction!$F$31=Construction!$R$22,Oeko!DH400,Oeko!FU400)</f>
        <v>8.0975175205947174</v>
      </c>
      <c r="AV400" s="1998">
        <f>IF(Construction!$F$31=Construction!$R$22,Oeko!DI400,Oeko!FV400)</f>
        <v>8.0975175205947174</v>
      </c>
      <c r="AW400" s="1979">
        <f>IF(Construction!$F$31=Construction!$R$22,Oeko!DJ400,Oeko!FW400)</f>
        <v>8.0834495715542101</v>
      </c>
      <c r="AX400" s="1979">
        <f>IF(Construction!$F$31=Construction!$R$22,Oeko!DK400,Oeko!FX400)</f>
        <v>8.0834495715542101</v>
      </c>
      <c r="AY400" s="1979">
        <f>IF(Construction!$F$31=Construction!$R$22,Oeko!DL400,Oeko!FY400)</f>
        <v>8.0834495715542101</v>
      </c>
      <c r="AZ400" s="1979">
        <f>IF(Construction!$F$31=Construction!$R$22,Oeko!DM400,Oeko!FZ400)</f>
        <v>8.0834495715542101</v>
      </c>
      <c r="BA400" s="1979">
        <f>IF(Construction!$F$31=Construction!$R$22,Oeko!DN400,Oeko!GA400)</f>
        <v>8.0834495715542101</v>
      </c>
      <c r="BB400" s="1998">
        <f>IF(Construction!$F$31=Construction!$R$22,Oeko!DO400,Oeko!GB400)</f>
        <v>0.98537038018455481</v>
      </c>
      <c r="BC400" s="1998">
        <f>IF(Construction!$F$31=Construction!$R$22,Oeko!DP400,Oeko!GC400)</f>
        <v>0.98537038018455481</v>
      </c>
      <c r="BD400" s="1998">
        <f>IF(Construction!$F$31=Construction!$R$22,Oeko!DQ400,Oeko!GD400)</f>
        <v>0.98537038018455481</v>
      </c>
      <c r="BE400" s="1998">
        <f>IF(Construction!$F$31=Construction!$R$22,Oeko!DR400,Oeko!GE400)</f>
        <v>0.98537038018455481</v>
      </c>
      <c r="BF400" s="1998">
        <f>IF(Construction!$F$31=Construction!$R$22,Oeko!DS400,Oeko!GF400)</f>
        <v>0.98537038018455481</v>
      </c>
      <c r="BG400" s="1979">
        <f>IF(Construction!$F$31=Construction!$R$22,Oeko!DT400,Oeko!GG400)</f>
        <v>0.98689721388159546</v>
      </c>
      <c r="BH400" s="1979">
        <f>IF(Construction!$F$31=Construction!$R$22,Oeko!DU400,Oeko!GH400)</f>
        <v>0.98689721388159546</v>
      </c>
      <c r="BI400" s="1979">
        <f>IF(Construction!$F$31=Construction!$R$22,Oeko!DV400,Oeko!GI400)</f>
        <v>0.98689721388159546</v>
      </c>
      <c r="BJ400" s="1979">
        <f>IF(Construction!$F$31=Construction!$R$22,Oeko!DW400,Oeko!GJ400)</f>
        <v>0.98689721388159546</v>
      </c>
      <c r="BK400" s="2021">
        <f>IF(Construction!$F$31=Construction!$R$22,Oeko!DX400,Oeko!GK400)</f>
        <v>0.98689721388159546</v>
      </c>
      <c r="BN400" s="2022"/>
      <c r="BO400" s="2">
        <v>16</v>
      </c>
      <c r="BP400" s="2" t="str">
        <f>CONCATENATE($U$8," ",GV$10)</f>
        <v xml:space="preserve">Proportion de fenêtres </v>
      </c>
      <c r="BQ400" s="1998">
        <v>1.0051358610156378</v>
      </c>
      <c r="BR400" s="1998">
        <v>1.0055676147276071</v>
      </c>
      <c r="BS400" s="1998">
        <v>1.0060746743195714</v>
      </c>
      <c r="BT400" s="1998">
        <v>1.0065867543035354</v>
      </c>
      <c r="BU400" s="1998">
        <v>1.0076661385834593</v>
      </c>
      <c r="BV400" s="1979">
        <v>1.0082183304749306</v>
      </c>
      <c r="BW400" s="1979">
        <v>1.0089092165168112</v>
      </c>
      <c r="BX400" s="1979">
        <v>1.0097206059380897</v>
      </c>
      <c r="BY400" s="1979">
        <v>1.0105400289179949</v>
      </c>
      <c r="BZ400" s="1979">
        <v>1.0122672440226967</v>
      </c>
      <c r="CA400" s="1998">
        <v>1.0063071533045282</v>
      </c>
      <c r="CB400" s="1998">
        <v>1.0063071533045282</v>
      </c>
      <c r="CC400" s="1998">
        <v>1.0063071533045282</v>
      </c>
      <c r="CD400" s="1998">
        <v>1.0063071533045282</v>
      </c>
      <c r="CE400" s="1998">
        <v>1.0063071533045282</v>
      </c>
      <c r="CF400" s="1979">
        <v>1.0136036639901589</v>
      </c>
      <c r="CG400" s="1979">
        <v>1.0136036639901589</v>
      </c>
      <c r="CH400" s="1979">
        <v>1.0136036639901589</v>
      </c>
      <c r="CI400" s="1979">
        <v>1.0136036639901589</v>
      </c>
      <c r="CJ400" s="1979">
        <v>1.0136036639901589</v>
      </c>
      <c r="CK400" s="1998">
        <v>1.0054697329498092</v>
      </c>
      <c r="CL400" s="1998">
        <v>1.0054697329498092</v>
      </c>
      <c r="CM400" s="1998">
        <v>1.0054697329498092</v>
      </c>
      <c r="CN400" s="1998">
        <v>1.0054697329498092</v>
      </c>
      <c r="CO400" s="1998">
        <v>1.0054697329498092</v>
      </c>
      <c r="CP400" s="1979">
        <v>1.0058433920321364</v>
      </c>
      <c r="CQ400" s="1979">
        <v>1.0058433920321364</v>
      </c>
      <c r="CR400" s="1979">
        <v>1.0058433920321364</v>
      </c>
      <c r="CS400" s="1979">
        <v>1.0058433920321364</v>
      </c>
      <c r="CT400" s="1979">
        <v>1.0058433920321364</v>
      </c>
      <c r="CU400" s="1998">
        <v>1.0135710768159663</v>
      </c>
      <c r="CV400" s="1998">
        <v>1.0135710768159663</v>
      </c>
      <c r="CW400" s="1998">
        <v>1.0135710768159663</v>
      </c>
      <c r="CX400" s="1998">
        <v>1.0135710768159663</v>
      </c>
      <c r="CY400" s="1998">
        <v>1.0135710768159663</v>
      </c>
      <c r="CZ400" s="1979">
        <v>1.0022499962544698</v>
      </c>
      <c r="DA400" s="1979">
        <v>1.0024391454997137</v>
      </c>
      <c r="DB400" s="1979">
        <v>1.0026612858923836</v>
      </c>
      <c r="DC400" s="1979">
        <v>1.0028856256948822</v>
      </c>
      <c r="DD400" s="1979">
        <v>1.0033584988079916</v>
      </c>
      <c r="DE400" s="1998">
        <v>8.0975175205947174</v>
      </c>
      <c r="DF400" s="1998">
        <v>8.0975175205947174</v>
      </c>
      <c r="DG400" s="1998">
        <v>8.0975175205947174</v>
      </c>
      <c r="DH400" s="1998">
        <v>8.0975175205947174</v>
      </c>
      <c r="DI400" s="1998">
        <v>8.0975175205947174</v>
      </c>
      <c r="DJ400" s="1979">
        <v>8.0834495715542101</v>
      </c>
      <c r="DK400" s="1979">
        <v>8.0834495715542101</v>
      </c>
      <c r="DL400" s="1979">
        <v>8.0834495715542101</v>
      </c>
      <c r="DM400" s="1979">
        <v>8.0834495715542101</v>
      </c>
      <c r="DN400" s="1979">
        <v>8.0834495715542101</v>
      </c>
      <c r="DO400" s="1998">
        <v>0.98537038018455481</v>
      </c>
      <c r="DP400" s="1998">
        <v>0.98537038018455481</v>
      </c>
      <c r="DQ400" s="1998">
        <v>0.98537038018455481</v>
      </c>
      <c r="DR400" s="1998">
        <v>0.98537038018455481</v>
      </c>
      <c r="DS400" s="1998">
        <v>0.98537038018455481</v>
      </c>
      <c r="DT400" s="1979">
        <v>0.98689721388159546</v>
      </c>
      <c r="DU400" s="1979">
        <v>0.98689721388159546</v>
      </c>
      <c r="DV400" s="1979">
        <v>0.98689721388159546</v>
      </c>
      <c r="DW400" s="1979">
        <v>0.98689721388159546</v>
      </c>
      <c r="DX400" s="2021">
        <v>0.98689721388159546</v>
      </c>
      <c r="EA400" s="2022"/>
      <c r="EB400" s="2">
        <v>16</v>
      </c>
      <c r="EC400" s="2" t="str">
        <f>CONCATENATE($U$8," ",JI$10)</f>
        <v xml:space="preserve">Proportion de fenêtres </v>
      </c>
      <c r="ED400" s="1998">
        <v>1.3300663892155757</v>
      </c>
      <c r="EE400" s="1998">
        <v>1.3505284824363366</v>
      </c>
      <c r="EF400" s="1998">
        <v>1.3852049447197681</v>
      </c>
      <c r="EG400" s="1998">
        <v>1.4269559589865373</v>
      </c>
      <c r="EH400" s="1998">
        <v>1.4610264906927055</v>
      </c>
      <c r="EI400" s="1979">
        <v>2.028535363302193</v>
      </c>
      <c r="EJ400" s="1979">
        <v>2.0787129704834406</v>
      </c>
      <c r="EK400" s="1979">
        <v>2.143150144226762</v>
      </c>
      <c r="EL400" s="1979">
        <v>2.2146648831200477</v>
      </c>
      <c r="EM400" s="1979">
        <v>2.2376006929987633</v>
      </c>
      <c r="EN400" s="1998">
        <v>1.4051109724643034</v>
      </c>
      <c r="EO400" s="1998">
        <v>1.4384387642520404</v>
      </c>
      <c r="EP400" s="1998">
        <v>1.4404586304209941</v>
      </c>
      <c r="EQ400" s="1998">
        <v>1.4424784965899478</v>
      </c>
      <c r="ER400" s="1998">
        <v>1.4444983627589014</v>
      </c>
      <c r="ES400" s="1979">
        <v>1.7847128223153605</v>
      </c>
      <c r="ET400" s="1979">
        <v>1.8129909486807128</v>
      </c>
      <c r="EU400" s="1979">
        <v>1.8200604802720508</v>
      </c>
      <c r="EV400" s="1979">
        <v>1.8271300118633886</v>
      </c>
      <c r="EW400" s="1979">
        <v>1.8341995434547271</v>
      </c>
      <c r="EX400" s="1998">
        <v>1.4354083463424572</v>
      </c>
      <c r="EY400" s="1998">
        <v>1.4679281916626126</v>
      </c>
      <c r="EZ400" s="1998">
        <v>1.4707560042991477</v>
      </c>
      <c r="FA400" s="1998">
        <v>1.4735838169356827</v>
      </c>
      <c r="FB400" s="1998">
        <v>1.4764116295722181</v>
      </c>
      <c r="FC400" s="1979">
        <v>1.5954423267497329</v>
      </c>
      <c r="FD400" s="1979">
        <v>1.5813032635670565</v>
      </c>
      <c r="FE400" s="1979">
        <v>1.5954423267497329</v>
      </c>
      <c r="FF400" s="1979">
        <v>1.6095813899324087</v>
      </c>
      <c r="FG400" s="1979">
        <v>1.6237204531150851</v>
      </c>
      <c r="FH400" s="1998">
        <v>2.4057638337673297</v>
      </c>
      <c r="FI400" s="1998">
        <v>2.4128333653586682</v>
      </c>
      <c r="FJ400" s="1998">
        <v>2.4199028969500063</v>
      </c>
      <c r="FK400" s="1998">
        <v>2.4269724285413439</v>
      </c>
      <c r="FL400" s="1998">
        <v>2.4340419601326824</v>
      </c>
      <c r="FM400" s="1979">
        <v>1.5137541719930845</v>
      </c>
      <c r="FN400" s="1979">
        <v>1.5398649370732345</v>
      </c>
      <c r="FO400" s="1979">
        <v>1.5801477564834872</v>
      </c>
      <c r="FP400" s="1979">
        <v>1.6275023068949059</v>
      </c>
      <c r="FQ400" s="1979">
        <v>1.6586098169038141</v>
      </c>
      <c r="FR400" s="1998">
        <v>18.745242217967263</v>
      </c>
      <c r="FS400" s="1998">
        <v>18.802143886356692</v>
      </c>
      <c r="FT400" s="1998">
        <v>18.859045554746121</v>
      </c>
      <c r="FU400" s="1998">
        <v>18.915947223135557</v>
      </c>
      <c r="FV400" s="1998">
        <v>18.97284889152499</v>
      </c>
      <c r="FW400" s="1979">
        <v>19.084267655990523</v>
      </c>
      <c r="FX400" s="1979">
        <v>19.141056539907225</v>
      </c>
      <c r="FY400" s="1979">
        <v>19.197845423823932</v>
      </c>
      <c r="FZ400" s="1979">
        <v>19.254634307740641</v>
      </c>
      <c r="GA400" s="1979">
        <v>19.311423191657344</v>
      </c>
      <c r="GB400" s="1998">
        <v>1.6832072353039014</v>
      </c>
      <c r="GC400" s="1998">
        <v>1.6901336557021081</v>
      </c>
      <c r="GD400" s="1998">
        <v>1.6970600761003152</v>
      </c>
      <c r="GE400" s="1998">
        <v>1.7039864964985219</v>
      </c>
      <c r="GF400" s="1998">
        <v>1.7178393372949359</v>
      </c>
      <c r="GG400" s="1979">
        <v>1.7287455249164503</v>
      </c>
      <c r="GH400" s="1979">
        <v>1.7356464394377047</v>
      </c>
      <c r="GI400" s="1979">
        <v>1.7425473539589591</v>
      </c>
      <c r="GJ400" s="1979">
        <v>1.7494482684802135</v>
      </c>
      <c r="GK400" s="2021">
        <v>1.7632500975227225</v>
      </c>
    </row>
    <row r="401" spans="1:193">
      <c r="A401" s="2020"/>
      <c r="B401" s="2">
        <v>17</v>
      </c>
      <c r="C401" s="2" t="str">
        <f>CONCATENATE($U$8," ",EI$11)</f>
        <v xml:space="preserve">Proportion de fenêtres </v>
      </c>
      <c r="D401" s="1998">
        <f>IF(Construction!$F$31=Construction!$R$22,Oeko!BQ401,Oeko!ED401)</f>
        <v>1.0044021665848324</v>
      </c>
      <c r="E401" s="1998">
        <f>IF(Construction!$F$31=Construction!$R$22,Oeko!BR401,Oeko!EE401)</f>
        <v>1.0047722411950919</v>
      </c>
      <c r="F401" s="1998">
        <f>IF(Construction!$F$31=Construction!$R$22,Oeko!BS401,Oeko!EF401)</f>
        <v>1.0052068637024898</v>
      </c>
      <c r="G401" s="1998">
        <f>IF(Construction!$F$31=Construction!$R$22,Oeko!BT401,Oeko!EG401)</f>
        <v>1.0056457894030304</v>
      </c>
      <c r="H401" s="1998">
        <f>IF(Construction!$F$31=Construction!$R$22,Oeko!BU401,Oeko!EH401)</f>
        <v>1.0065709759286794</v>
      </c>
      <c r="I401" s="1979">
        <f>IF(Construction!$F$31=Construction!$R$22,Oeko!BV401,Oeko!EI401)</f>
        <v>1.0070442832642261</v>
      </c>
      <c r="J401" s="1979">
        <f>IF(Construction!$F$31=Construction!$R$22,Oeko!BW401,Oeko!EJ401)</f>
        <v>1.007636471300124</v>
      </c>
      <c r="K401" s="1979">
        <f>IF(Construction!$F$31=Construction!$R$22,Oeko!BX401,Oeko!EK401)</f>
        <v>1.0083319479469341</v>
      </c>
      <c r="L401" s="1979">
        <f>IF(Construction!$F$31=Construction!$R$22,Oeko!BY401,Oeko!EL401)</f>
        <v>1.0090343105011388</v>
      </c>
      <c r="M401" s="1979">
        <f>IF(Construction!$F$31=Construction!$R$22,Oeko!BZ401,Oeko!EM401)</f>
        <v>1.010514780590883</v>
      </c>
      <c r="N401" s="1998">
        <f>IF(Construction!$F$31=Construction!$R$22,Oeko!CA401,Oeko!EN401)</f>
        <v>1.0054061314038814</v>
      </c>
      <c r="O401" s="1998">
        <f>IF(Construction!$F$31=Construction!$R$22,Oeko!CB401,Oeko!EO401)</f>
        <v>1.0054061314038814</v>
      </c>
      <c r="P401" s="1998">
        <f>IF(Construction!$F$31=Construction!$R$22,Oeko!CC401,Oeko!EP401)</f>
        <v>1.0054061314038814</v>
      </c>
      <c r="Q401" s="1998">
        <f>IF(Construction!$F$31=Construction!$R$22,Oeko!CD401,Oeko!EQ401)</f>
        <v>1.0054061314038814</v>
      </c>
      <c r="R401" s="1998">
        <f>IF(Construction!$F$31=Construction!$R$22,Oeko!CE401,Oeko!ER401)</f>
        <v>1.0054061314038814</v>
      </c>
      <c r="S401" s="1979">
        <f>IF(Construction!$F$31=Construction!$R$22,Oeko!CF401,Oeko!ES401)</f>
        <v>1.0116602834201363</v>
      </c>
      <c r="T401" s="1979">
        <f>IF(Construction!$F$31=Construction!$R$22,Oeko!CG401,Oeko!ET401)</f>
        <v>1.0116602834201363</v>
      </c>
      <c r="U401" s="1979">
        <f>IF(Construction!$F$31=Construction!$R$22,Oeko!CH401,Oeko!EU401)</f>
        <v>1.0116602834201363</v>
      </c>
      <c r="V401" s="1979">
        <f>IF(Construction!$F$31=Construction!$R$22,Oeko!CI401,Oeko!EV401)</f>
        <v>1.0116602834201363</v>
      </c>
      <c r="W401" s="1979">
        <f>IF(Construction!$F$31=Construction!$R$22,Oeko!CJ401,Oeko!EW401)</f>
        <v>1.0116602834201363</v>
      </c>
      <c r="X401" s="1998">
        <f>IF(Construction!$F$31=Construction!$R$22,Oeko!CK401,Oeko!EX401)</f>
        <v>1.0046883425284079</v>
      </c>
      <c r="Y401" s="1998">
        <f>IF(Construction!$F$31=Construction!$R$22,Oeko!CL401,Oeko!EY401)</f>
        <v>1.0046883425284079</v>
      </c>
      <c r="Z401" s="1998">
        <f>IF(Construction!$F$31=Construction!$R$22,Oeko!CM401,Oeko!EZ401)</f>
        <v>1.0046883425284079</v>
      </c>
      <c r="AA401" s="1998">
        <f>IF(Construction!$F$31=Construction!$R$22,Oeko!CN401,Oeko!FA401)</f>
        <v>1.0046883425284079</v>
      </c>
      <c r="AB401" s="1998">
        <f>IF(Construction!$F$31=Construction!$R$22,Oeko!CO401,Oeko!FB401)</f>
        <v>1.0046883425284079</v>
      </c>
      <c r="AC401" s="1979">
        <f>IF(Construction!$F$31=Construction!$R$22,Oeko!CP401,Oeko!FC401)</f>
        <v>1.0050086217418313</v>
      </c>
      <c r="AD401" s="1979">
        <f>IF(Construction!$F$31=Construction!$R$22,Oeko!CQ401,Oeko!FD401)</f>
        <v>1.0050086217418313</v>
      </c>
      <c r="AE401" s="1979">
        <f>IF(Construction!$F$31=Construction!$R$22,Oeko!CR401,Oeko!FE401)</f>
        <v>1.0050086217418313</v>
      </c>
      <c r="AF401" s="1979">
        <f>IF(Construction!$F$31=Construction!$R$22,Oeko!CS401,Oeko!FF401)</f>
        <v>1.0050086217418313</v>
      </c>
      <c r="AG401" s="1979">
        <f>IF(Construction!$F$31=Construction!$R$22,Oeko!CT401,Oeko!FG401)</f>
        <v>1.0050086217418313</v>
      </c>
      <c r="AH401" s="1998">
        <f>IF(Construction!$F$31=Construction!$R$22,Oeko!CU401,Oeko!FH401)</f>
        <v>1.0116323515565424</v>
      </c>
      <c r="AI401" s="1998">
        <f>IF(Construction!$F$31=Construction!$R$22,Oeko!CV401,Oeko!FI401)</f>
        <v>1.0116323515565424</v>
      </c>
      <c r="AJ401" s="1998">
        <f>IF(Construction!$F$31=Construction!$R$22,Oeko!CW401,Oeko!FJ401)</f>
        <v>1.0116323515565424</v>
      </c>
      <c r="AK401" s="1998">
        <f>IF(Construction!$F$31=Construction!$R$22,Oeko!CX401,Oeko!FK401)</f>
        <v>1.0116323515565424</v>
      </c>
      <c r="AL401" s="1998">
        <f>IF(Construction!$F$31=Construction!$R$22,Oeko!CY401,Oeko!FL401)</f>
        <v>1.0116323515565424</v>
      </c>
      <c r="AM401" s="1979">
        <f>IF(Construction!$F$31=Construction!$R$22,Oeko!CZ401,Oeko!FM401)</f>
        <v>1.0019285682181169</v>
      </c>
      <c r="AN401" s="1979">
        <f>IF(Construction!$F$31=Construction!$R$22,Oeko!DA401,Oeko!FN401)</f>
        <v>1.0020906961426117</v>
      </c>
      <c r="AO401" s="1979">
        <f>IF(Construction!$F$31=Construction!$R$22,Oeko!DB401,Oeko!FO401)</f>
        <v>1.0022811021934717</v>
      </c>
      <c r="AP401" s="1979">
        <f>IF(Construction!$F$31=Construction!$R$22,Oeko!DC401,Oeko!FP401)</f>
        <v>1.0024733934527561</v>
      </c>
      <c r="AQ401" s="1979">
        <f>IF(Construction!$F$31=Construction!$R$22,Oeko!DD401,Oeko!FQ401)</f>
        <v>1.0028787132639927</v>
      </c>
      <c r="AR401" s="1998">
        <f>IF(Construction!$F$31=Construction!$R$22,Oeko!DE401,Oeko!FR401)</f>
        <v>8.0905664127842645</v>
      </c>
      <c r="AS401" s="1998">
        <f>IF(Construction!$F$31=Construction!$R$22,Oeko!DF401,Oeko!FS401)</f>
        <v>8.0905664127842645</v>
      </c>
      <c r="AT401" s="1998">
        <f>IF(Construction!$F$31=Construction!$R$22,Oeko!DG401,Oeko!FT401)</f>
        <v>8.0905664127842645</v>
      </c>
      <c r="AU401" s="1998">
        <f>IF(Construction!$F$31=Construction!$R$22,Oeko!DH401,Oeko!FU401)</f>
        <v>8.0905664127842645</v>
      </c>
      <c r="AV401" s="1998">
        <f>IF(Construction!$F$31=Construction!$R$22,Oeko!DI401,Oeko!FV401)</f>
        <v>8.0905664127842645</v>
      </c>
      <c r="AW401" s="1979">
        <f>IF(Construction!$F$31=Construction!$R$22,Oeko!DJ401,Oeko!FW401)</f>
        <v>8.0762290851659948</v>
      </c>
      <c r="AX401" s="1979">
        <f>IF(Construction!$F$31=Construction!$R$22,Oeko!DK401,Oeko!FX401)</f>
        <v>8.0762290851659948</v>
      </c>
      <c r="AY401" s="1979">
        <f>IF(Construction!$F$31=Construction!$R$22,Oeko!DL401,Oeko!FY401)</f>
        <v>8.0762290851659948</v>
      </c>
      <c r="AZ401" s="1979">
        <f>IF(Construction!$F$31=Construction!$R$22,Oeko!DM401,Oeko!FZ401)</f>
        <v>8.0762290851659948</v>
      </c>
      <c r="BA401" s="1979">
        <f>IF(Construction!$F$31=Construction!$R$22,Oeko!DN401,Oeko!GA401)</f>
        <v>8.0762290851659948</v>
      </c>
      <c r="BB401" s="1998">
        <f>IF(Construction!$F$31=Construction!$R$22,Oeko!DO401,Oeko!GB401)</f>
        <v>0.9845684148742071</v>
      </c>
      <c r="BC401" s="1998">
        <f>IF(Construction!$F$31=Construction!$R$22,Oeko!DP401,Oeko!GC401)</f>
        <v>0.9845684148742071</v>
      </c>
      <c r="BD401" s="1998">
        <f>IF(Construction!$F$31=Construction!$R$22,Oeko!DQ401,Oeko!GD401)</f>
        <v>0.9845684148742071</v>
      </c>
      <c r="BE401" s="1998">
        <f>IF(Construction!$F$31=Construction!$R$22,Oeko!DR401,Oeko!GE401)</f>
        <v>0.9845684148742071</v>
      </c>
      <c r="BF401" s="1998">
        <f>IF(Construction!$F$31=Construction!$R$22,Oeko!DS401,Oeko!GF401)</f>
        <v>0.9845684148742071</v>
      </c>
      <c r="BG401" s="1979">
        <f>IF(Construction!$F$31=Construction!$R$22,Oeko!DT401,Oeko!GG401)</f>
        <v>0.98536172096681907</v>
      </c>
      <c r="BH401" s="1979">
        <f>IF(Construction!$F$31=Construction!$R$22,Oeko!DU401,Oeko!GH401)</f>
        <v>0.98536172096681907</v>
      </c>
      <c r="BI401" s="1979">
        <f>IF(Construction!$F$31=Construction!$R$22,Oeko!DV401,Oeko!GI401)</f>
        <v>0.98536172096681907</v>
      </c>
      <c r="BJ401" s="1979">
        <f>IF(Construction!$F$31=Construction!$R$22,Oeko!DW401,Oeko!GJ401)</f>
        <v>0.98536172096681907</v>
      </c>
      <c r="BK401" s="2021">
        <f>IF(Construction!$F$31=Construction!$R$22,Oeko!DX401,Oeko!GK401)</f>
        <v>0.98536172096681907</v>
      </c>
      <c r="BN401" s="2022"/>
      <c r="BO401" s="2">
        <v>17</v>
      </c>
      <c r="BP401" s="2" t="str">
        <f>CONCATENATE($U$8," ",GV$11)</f>
        <v xml:space="preserve">Proportion de fenêtres </v>
      </c>
      <c r="BQ401" s="1998">
        <v>1.0044021665848324</v>
      </c>
      <c r="BR401" s="1998">
        <v>1.0047722411950919</v>
      </c>
      <c r="BS401" s="1998">
        <v>1.0052068637024898</v>
      </c>
      <c r="BT401" s="1998">
        <v>1.0056457894030304</v>
      </c>
      <c r="BU401" s="1998">
        <v>1.0065709759286794</v>
      </c>
      <c r="BV401" s="1979">
        <v>1.0070442832642261</v>
      </c>
      <c r="BW401" s="1979">
        <v>1.007636471300124</v>
      </c>
      <c r="BX401" s="1979">
        <v>1.0083319479469341</v>
      </c>
      <c r="BY401" s="1979">
        <v>1.0090343105011388</v>
      </c>
      <c r="BZ401" s="1979">
        <v>1.010514780590883</v>
      </c>
      <c r="CA401" s="1998">
        <v>1.0054061314038814</v>
      </c>
      <c r="CB401" s="1998">
        <v>1.0054061314038814</v>
      </c>
      <c r="CC401" s="1998">
        <v>1.0054061314038814</v>
      </c>
      <c r="CD401" s="1998">
        <v>1.0054061314038814</v>
      </c>
      <c r="CE401" s="1998">
        <v>1.0054061314038814</v>
      </c>
      <c r="CF401" s="1979">
        <v>1.0116602834201363</v>
      </c>
      <c r="CG401" s="1979">
        <v>1.0116602834201363</v>
      </c>
      <c r="CH401" s="1979">
        <v>1.0116602834201363</v>
      </c>
      <c r="CI401" s="1979">
        <v>1.0116602834201363</v>
      </c>
      <c r="CJ401" s="1979">
        <v>1.0116602834201363</v>
      </c>
      <c r="CK401" s="1998">
        <v>1.0046883425284079</v>
      </c>
      <c r="CL401" s="1998">
        <v>1.0046883425284079</v>
      </c>
      <c r="CM401" s="1998">
        <v>1.0046883425284079</v>
      </c>
      <c r="CN401" s="1998">
        <v>1.0046883425284079</v>
      </c>
      <c r="CO401" s="1998">
        <v>1.0046883425284079</v>
      </c>
      <c r="CP401" s="1979">
        <v>1.0050086217418313</v>
      </c>
      <c r="CQ401" s="1979">
        <v>1.0050086217418313</v>
      </c>
      <c r="CR401" s="1979">
        <v>1.0050086217418313</v>
      </c>
      <c r="CS401" s="1979">
        <v>1.0050086217418313</v>
      </c>
      <c r="CT401" s="1979">
        <v>1.0050086217418313</v>
      </c>
      <c r="CU401" s="1998">
        <v>1.0116323515565424</v>
      </c>
      <c r="CV401" s="1998">
        <v>1.0116323515565424</v>
      </c>
      <c r="CW401" s="1998">
        <v>1.0116323515565424</v>
      </c>
      <c r="CX401" s="1998">
        <v>1.0116323515565424</v>
      </c>
      <c r="CY401" s="1998">
        <v>1.0116323515565424</v>
      </c>
      <c r="CZ401" s="1979">
        <v>1.0019285682181169</v>
      </c>
      <c r="DA401" s="1979">
        <v>1.0020906961426117</v>
      </c>
      <c r="DB401" s="1979">
        <v>1.0022811021934717</v>
      </c>
      <c r="DC401" s="1979">
        <v>1.0024733934527561</v>
      </c>
      <c r="DD401" s="1979">
        <v>1.0028787132639927</v>
      </c>
      <c r="DE401" s="1998">
        <v>8.0905664127842645</v>
      </c>
      <c r="DF401" s="1998">
        <v>8.0905664127842645</v>
      </c>
      <c r="DG401" s="1998">
        <v>8.0905664127842645</v>
      </c>
      <c r="DH401" s="1998">
        <v>8.0905664127842645</v>
      </c>
      <c r="DI401" s="1998">
        <v>8.0905664127842645</v>
      </c>
      <c r="DJ401" s="1979">
        <v>8.0762290851659948</v>
      </c>
      <c r="DK401" s="1979">
        <v>8.0762290851659948</v>
      </c>
      <c r="DL401" s="1979">
        <v>8.0762290851659948</v>
      </c>
      <c r="DM401" s="1979">
        <v>8.0762290851659948</v>
      </c>
      <c r="DN401" s="1979">
        <v>8.0762290851659948</v>
      </c>
      <c r="DO401" s="1998">
        <v>0.9845684148742071</v>
      </c>
      <c r="DP401" s="1998">
        <v>0.9845684148742071</v>
      </c>
      <c r="DQ401" s="1998">
        <v>0.9845684148742071</v>
      </c>
      <c r="DR401" s="1998">
        <v>0.9845684148742071</v>
      </c>
      <c r="DS401" s="1998">
        <v>0.9845684148742071</v>
      </c>
      <c r="DT401" s="1979">
        <v>0.98536172096681907</v>
      </c>
      <c r="DU401" s="1979">
        <v>0.98536172096681907</v>
      </c>
      <c r="DV401" s="1979">
        <v>0.98536172096681907</v>
      </c>
      <c r="DW401" s="1979">
        <v>0.98536172096681907</v>
      </c>
      <c r="DX401" s="2021">
        <v>0.98536172096681907</v>
      </c>
      <c r="EA401" s="2022"/>
      <c r="EB401" s="2">
        <v>17</v>
      </c>
      <c r="EC401" s="2" t="str">
        <f>CONCATENATE($U$8," ",JI$11)</f>
        <v xml:space="preserve">Proportion de fenêtres </v>
      </c>
      <c r="ED401" s="1998">
        <v>1.3293326947847706</v>
      </c>
      <c r="EE401" s="1998">
        <v>1.3497331089038211</v>
      </c>
      <c r="EF401" s="1998">
        <v>1.3843371341026864</v>
      </c>
      <c r="EG401" s="1998">
        <v>1.4260149940860323</v>
      </c>
      <c r="EH401" s="1998">
        <v>1.459931328037926</v>
      </c>
      <c r="EI401" s="1979">
        <v>2.027361316091489</v>
      </c>
      <c r="EJ401" s="1979">
        <v>2.0774402252667534</v>
      </c>
      <c r="EK401" s="1979">
        <v>2.1417614862356067</v>
      </c>
      <c r="EL401" s="1979">
        <v>2.2131591647031912</v>
      </c>
      <c r="EM401" s="1979">
        <v>2.2358482295669502</v>
      </c>
      <c r="EN401" s="1998">
        <v>1.4042099505636565</v>
      </c>
      <c r="EO401" s="1998">
        <v>1.4375377423513933</v>
      </c>
      <c r="EP401" s="1998">
        <v>1.439557608520347</v>
      </c>
      <c r="EQ401" s="1998">
        <v>1.4415774746893009</v>
      </c>
      <c r="ER401" s="1998">
        <v>1.4435973408582545</v>
      </c>
      <c r="ES401" s="1979">
        <v>1.7827694417453377</v>
      </c>
      <c r="ET401" s="1979">
        <v>1.8110475681106899</v>
      </c>
      <c r="EU401" s="1979">
        <v>1.818117099702028</v>
      </c>
      <c r="EV401" s="1979">
        <v>1.825186631293366</v>
      </c>
      <c r="EW401" s="1979">
        <v>1.8322561628847043</v>
      </c>
      <c r="EX401" s="1998">
        <v>1.4346269559210558</v>
      </c>
      <c r="EY401" s="1998">
        <v>1.467146801241211</v>
      </c>
      <c r="EZ401" s="1998">
        <v>1.4699746138777465</v>
      </c>
      <c r="FA401" s="1998">
        <v>1.4728024265142814</v>
      </c>
      <c r="FB401" s="1998">
        <v>1.4756302391508169</v>
      </c>
      <c r="FC401" s="1979">
        <v>1.5946075564594278</v>
      </c>
      <c r="FD401" s="1979">
        <v>1.5804684932767512</v>
      </c>
      <c r="FE401" s="1979">
        <v>1.5946075564594278</v>
      </c>
      <c r="FF401" s="1979">
        <v>1.6087466196421036</v>
      </c>
      <c r="FG401" s="1979">
        <v>1.6228856828247797</v>
      </c>
      <c r="FH401" s="1998">
        <v>2.4038251085079061</v>
      </c>
      <c r="FI401" s="1998">
        <v>2.4108946400992446</v>
      </c>
      <c r="FJ401" s="1998">
        <v>2.4179641716905822</v>
      </c>
      <c r="FK401" s="1998">
        <v>2.4250337032819202</v>
      </c>
      <c r="FL401" s="1998">
        <v>2.4321032348732587</v>
      </c>
      <c r="FM401" s="1979">
        <v>1.5134327439567317</v>
      </c>
      <c r="FN401" s="1979">
        <v>1.5395164877161327</v>
      </c>
      <c r="FO401" s="1979">
        <v>1.5797675727845752</v>
      </c>
      <c r="FP401" s="1979">
        <v>1.6270900746527799</v>
      </c>
      <c r="FQ401" s="1979">
        <v>1.6581300313598153</v>
      </c>
      <c r="FR401" s="1998">
        <v>18.738291110156805</v>
      </c>
      <c r="FS401" s="1998">
        <v>18.795192778546234</v>
      </c>
      <c r="FT401" s="1998">
        <v>18.85209444693567</v>
      </c>
      <c r="FU401" s="1998">
        <v>18.908996115325102</v>
      </c>
      <c r="FV401" s="1998">
        <v>18.965897783714535</v>
      </c>
      <c r="FW401" s="1979">
        <v>19.077047169602306</v>
      </c>
      <c r="FX401" s="1979">
        <v>19.133836053519008</v>
      </c>
      <c r="FY401" s="1979">
        <v>19.190624937435718</v>
      </c>
      <c r="FZ401" s="1979">
        <v>19.247413821352424</v>
      </c>
      <c r="GA401" s="1979">
        <v>19.304202705269127</v>
      </c>
      <c r="GB401" s="1998">
        <v>1.6824052699935539</v>
      </c>
      <c r="GC401" s="1998">
        <v>1.6893316903917603</v>
      </c>
      <c r="GD401" s="1998">
        <v>1.6962581107899675</v>
      </c>
      <c r="GE401" s="1998">
        <v>1.7031845311881744</v>
      </c>
      <c r="GF401" s="1998">
        <v>1.7170373719845882</v>
      </c>
      <c r="GG401" s="1979">
        <v>1.7272100320016739</v>
      </c>
      <c r="GH401" s="1979">
        <v>1.7341109465229283</v>
      </c>
      <c r="GI401" s="1979">
        <v>1.7410118610441827</v>
      </c>
      <c r="GJ401" s="1979">
        <v>1.7479127755654373</v>
      </c>
      <c r="GK401" s="2021">
        <v>1.7617146046079462</v>
      </c>
    </row>
    <row r="402" spans="1:193">
      <c r="A402" s="2020"/>
      <c r="B402" s="2">
        <v>18</v>
      </c>
      <c r="C402" s="2" t="str">
        <f>CONCATENATE($U$8," ",EI$12)</f>
        <v xml:space="preserve">Proportion de fenêtres </v>
      </c>
      <c r="D402" s="1998">
        <f>IF(Construction!$F$31=Construction!$R$22,Oeko!BQ402,Oeko!ED402)</f>
        <v>1.003668472154027</v>
      </c>
      <c r="E402" s="1998">
        <f>IF(Construction!$F$31=Construction!$R$22,Oeko!BR402,Oeko!EE402)</f>
        <v>1.0039768676625764</v>
      </c>
      <c r="F402" s="1998">
        <f>IF(Construction!$F$31=Construction!$R$22,Oeko!BS402,Oeko!EF402)</f>
        <v>1.0043390530854082</v>
      </c>
      <c r="G402" s="1998">
        <f>IF(Construction!$F$31=Construction!$R$22,Oeko!BT402,Oeko!EG402)</f>
        <v>1.0047048245025252</v>
      </c>
      <c r="H402" s="1998">
        <f>IF(Construction!$F$31=Construction!$R$22,Oeko!BU402,Oeko!EH402)</f>
        <v>1.0054758132738995</v>
      </c>
      <c r="I402" s="1979">
        <f>IF(Construction!$F$31=Construction!$R$22,Oeko!BV402,Oeko!EI402)</f>
        <v>1.0058702360535219</v>
      </c>
      <c r="J402" s="1979">
        <f>IF(Construction!$F$31=Construction!$R$22,Oeko!BW402,Oeko!EJ402)</f>
        <v>1.0063637260834366</v>
      </c>
      <c r="K402" s="1979">
        <f>IF(Construction!$F$31=Construction!$R$22,Oeko!BX402,Oeko!EK402)</f>
        <v>1.0069432899557782</v>
      </c>
      <c r="L402" s="1979">
        <f>IF(Construction!$F$31=Construction!$R$22,Oeko!BY402,Oeko!EL402)</f>
        <v>1.007528592084282</v>
      </c>
      <c r="M402" s="1979">
        <f>IF(Construction!$F$31=Construction!$R$22,Oeko!BZ402,Oeko!EM402)</f>
        <v>1.0087623171590694</v>
      </c>
      <c r="N402" s="1998">
        <f>IF(Construction!$F$31=Construction!$R$22,Oeko!CA402,Oeko!EN402)</f>
        <v>1.0045051095032345</v>
      </c>
      <c r="O402" s="1998">
        <f>IF(Construction!$F$31=Construction!$R$22,Oeko!CB402,Oeko!EO402)</f>
        <v>1.0045051095032345</v>
      </c>
      <c r="P402" s="1998">
        <f>IF(Construction!$F$31=Construction!$R$22,Oeko!CC402,Oeko!EP402)</f>
        <v>1.0045051095032345</v>
      </c>
      <c r="Q402" s="1998">
        <f>IF(Construction!$F$31=Construction!$R$22,Oeko!CD402,Oeko!EQ402)</f>
        <v>1.0045051095032345</v>
      </c>
      <c r="R402" s="1998">
        <f>IF(Construction!$F$31=Construction!$R$22,Oeko!CE402,Oeko!ER402)</f>
        <v>1.0045051095032345</v>
      </c>
      <c r="S402" s="1979">
        <f>IF(Construction!$F$31=Construction!$R$22,Oeko!CF402,Oeko!ES402)</f>
        <v>1.0097169028501134</v>
      </c>
      <c r="T402" s="1979">
        <f>IF(Construction!$F$31=Construction!$R$22,Oeko!CG402,Oeko!ET402)</f>
        <v>1.0097169028501134</v>
      </c>
      <c r="U402" s="1979">
        <f>IF(Construction!$F$31=Construction!$R$22,Oeko!CH402,Oeko!EU402)</f>
        <v>1.0097169028501134</v>
      </c>
      <c r="V402" s="1979">
        <f>IF(Construction!$F$31=Construction!$R$22,Oeko!CI402,Oeko!EV402)</f>
        <v>1.0097169028501134</v>
      </c>
      <c r="W402" s="1979">
        <f>IF(Construction!$F$31=Construction!$R$22,Oeko!CJ402,Oeko!EW402)</f>
        <v>1.0097169028501134</v>
      </c>
      <c r="X402" s="1998">
        <f>IF(Construction!$F$31=Construction!$R$22,Oeko!CK402,Oeko!EX402)</f>
        <v>1.0039069521070068</v>
      </c>
      <c r="Y402" s="1998">
        <f>IF(Construction!$F$31=Construction!$R$22,Oeko!CL402,Oeko!EY402)</f>
        <v>1.0039069521070068</v>
      </c>
      <c r="Z402" s="1998">
        <f>IF(Construction!$F$31=Construction!$R$22,Oeko!CM402,Oeko!EZ402)</f>
        <v>1.0039069521070068</v>
      </c>
      <c r="AA402" s="1998">
        <f>IF(Construction!$F$31=Construction!$R$22,Oeko!CN402,Oeko!FA402)</f>
        <v>1.0039069521070068</v>
      </c>
      <c r="AB402" s="1998">
        <f>IF(Construction!$F$31=Construction!$R$22,Oeko!CO402,Oeko!FB402)</f>
        <v>1.0039069521070068</v>
      </c>
      <c r="AC402" s="1979">
        <f>IF(Construction!$F$31=Construction!$R$22,Oeko!CP402,Oeko!FC402)</f>
        <v>1.0041738514515262</v>
      </c>
      <c r="AD402" s="1979">
        <f>IF(Construction!$F$31=Construction!$R$22,Oeko!CQ402,Oeko!FD402)</f>
        <v>1.0041738514515262</v>
      </c>
      <c r="AE402" s="1979">
        <f>IF(Construction!$F$31=Construction!$R$22,Oeko!CR402,Oeko!FE402)</f>
        <v>1.0041738514515262</v>
      </c>
      <c r="AF402" s="1979">
        <f>IF(Construction!$F$31=Construction!$R$22,Oeko!CS402,Oeko!FF402)</f>
        <v>1.0041738514515262</v>
      </c>
      <c r="AG402" s="1979">
        <f>IF(Construction!$F$31=Construction!$R$22,Oeko!CT402,Oeko!FG402)</f>
        <v>1.0041738514515262</v>
      </c>
      <c r="AH402" s="1998">
        <f>IF(Construction!$F$31=Construction!$R$22,Oeko!CU402,Oeko!FH402)</f>
        <v>1.0096936262971188</v>
      </c>
      <c r="AI402" s="1998">
        <f>IF(Construction!$F$31=Construction!$R$22,Oeko!CV402,Oeko!FI402)</f>
        <v>1.0096936262971188</v>
      </c>
      <c r="AJ402" s="1998">
        <f>IF(Construction!$F$31=Construction!$R$22,Oeko!CW402,Oeko!FJ402)</f>
        <v>1.0096936262971188</v>
      </c>
      <c r="AK402" s="1998">
        <f>IF(Construction!$F$31=Construction!$R$22,Oeko!CX402,Oeko!FK402)</f>
        <v>1.0096936262971188</v>
      </c>
      <c r="AL402" s="1998">
        <f>IF(Construction!$F$31=Construction!$R$22,Oeko!CY402,Oeko!FL402)</f>
        <v>1.0096936262971188</v>
      </c>
      <c r="AM402" s="1979">
        <f>IF(Construction!$F$31=Construction!$R$22,Oeko!CZ402,Oeko!FM402)</f>
        <v>1.0016071401817641</v>
      </c>
      <c r="AN402" s="1979">
        <f>IF(Construction!$F$31=Construction!$R$22,Oeko!DA402,Oeko!FN402)</f>
        <v>1.0017422467855097</v>
      </c>
      <c r="AO402" s="1979">
        <f>IF(Construction!$F$31=Construction!$R$22,Oeko!DB402,Oeko!FO402)</f>
        <v>1.0019009184945598</v>
      </c>
      <c r="AP402" s="1979">
        <f>IF(Construction!$F$31=Construction!$R$22,Oeko!DC402,Oeko!FP402)</f>
        <v>1.00206116121063</v>
      </c>
      <c r="AQ402" s="1979">
        <f>IF(Construction!$F$31=Construction!$R$22,Oeko!DD402,Oeko!FQ402)</f>
        <v>1.0023989277199938</v>
      </c>
      <c r="AR402" s="1998">
        <f>IF(Construction!$F$31=Construction!$R$22,Oeko!DE402,Oeko!FR402)</f>
        <v>8.0836153049738115</v>
      </c>
      <c r="AS402" s="1998">
        <f>IF(Construction!$F$31=Construction!$R$22,Oeko!DF402,Oeko!FS402)</f>
        <v>8.0836153049738115</v>
      </c>
      <c r="AT402" s="1998">
        <f>IF(Construction!$F$31=Construction!$R$22,Oeko!DG402,Oeko!FT402)</f>
        <v>8.0836153049738115</v>
      </c>
      <c r="AU402" s="1998">
        <f>IF(Construction!$F$31=Construction!$R$22,Oeko!DH402,Oeko!FU402)</f>
        <v>8.0836153049738115</v>
      </c>
      <c r="AV402" s="1998">
        <f>IF(Construction!$F$31=Construction!$R$22,Oeko!DI402,Oeko!FV402)</f>
        <v>8.0836153049738115</v>
      </c>
      <c r="AW402" s="1979">
        <f>IF(Construction!$F$31=Construction!$R$22,Oeko!DJ402,Oeko!FW402)</f>
        <v>8.0690085987777831</v>
      </c>
      <c r="AX402" s="1979">
        <f>IF(Construction!$F$31=Construction!$R$22,Oeko!DK402,Oeko!FX402)</f>
        <v>8.0690085987777831</v>
      </c>
      <c r="AY402" s="1979">
        <f>IF(Construction!$F$31=Construction!$R$22,Oeko!DL402,Oeko!FY402)</f>
        <v>8.0690085987777831</v>
      </c>
      <c r="AZ402" s="1979">
        <f>IF(Construction!$F$31=Construction!$R$22,Oeko!DM402,Oeko!FZ402)</f>
        <v>8.0690085987777831</v>
      </c>
      <c r="BA402" s="1979">
        <f>IF(Construction!$F$31=Construction!$R$22,Oeko!DN402,Oeko!GA402)</f>
        <v>8.0690085987777831</v>
      </c>
      <c r="BB402" s="1998">
        <f>IF(Construction!$F$31=Construction!$R$22,Oeko!DO402,Oeko!GB402)</f>
        <v>0.98376644956385961</v>
      </c>
      <c r="BC402" s="1998">
        <f>IF(Construction!$F$31=Construction!$R$22,Oeko!DP402,Oeko!GC402)</f>
        <v>0.98376644956385961</v>
      </c>
      <c r="BD402" s="1998">
        <f>IF(Construction!$F$31=Construction!$R$22,Oeko!DQ402,Oeko!GD402)</f>
        <v>0.98376644956385961</v>
      </c>
      <c r="BE402" s="1998">
        <f>IF(Construction!$F$31=Construction!$R$22,Oeko!DR402,Oeko!GE402)</f>
        <v>0.98376644956385961</v>
      </c>
      <c r="BF402" s="1998">
        <f>IF(Construction!$F$31=Construction!$R$22,Oeko!DS402,Oeko!GF402)</f>
        <v>0.98376644956385961</v>
      </c>
      <c r="BG402" s="1979">
        <f>IF(Construction!$F$31=Construction!$R$22,Oeko!DT402,Oeko!GG402)</f>
        <v>0.98382622805204278</v>
      </c>
      <c r="BH402" s="1979">
        <f>IF(Construction!$F$31=Construction!$R$22,Oeko!DU402,Oeko!GH402)</f>
        <v>0.98382622805204278</v>
      </c>
      <c r="BI402" s="1979">
        <f>IF(Construction!$F$31=Construction!$R$22,Oeko!DV402,Oeko!GI402)</f>
        <v>0.98382622805204278</v>
      </c>
      <c r="BJ402" s="1979">
        <f>IF(Construction!$F$31=Construction!$R$22,Oeko!DW402,Oeko!GJ402)</f>
        <v>0.98382622805204278</v>
      </c>
      <c r="BK402" s="2021">
        <f>IF(Construction!$F$31=Construction!$R$22,Oeko!DX402,Oeko!GK402)</f>
        <v>0.98382622805204278</v>
      </c>
      <c r="BN402" s="2022"/>
      <c r="BO402" s="2">
        <v>18</v>
      </c>
      <c r="BP402" s="2" t="str">
        <f>CONCATENATE($U$8," ",GV$12)</f>
        <v xml:space="preserve">Proportion de fenêtres </v>
      </c>
      <c r="BQ402" s="1998">
        <v>1.003668472154027</v>
      </c>
      <c r="BR402" s="1998">
        <v>1.0039768676625764</v>
      </c>
      <c r="BS402" s="1998">
        <v>1.0043390530854082</v>
      </c>
      <c r="BT402" s="1998">
        <v>1.0047048245025252</v>
      </c>
      <c r="BU402" s="1998">
        <v>1.0054758132738995</v>
      </c>
      <c r="BV402" s="1979">
        <v>1.0058702360535219</v>
      </c>
      <c r="BW402" s="1979">
        <v>1.0063637260834366</v>
      </c>
      <c r="BX402" s="1979">
        <v>1.0069432899557782</v>
      </c>
      <c r="BY402" s="1979">
        <v>1.007528592084282</v>
      </c>
      <c r="BZ402" s="1979">
        <v>1.0087623171590694</v>
      </c>
      <c r="CA402" s="1998">
        <v>1.0045051095032345</v>
      </c>
      <c r="CB402" s="1998">
        <v>1.0045051095032345</v>
      </c>
      <c r="CC402" s="1998">
        <v>1.0045051095032345</v>
      </c>
      <c r="CD402" s="1998">
        <v>1.0045051095032345</v>
      </c>
      <c r="CE402" s="1998">
        <v>1.0045051095032345</v>
      </c>
      <c r="CF402" s="1979">
        <v>1.0097169028501134</v>
      </c>
      <c r="CG402" s="1979">
        <v>1.0097169028501134</v>
      </c>
      <c r="CH402" s="1979">
        <v>1.0097169028501134</v>
      </c>
      <c r="CI402" s="1979">
        <v>1.0097169028501134</v>
      </c>
      <c r="CJ402" s="1979">
        <v>1.0097169028501134</v>
      </c>
      <c r="CK402" s="1998">
        <v>1.0039069521070068</v>
      </c>
      <c r="CL402" s="1998">
        <v>1.0039069521070068</v>
      </c>
      <c r="CM402" s="1998">
        <v>1.0039069521070068</v>
      </c>
      <c r="CN402" s="1998">
        <v>1.0039069521070068</v>
      </c>
      <c r="CO402" s="1998">
        <v>1.0039069521070068</v>
      </c>
      <c r="CP402" s="1979">
        <v>1.0041738514515262</v>
      </c>
      <c r="CQ402" s="1979">
        <v>1.0041738514515262</v>
      </c>
      <c r="CR402" s="1979">
        <v>1.0041738514515262</v>
      </c>
      <c r="CS402" s="1979">
        <v>1.0041738514515262</v>
      </c>
      <c r="CT402" s="1979">
        <v>1.0041738514515262</v>
      </c>
      <c r="CU402" s="1998">
        <v>1.0096936262971188</v>
      </c>
      <c r="CV402" s="1998">
        <v>1.0096936262971188</v>
      </c>
      <c r="CW402" s="1998">
        <v>1.0096936262971188</v>
      </c>
      <c r="CX402" s="1998">
        <v>1.0096936262971188</v>
      </c>
      <c r="CY402" s="1998">
        <v>1.0096936262971188</v>
      </c>
      <c r="CZ402" s="1979">
        <v>1.0016071401817641</v>
      </c>
      <c r="DA402" s="1979">
        <v>1.0017422467855097</v>
      </c>
      <c r="DB402" s="1979">
        <v>1.0019009184945598</v>
      </c>
      <c r="DC402" s="1979">
        <v>1.00206116121063</v>
      </c>
      <c r="DD402" s="1979">
        <v>1.0023989277199938</v>
      </c>
      <c r="DE402" s="1998">
        <v>8.0836153049738115</v>
      </c>
      <c r="DF402" s="1998">
        <v>8.0836153049738115</v>
      </c>
      <c r="DG402" s="1998">
        <v>8.0836153049738115</v>
      </c>
      <c r="DH402" s="1998">
        <v>8.0836153049738115</v>
      </c>
      <c r="DI402" s="1998">
        <v>8.0836153049738115</v>
      </c>
      <c r="DJ402" s="1979">
        <v>8.0690085987777831</v>
      </c>
      <c r="DK402" s="1979">
        <v>8.0690085987777831</v>
      </c>
      <c r="DL402" s="1979">
        <v>8.0690085987777831</v>
      </c>
      <c r="DM402" s="1979">
        <v>8.0690085987777831</v>
      </c>
      <c r="DN402" s="1979">
        <v>8.0690085987777831</v>
      </c>
      <c r="DO402" s="1998">
        <v>0.98376644956385961</v>
      </c>
      <c r="DP402" s="1998">
        <v>0.98376644956385961</v>
      </c>
      <c r="DQ402" s="1998">
        <v>0.98376644956385961</v>
      </c>
      <c r="DR402" s="1998">
        <v>0.98376644956385961</v>
      </c>
      <c r="DS402" s="1998">
        <v>0.98376644956385961</v>
      </c>
      <c r="DT402" s="1979">
        <v>0.98382622805204278</v>
      </c>
      <c r="DU402" s="1979">
        <v>0.98382622805204278</v>
      </c>
      <c r="DV402" s="1979">
        <v>0.98382622805204278</v>
      </c>
      <c r="DW402" s="1979">
        <v>0.98382622805204278</v>
      </c>
      <c r="DX402" s="2021">
        <v>0.98382622805204278</v>
      </c>
      <c r="EA402" s="2022"/>
      <c r="EB402" s="2">
        <v>18</v>
      </c>
      <c r="EC402" s="2" t="str">
        <f>CONCATENATE($U$8," ",JI$12)</f>
        <v xml:space="preserve">Proportion de fenêtres </v>
      </c>
      <c r="ED402" s="1998">
        <v>1.3285990003539652</v>
      </c>
      <c r="EE402" s="1998">
        <v>1.3489377353713059</v>
      </c>
      <c r="EF402" s="1998">
        <v>1.3834693234856048</v>
      </c>
      <c r="EG402" s="1998">
        <v>1.4250740291855273</v>
      </c>
      <c r="EH402" s="1998">
        <v>1.4588361653831461</v>
      </c>
      <c r="EI402" s="1979">
        <v>2.0261872688807845</v>
      </c>
      <c r="EJ402" s="1979">
        <v>2.0761674800500658</v>
      </c>
      <c r="EK402" s="1979">
        <v>2.140372828244451</v>
      </c>
      <c r="EL402" s="1979">
        <v>2.2116534462863346</v>
      </c>
      <c r="EM402" s="1979">
        <v>2.2340957661351362</v>
      </c>
      <c r="EN402" s="1998">
        <v>1.4033089286630098</v>
      </c>
      <c r="EO402" s="1998">
        <v>1.4366367204507466</v>
      </c>
      <c r="EP402" s="1998">
        <v>1.4386565866197003</v>
      </c>
      <c r="EQ402" s="1998">
        <v>1.4406764527886542</v>
      </c>
      <c r="ER402" s="1998">
        <v>1.4426963189576079</v>
      </c>
      <c r="ES402" s="1979">
        <v>1.7808260611753151</v>
      </c>
      <c r="ET402" s="1979">
        <v>1.8091041875406673</v>
      </c>
      <c r="EU402" s="1979">
        <v>1.8161737191320053</v>
      </c>
      <c r="EV402" s="1979">
        <v>1.8232432507233436</v>
      </c>
      <c r="EW402" s="1979">
        <v>1.8303127823146816</v>
      </c>
      <c r="EX402" s="1998">
        <v>1.4338455654996545</v>
      </c>
      <c r="EY402" s="1998">
        <v>1.4663654108198099</v>
      </c>
      <c r="EZ402" s="1998">
        <v>1.469193223456345</v>
      </c>
      <c r="FA402" s="1998">
        <v>1.4720210360928803</v>
      </c>
      <c r="FB402" s="1998">
        <v>1.4748488487294156</v>
      </c>
      <c r="FC402" s="1979">
        <v>1.5937727861691224</v>
      </c>
      <c r="FD402" s="1979">
        <v>1.5796337229864463</v>
      </c>
      <c r="FE402" s="1979">
        <v>1.5937727861691224</v>
      </c>
      <c r="FF402" s="1979">
        <v>1.6079118493517985</v>
      </c>
      <c r="FG402" s="1979">
        <v>1.6220509125344744</v>
      </c>
      <c r="FH402" s="1998">
        <v>2.4018863832484825</v>
      </c>
      <c r="FI402" s="1998">
        <v>2.4089559148398205</v>
      </c>
      <c r="FJ402" s="1998">
        <v>2.4160254464311586</v>
      </c>
      <c r="FK402" s="1998">
        <v>2.4230949780224966</v>
      </c>
      <c r="FL402" s="1998">
        <v>2.4301645096138347</v>
      </c>
      <c r="FM402" s="1979">
        <v>1.5131113159203788</v>
      </c>
      <c r="FN402" s="1979">
        <v>1.5391680383590307</v>
      </c>
      <c r="FO402" s="1979">
        <v>1.5793873890856633</v>
      </c>
      <c r="FP402" s="1979">
        <v>1.6266778424106538</v>
      </c>
      <c r="FQ402" s="1979">
        <v>1.6576502458158164</v>
      </c>
      <c r="FR402" s="1998">
        <v>18.731340002346354</v>
      </c>
      <c r="FS402" s="1998">
        <v>18.788241670735783</v>
      </c>
      <c r="FT402" s="1998">
        <v>18.845143339125219</v>
      </c>
      <c r="FU402" s="1998">
        <v>18.902045007514651</v>
      </c>
      <c r="FV402" s="1998">
        <v>18.95894667590408</v>
      </c>
      <c r="FW402" s="1979">
        <v>19.069826683214092</v>
      </c>
      <c r="FX402" s="1979">
        <v>19.126615567130795</v>
      </c>
      <c r="FY402" s="1979">
        <v>19.183404451047505</v>
      </c>
      <c r="FZ402" s="1979">
        <v>19.240193334964211</v>
      </c>
      <c r="GA402" s="1979">
        <v>19.296982218880917</v>
      </c>
      <c r="GB402" s="1998">
        <v>1.6816033046832062</v>
      </c>
      <c r="GC402" s="1998">
        <v>1.6885297250814126</v>
      </c>
      <c r="GD402" s="1998">
        <v>1.6954561454796198</v>
      </c>
      <c r="GE402" s="1998">
        <v>1.7023825658778267</v>
      </c>
      <c r="GF402" s="1998">
        <v>1.7162354066742407</v>
      </c>
      <c r="GG402" s="1979">
        <v>1.7256745390868973</v>
      </c>
      <c r="GH402" s="1979">
        <v>1.7325754536081521</v>
      </c>
      <c r="GI402" s="1979">
        <v>1.7394763681294065</v>
      </c>
      <c r="GJ402" s="1979">
        <v>1.7463772826506607</v>
      </c>
      <c r="GK402" s="2021">
        <v>1.7601791116931698</v>
      </c>
    </row>
    <row r="403" spans="1:193">
      <c r="A403" s="2020"/>
      <c r="B403" s="2">
        <v>19</v>
      </c>
      <c r="C403" s="2" t="str">
        <f>CONCATENATE($U$8," ",EI$13)</f>
        <v xml:space="preserve">Proportion de fenêtres </v>
      </c>
      <c r="D403" s="1998">
        <f>IF(Construction!$F$31=Construction!$R$22,Oeko!BQ403,Oeko!ED403)</f>
        <v>1.0029347777232216</v>
      </c>
      <c r="E403" s="1998">
        <f>IF(Construction!$F$31=Construction!$R$22,Oeko!BR403,Oeko!EE403)</f>
        <v>1.0031814941300612</v>
      </c>
      <c r="F403" s="1998">
        <f>IF(Construction!$F$31=Construction!$R$22,Oeko!BS403,Oeko!EF403)</f>
        <v>1.0034712424683265</v>
      </c>
      <c r="G403" s="1998">
        <f>IF(Construction!$F$31=Construction!$R$22,Oeko!BT403,Oeko!EG403)</f>
        <v>1.0037638596020202</v>
      </c>
      <c r="H403" s="1998">
        <f>IF(Construction!$F$31=Construction!$R$22,Oeko!BU403,Oeko!EH403)</f>
        <v>1.0043806506191195</v>
      </c>
      <c r="I403" s="1979">
        <f>IF(Construction!$F$31=Construction!$R$22,Oeko!BV403,Oeko!EI403)</f>
        <v>1.0046961888428172</v>
      </c>
      <c r="J403" s="1979">
        <f>IF(Construction!$F$31=Construction!$R$22,Oeko!BW403,Oeko!EJ403)</f>
        <v>1.0050909808667492</v>
      </c>
      <c r="K403" s="1979">
        <f>IF(Construction!$F$31=Construction!$R$22,Oeko!BX403,Oeko!EK403)</f>
        <v>1.0055546319646227</v>
      </c>
      <c r="L403" s="1979">
        <f>IF(Construction!$F$31=Construction!$R$22,Oeko!BY403,Oeko!EL403)</f>
        <v>1.0060228736674257</v>
      </c>
      <c r="M403" s="1979">
        <f>IF(Construction!$F$31=Construction!$R$22,Oeko!BZ403,Oeko!EM403)</f>
        <v>1.0070098537272552</v>
      </c>
      <c r="N403" s="1998">
        <f>IF(Construction!$F$31=Construction!$R$22,Oeko!CA403,Oeko!EN403)</f>
        <v>1.0036040876025876</v>
      </c>
      <c r="O403" s="1998">
        <f>IF(Construction!$F$31=Construction!$R$22,Oeko!CB403,Oeko!EO403)</f>
        <v>1.0036040876025876</v>
      </c>
      <c r="P403" s="1998">
        <f>IF(Construction!$F$31=Construction!$R$22,Oeko!CC403,Oeko!EP403)</f>
        <v>1.0036040876025876</v>
      </c>
      <c r="Q403" s="1998">
        <f>IF(Construction!$F$31=Construction!$R$22,Oeko!CD403,Oeko!EQ403)</f>
        <v>1.0036040876025876</v>
      </c>
      <c r="R403" s="1998">
        <f>IF(Construction!$F$31=Construction!$R$22,Oeko!CE403,Oeko!ER403)</f>
        <v>1.0036040876025876</v>
      </c>
      <c r="S403" s="1979">
        <f>IF(Construction!$F$31=Construction!$R$22,Oeko!CF403,Oeko!ES403)</f>
        <v>1.0077735222800908</v>
      </c>
      <c r="T403" s="1979">
        <f>IF(Construction!$F$31=Construction!$R$22,Oeko!CG403,Oeko!ET403)</f>
        <v>1.0077735222800908</v>
      </c>
      <c r="U403" s="1979">
        <f>IF(Construction!$F$31=Construction!$R$22,Oeko!CH403,Oeko!EU403)</f>
        <v>1.0077735222800908</v>
      </c>
      <c r="V403" s="1979">
        <f>IF(Construction!$F$31=Construction!$R$22,Oeko!CI403,Oeko!EV403)</f>
        <v>1.0077735222800908</v>
      </c>
      <c r="W403" s="1979">
        <f>IF(Construction!$F$31=Construction!$R$22,Oeko!CJ403,Oeko!EW403)</f>
        <v>1.0077735222800908</v>
      </c>
      <c r="X403" s="1998">
        <f>IF(Construction!$F$31=Construction!$R$22,Oeko!CK403,Oeko!EX403)</f>
        <v>1.0031255616856052</v>
      </c>
      <c r="Y403" s="1998">
        <f>IF(Construction!$F$31=Construction!$R$22,Oeko!CL403,Oeko!EY403)</f>
        <v>1.0031255616856052</v>
      </c>
      <c r="Z403" s="1998">
        <f>IF(Construction!$F$31=Construction!$R$22,Oeko!CM403,Oeko!EZ403)</f>
        <v>1.0031255616856052</v>
      </c>
      <c r="AA403" s="1998">
        <f>IF(Construction!$F$31=Construction!$R$22,Oeko!CN403,Oeko!FA403)</f>
        <v>1.0031255616856052</v>
      </c>
      <c r="AB403" s="1998">
        <f>IF(Construction!$F$31=Construction!$R$22,Oeko!CO403,Oeko!FB403)</f>
        <v>1.0031255616856052</v>
      </c>
      <c r="AC403" s="1979">
        <f>IF(Construction!$F$31=Construction!$R$22,Oeko!CP403,Oeko!FC403)</f>
        <v>1.0033390811612208</v>
      </c>
      <c r="AD403" s="1979">
        <f>IF(Construction!$F$31=Construction!$R$22,Oeko!CQ403,Oeko!FD403)</f>
        <v>1.0033390811612208</v>
      </c>
      <c r="AE403" s="1979">
        <f>IF(Construction!$F$31=Construction!$R$22,Oeko!CR403,Oeko!FE403)</f>
        <v>1.0033390811612208</v>
      </c>
      <c r="AF403" s="1979">
        <f>IF(Construction!$F$31=Construction!$R$22,Oeko!CS403,Oeko!FF403)</f>
        <v>1.0033390811612208</v>
      </c>
      <c r="AG403" s="1979">
        <f>IF(Construction!$F$31=Construction!$R$22,Oeko!CT403,Oeko!FG403)</f>
        <v>1.0033390811612208</v>
      </c>
      <c r="AH403" s="1998">
        <f>IF(Construction!$F$31=Construction!$R$22,Oeko!CU403,Oeko!FH403)</f>
        <v>1.0077549010376949</v>
      </c>
      <c r="AI403" s="1998">
        <f>IF(Construction!$F$31=Construction!$R$22,Oeko!CV403,Oeko!FI403)</f>
        <v>1.0077549010376949</v>
      </c>
      <c r="AJ403" s="1998">
        <f>IF(Construction!$F$31=Construction!$R$22,Oeko!CW403,Oeko!FJ403)</f>
        <v>1.0077549010376949</v>
      </c>
      <c r="AK403" s="1998">
        <f>IF(Construction!$F$31=Construction!$R$22,Oeko!CX403,Oeko!FK403)</f>
        <v>1.0077549010376949</v>
      </c>
      <c r="AL403" s="1998">
        <f>IF(Construction!$F$31=Construction!$R$22,Oeko!CY403,Oeko!FL403)</f>
        <v>1.0077549010376949</v>
      </c>
      <c r="AM403" s="1979">
        <f>IF(Construction!$F$31=Construction!$R$22,Oeko!CZ403,Oeko!FM403)</f>
        <v>1.0012857121454113</v>
      </c>
      <c r="AN403" s="1979">
        <f>IF(Construction!$F$31=Construction!$R$22,Oeko!DA403,Oeko!FN403)</f>
        <v>1.0013937974284077</v>
      </c>
      <c r="AO403" s="1979">
        <f>IF(Construction!$F$31=Construction!$R$22,Oeko!DB403,Oeko!FO403)</f>
        <v>1.0015207347956478</v>
      </c>
      <c r="AP403" s="1979">
        <f>IF(Construction!$F$31=Construction!$R$22,Oeko!DC403,Oeko!FP403)</f>
        <v>1.001648928968504</v>
      </c>
      <c r="AQ403" s="1979">
        <f>IF(Construction!$F$31=Construction!$R$22,Oeko!DD403,Oeko!FQ403)</f>
        <v>1.0019191421759952</v>
      </c>
      <c r="AR403" s="1998">
        <f>IF(Construction!$F$31=Construction!$R$22,Oeko!DE403,Oeko!FR403)</f>
        <v>8.0766641971633586</v>
      </c>
      <c r="AS403" s="1998">
        <f>IF(Construction!$F$31=Construction!$R$22,Oeko!DF403,Oeko!FS403)</f>
        <v>8.0766641971633586</v>
      </c>
      <c r="AT403" s="1998">
        <f>IF(Construction!$F$31=Construction!$R$22,Oeko!DG403,Oeko!FT403)</f>
        <v>8.0766641971633586</v>
      </c>
      <c r="AU403" s="1998">
        <f>IF(Construction!$F$31=Construction!$R$22,Oeko!DH403,Oeko!FU403)</f>
        <v>8.0766641971633586</v>
      </c>
      <c r="AV403" s="1998">
        <f>IF(Construction!$F$31=Construction!$R$22,Oeko!DI403,Oeko!FV403)</f>
        <v>8.0766641971633586</v>
      </c>
      <c r="AW403" s="1979">
        <f>IF(Construction!$F$31=Construction!$R$22,Oeko!DJ403,Oeko!FW403)</f>
        <v>8.0617881123895678</v>
      </c>
      <c r="AX403" s="1979">
        <f>IF(Construction!$F$31=Construction!$R$22,Oeko!DK403,Oeko!FX403)</f>
        <v>8.0617881123895678</v>
      </c>
      <c r="AY403" s="1979">
        <f>IF(Construction!$F$31=Construction!$R$22,Oeko!DL403,Oeko!FY403)</f>
        <v>8.0617881123895678</v>
      </c>
      <c r="AZ403" s="1979">
        <f>IF(Construction!$F$31=Construction!$R$22,Oeko!DM403,Oeko!FZ403)</f>
        <v>8.0617881123895678</v>
      </c>
      <c r="BA403" s="1979">
        <f>IF(Construction!$F$31=Construction!$R$22,Oeko!DN403,Oeko!GA403)</f>
        <v>8.0617881123895678</v>
      </c>
      <c r="BB403" s="1998">
        <f>IF(Construction!$F$31=Construction!$R$22,Oeko!DO403,Oeko!GB403)</f>
        <v>0.98296448425351213</v>
      </c>
      <c r="BC403" s="1998">
        <f>IF(Construction!$F$31=Construction!$R$22,Oeko!DP403,Oeko!GC403)</f>
        <v>0.98296448425351213</v>
      </c>
      <c r="BD403" s="1998">
        <f>IF(Construction!$F$31=Construction!$R$22,Oeko!DQ403,Oeko!GD403)</f>
        <v>0.98296448425351213</v>
      </c>
      <c r="BE403" s="1998">
        <f>IF(Construction!$F$31=Construction!$R$22,Oeko!DR403,Oeko!GE403)</f>
        <v>0.98296448425351213</v>
      </c>
      <c r="BF403" s="1998">
        <f>IF(Construction!$F$31=Construction!$R$22,Oeko!DS403,Oeko!GF403)</f>
        <v>0.98296448425351213</v>
      </c>
      <c r="BG403" s="1979">
        <f>IF(Construction!$F$31=Construction!$R$22,Oeko!DT403,Oeko!GG403)</f>
        <v>0.98229073513726639</v>
      </c>
      <c r="BH403" s="1979">
        <f>IF(Construction!$F$31=Construction!$R$22,Oeko!DU403,Oeko!GH403)</f>
        <v>0.98229073513726639</v>
      </c>
      <c r="BI403" s="1979">
        <f>IF(Construction!$F$31=Construction!$R$22,Oeko!DV403,Oeko!GI403)</f>
        <v>0.98229073513726639</v>
      </c>
      <c r="BJ403" s="1979">
        <f>IF(Construction!$F$31=Construction!$R$22,Oeko!DW403,Oeko!GJ403)</f>
        <v>0.98229073513726639</v>
      </c>
      <c r="BK403" s="2021">
        <f>IF(Construction!$F$31=Construction!$R$22,Oeko!DX403,Oeko!GK403)</f>
        <v>0.98229073513726639</v>
      </c>
      <c r="BN403" s="2022"/>
      <c r="BO403" s="2">
        <v>19</v>
      </c>
      <c r="BP403" s="2" t="str">
        <f>CONCATENATE($U$8," ",GV$13)</f>
        <v xml:space="preserve">Proportion de fenêtres </v>
      </c>
      <c r="BQ403" s="1998">
        <v>1.0029347777232216</v>
      </c>
      <c r="BR403" s="1998">
        <v>1.0031814941300612</v>
      </c>
      <c r="BS403" s="1998">
        <v>1.0034712424683265</v>
      </c>
      <c r="BT403" s="1998">
        <v>1.0037638596020202</v>
      </c>
      <c r="BU403" s="1998">
        <v>1.0043806506191195</v>
      </c>
      <c r="BV403" s="1979">
        <v>1.0046961888428172</v>
      </c>
      <c r="BW403" s="1979">
        <v>1.0050909808667492</v>
      </c>
      <c r="BX403" s="1979">
        <v>1.0055546319646227</v>
      </c>
      <c r="BY403" s="1979">
        <v>1.0060228736674257</v>
      </c>
      <c r="BZ403" s="1979">
        <v>1.0070098537272552</v>
      </c>
      <c r="CA403" s="1998">
        <v>1.0036040876025876</v>
      </c>
      <c r="CB403" s="1998">
        <v>1.0036040876025876</v>
      </c>
      <c r="CC403" s="1998">
        <v>1.0036040876025876</v>
      </c>
      <c r="CD403" s="1998">
        <v>1.0036040876025876</v>
      </c>
      <c r="CE403" s="1998">
        <v>1.0036040876025876</v>
      </c>
      <c r="CF403" s="1979">
        <v>1.0077735222800908</v>
      </c>
      <c r="CG403" s="1979">
        <v>1.0077735222800908</v>
      </c>
      <c r="CH403" s="1979">
        <v>1.0077735222800908</v>
      </c>
      <c r="CI403" s="1979">
        <v>1.0077735222800908</v>
      </c>
      <c r="CJ403" s="1979">
        <v>1.0077735222800908</v>
      </c>
      <c r="CK403" s="1998">
        <v>1.0031255616856052</v>
      </c>
      <c r="CL403" s="1998">
        <v>1.0031255616856052</v>
      </c>
      <c r="CM403" s="1998">
        <v>1.0031255616856052</v>
      </c>
      <c r="CN403" s="1998">
        <v>1.0031255616856052</v>
      </c>
      <c r="CO403" s="1998">
        <v>1.0031255616856052</v>
      </c>
      <c r="CP403" s="1979">
        <v>1.0033390811612208</v>
      </c>
      <c r="CQ403" s="1979">
        <v>1.0033390811612208</v>
      </c>
      <c r="CR403" s="1979">
        <v>1.0033390811612208</v>
      </c>
      <c r="CS403" s="1979">
        <v>1.0033390811612208</v>
      </c>
      <c r="CT403" s="1979">
        <v>1.0033390811612208</v>
      </c>
      <c r="CU403" s="1998">
        <v>1.0077549010376949</v>
      </c>
      <c r="CV403" s="1998">
        <v>1.0077549010376949</v>
      </c>
      <c r="CW403" s="1998">
        <v>1.0077549010376949</v>
      </c>
      <c r="CX403" s="1998">
        <v>1.0077549010376949</v>
      </c>
      <c r="CY403" s="1998">
        <v>1.0077549010376949</v>
      </c>
      <c r="CZ403" s="1979">
        <v>1.0012857121454113</v>
      </c>
      <c r="DA403" s="1979">
        <v>1.0013937974284077</v>
      </c>
      <c r="DB403" s="1979">
        <v>1.0015207347956478</v>
      </c>
      <c r="DC403" s="1979">
        <v>1.001648928968504</v>
      </c>
      <c r="DD403" s="1979">
        <v>1.0019191421759952</v>
      </c>
      <c r="DE403" s="1998">
        <v>8.0766641971633586</v>
      </c>
      <c r="DF403" s="1998">
        <v>8.0766641971633586</v>
      </c>
      <c r="DG403" s="1998">
        <v>8.0766641971633586</v>
      </c>
      <c r="DH403" s="1998">
        <v>8.0766641971633586</v>
      </c>
      <c r="DI403" s="1998">
        <v>8.0766641971633586</v>
      </c>
      <c r="DJ403" s="1979">
        <v>8.0617881123895678</v>
      </c>
      <c r="DK403" s="1979">
        <v>8.0617881123895678</v>
      </c>
      <c r="DL403" s="1979">
        <v>8.0617881123895678</v>
      </c>
      <c r="DM403" s="1979">
        <v>8.0617881123895678</v>
      </c>
      <c r="DN403" s="1979">
        <v>8.0617881123895678</v>
      </c>
      <c r="DO403" s="1998">
        <v>0.98296448425351213</v>
      </c>
      <c r="DP403" s="1998">
        <v>0.98296448425351213</v>
      </c>
      <c r="DQ403" s="1998">
        <v>0.98296448425351213</v>
      </c>
      <c r="DR403" s="1998">
        <v>0.98296448425351213</v>
      </c>
      <c r="DS403" s="1998">
        <v>0.98296448425351213</v>
      </c>
      <c r="DT403" s="1979">
        <v>0.98229073513726639</v>
      </c>
      <c r="DU403" s="1979">
        <v>0.98229073513726639</v>
      </c>
      <c r="DV403" s="1979">
        <v>0.98229073513726639</v>
      </c>
      <c r="DW403" s="1979">
        <v>0.98229073513726639</v>
      </c>
      <c r="DX403" s="2021">
        <v>0.98229073513726639</v>
      </c>
      <c r="EA403" s="2022"/>
      <c r="EB403" s="2">
        <v>19</v>
      </c>
      <c r="EC403" s="2" t="str">
        <f>CONCATENATE($U$8," ",JI$13)</f>
        <v xml:space="preserve">Proportion de fenêtres </v>
      </c>
      <c r="ED403" s="1998">
        <v>1.3278653059231593</v>
      </c>
      <c r="EE403" s="1998">
        <v>1.3481423618387907</v>
      </c>
      <c r="EF403" s="1998">
        <v>1.3826015128685232</v>
      </c>
      <c r="EG403" s="1998">
        <v>1.4241330642850221</v>
      </c>
      <c r="EH403" s="1998">
        <v>1.4577410027283662</v>
      </c>
      <c r="EI403" s="1979">
        <v>2.02501322167008</v>
      </c>
      <c r="EJ403" s="1979">
        <v>2.0748947348333786</v>
      </c>
      <c r="EK403" s="1979">
        <v>2.1389841702532948</v>
      </c>
      <c r="EL403" s="1979">
        <v>2.210147727869479</v>
      </c>
      <c r="EM403" s="1979">
        <v>2.2323433027033222</v>
      </c>
      <c r="EN403" s="1998">
        <v>1.4024079067623627</v>
      </c>
      <c r="EO403" s="1998">
        <v>1.4357356985500995</v>
      </c>
      <c r="EP403" s="1998">
        <v>1.4377555647190534</v>
      </c>
      <c r="EQ403" s="1998">
        <v>1.4397754308880069</v>
      </c>
      <c r="ER403" s="1998">
        <v>1.4417952970569607</v>
      </c>
      <c r="ES403" s="1979">
        <v>1.7788826806052922</v>
      </c>
      <c r="ET403" s="1979">
        <v>1.8071608069706449</v>
      </c>
      <c r="EU403" s="1979">
        <v>1.8142303385619825</v>
      </c>
      <c r="EV403" s="1979">
        <v>1.8212998701533207</v>
      </c>
      <c r="EW403" s="1979">
        <v>1.8283694017446588</v>
      </c>
      <c r="EX403" s="1998">
        <v>1.4330641750782529</v>
      </c>
      <c r="EY403" s="1998">
        <v>1.4655840203984083</v>
      </c>
      <c r="EZ403" s="1998">
        <v>1.4684118330349436</v>
      </c>
      <c r="FA403" s="1998">
        <v>1.4712396456714789</v>
      </c>
      <c r="FB403" s="1998">
        <v>1.474067458308014</v>
      </c>
      <c r="FC403" s="1979">
        <v>1.5929380158788171</v>
      </c>
      <c r="FD403" s="1979">
        <v>1.5787989526961408</v>
      </c>
      <c r="FE403" s="1979">
        <v>1.5929380158788171</v>
      </c>
      <c r="FF403" s="1979">
        <v>1.6070770790614932</v>
      </c>
      <c r="FG403" s="1979">
        <v>1.6212161422441693</v>
      </c>
      <c r="FH403" s="1998">
        <v>2.3999476579890588</v>
      </c>
      <c r="FI403" s="1998">
        <v>2.4070171895803969</v>
      </c>
      <c r="FJ403" s="1998">
        <v>2.414086721171735</v>
      </c>
      <c r="FK403" s="1998">
        <v>2.4211562527630726</v>
      </c>
      <c r="FL403" s="1998">
        <v>2.4282257843544111</v>
      </c>
      <c r="FM403" s="1979">
        <v>1.512789887884026</v>
      </c>
      <c r="FN403" s="1979">
        <v>1.5388195890019287</v>
      </c>
      <c r="FO403" s="1979">
        <v>1.5790072053867514</v>
      </c>
      <c r="FP403" s="1979">
        <v>1.6262656101685278</v>
      </c>
      <c r="FQ403" s="1979">
        <v>1.6571704602718178</v>
      </c>
      <c r="FR403" s="1998">
        <v>18.724388894535902</v>
      </c>
      <c r="FS403" s="1998">
        <v>18.781290562925331</v>
      </c>
      <c r="FT403" s="1998">
        <v>18.838192231314764</v>
      </c>
      <c r="FU403" s="1998">
        <v>18.895093899704197</v>
      </c>
      <c r="FV403" s="1998">
        <v>18.951995568093629</v>
      </c>
      <c r="FW403" s="1979">
        <v>19.062606196825875</v>
      </c>
      <c r="FX403" s="1979">
        <v>19.119395080742578</v>
      </c>
      <c r="FY403" s="1979">
        <v>19.176183964659288</v>
      </c>
      <c r="FZ403" s="1979">
        <v>19.232972848575994</v>
      </c>
      <c r="GA403" s="1979">
        <v>19.2897617324927</v>
      </c>
      <c r="GB403" s="1998">
        <v>1.6808013393728585</v>
      </c>
      <c r="GC403" s="1998">
        <v>1.6877277597710654</v>
      </c>
      <c r="GD403" s="1998">
        <v>1.6946541801692725</v>
      </c>
      <c r="GE403" s="1998">
        <v>1.7015806005674792</v>
      </c>
      <c r="GF403" s="1998">
        <v>1.715433441363893</v>
      </c>
      <c r="GG403" s="1979">
        <v>1.7241390461721211</v>
      </c>
      <c r="GH403" s="1979">
        <v>1.7310399606933755</v>
      </c>
      <c r="GI403" s="1979">
        <v>1.7379408752146301</v>
      </c>
      <c r="GJ403" s="1979">
        <v>1.7448417897358846</v>
      </c>
      <c r="GK403" s="2021">
        <v>1.7586436187783931</v>
      </c>
    </row>
    <row r="404" spans="1:193">
      <c r="A404" s="2020"/>
      <c r="B404" s="2">
        <v>20</v>
      </c>
      <c r="C404" s="2" t="str">
        <f>CONCATENATE($U$8," ",EI$14)</f>
        <v xml:space="preserve">Proportion de fenêtres </v>
      </c>
      <c r="D404" s="1998">
        <f>IF(Construction!$F$31=Construction!$R$22,Oeko!BQ404,Oeko!ED404)</f>
        <v>1.0022010832924162</v>
      </c>
      <c r="E404" s="1998">
        <f>IF(Construction!$F$31=Construction!$R$22,Oeko!BR404,Oeko!EE404)</f>
        <v>1.0023861205975459</v>
      </c>
      <c r="F404" s="1998">
        <f>IF(Construction!$F$31=Construction!$R$22,Oeko!BS404,Oeko!EF404)</f>
        <v>1.0026034318512447</v>
      </c>
      <c r="G404" s="1998">
        <f>IF(Construction!$F$31=Construction!$R$22,Oeko!BT404,Oeko!EG404)</f>
        <v>1.002822894701515</v>
      </c>
      <c r="H404" s="1998">
        <f>IF(Construction!$F$31=Construction!$R$22,Oeko!BU404,Oeko!EH404)</f>
        <v>1.0032854879643398</v>
      </c>
      <c r="I404" s="1979">
        <f>IF(Construction!$F$31=Construction!$R$22,Oeko!BV404,Oeko!EI404)</f>
        <v>1.003522141632113</v>
      </c>
      <c r="J404" s="1979">
        <f>IF(Construction!$F$31=Construction!$R$22,Oeko!BW404,Oeko!EJ404)</f>
        <v>1.0038182356500618</v>
      </c>
      <c r="K404" s="1979">
        <f>IF(Construction!$F$31=Construction!$R$22,Oeko!BX404,Oeko!EK404)</f>
        <v>1.004165973973467</v>
      </c>
      <c r="L404" s="1979">
        <f>IF(Construction!$F$31=Construction!$R$22,Oeko!BY404,Oeko!EL404)</f>
        <v>1.0045171552505692</v>
      </c>
      <c r="M404" s="1979">
        <f>IF(Construction!$F$31=Construction!$R$22,Oeko!BZ404,Oeko!EM404)</f>
        <v>1.0052573902954414</v>
      </c>
      <c r="N404" s="1998">
        <f>IF(Construction!$F$31=Construction!$R$22,Oeko!CA404,Oeko!EN404)</f>
        <v>1.0027030657019407</v>
      </c>
      <c r="O404" s="1998">
        <f>IF(Construction!$F$31=Construction!$R$22,Oeko!CB404,Oeko!EO404)</f>
        <v>1.0027030657019407</v>
      </c>
      <c r="P404" s="1998">
        <f>IF(Construction!$F$31=Construction!$R$22,Oeko!CC404,Oeko!EP404)</f>
        <v>1.0027030657019407</v>
      </c>
      <c r="Q404" s="1998">
        <f>IF(Construction!$F$31=Construction!$R$22,Oeko!CD404,Oeko!EQ404)</f>
        <v>1.0027030657019407</v>
      </c>
      <c r="R404" s="1998">
        <f>IF(Construction!$F$31=Construction!$R$22,Oeko!CE404,Oeko!ER404)</f>
        <v>1.0027030657019407</v>
      </c>
      <c r="S404" s="1979">
        <f>IF(Construction!$F$31=Construction!$R$22,Oeko!CF404,Oeko!ES404)</f>
        <v>1.0058301417100681</v>
      </c>
      <c r="T404" s="1979">
        <f>IF(Construction!$F$31=Construction!$R$22,Oeko!CG404,Oeko!ET404)</f>
        <v>1.0058301417100681</v>
      </c>
      <c r="U404" s="1979">
        <f>IF(Construction!$F$31=Construction!$R$22,Oeko!CH404,Oeko!EU404)</f>
        <v>1.0058301417100681</v>
      </c>
      <c r="V404" s="1979">
        <f>IF(Construction!$F$31=Construction!$R$22,Oeko!CI404,Oeko!EV404)</f>
        <v>1.0058301417100681</v>
      </c>
      <c r="W404" s="1979">
        <f>IF(Construction!$F$31=Construction!$R$22,Oeko!CJ404,Oeko!EW404)</f>
        <v>1.0058301417100681</v>
      </c>
      <c r="X404" s="1998">
        <f>IF(Construction!$F$31=Construction!$R$22,Oeko!CK404,Oeko!EX404)</f>
        <v>1.0023441712642041</v>
      </c>
      <c r="Y404" s="1998">
        <f>IF(Construction!$F$31=Construction!$R$22,Oeko!CL404,Oeko!EY404)</f>
        <v>1.0023441712642041</v>
      </c>
      <c r="Z404" s="1998">
        <f>IF(Construction!$F$31=Construction!$R$22,Oeko!CM404,Oeko!EZ404)</f>
        <v>1.0023441712642041</v>
      </c>
      <c r="AA404" s="1998">
        <f>IF(Construction!$F$31=Construction!$R$22,Oeko!CN404,Oeko!FA404)</f>
        <v>1.0023441712642041</v>
      </c>
      <c r="AB404" s="1998">
        <f>IF(Construction!$F$31=Construction!$R$22,Oeko!CO404,Oeko!FB404)</f>
        <v>1.0023441712642041</v>
      </c>
      <c r="AC404" s="1979">
        <f>IF(Construction!$F$31=Construction!$R$22,Oeko!CP404,Oeko!FC404)</f>
        <v>1.0025043108709155</v>
      </c>
      <c r="AD404" s="1979">
        <f>IF(Construction!$F$31=Construction!$R$22,Oeko!CQ404,Oeko!FD404)</f>
        <v>1.0025043108709155</v>
      </c>
      <c r="AE404" s="1979">
        <f>IF(Construction!$F$31=Construction!$R$22,Oeko!CR404,Oeko!FE404)</f>
        <v>1.0025043108709155</v>
      </c>
      <c r="AF404" s="1979">
        <f>IF(Construction!$F$31=Construction!$R$22,Oeko!CS404,Oeko!FF404)</f>
        <v>1.0025043108709155</v>
      </c>
      <c r="AG404" s="1979">
        <f>IF(Construction!$F$31=Construction!$R$22,Oeko!CT404,Oeko!FG404)</f>
        <v>1.0025043108709155</v>
      </c>
      <c r="AH404" s="1998">
        <f>IF(Construction!$F$31=Construction!$R$22,Oeko!CU404,Oeko!FH404)</f>
        <v>1.0058161757782713</v>
      </c>
      <c r="AI404" s="1998">
        <f>IF(Construction!$F$31=Construction!$R$22,Oeko!CV404,Oeko!FI404)</f>
        <v>1.0058161757782713</v>
      </c>
      <c r="AJ404" s="1998">
        <f>IF(Construction!$F$31=Construction!$R$22,Oeko!CW404,Oeko!FJ404)</f>
        <v>1.0058161757782713</v>
      </c>
      <c r="AK404" s="1998">
        <f>IF(Construction!$F$31=Construction!$R$22,Oeko!CX404,Oeko!FK404)</f>
        <v>1.0058161757782713</v>
      </c>
      <c r="AL404" s="1998">
        <f>IF(Construction!$F$31=Construction!$R$22,Oeko!CY404,Oeko!FL404)</f>
        <v>1.0058161757782713</v>
      </c>
      <c r="AM404" s="1979">
        <f>IF(Construction!$F$31=Construction!$R$22,Oeko!CZ404,Oeko!FM404)</f>
        <v>1.0009642841090585</v>
      </c>
      <c r="AN404" s="1979">
        <f>IF(Construction!$F$31=Construction!$R$22,Oeko!DA404,Oeko!FN404)</f>
        <v>1.0010453480713057</v>
      </c>
      <c r="AO404" s="1979">
        <f>IF(Construction!$F$31=Construction!$R$22,Oeko!DB404,Oeko!FO404)</f>
        <v>1.0011405510967357</v>
      </c>
      <c r="AP404" s="1979">
        <f>IF(Construction!$F$31=Construction!$R$22,Oeko!DC404,Oeko!FP404)</f>
        <v>1.0012366967263782</v>
      </c>
      <c r="AQ404" s="1979">
        <f>IF(Construction!$F$31=Construction!$R$22,Oeko!DD404,Oeko!FQ404)</f>
        <v>1.0014393566319963</v>
      </c>
      <c r="AR404" s="1998">
        <f>IF(Construction!$F$31=Construction!$R$22,Oeko!DE404,Oeko!FR404)</f>
        <v>8.0697130893529057</v>
      </c>
      <c r="AS404" s="1998">
        <f>IF(Construction!$F$31=Construction!$R$22,Oeko!DF404,Oeko!FS404)</f>
        <v>8.0697130893529057</v>
      </c>
      <c r="AT404" s="1998">
        <f>IF(Construction!$F$31=Construction!$R$22,Oeko!DG404,Oeko!FT404)</f>
        <v>8.0697130893529057</v>
      </c>
      <c r="AU404" s="1998">
        <f>IF(Construction!$F$31=Construction!$R$22,Oeko!DH404,Oeko!FU404)</f>
        <v>8.0697130893529057</v>
      </c>
      <c r="AV404" s="1998">
        <f>IF(Construction!$F$31=Construction!$R$22,Oeko!DI404,Oeko!FV404)</f>
        <v>8.0697130893529057</v>
      </c>
      <c r="AW404" s="1979">
        <f>IF(Construction!$F$31=Construction!$R$22,Oeko!DJ404,Oeko!FW404)</f>
        <v>8.0545676260013526</v>
      </c>
      <c r="AX404" s="1979">
        <f>IF(Construction!$F$31=Construction!$R$22,Oeko!DK404,Oeko!FX404)</f>
        <v>8.0545676260013526</v>
      </c>
      <c r="AY404" s="1979">
        <f>IF(Construction!$F$31=Construction!$R$22,Oeko!DL404,Oeko!FY404)</f>
        <v>8.0545676260013526</v>
      </c>
      <c r="AZ404" s="1979">
        <f>IF(Construction!$F$31=Construction!$R$22,Oeko!DM404,Oeko!FZ404)</f>
        <v>8.0545676260013526</v>
      </c>
      <c r="BA404" s="1979">
        <f>IF(Construction!$F$31=Construction!$R$22,Oeko!DN404,Oeko!GA404)</f>
        <v>8.0545676260013526</v>
      </c>
      <c r="BB404" s="1998">
        <f>IF(Construction!$F$31=Construction!$R$22,Oeko!DO404,Oeko!GB404)</f>
        <v>0.98216251894316464</v>
      </c>
      <c r="BC404" s="1998">
        <f>IF(Construction!$F$31=Construction!$R$22,Oeko!DP404,Oeko!GC404)</f>
        <v>0.98216251894316464</v>
      </c>
      <c r="BD404" s="1998">
        <f>IF(Construction!$F$31=Construction!$R$22,Oeko!DQ404,Oeko!GD404)</f>
        <v>0.98216251894316464</v>
      </c>
      <c r="BE404" s="1998">
        <f>IF(Construction!$F$31=Construction!$R$22,Oeko!DR404,Oeko!GE404)</f>
        <v>0.98216251894316464</v>
      </c>
      <c r="BF404" s="1998">
        <f>IF(Construction!$F$31=Construction!$R$22,Oeko!DS404,Oeko!GF404)</f>
        <v>0.98216251894316464</v>
      </c>
      <c r="BG404" s="1979">
        <f>IF(Construction!$F$31=Construction!$R$22,Oeko!DT404,Oeko!GG404)</f>
        <v>0.98075524222249</v>
      </c>
      <c r="BH404" s="1979">
        <f>IF(Construction!$F$31=Construction!$R$22,Oeko!DU404,Oeko!GH404)</f>
        <v>0.98075524222249</v>
      </c>
      <c r="BI404" s="1979">
        <f>IF(Construction!$F$31=Construction!$R$22,Oeko!DV404,Oeko!GI404)</f>
        <v>0.98075524222249</v>
      </c>
      <c r="BJ404" s="1979">
        <f>IF(Construction!$F$31=Construction!$R$22,Oeko!DW404,Oeko!GJ404)</f>
        <v>0.98075524222249</v>
      </c>
      <c r="BK404" s="2021">
        <f>IF(Construction!$F$31=Construction!$R$22,Oeko!DX404,Oeko!GK404)</f>
        <v>0.98075524222249</v>
      </c>
      <c r="BN404" s="2022"/>
      <c r="BO404" s="2">
        <v>20</v>
      </c>
      <c r="BP404" s="2" t="str">
        <f>CONCATENATE($U$8," ",GV$14)</f>
        <v xml:space="preserve">Proportion de fenêtres </v>
      </c>
      <c r="BQ404" s="1998">
        <v>1.0022010832924162</v>
      </c>
      <c r="BR404" s="1998">
        <v>1.0023861205975459</v>
      </c>
      <c r="BS404" s="1998">
        <v>1.0026034318512447</v>
      </c>
      <c r="BT404" s="1998">
        <v>1.002822894701515</v>
      </c>
      <c r="BU404" s="1998">
        <v>1.0032854879643398</v>
      </c>
      <c r="BV404" s="1979">
        <v>1.003522141632113</v>
      </c>
      <c r="BW404" s="1979">
        <v>1.0038182356500618</v>
      </c>
      <c r="BX404" s="1979">
        <v>1.004165973973467</v>
      </c>
      <c r="BY404" s="1979">
        <v>1.0045171552505692</v>
      </c>
      <c r="BZ404" s="1979">
        <v>1.0052573902954414</v>
      </c>
      <c r="CA404" s="1998">
        <v>1.0027030657019407</v>
      </c>
      <c r="CB404" s="1998">
        <v>1.0027030657019407</v>
      </c>
      <c r="CC404" s="1998">
        <v>1.0027030657019407</v>
      </c>
      <c r="CD404" s="1998">
        <v>1.0027030657019407</v>
      </c>
      <c r="CE404" s="1998">
        <v>1.0027030657019407</v>
      </c>
      <c r="CF404" s="1979">
        <v>1.0058301417100681</v>
      </c>
      <c r="CG404" s="1979">
        <v>1.0058301417100681</v>
      </c>
      <c r="CH404" s="1979">
        <v>1.0058301417100681</v>
      </c>
      <c r="CI404" s="1979">
        <v>1.0058301417100681</v>
      </c>
      <c r="CJ404" s="1979">
        <v>1.0058301417100681</v>
      </c>
      <c r="CK404" s="1998">
        <v>1.0023441712642041</v>
      </c>
      <c r="CL404" s="1998">
        <v>1.0023441712642041</v>
      </c>
      <c r="CM404" s="1998">
        <v>1.0023441712642041</v>
      </c>
      <c r="CN404" s="1998">
        <v>1.0023441712642041</v>
      </c>
      <c r="CO404" s="1998">
        <v>1.0023441712642041</v>
      </c>
      <c r="CP404" s="1979">
        <v>1.0025043108709155</v>
      </c>
      <c r="CQ404" s="1979">
        <v>1.0025043108709155</v>
      </c>
      <c r="CR404" s="1979">
        <v>1.0025043108709155</v>
      </c>
      <c r="CS404" s="1979">
        <v>1.0025043108709155</v>
      </c>
      <c r="CT404" s="1979">
        <v>1.0025043108709155</v>
      </c>
      <c r="CU404" s="1998">
        <v>1.0058161757782713</v>
      </c>
      <c r="CV404" s="1998">
        <v>1.0058161757782713</v>
      </c>
      <c r="CW404" s="1998">
        <v>1.0058161757782713</v>
      </c>
      <c r="CX404" s="1998">
        <v>1.0058161757782713</v>
      </c>
      <c r="CY404" s="1998">
        <v>1.0058161757782713</v>
      </c>
      <c r="CZ404" s="1979">
        <v>1.0009642841090585</v>
      </c>
      <c r="DA404" s="1979">
        <v>1.0010453480713057</v>
      </c>
      <c r="DB404" s="1979">
        <v>1.0011405510967357</v>
      </c>
      <c r="DC404" s="1979">
        <v>1.0012366967263782</v>
      </c>
      <c r="DD404" s="1979">
        <v>1.0014393566319963</v>
      </c>
      <c r="DE404" s="1998">
        <v>8.0697130893529057</v>
      </c>
      <c r="DF404" s="1998">
        <v>8.0697130893529057</v>
      </c>
      <c r="DG404" s="1998">
        <v>8.0697130893529057</v>
      </c>
      <c r="DH404" s="1998">
        <v>8.0697130893529057</v>
      </c>
      <c r="DI404" s="1998">
        <v>8.0697130893529057</v>
      </c>
      <c r="DJ404" s="1979">
        <v>8.0545676260013526</v>
      </c>
      <c r="DK404" s="1979">
        <v>8.0545676260013526</v>
      </c>
      <c r="DL404" s="1979">
        <v>8.0545676260013526</v>
      </c>
      <c r="DM404" s="1979">
        <v>8.0545676260013526</v>
      </c>
      <c r="DN404" s="1979">
        <v>8.0545676260013526</v>
      </c>
      <c r="DO404" s="1998">
        <v>0.98216251894316464</v>
      </c>
      <c r="DP404" s="1998">
        <v>0.98216251894316464</v>
      </c>
      <c r="DQ404" s="1998">
        <v>0.98216251894316464</v>
      </c>
      <c r="DR404" s="1998">
        <v>0.98216251894316464</v>
      </c>
      <c r="DS404" s="1998">
        <v>0.98216251894316464</v>
      </c>
      <c r="DT404" s="1979">
        <v>0.98075524222249</v>
      </c>
      <c r="DU404" s="1979">
        <v>0.98075524222249</v>
      </c>
      <c r="DV404" s="1979">
        <v>0.98075524222249</v>
      </c>
      <c r="DW404" s="1979">
        <v>0.98075524222249</v>
      </c>
      <c r="DX404" s="2021">
        <v>0.98075524222249</v>
      </c>
      <c r="EA404" s="2022"/>
      <c r="EB404" s="2">
        <v>20</v>
      </c>
      <c r="EC404" s="2" t="str">
        <f>CONCATENATE($U$8," ",JI$14)</f>
        <v xml:space="preserve">Proportion de fenêtres </v>
      </c>
      <c r="ED404" s="1998">
        <v>1.3271316114923539</v>
      </c>
      <c r="EE404" s="1998">
        <v>1.3473469883062752</v>
      </c>
      <c r="EF404" s="1998">
        <v>1.3817337022514415</v>
      </c>
      <c r="EG404" s="1998">
        <v>1.4231920993845171</v>
      </c>
      <c r="EH404" s="1998">
        <v>1.456645840073586</v>
      </c>
      <c r="EI404" s="1979">
        <v>2.0238391744593756</v>
      </c>
      <c r="EJ404" s="1979">
        <v>2.0736219896166914</v>
      </c>
      <c r="EK404" s="1979">
        <v>2.1375955122621391</v>
      </c>
      <c r="EL404" s="1979">
        <v>2.208642009452622</v>
      </c>
      <c r="EM404" s="1979">
        <v>2.2305908392715086</v>
      </c>
      <c r="EN404" s="1998">
        <v>1.401506884861716</v>
      </c>
      <c r="EO404" s="1998">
        <v>1.4348346766494526</v>
      </c>
      <c r="EP404" s="1998">
        <v>1.4368545428184065</v>
      </c>
      <c r="EQ404" s="1998">
        <v>1.4388744089873602</v>
      </c>
      <c r="ER404" s="1998">
        <v>1.4408942751563141</v>
      </c>
      <c r="ES404" s="1979">
        <v>1.7769393000352696</v>
      </c>
      <c r="ET404" s="1979">
        <v>1.805217426400622</v>
      </c>
      <c r="EU404" s="1979">
        <v>1.8122869579919598</v>
      </c>
      <c r="EV404" s="1979">
        <v>1.8193564895832981</v>
      </c>
      <c r="EW404" s="1979">
        <v>1.8264260211746364</v>
      </c>
      <c r="EX404" s="1998">
        <v>1.4322827846568518</v>
      </c>
      <c r="EY404" s="1998">
        <v>1.4648026299770072</v>
      </c>
      <c r="EZ404" s="1998">
        <v>1.4676304426135425</v>
      </c>
      <c r="FA404" s="1998">
        <v>1.4704582552500776</v>
      </c>
      <c r="FB404" s="1998">
        <v>1.4732860678866129</v>
      </c>
      <c r="FC404" s="1979">
        <v>1.592103245588512</v>
      </c>
      <c r="FD404" s="1979">
        <v>1.5779641824058357</v>
      </c>
      <c r="FE404" s="1979">
        <v>1.592103245588512</v>
      </c>
      <c r="FF404" s="1979">
        <v>1.6062423087711881</v>
      </c>
      <c r="FG404" s="1979">
        <v>1.6203813719538642</v>
      </c>
      <c r="FH404" s="1998">
        <v>2.3980089327296352</v>
      </c>
      <c r="FI404" s="1998">
        <v>2.4050784643209728</v>
      </c>
      <c r="FJ404" s="1998">
        <v>2.4121479959123113</v>
      </c>
      <c r="FK404" s="1998">
        <v>2.4192175275036494</v>
      </c>
      <c r="FL404" s="1998">
        <v>2.426287059094987</v>
      </c>
      <c r="FM404" s="1979">
        <v>1.5124684598476728</v>
      </c>
      <c r="FN404" s="1979">
        <v>1.5384711396448267</v>
      </c>
      <c r="FO404" s="1979">
        <v>1.5786270216878393</v>
      </c>
      <c r="FP404" s="1979">
        <v>1.6258533779264017</v>
      </c>
      <c r="FQ404" s="1979">
        <v>1.6566906747278187</v>
      </c>
      <c r="FR404" s="1998">
        <v>18.717437786725444</v>
      </c>
      <c r="FS404" s="1998">
        <v>18.77433945511488</v>
      </c>
      <c r="FT404" s="1998">
        <v>18.831241123504309</v>
      </c>
      <c r="FU404" s="1998">
        <v>18.888142791893742</v>
      </c>
      <c r="FV404" s="1998">
        <v>18.945044460283178</v>
      </c>
      <c r="FW404" s="1979">
        <v>19.055385710437662</v>
      </c>
      <c r="FX404" s="1979">
        <v>19.112174594354368</v>
      </c>
      <c r="FY404" s="1979">
        <v>19.168963478271074</v>
      </c>
      <c r="FZ404" s="1979">
        <v>19.22575236218778</v>
      </c>
      <c r="GA404" s="1979">
        <v>19.282541246104486</v>
      </c>
      <c r="GB404" s="1998">
        <v>1.679999374062511</v>
      </c>
      <c r="GC404" s="1998">
        <v>1.6869257944607179</v>
      </c>
      <c r="GD404" s="1998">
        <v>1.693852214858925</v>
      </c>
      <c r="GE404" s="1998">
        <v>1.7007786352571315</v>
      </c>
      <c r="GF404" s="1998">
        <v>1.7146314760535455</v>
      </c>
      <c r="GG404" s="1979">
        <v>1.7226035532573445</v>
      </c>
      <c r="GH404" s="1979">
        <v>1.7295044677785989</v>
      </c>
      <c r="GI404" s="1979">
        <v>1.7364053822998538</v>
      </c>
      <c r="GJ404" s="1979">
        <v>1.7433062968211082</v>
      </c>
      <c r="GK404" s="2021">
        <v>1.757108125863617</v>
      </c>
    </row>
    <row r="405" spans="1:193">
      <c r="A405" s="2020"/>
      <c r="B405" s="2">
        <v>21</v>
      </c>
      <c r="C405" s="2" t="str">
        <f>CONCATENATE($U$8," ",EI$15)</f>
        <v xml:space="preserve">Proportion de fenêtres </v>
      </c>
      <c r="D405" s="1998">
        <f>IF(Construction!$F$31=Construction!$R$22,Oeko!BQ405,Oeko!ED405)</f>
        <v>1.0014673888616106</v>
      </c>
      <c r="E405" s="1998">
        <f>IF(Construction!$F$31=Construction!$R$22,Oeko!BR405,Oeko!EE405)</f>
        <v>1.0015907470650305</v>
      </c>
      <c r="F405" s="1998">
        <f>IF(Construction!$F$31=Construction!$R$22,Oeko!BS405,Oeko!EF405)</f>
        <v>1.001735621234163</v>
      </c>
      <c r="G405" s="1998">
        <f>IF(Construction!$F$31=Construction!$R$22,Oeko!BT405,Oeko!EG405)</f>
        <v>1.00188192980101</v>
      </c>
      <c r="H405" s="1998">
        <f>IF(Construction!$F$31=Construction!$R$22,Oeko!BU405,Oeko!EH405)</f>
        <v>1.0021903253095596</v>
      </c>
      <c r="I405" s="1979">
        <f>IF(Construction!$F$31=Construction!$R$22,Oeko!BV405,Oeko!EI405)</f>
        <v>1.0023480944214087</v>
      </c>
      <c r="J405" s="1979">
        <f>IF(Construction!$F$31=Construction!$R$22,Oeko!BW405,Oeko!EJ405)</f>
        <v>1.0025454904333746</v>
      </c>
      <c r="K405" s="1979">
        <f>IF(Construction!$F$31=Construction!$R$22,Oeko!BX405,Oeko!EK405)</f>
        <v>1.0027773159823115</v>
      </c>
      <c r="L405" s="1979">
        <f>IF(Construction!$F$31=Construction!$R$22,Oeko!BY405,Oeko!EL405)</f>
        <v>1.0030114368337129</v>
      </c>
      <c r="M405" s="1979">
        <f>IF(Construction!$F$31=Construction!$R$22,Oeko!BZ405,Oeko!EM405)</f>
        <v>1.0035049268636276</v>
      </c>
      <c r="N405" s="1998">
        <f>IF(Construction!$F$31=Construction!$R$22,Oeko!CA405,Oeko!EN405)</f>
        <v>1.0018020438012938</v>
      </c>
      <c r="O405" s="1998">
        <f>IF(Construction!$F$31=Construction!$R$22,Oeko!CB405,Oeko!EO405)</f>
        <v>1.0018020438012938</v>
      </c>
      <c r="P405" s="1998">
        <f>IF(Construction!$F$31=Construction!$R$22,Oeko!CC405,Oeko!EP405)</f>
        <v>1.0018020438012938</v>
      </c>
      <c r="Q405" s="1998">
        <f>IF(Construction!$F$31=Construction!$R$22,Oeko!CD405,Oeko!EQ405)</f>
        <v>1.0018020438012938</v>
      </c>
      <c r="R405" s="1998">
        <f>IF(Construction!$F$31=Construction!$R$22,Oeko!CE405,Oeko!ER405)</f>
        <v>1.0018020438012938</v>
      </c>
      <c r="S405" s="1979">
        <f>IF(Construction!$F$31=Construction!$R$22,Oeko!CF405,Oeko!ES405)</f>
        <v>1.0038867611400453</v>
      </c>
      <c r="T405" s="1979">
        <f>IF(Construction!$F$31=Construction!$R$22,Oeko!CG405,Oeko!ET405)</f>
        <v>1.0038867611400453</v>
      </c>
      <c r="U405" s="1979">
        <f>IF(Construction!$F$31=Construction!$R$22,Oeko!CH405,Oeko!EU405)</f>
        <v>1.0038867611400453</v>
      </c>
      <c r="V405" s="1979">
        <f>IF(Construction!$F$31=Construction!$R$22,Oeko!CI405,Oeko!EV405)</f>
        <v>1.0038867611400453</v>
      </c>
      <c r="W405" s="1979">
        <f>IF(Construction!$F$31=Construction!$R$22,Oeko!CJ405,Oeko!EW405)</f>
        <v>1.0038867611400453</v>
      </c>
      <c r="X405" s="1998">
        <f>IF(Construction!$F$31=Construction!$R$22,Oeko!CK405,Oeko!EX405)</f>
        <v>1.0015627808428027</v>
      </c>
      <c r="Y405" s="1998">
        <f>IF(Construction!$F$31=Construction!$R$22,Oeko!CL405,Oeko!EY405)</f>
        <v>1.0015627808428027</v>
      </c>
      <c r="Z405" s="1998">
        <f>IF(Construction!$F$31=Construction!$R$22,Oeko!CM405,Oeko!EZ405)</f>
        <v>1.0015627808428027</v>
      </c>
      <c r="AA405" s="1998">
        <f>IF(Construction!$F$31=Construction!$R$22,Oeko!CN405,Oeko!FA405)</f>
        <v>1.0015627808428027</v>
      </c>
      <c r="AB405" s="1998">
        <f>IF(Construction!$F$31=Construction!$R$22,Oeko!CO405,Oeko!FB405)</f>
        <v>1.0015627808428027</v>
      </c>
      <c r="AC405" s="1979">
        <f>IF(Construction!$F$31=Construction!$R$22,Oeko!CP405,Oeko!FC405)</f>
        <v>1.0016695405806104</v>
      </c>
      <c r="AD405" s="1979">
        <f>IF(Construction!$F$31=Construction!$R$22,Oeko!CQ405,Oeko!FD405)</f>
        <v>1.0016695405806104</v>
      </c>
      <c r="AE405" s="1979">
        <f>IF(Construction!$F$31=Construction!$R$22,Oeko!CR405,Oeko!FE405)</f>
        <v>1.0016695405806104</v>
      </c>
      <c r="AF405" s="1979">
        <f>IF(Construction!$F$31=Construction!$R$22,Oeko!CS405,Oeko!FF405)</f>
        <v>1.0016695405806104</v>
      </c>
      <c r="AG405" s="1979">
        <f>IF(Construction!$F$31=Construction!$R$22,Oeko!CT405,Oeko!FG405)</f>
        <v>1.0016695405806104</v>
      </c>
      <c r="AH405" s="1998">
        <f>IF(Construction!$F$31=Construction!$R$22,Oeko!CU405,Oeko!FH405)</f>
        <v>1.0038774505188475</v>
      </c>
      <c r="AI405" s="1998">
        <f>IF(Construction!$F$31=Construction!$R$22,Oeko!CV405,Oeko!FI405)</f>
        <v>1.0038774505188475</v>
      </c>
      <c r="AJ405" s="1998">
        <f>IF(Construction!$F$31=Construction!$R$22,Oeko!CW405,Oeko!FJ405)</f>
        <v>1.0038774505188475</v>
      </c>
      <c r="AK405" s="1998">
        <f>IF(Construction!$F$31=Construction!$R$22,Oeko!CX405,Oeko!FK405)</f>
        <v>1.0038774505188475</v>
      </c>
      <c r="AL405" s="1998">
        <f>IF(Construction!$F$31=Construction!$R$22,Oeko!CY405,Oeko!FL405)</f>
        <v>1.0038774505188475</v>
      </c>
      <c r="AM405" s="1979">
        <f>IF(Construction!$F$31=Construction!$R$22,Oeko!CZ405,Oeko!FM405)</f>
        <v>1.0006428560727056</v>
      </c>
      <c r="AN405" s="1979">
        <f>IF(Construction!$F$31=Construction!$R$22,Oeko!DA405,Oeko!FN405)</f>
        <v>1.0006968987142038</v>
      </c>
      <c r="AO405" s="1979">
        <f>IF(Construction!$F$31=Construction!$R$22,Oeko!DB405,Oeko!FO405)</f>
        <v>1.000760367397824</v>
      </c>
      <c r="AP405" s="1979">
        <f>IF(Construction!$F$31=Construction!$R$22,Oeko!DC405,Oeko!FP405)</f>
        <v>1.0008244644842521</v>
      </c>
      <c r="AQ405" s="1979">
        <f>IF(Construction!$F$31=Construction!$R$22,Oeko!DD405,Oeko!FQ405)</f>
        <v>1.0009595710879975</v>
      </c>
      <c r="AR405" s="1998">
        <f>IF(Construction!$F$31=Construction!$R$22,Oeko!DE405,Oeko!FR405)</f>
        <v>8.0627619815424527</v>
      </c>
      <c r="AS405" s="1998">
        <f>IF(Construction!$F$31=Construction!$R$22,Oeko!DF405,Oeko!FS405)</f>
        <v>8.0627619815424527</v>
      </c>
      <c r="AT405" s="1998">
        <f>IF(Construction!$F$31=Construction!$R$22,Oeko!DG405,Oeko!FT405)</f>
        <v>8.0627619815424527</v>
      </c>
      <c r="AU405" s="1998">
        <f>IF(Construction!$F$31=Construction!$R$22,Oeko!DH405,Oeko!FU405)</f>
        <v>8.0627619815424527</v>
      </c>
      <c r="AV405" s="1998">
        <f>IF(Construction!$F$31=Construction!$R$22,Oeko!DI405,Oeko!FV405)</f>
        <v>8.0627619815424527</v>
      </c>
      <c r="AW405" s="1979">
        <f>IF(Construction!$F$31=Construction!$R$22,Oeko!DJ405,Oeko!FW405)</f>
        <v>8.0473471396131391</v>
      </c>
      <c r="AX405" s="1979">
        <f>IF(Construction!$F$31=Construction!$R$22,Oeko!DK405,Oeko!FX405)</f>
        <v>8.0473471396131391</v>
      </c>
      <c r="AY405" s="1979">
        <f>IF(Construction!$F$31=Construction!$R$22,Oeko!DL405,Oeko!FY405)</f>
        <v>8.0473471396131391</v>
      </c>
      <c r="AZ405" s="1979">
        <f>IF(Construction!$F$31=Construction!$R$22,Oeko!DM405,Oeko!FZ405)</f>
        <v>8.0473471396131391</v>
      </c>
      <c r="BA405" s="1979">
        <f>IF(Construction!$F$31=Construction!$R$22,Oeko!DN405,Oeko!GA405)</f>
        <v>8.0473471396131391</v>
      </c>
      <c r="BB405" s="1998">
        <f>IF(Construction!$F$31=Construction!$R$22,Oeko!DO405,Oeko!GB405)</f>
        <v>0.98136055363281693</v>
      </c>
      <c r="BC405" s="1998">
        <f>IF(Construction!$F$31=Construction!$R$22,Oeko!DP405,Oeko!GC405)</f>
        <v>0.98136055363281693</v>
      </c>
      <c r="BD405" s="1998">
        <f>IF(Construction!$F$31=Construction!$R$22,Oeko!DQ405,Oeko!GD405)</f>
        <v>0.98136055363281693</v>
      </c>
      <c r="BE405" s="1998">
        <f>IF(Construction!$F$31=Construction!$R$22,Oeko!DR405,Oeko!GE405)</f>
        <v>0.98136055363281693</v>
      </c>
      <c r="BF405" s="1998">
        <f>IF(Construction!$F$31=Construction!$R$22,Oeko!DS405,Oeko!GF405)</f>
        <v>0.98136055363281693</v>
      </c>
      <c r="BG405" s="1979">
        <f>IF(Construction!$F$31=Construction!$R$22,Oeko!DT405,Oeko!GG405)</f>
        <v>0.97921974930771361</v>
      </c>
      <c r="BH405" s="1979">
        <f>IF(Construction!$F$31=Construction!$R$22,Oeko!DU405,Oeko!GH405)</f>
        <v>0.97921974930771361</v>
      </c>
      <c r="BI405" s="1979">
        <f>IF(Construction!$F$31=Construction!$R$22,Oeko!DV405,Oeko!GI405)</f>
        <v>0.97921974930771361</v>
      </c>
      <c r="BJ405" s="1979">
        <f>IF(Construction!$F$31=Construction!$R$22,Oeko!DW405,Oeko!GJ405)</f>
        <v>0.97921974930771361</v>
      </c>
      <c r="BK405" s="2021">
        <f>IF(Construction!$F$31=Construction!$R$22,Oeko!DX405,Oeko!GK405)</f>
        <v>0.97921974930771361</v>
      </c>
      <c r="BN405" s="2022"/>
      <c r="BO405" s="2">
        <v>21</v>
      </c>
      <c r="BP405" s="2" t="str">
        <f>CONCATENATE($U$8," ",GV$15)</f>
        <v xml:space="preserve">Proportion de fenêtres </v>
      </c>
      <c r="BQ405" s="1998">
        <v>1.0014673888616106</v>
      </c>
      <c r="BR405" s="1998">
        <v>1.0015907470650305</v>
      </c>
      <c r="BS405" s="1998">
        <v>1.001735621234163</v>
      </c>
      <c r="BT405" s="1998">
        <v>1.00188192980101</v>
      </c>
      <c r="BU405" s="1998">
        <v>1.0021903253095596</v>
      </c>
      <c r="BV405" s="1979">
        <v>1.0023480944214087</v>
      </c>
      <c r="BW405" s="1979">
        <v>1.0025454904333746</v>
      </c>
      <c r="BX405" s="1979">
        <v>1.0027773159823115</v>
      </c>
      <c r="BY405" s="1979">
        <v>1.0030114368337129</v>
      </c>
      <c r="BZ405" s="1979">
        <v>1.0035049268636276</v>
      </c>
      <c r="CA405" s="1998">
        <v>1.0018020438012938</v>
      </c>
      <c r="CB405" s="1998">
        <v>1.0018020438012938</v>
      </c>
      <c r="CC405" s="1998">
        <v>1.0018020438012938</v>
      </c>
      <c r="CD405" s="1998">
        <v>1.0018020438012938</v>
      </c>
      <c r="CE405" s="1998">
        <v>1.0018020438012938</v>
      </c>
      <c r="CF405" s="1979">
        <v>1.0038867611400453</v>
      </c>
      <c r="CG405" s="1979">
        <v>1.0038867611400453</v>
      </c>
      <c r="CH405" s="1979">
        <v>1.0038867611400453</v>
      </c>
      <c r="CI405" s="1979">
        <v>1.0038867611400453</v>
      </c>
      <c r="CJ405" s="1979">
        <v>1.0038867611400453</v>
      </c>
      <c r="CK405" s="1998">
        <v>1.0015627808428027</v>
      </c>
      <c r="CL405" s="1998">
        <v>1.0015627808428027</v>
      </c>
      <c r="CM405" s="1998">
        <v>1.0015627808428027</v>
      </c>
      <c r="CN405" s="1998">
        <v>1.0015627808428027</v>
      </c>
      <c r="CO405" s="1998">
        <v>1.0015627808428027</v>
      </c>
      <c r="CP405" s="1979">
        <v>1.0016695405806104</v>
      </c>
      <c r="CQ405" s="1979">
        <v>1.0016695405806104</v>
      </c>
      <c r="CR405" s="1979">
        <v>1.0016695405806104</v>
      </c>
      <c r="CS405" s="1979">
        <v>1.0016695405806104</v>
      </c>
      <c r="CT405" s="1979">
        <v>1.0016695405806104</v>
      </c>
      <c r="CU405" s="1998">
        <v>1.0038774505188475</v>
      </c>
      <c r="CV405" s="1998">
        <v>1.0038774505188475</v>
      </c>
      <c r="CW405" s="1998">
        <v>1.0038774505188475</v>
      </c>
      <c r="CX405" s="1998">
        <v>1.0038774505188475</v>
      </c>
      <c r="CY405" s="1998">
        <v>1.0038774505188475</v>
      </c>
      <c r="CZ405" s="1979">
        <v>1.0006428560727056</v>
      </c>
      <c r="DA405" s="1979">
        <v>1.0006968987142038</v>
      </c>
      <c r="DB405" s="1979">
        <v>1.000760367397824</v>
      </c>
      <c r="DC405" s="1979">
        <v>1.0008244644842521</v>
      </c>
      <c r="DD405" s="1979">
        <v>1.0009595710879975</v>
      </c>
      <c r="DE405" s="1998">
        <v>8.0627619815424527</v>
      </c>
      <c r="DF405" s="1998">
        <v>8.0627619815424527</v>
      </c>
      <c r="DG405" s="1998">
        <v>8.0627619815424527</v>
      </c>
      <c r="DH405" s="1998">
        <v>8.0627619815424527</v>
      </c>
      <c r="DI405" s="1998">
        <v>8.0627619815424527</v>
      </c>
      <c r="DJ405" s="1979">
        <v>8.0473471396131391</v>
      </c>
      <c r="DK405" s="1979">
        <v>8.0473471396131391</v>
      </c>
      <c r="DL405" s="1979">
        <v>8.0473471396131391</v>
      </c>
      <c r="DM405" s="1979">
        <v>8.0473471396131391</v>
      </c>
      <c r="DN405" s="1979">
        <v>8.0473471396131391</v>
      </c>
      <c r="DO405" s="1998">
        <v>0.98136055363281693</v>
      </c>
      <c r="DP405" s="1998">
        <v>0.98136055363281693</v>
      </c>
      <c r="DQ405" s="1998">
        <v>0.98136055363281693</v>
      </c>
      <c r="DR405" s="1998">
        <v>0.98136055363281693</v>
      </c>
      <c r="DS405" s="1998">
        <v>0.98136055363281693</v>
      </c>
      <c r="DT405" s="1979">
        <v>0.97921974930771361</v>
      </c>
      <c r="DU405" s="1979">
        <v>0.97921974930771361</v>
      </c>
      <c r="DV405" s="1979">
        <v>0.97921974930771361</v>
      </c>
      <c r="DW405" s="1979">
        <v>0.97921974930771361</v>
      </c>
      <c r="DX405" s="2021">
        <v>0.97921974930771361</v>
      </c>
      <c r="EA405" s="2022"/>
      <c r="EB405" s="2">
        <v>21</v>
      </c>
      <c r="EC405" s="2" t="str">
        <f>CONCATENATE($U$8," ",JI$15)</f>
        <v xml:space="preserve">Proportion de fenêtres </v>
      </c>
      <c r="ED405" s="1998">
        <v>1.326397917061549</v>
      </c>
      <c r="EE405" s="1998">
        <v>1.34655161477376</v>
      </c>
      <c r="EF405" s="1998">
        <v>1.3808658916343599</v>
      </c>
      <c r="EG405" s="1998">
        <v>1.4222511344840123</v>
      </c>
      <c r="EH405" s="1998">
        <v>1.4555506774188063</v>
      </c>
      <c r="EI405" s="1979">
        <v>2.0226651272486715</v>
      </c>
      <c r="EJ405" s="1979">
        <v>2.0723492444000038</v>
      </c>
      <c r="EK405" s="1979">
        <v>2.1362068542709838</v>
      </c>
      <c r="EL405" s="1979">
        <v>2.2071362910357655</v>
      </c>
      <c r="EM405" s="1979">
        <v>2.2288383758396946</v>
      </c>
      <c r="EN405" s="1998">
        <v>1.4006058629610691</v>
      </c>
      <c r="EO405" s="1998">
        <v>1.4339336547488057</v>
      </c>
      <c r="EP405" s="1998">
        <v>1.4359535209177596</v>
      </c>
      <c r="EQ405" s="1998">
        <v>1.4379733870867133</v>
      </c>
      <c r="ER405" s="1998">
        <v>1.4399932532556672</v>
      </c>
      <c r="ES405" s="1979">
        <v>1.7749959194652472</v>
      </c>
      <c r="ET405" s="1979">
        <v>1.8032740458305994</v>
      </c>
      <c r="EU405" s="1979">
        <v>1.8103435774219374</v>
      </c>
      <c r="EV405" s="1979">
        <v>1.8174131090132752</v>
      </c>
      <c r="EW405" s="1979">
        <v>1.8244826406046135</v>
      </c>
      <c r="EX405" s="1998">
        <v>1.4315013942354504</v>
      </c>
      <c r="EY405" s="1998">
        <v>1.4640212395556058</v>
      </c>
      <c r="EZ405" s="1998">
        <v>1.4668490521921409</v>
      </c>
      <c r="FA405" s="1998">
        <v>1.4696768648286762</v>
      </c>
      <c r="FB405" s="1998">
        <v>1.4725046774652115</v>
      </c>
      <c r="FC405" s="1979">
        <v>1.5912684752982067</v>
      </c>
      <c r="FD405" s="1979">
        <v>1.5771294121155306</v>
      </c>
      <c r="FE405" s="1979">
        <v>1.5912684752982067</v>
      </c>
      <c r="FF405" s="1979">
        <v>1.605407538480883</v>
      </c>
      <c r="FG405" s="1979">
        <v>1.6195466016635589</v>
      </c>
      <c r="FH405" s="1998">
        <v>2.3960702074702112</v>
      </c>
      <c r="FI405" s="1998">
        <v>2.4031397390615492</v>
      </c>
      <c r="FJ405" s="1998">
        <v>2.4102092706528877</v>
      </c>
      <c r="FK405" s="1998">
        <v>2.4172788022442253</v>
      </c>
      <c r="FL405" s="1998">
        <v>2.4243483338355634</v>
      </c>
      <c r="FM405" s="1979">
        <v>1.5121470318113202</v>
      </c>
      <c r="FN405" s="1979">
        <v>1.5381226902877245</v>
      </c>
      <c r="FO405" s="1979">
        <v>1.5782468379889274</v>
      </c>
      <c r="FP405" s="1979">
        <v>1.6254411456842759</v>
      </c>
      <c r="FQ405" s="1979">
        <v>1.6562108891838201</v>
      </c>
      <c r="FR405" s="1998">
        <v>18.710486678914993</v>
      </c>
      <c r="FS405" s="1998">
        <v>18.767388347304422</v>
      </c>
      <c r="FT405" s="1998">
        <v>18.824290015693862</v>
      </c>
      <c r="FU405" s="1998">
        <v>18.881191684083291</v>
      </c>
      <c r="FV405" s="1998">
        <v>18.93809335247272</v>
      </c>
      <c r="FW405" s="1979">
        <v>19.048165224049445</v>
      </c>
      <c r="FX405" s="1979">
        <v>19.104954107966151</v>
      </c>
      <c r="FY405" s="1979">
        <v>19.161742991882857</v>
      </c>
      <c r="FZ405" s="1979">
        <v>19.21853187579957</v>
      </c>
      <c r="GA405" s="1979">
        <v>19.275320759716269</v>
      </c>
      <c r="GB405" s="1998">
        <v>1.6791974087521633</v>
      </c>
      <c r="GC405" s="1998">
        <v>1.6861238291503702</v>
      </c>
      <c r="GD405" s="1998">
        <v>1.6930502495485773</v>
      </c>
      <c r="GE405" s="1998">
        <v>1.6999766699467838</v>
      </c>
      <c r="GF405" s="1998">
        <v>1.713829510743198</v>
      </c>
      <c r="GG405" s="1979">
        <v>1.7210680603425683</v>
      </c>
      <c r="GH405" s="1979">
        <v>1.7279689748638227</v>
      </c>
      <c r="GI405" s="1979">
        <v>1.7348698893850771</v>
      </c>
      <c r="GJ405" s="1979">
        <v>1.7417708039063318</v>
      </c>
      <c r="GK405" s="2021">
        <v>1.7555726329488404</v>
      </c>
    </row>
    <row r="406" spans="1:193">
      <c r="A406" s="2020"/>
      <c r="B406" s="2">
        <v>22</v>
      </c>
      <c r="C406" s="2" t="str">
        <f>CONCATENATE($U$8," ",EI$16)</f>
        <v xml:space="preserve">Proportion de fenêtres </v>
      </c>
      <c r="D406" s="1998">
        <f>IF(Construction!$F$31=Construction!$R$22,Oeko!BQ406,Oeko!ED406)</f>
        <v>1.0007336944308054</v>
      </c>
      <c r="E406" s="1998">
        <f>IF(Construction!$F$31=Construction!$R$22,Oeko!BR406,Oeko!EE406)</f>
        <v>1.0007953735325152</v>
      </c>
      <c r="F406" s="1998">
        <f>IF(Construction!$F$31=Construction!$R$22,Oeko!BS406,Oeko!EF406)</f>
        <v>1.0008678106170814</v>
      </c>
      <c r="G406" s="1998">
        <f>IF(Construction!$F$31=Construction!$R$22,Oeko!BT406,Oeko!EG406)</f>
        <v>1.000940964900505</v>
      </c>
      <c r="H406" s="1998">
        <f>IF(Construction!$F$31=Construction!$R$22,Oeko!BU406,Oeko!EH406)</f>
        <v>1.0010951626547797</v>
      </c>
      <c r="I406" s="1979">
        <f>IF(Construction!$F$31=Construction!$R$22,Oeko!BV406,Oeko!EI406)</f>
        <v>1.0011740472107042</v>
      </c>
      <c r="J406" s="1979">
        <f>IF(Construction!$F$31=Construction!$R$22,Oeko!BW406,Oeko!EJ406)</f>
        <v>1.0012727452166872</v>
      </c>
      <c r="K406" s="1979">
        <f>IF(Construction!$F$31=Construction!$R$22,Oeko!BX406,Oeko!EK406)</f>
        <v>1.0013886579911557</v>
      </c>
      <c r="L406" s="1979">
        <f>IF(Construction!$F$31=Construction!$R$22,Oeko!BY406,Oeko!EL406)</f>
        <v>1.0015057184168563</v>
      </c>
      <c r="M406" s="1979">
        <f>IF(Construction!$F$31=Construction!$R$22,Oeko!BZ406,Oeko!EM406)</f>
        <v>1.0017524634318138</v>
      </c>
      <c r="N406" s="1998">
        <f>IF(Construction!$F$31=Construction!$R$22,Oeko!CA406,Oeko!EN406)</f>
        <v>1.0009010219006469</v>
      </c>
      <c r="O406" s="1998">
        <f>IF(Construction!$F$31=Construction!$R$22,Oeko!CB406,Oeko!EO406)</f>
        <v>1.0009010219006469</v>
      </c>
      <c r="P406" s="1998">
        <f>IF(Construction!$F$31=Construction!$R$22,Oeko!CC406,Oeko!EP406)</f>
        <v>1.0009010219006469</v>
      </c>
      <c r="Q406" s="1998">
        <f>IF(Construction!$F$31=Construction!$R$22,Oeko!CD406,Oeko!EQ406)</f>
        <v>1.0009010219006469</v>
      </c>
      <c r="R406" s="1998">
        <f>IF(Construction!$F$31=Construction!$R$22,Oeko!CE406,Oeko!ER406)</f>
        <v>1.0009010219006469</v>
      </c>
      <c r="S406" s="1979">
        <f>IF(Construction!$F$31=Construction!$R$22,Oeko!CF406,Oeko!ES406)</f>
        <v>1.0019433805700226</v>
      </c>
      <c r="T406" s="1979">
        <f>IF(Construction!$F$31=Construction!$R$22,Oeko!CG406,Oeko!ET406)</f>
        <v>1.0019433805700226</v>
      </c>
      <c r="U406" s="1979">
        <f>IF(Construction!$F$31=Construction!$R$22,Oeko!CH406,Oeko!EU406)</f>
        <v>1.0019433805700226</v>
      </c>
      <c r="V406" s="1979">
        <f>IF(Construction!$F$31=Construction!$R$22,Oeko!CI406,Oeko!EV406)</f>
        <v>1.0019433805700226</v>
      </c>
      <c r="W406" s="1979">
        <f>IF(Construction!$F$31=Construction!$R$22,Oeko!CJ406,Oeko!EW406)</f>
        <v>1.0019433805700226</v>
      </c>
      <c r="X406" s="1998">
        <f>IF(Construction!$F$31=Construction!$R$22,Oeko!CK406,Oeko!EX406)</f>
        <v>1.0007813904214011</v>
      </c>
      <c r="Y406" s="1998">
        <f>IF(Construction!$F$31=Construction!$R$22,Oeko!CL406,Oeko!EY406)</f>
        <v>1.0007813904214011</v>
      </c>
      <c r="Z406" s="1998">
        <f>IF(Construction!$F$31=Construction!$R$22,Oeko!CM406,Oeko!EZ406)</f>
        <v>1.0007813904214011</v>
      </c>
      <c r="AA406" s="1998">
        <f>IF(Construction!$F$31=Construction!$R$22,Oeko!CN406,Oeko!FA406)</f>
        <v>1.0007813904214011</v>
      </c>
      <c r="AB406" s="1998">
        <f>IF(Construction!$F$31=Construction!$R$22,Oeko!CO406,Oeko!FB406)</f>
        <v>1.0007813904214011</v>
      </c>
      <c r="AC406" s="1979">
        <f>IF(Construction!$F$31=Construction!$R$22,Oeko!CP406,Oeko!FC406)</f>
        <v>1.0008347702903053</v>
      </c>
      <c r="AD406" s="1979">
        <f>IF(Construction!$F$31=Construction!$R$22,Oeko!CQ406,Oeko!FD406)</f>
        <v>1.0008347702903053</v>
      </c>
      <c r="AE406" s="1979">
        <f>IF(Construction!$F$31=Construction!$R$22,Oeko!CR406,Oeko!FE406)</f>
        <v>1.0008347702903053</v>
      </c>
      <c r="AF406" s="1979">
        <f>IF(Construction!$F$31=Construction!$R$22,Oeko!CS406,Oeko!FF406)</f>
        <v>1.0008347702903053</v>
      </c>
      <c r="AG406" s="1979">
        <f>IF(Construction!$F$31=Construction!$R$22,Oeko!CT406,Oeko!FG406)</f>
        <v>1.0008347702903053</v>
      </c>
      <c r="AH406" s="1998">
        <f>IF(Construction!$F$31=Construction!$R$22,Oeko!CU406,Oeko!FH406)</f>
        <v>1.0019387252594236</v>
      </c>
      <c r="AI406" s="1998">
        <f>IF(Construction!$F$31=Construction!$R$22,Oeko!CV406,Oeko!FI406)</f>
        <v>1.0019387252594236</v>
      </c>
      <c r="AJ406" s="1998">
        <f>IF(Construction!$F$31=Construction!$R$22,Oeko!CW406,Oeko!FJ406)</f>
        <v>1.0019387252594236</v>
      </c>
      <c r="AK406" s="1998">
        <f>IF(Construction!$F$31=Construction!$R$22,Oeko!CX406,Oeko!FK406)</f>
        <v>1.0019387252594236</v>
      </c>
      <c r="AL406" s="1998">
        <f>IF(Construction!$F$31=Construction!$R$22,Oeko!CY406,Oeko!FL406)</f>
        <v>1.0019387252594236</v>
      </c>
      <c r="AM406" s="1979">
        <f>IF(Construction!$F$31=Construction!$R$22,Oeko!CZ406,Oeko!FM406)</f>
        <v>1.0003214280363526</v>
      </c>
      <c r="AN406" s="1979">
        <f>IF(Construction!$F$31=Construction!$R$22,Oeko!DA406,Oeko!FN406)</f>
        <v>1.000348449357102</v>
      </c>
      <c r="AO406" s="1979">
        <f>IF(Construction!$F$31=Construction!$R$22,Oeko!DB406,Oeko!FO406)</f>
        <v>1.0003801836989119</v>
      </c>
      <c r="AP406" s="1979">
        <f>IF(Construction!$F$31=Construction!$R$22,Oeko!DC406,Oeko!FP406)</f>
        <v>1.0004122322421261</v>
      </c>
      <c r="AQ406" s="1979">
        <f>IF(Construction!$F$31=Construction!$R$22,Oeko!DD406,Oeko!FQ406)</f>
        <v>1.0004797855439986</v>
      </c>
      <c r="AR406" s="1998">
        <f>IF(Construction!$F$31=Construction!$R$22,Oeko!DE406,Oeko!FR406)</f>
        <v>8.055810873731998</v>
      </c>
      <c r="AS406" s="1998">
        <f>IF(Construction!$F$31=Construction!$R$22,Oeko!DF406,Oeko!FS406)</f>
        <v>8.055810873731998</v>
      </c>
      <c r="AT406" s="1998">
        <f>IF(Construction!$F$31=Construction!$R$22,Oeko!DG406,Oeko!FT406)</f>
        <v>8.055810873731998</v>
      </c>
      <c r="AU406" s="1998">
        <f>IF(Construction!$F$31=Construction!$R$22,Oeko!DH406,Oeko!FU406)</f>
        <v>8.055810873731998</v>
      </c>
      <c r="AV406" s="1998">
        <f>IF(Construction!$F$31=Construction!$R$22,Oeko!DI406,Oeko!FV406)</f>
        <v>8.055810873731998</v>
      </c>
      <c r="AW406" s="1979">
        <f>IF(Construction!$F$31=Construction!$R$22,Oeko!DJ406,Oeko!FW406)</f>
        <v>8.0401266532249238</v>
      </c>
      <c r="AX406" s="1979">
        <f>IF(Construction!$F$31=Construction!$R$22,Oeko!DK406,Oeko!FX406)</f>
        <v>8.0401266532249238</v>
      </c>
      <c r="AY406" s="1979">
        <f>IF(Construction!$F$31=Construction!$R$22,Oeko!DL406,Oeko!FY406)</f>
        <v>8.0401266532249238</v>
      </c>
      <c r="AZ406" s="1979">
        <f>IF(Construction!$F$31=Construction!$R$22,Oeko!DM406,Oeko!FZ406)</f>
        <v>8.0401266532249238</v>
      </c>
      <c r="BA406" s="1979">
        <f>IF(Construction!$F$31=Construction!$R$22,Oeko!DN406,Oeko!GA406)</f>
        <v>8.0401266532249238</v>
      </c>
      <c r="BB406" s="1998">
        <f>IF(Construction!$F$31=Construction!$R$22,Oeko!DO406,Oeko!GB406)</f>
        <v>0.98055858832246945</v>
      </c>
      <c r="BC406" s="1998">
        <f>IF(Construction!$F$31=Construction!$R$22,Oeko!DP406,Oeko!GC406)</f>
        <v>0.98055858832246945</v>
      </c>
      <c r="BD406" s="1998">
        <f>IF(Construction!$F$31=Construction!$R$22,Oeko!DQ406,Oeko!GD406)</f>
        <v>0.98055858832246945</v>
      </c>
      <c r="BE406" s="1998">
        <f>IF(Construction!$F$31=Construction!$R$22,Oeko!DR406,Oeko!GE406)</f>
        <v>0.98055858832246945</v>
      </c>
      <c r="BF406" s="1998">
        <f>IF(Construction!$F$31=Construction!$R$22,Oeko!DS406,Oeko!GF406)</f>
        <v>0.98055858832246945</v>
      </c>
      <c r="BG406" s="1979">
        <f>IF(Construction!$F$31=Construction!$R$22,Oeko!DT406,Oeko!GG406)</f>
        <v>0.97768425639293721</v>
      </c>
      <c r="BH406" s="1979">
        <f>IF(Construction!$F$31=Construction!$R$22,Oeko!DU406,Oeko!GH406)</f>
        <v>0.97768425639293721</v>
      </c>
      <c r="BI406" s="1979">
        <f>IF(Construction!$F$31=Construction!$R$22,Oeko!DV406,Oeko!GI406)</f>
        <v>0.97768425639293721</v>
      </c>
      <c r="BJ406" s="1979">
        <f>IF(Construction!$F$31=Construction!$R$22,Oeko!DW406,Oeko!GJ406)</f>
        <v>0.97768425639293721</v>
      </c>
      <c r="BK406" s="2021">
        <f>IF(Construction!$F$31=Construction!$R$22,Oeko!DX406,Oeko!GK406)</f>
        <v>0.97768425639293721</v>
      </c>
      <c r="BN406" s="2022"/>
      <c r="BO406" s="2">
        <v>22</v>
      </c>
      <c r="BP406" s="2" t="str">
        <f>CONCATENATE($U$8," ",GV$16)</f>
        <v xml:space="preserve">Proportion de fenêtres </v>
      </c>
      <c r="BQ406" s="1998">
        <v>1.0007336944308054</v>
      </c>
      <c r="BR406" s="1998">
        <v>1.0007953735325152</v>
      </c>
      <c r="BS406" s="1998">
        <v>1.0008678106170814</v>
      </c>
      <c r="BT406" s="1998">
        <v>1.000940964900505</v>
      </c>
      <c r="BU406" s="1998">
        <v>1.0010951626547797</v>
      </c>
      <c r="BV406" s="1979">
        <v>1.0011740472107042</v>
      </c>
      <c r="BW406" s="1979">
        <v>1.0012727452166872</v>
      </c>
      <c r="BX406" s="1979">
        <v>1.0013886579911557</v>
      </c>
      <c r="BY406" s="1979">
        <v>1.0015057184168563</v>
      </c>
      <c r="BZ406" s="1979">
        <v>1.0017524634318138</v>
      </c>
      <c r="CA406" s="1998">
        <v>1.0009010219006469</v>
      </c>
      <c r="CB406" s="1998">
        <v>1.0009010219006469</v>
      </c>
      <c r="CC406" s="1998">
        <v>1.0009010219006469</v>
      </c>
      <c r="CD406" s="1998">
        <v>1.0009010219006469</v>
      </c>
      <c r="CE406" s="1998">
        <v>1.0009010219006469</v>
      </c>
      <c r="CF406" s="1979">
        <v>1.0019433805700226</v>
      </c>
      <c r="CG406" s="1979">
        <v>1.0019433805700226</v>
      </c>
      <c r="CH406" s="1979">
        <v>1.0019433805700226</v>
      </c>
      <c r="CI406" s="1979">
        <v>1.0019433805700226</v>
      </c>
      <c r="CJ406" s="1979">
        <v>1.0019433805700226</v>
      </c>
      <c r="CK406" s="1998">
        <v>1.0007813904214011</v>
      </c>
      <c r="CL406" s="1998">
        <v>1.0007813904214011</v>
      </c>
      <c r="CM406" s="1998">
        <v>1.0007813904214011</v>
      </c>
      <c r="CN406" s="1998">
        <v>1.0007813904214011</v>
      </c>
      <c r="CO406" s="1998">
        <v>1.0007813904214011</v>
      </c>
      <c r="CP406" s="1979">
        <v>1.0008347702903053</v>
      </c>
      <c r="CQ406" s="1979">
        <v>1.0008347702903053</v>
      </c>
      <c r="CR406" s="1979">
        <v>1.0008347702903053</v>
      </c>
      <c r="CS406" s="1979">
        <v>1.0008347702903053</v>
      </c>
      <c r="CT406" s="1979">
        <v>1.0008347702903053</v>
      </c>
      <c r="CU406" s="1998">
        <v>1.0019387252594236</v>
      </c>
      <c r="CV406" s="1998">
        <v>1.0019387252594236</v>
      </c>
      <c r="CW406" s="1998">
        <v>1.0019387252594236</v>
      </c>
      <c r="CX406" s="1998">
        <v>1.0019387252594236</v>
      </c>
      <c r="CY406" s="1998">
        <v>1.0019387252594236</v>
      </c>
      <c r="CZ406" s="1979">
        <v>1.0003214280363526</v>
      </c>
      <c r="DA406" s="1979">
        <v>1.000348449357102</v>
      </c>
      <c r="DB406" s="1979">
        <v>1.0003801836989119</v>
      </c>
      <c r="DC406" s="1979">
        <v>1.0004122322421261</v>
      </c>
      <c r="DD406" s="1979">
        <v>1.0004797855439986</v>
      </c>
      <c r="DE406" s="1998">
        <v>8.055810873731998</v>
      </c>
      <c r="DF406" s="1998">
        <v>8.055810873731998</v>
      </c>
      <c r="DG406" s="1998">
        <v>8.055810873731998</v>
      </c>
      <c r="DH406" s="1998">
        <v>8.055810873731998</v>
      </c>
      <c r="DI406" s="1998">
        <v>8.055810873731998</v>
      </c>
      <c r="DJ406" s="1979">
        <v>8.0401266532249238</v>
      </c>
      <c r="DK406" s="1979">
        <v>8.0401266532249238</v>
      </c>
      <c r="DL406" s="1979">
        <v>8.0401266532249238</v>
      </c>
      <c r="DM406" s="1979">
        <v>8.0401266532249238</v>
      </c>
      <c r="DN406" s="1979">
        <v>8.0401266532249238</v>
      </c>
      <c r="DO406" s="1998">
        <v>0.98055858832246945</v>
      </c>
      <c r="DP406" s="1998">
        <v>0.98055858832246945</v>
      </c>
      <c r="DQ406" s="1998">
        <v>0.98055858832246945</v>
      </c>
      <c r="DR406" s="1998">
        <v>0.98055858832246945</v>
      </c>
      <c r="DS406" s="1998">
        <v>0.98055858832246945</v>
      </c>
      <c r="DT406" s="1979">
        <v>0.97768425639293721</v>
      </c>
      <c r="DU406" s="1979">
        <v>0.97768425639293721</v>
      </c>
      <c r="DV406" s="1979">
        <v>0.97768425639293721</v>
      </c>
      <c r="DW406" s="1979">
        <v>0.97768425639293721</v>
      </c>
      <c r="DX406" s="2021">
        <v>0.97768425639293721</v>
      </c>
      <c r="EA406" s="2022"/>
      <c r="EB406" s="2">
        <v>22</v>
      </c>
      <c r="EC406" s="2" t="str">
        <f>CONCATENATE($U$8," ",JI$16)</f>
        <v xml:space="preserve">Proportion de fenêtres </v>
      </c>
      <c r="ED406" s="1998">
        <v>1.3256642226307431</v>
      </c>
      <c r="EE406" s="1998">
        <v>1.3457562412412447</v>
      </c>
      <c r="EF406" s="1998">
        <v>1.3799980810172781</v>
      </c>
      <c r="EG406" s="1998">
        <v>1.4213101695835069</v>
      </c>
      <c r="EH406" s="1998">
        <v>1.4544555147640263</v>
      </c>
      <c r="EI406" s="1979">
        <v>2.0214910800379671</v>
      </c>
      <c r="EJ406" s="1979">
        <v>2.0710764991833166</v>
      </c>
      <c r="EK406" s="1979">
        <v>2.1348181962798281</v>
      </c>
      <c r="EL406" s="1979">
        <v>2.2056305726189089</v>
      </c>
      <c r="EM406" s="1979">
        <v>2.227085912407881</v>
      </c>
      <c r="EN406" s="1998">
        <v>1.3997048410604223</v>
      </c>
      <c r="EO406" s="1998">
        <v>1.4330326328481591</v>
      </c>
      <c r="EP406" s="1998">
        <v>1.435052499017113</v>
      </c>
      <c r="EQ406" s="1998">
        <v>1.4370723651860666</v>
      </c>
      <c r="ER406" s="1998">
        <v>1.4390922313550201</v>
      </c>
      <c r="ES406" s="1979">
        <v>1.7730525388952243</v>
      </c>
      <c r="ET406" s="1979">
        <v>1.8013306652605765</v>
      </c>
      <c r="EU406" s="1979">
        <v>1.8084001968519146</v>
      </c>
      <c r="EV406" s="1979">
        <v>1.8154697284432528</v>
      </c>
      <c r="EW406" s="1979">
        <v>1.8225392600345909</v>
      </c>
      <c r="EX406" s="1998">
        <v>1.4307200038140491</v>
      </c>
      <c r="EY406" s="1998">
        <v>1.4632398491342042</v>
      </c>
      <c r="EZ406" s="1998">
        <v>1.4660676617707398</v>
      </c>
      <c r="FA406" s="1998">
        <v>1.4688954744072749</v>
      </c>
      <c r="FB406" s="1998">
        <v>1.4717232870438102</v>
      </c>
      <c r="FC406" s="1979">
        <v>1.5904337050079014</v>
      </c>
      <c r="FD406" s="1979">
        <v>1.5762946418252253</v>
      </c>
      <c r="FE406" s="1979">
        <v>1.5904337050079014</v>
      </c>
      <c r="FF406" s="1979">
        <v>1.6045727681905777</v>
      </c>
      <c r="FG406" s="1979">
        <v>1.6187118313732538</v>
      </c>
      <c r="FH406" s="1998">
        <v>2.3941314822107875</v>
      </c>
      <c r="FI406" s="1998">
        <v>2.4012010138021256</v>
      </c>
      <c r="FJ406" s="1998">
        <v>2.4082705453934632</v>
      </c>
      <c r="FK406" s="1998">
        <v>2.4153400769848017</v>
      </c>
      <c r="FL406" s="1998">
        <v>2.4224096085761397</v>
      </c>
      <c r="FM406" s="1979">
        <v>1.5118256037749676</v>
      </c>
      <c r="FN406" s="1979">
        <v>1.5377742409306225</v>
      </c>
      <c r="FO406" s="1979">
        <v>1.5778666542900155</v>
      </c>
      <c r="FP406" s="1979">
        <v>1.6250289134421498</v>
      </c>
      <c r="FQ406" s="1979">
        <v>1.6557311036398212</v>
      </c>
      <c r="FR406" s="1998">
        <v>18.703535571104542</v>
      </c>
      <c r="FS406" s="1998">
        <v>18.760437239493974</v>
      </c>
      <c r="FT406" s="1998">
        <v>18.817338907883403</v>
      </c>
      <c r="FU406" s="1998">
        <v>18.874240576272836</v>
      </c>
      <c r="FV406" s="1998">
        <v>18.931142244662269</v>
      </c>
      <c r="FW406" s="1979">
        <v>19.040944737661231</v>
      </c>
      <c r="FX406" s="1979">
        <v>19.097733621577937</v>
      </c>
      <c r="FY406" s="1979">
        <v>19.154522505494644</v>
      </c>
      <c r="FZ406" s="1979">
        <v>19.211311389411353</v>
      </c>
      <c r="GA406" s="1979">
        <v>19.268100273328056</v>
      </c>
      <c r="GB406" s="1998">
        <v>1.6783954434418158</v>
      </c>
      <c r="GC406" s="1998">
        <v>1.6853218638400225</v>
      </c>
      <c r="GD406" s="1998">
        <v>1.6922482842382296</v>
      </c>
      <c r="GE406" s="1998">
        <v>1.6991747046364365</v>
      </c>
      <c r="GF406" s="1998">
        <v>1.7130275454328503</v>
      </c>
      <c r="GG406" s="1979">
        <v>1.7195325674277917</v>
      </c>
      <c r="GH406" s="1979">
        <v>1.7264334819490463</v>
      </c>
      <c r="GI406" s="1979">
        <v>1.7333343964703007</v>
      </c>
      <c r="GJ406" s="1979">
        <v>1.7402353109915552</v>
      </c>
      <c r="GK406" s="2021">
        <v>1.7540371400340642</v>
      </c>
    </row>
    <row r="407" spans="1:193">
      <c r="A407" s="2020"/>
      <c r="B407" s="2">
        <v>23</v>
      </c>
      <c r="C407" s="2" t="str">
        <f>CONCATENATE($U$8," ",EI$17)</f>
        <v xml:space="preserve">Proportion de fenêtres </v>
      </c>
      <c r="D407" s="1998">
        <f>IF(Construction!$F$31=Construction!$R$22,Oeko!BQ407,Oeko!ED407)</f>
        <v>1</v>
      </c>
      <c r="E407" s="1998">
        <f>IF(Construction!$F$31=Construction!$R$22,Oeko!BR407,Oeko!EE407)</f>
        <v>1</v>
      </c>
      <c r="F407" s="1998">
        <f>IF(Construction!$F$31=Construction!$R$22,Oeko!BS407,Oeko!EF407)</f>
        <v>1</v>
      </c>
      <c r="G407" s="1998">
        <f>IF(Construction!$F$31=Construction!$R$22,Oeko!BT407,Oeko!EG407)</f>
        <v>1</v>
      </c>
      <c r="H407" s="1998">
        <f>IF(Construction!$F$31=Construction!$R$22,Oeko!BU407,Oeko!EH407)</f>
        <v>1</v>
      </c>
      <c r="I407" s="1979">
        <f>IF(Construction!$F$31=Construction!$R$22,Oeko!BV407,Oeko!EI407)</f>
        <v>1</v>
      </c>
      <c r="J407" s="1979">
        <f>IF(Construction!$F$31=Construction!$R$22,Oeko!BW407,Oeko!EJ407)</f>
        <v>1</v>
      </c>
      <c r="K407" s="1979">
        <f>IF(Construction!$F$31=Construction!$R$22,Oeko!BX407,Oeko!EK407)</f>
        <v>1</v>
      </c>
      <c r="L407" s="1979">
        <f>IF(Construction!$F$31=Construction!$R$22,Oeko!BY407,Oeko!EL407)</f>
        <v>1</v>
      </c>
      <c r="M407" s="1979">
        <f>IF(Construction!$F$31=Construction!$R$22,Oeko!BZ407,Oeko!EM407)</f>
        <v>1</v>
      </c>
      <c r="N407" s="1998">
        <f>IF(Construction!$F$31=Construction!$R$22,Oeko!CA407,Oeko!EN407)</f>
        <v>1</v>
      </c>
      <c r="O407" s="1998">
        <f>IF(Construction!$F$31=Construction!$R$22,Oeko!CB407,Oeko!EO407)</f>
        <v>1</v>
      </c>
      <c r="P407" s="1998">
        <f>IF(Construction!$F$31=Construction!$R$22,Oeko!CC407,Oeko!EP407)</f>
        <v>1</v>
      </c>
      <c r="Q407" s="1998">
        <f>IF(Construction!$F$31=Construction!$R$22,Oeko!CD407,Oeko!EQ407)</f>
        <v>1</v>
      </c>
      <c r="R407" s="1998">
        <f>IF(Construction!$F$31=Construction!$R$22,Oeko!CE407,Oeko!ER407)</f>
        <v>1</v>
      </c>
      <c r="S407" s="1979">
        <f>IF(Construction!$F$31=Construction!$R$22,Oeko!CF407,Oeko!ES407)</f>
        <v>1</v>
      </c>
      <c r="T407" s="1979">
        <f>IF(Construction!$F$31=Construction!$R$22,Oeko!CG407,Oeko!ET407)</f>
        <v>1</v>
      </c>
      <c r="U407" s="1979">
        <f>IF(Construction!$F$31=Construction!$R$22,Oeko!CH407,Oeko!EU407)</f>
        <v>1</v>
      </c>
      <c r="V407" s="1979">
        <f>IF(Construction!$F$31=Construction!$R$22,Oeko!CI407,Oeko!EV407)</f>
        <v>1</v>
      </c>
      <c r="W407" s="1979">
        <f>IF(Construction!$F$31=Construction!$R$22,Oeko!CJ407,Oeko!EW407)</f>
        <v>1</v>
      </c>
      <c r="X407" s="1998">
        <f>IF(Construction!$F$31=Construction!$R$22,Oeko!CK407,Oeko!EX407)</f>
        <v>1</v>
      </c>
      <c r="Y407" s="1998">
        <f>IF(Construction!$F$31=Construction!$R$22,Oeko!CL407,Oeko!EY407)</f>
        <v>1</v>
      </c>
      <c r="Z407" s="1998">
        <f>IF(Construction!$F$31=Construction!$R$22,Oeko!CM407,Oeko!EZ407)</f>
        <v>1</v>
      </c>
      <c r="AA407" s="1998">
        <f>IF(Construction!$F$31=Construction!$R$22,Oeko!CN407,Oeko!FA407)</f>
        <v>1</v>
      </c>
      <c r="AB407" s="1998">
        <f>IF(Construction!$F$31=Construction!$R$22,Oeko!CO407,Oeko!FB407)</f>
        <v>1</v>
      </c>
      <c r="AC407" s="1979">
        <f>IF(Construction!$F$31=Construction!$R$22,Oeko!CP407,Oeko!FC407)</f>
        <v>1</v>
      </c>
      <c r="AD407" s="1979">
        <f>IF(Construction!$F$31=Construction!$R$22,Oeko!CQ407,Oeko!FD407)</f>
        <v>1</v>
      </c>
      <c r="AE407" s="1979">
        <f>IF(Construction!$F$31=Construction!$R$22,Oeko!CR407,Oeko!FE407)</f>
        <v>1</v>
      </c>
      <c r="AF407" s="1979">
        <f>IF(Construction!$F$31=Construction!$R$22,Oeko!CS407,Oeko!FF407)</f>
        <v>1</v>
      </c>
      <c r="AG407" s="1979">
        <f>IF(Construction!$F$31=Construction!$R$22,Oeko!CT407,Oeko!FG407)</f>
        <v>1</v>
      </c>
      <c r="AH407" s="1998">
        <f>IF(Construction!$F$31=Construction!$R$22,Oeko!CU407,Oeko!FH407)</f>
        <v>1</v>
      </c>
      <c r="AI407" s="1998">
        <f>IF(Construction!$F$31=Construction!$R$22,Oeko!CV407,Oeko!FI407)</f>
        <v>1</v>
      </c>
      <c r="AJ407" s="1998">
        <f>IF(Construction!$F$31=Construction!$R$22,Oeko!CW407,Oeko!FJ407)</f>
        <v>1</v>
      </c>
      <c r="AK407" s="1998">
        <f>IF(Construction!$F$31=Construction!$R$22,Oeko!CX407,Oeko!FK407)</f>
        <v>1</v>
      </c>
      <c r="AL407" s="1998">
        <f>IF(Construction!$F$31=Construction!$R$22,Oeko!CY407,Oeko!FL407)</f>
        <v>1</v>
      </c>
      <c r="AM407" s="1979">
        <f>IF(Construction!$F$31=Construction!$R$22,Oeko!CZ407,Oeko!FM407)</f>
        <v>1</v>
      </c>
      <c r="AN407" s="1979">
        <f>IF(Construction!$F$31=Construction!$R$22,Oeko!DA407,Oeko!FN407)</f>
        <v>1</v>
      </c>
      <c r="AO407" s="1979">
        <f>IF(Construction!$F$31=Construction!$R$22,Oeko!DB407,Oeko!FO407)</f>
        <v>1</v>
      </c>
      <c r="AP407" s="1979">
        <f>IF(Construction!$F$31=Construction!$R$22,Oeko!DC407,Oeko!FP407)</f>
        <v>1</v>
      </c>
      <c r="AQ407" s="1979">
        <f>IF(Construction!$F$31=Construction!$R$22,Oeko!DD407,Oeko!FQ407)</f>
        <v>1</v>
      </c>
      <c r="AR407" s="1998">
        <f>IF(Construction!$F$31=Construction!$R$22,Oeko!DE407,Oeko!FR407)</f>
        <v>8.0488597659215451</v>
      </c>
      <c r="AS407" s="1998">
        <f>IF(Construction!$F$31=Construction!$R$22,Oeko!DF407,Oeko!FS407)</f>
        <v>8.0488597659215451</v>
      </c>
      <c r="AT407" s="1998">
        <f>IF(Construction!$F$31=Construction!$R$22,Oeko!DG407,Oeko!FT407)</f>
        <v>8.0488597659215451</v>
      </c>
      <c r="AU407" s="1998">
        <f>IF(Construction!$F$31=Construction!$R$22,Oeko!DH407,Oeko!FU407)</f>
        <v>8.0488597659215451</v>
      </c>
      <c r="AV407" s="1998">
        <f>IF(Construction!$F$31=Construction!$R$22,Oeko!DI407,Oeko!FV407)</f>
        <v>8.0488597659215451</v>
      </c>
      <c r="AW407" s="1979">
        <f>IF(Construction!$F$31=Construction!$R$22,Oeko!DJ407,Oeko!FW407)</f>
        <v>8.0329061668367086</v>
      </c>
      <c r="AX407" s="1979">
        <f>IF(Construction!$F$31=Construction!$R$22,Oeko!DK407,Oeko!FX407)</f>
        <v>8.0329061668367086</v>
      </c>
      <c r="AY407" s="1979">
        <f>IF(Construction!$F$31=Construction!$R$22,Oeko!DL407,Oeko!FY407)</f>
        <v>8.0329061668367086</v>
      </c>
      <c r="AZ407" s="1979">
        <f>IF(Construction!$F$31=Construction!$R$22,Oeko!DM407,Oeko!FZ407)</f>
        <v>8.0329061668367086</v>
      </c>
      <c r="BA407" s="1979">
        <f>IF(Construction!$F$31=Construction!$R$22,Oeko!DN407,Oeko!GA407)</f>
        <v>8.0329061668367086</v>
      </c>
      <c r="BB407" s="1998">
        <f>IF(Construction!$F$31=Construction!$R$22,Oeko!DO407,Oeko!GB407)</f>
        <v>0.97975662301212196</v>
      </c>
      <c r="BC407" s="1998">
        <f>IF(Construction!$F$31=Construction!$R$22,Oeko!DP407,Oeko!GC407)</f>
        <v>0.97975662301212196</v>
      </c>
      <c r="BD407" s="1998">
        <f>IF(Construction!$F$31=Construction!$R$22,Oeko!DQ407,Oeko!GD407)</f>
        <v>0.97975662301212196</v>
      </c>
      <c r="BE407" s="1998">
        <f>IF(Construction!$F$31=Construction!$R$22,Oeko!DR407,Oeko!GE407)</f>
        <v>0.97975662301212196</v>
      </c>
      <c r="BF407" s="1998">
        <f>IF(Construction!$F$31=Construction!$R$22,Oeko!DS407,Oeko!GF407)</f>
        <v>0.97975662301212196</v>
      </c>
      <c r="BG407" s="1979">
        <f>IF(Construction!$F$31=Construction!$R$22,Oeko!DT407,Oeko!GG407)</f>
        <v>0.97614876347816082</v>
      </c>
      <c r="BH407" s="1979">
        <f>IF(Construction!$F$31=Construction!$R$22,Oeko!DU407,Oeko!GH407)</f>
        <v>0.97614876347816082</v>
      </c>
      <c r="BI407" s="1979">
        <f>IF(Construction!$F$31=Construction!$R$22,Oeko!DV407,Oeko!GI407)</f>
        <v>0.97614876347816082</v>
      </c>
      <c r="BJ407" s="1979">
        <f>IF(Construction!$F$31=Construction!$R$22,Oeko!DW407,Oeko!GJ407)</f>
        <v>0.97614876347816082</v>
      </c>
      <c r="BK407" s="2021">
        <f>IF(Construction!$F$31=Construction!$R$22,Oeko!DX407,Oeko!GK407)</f>
        <v>0.97614876347816082</v>
      </c>
      <c r="BN407" s="2022"/>
      <c r="BO407" s="2">
        <v>23</v>
      </c>
      <c r="BP407" s="2" t="str">
        <f>CONCATENATE($U$8," ",GV$17)</f>
        <v xml:space="preserve">Proportion de fenêtres </v>
      </c>
      <c r="BQ407" s="1998">
        <v>1</v>
      </c>
      <c r="BR407" s="1998">
        <v>1</v>
      </c>
      <c r="BS407" s="1998">
        <v>1</v>
      </c>
      <c r="BT407" s="1998">
        <v>1</v>
      </c>
      <c r="BU407" s="1998">
        <v>1</v>
      </c>
      <c r="BV407" s="1979">
        <v>1</v>
      </c>
      <c r="BW407" s="1979">
        <v>1</v>
      </c>
      <c r="BX407" s="1979">
        <v>1</v>
      </c>
      <c r="BY407" s="1979">
        <v>1</v>
      </c>
      <c r="BZ407" s="1979">
        <v>1</v>
      </c>
      <c r="CA407" s="1998">
        <v>1</v>
      </c>
      <c r="CB407" s="1998">
        <v>1</v>
      </c>
      <c r="CC407" s="1998">
        <v>1</v>
      </c>
      <c r="CD407" s="1998">
        <v>1</v>
      </c>
      <c r="CE407" s="1998">
        <v>1</v>
      </c>
      <c r="CF407" s="1979">
        <v>1</v>
      </c>
      <c r="CG407" s="1979">
        <v>1</v>
      </c>
      <c r="CH407" s="1979">
        <v>1</v>
      </c>
      <c r="CI407" s="1979">
        <v>1</v>
      </c>
      <c r="CJ407" s="1979">
        <v>1</v>
      </c>
      <c r="CK407" s="1998">
        <v>1</v>
      </c>
      <c r="CL407" s="1998">
        <v>1</v>
      </c>
      <c r="CM407" s="1998">
        <v>1</v>
      </c>
      <c r="CN407" s="1998">
        <v>1</v>
      </c>
      <c r="CO407" s="1998">
        <v>1</v>
      </c>
      <c r="CP407" s="1979">
        <v>1</v>
      </c>
      <c r="CQ407" s="1979">
        <v>1</v>
      </c>
      <c r="CR407" s="1979">
        <v>1</v>
      </c>
      <c r="CS407" s="1979">
        <v>1</v>
      </c>
      <c r="CT407" s="1979">
        <v>1</v>
      </c>
      <c r="CU407" s="1998">
        <v>1</v>
      </c>
      <c r="CV407" s="1998">
        <v>1</v>
      </c>
      <c r="CW407" s="1998">
        <v>1</v>
      </c>
      <c r="CX407" s="1998">
        <v>1</v>
      </c>
      <c r="CY407" s="1998">
        <v>1</v>
      </c>
      <c r="CZ407" s="1979">
        <v>1</v>
      </c>
      <c r="DA407" s="1979">
        <v>1</v>
      </c>
      <c r="DB407" s="1979">
        <v>1</v>
      </c>
      <c r="DC407" s="1979">
        <v>1</v>
      </c>
      <c r="DD407" s="1979">
        <v>1</v>
      </c>
      <c r="DE407" s="1998">
        <v>8.0488597659215451</v>
      </c>
      <c r="DF407" s="1998">
        <v>8.0488597659215451</v>
      </c>
      <c r="DG407" s="1998">
        <v>8.0488597659215451</v>
      </c>
      <c r="DH407" s="1998">
        <v>8.0488597659215451</v>
      </c>
      <c r="DI407" s="1998">
        <v>8.0488597659215451</v>
      </c>
      <c r="DJ407" s="1979">
        <v>8.0329061668367086</v>
      </c>
      <c r="DK407" s="1979">
        <v>8.0329061668367086</v>
      </c>
      <c r="DL407" s="1979">
        <v>8.0329061668367086</v>
      </c>
      <c r="DM407" s="1979">
        <v>8.0329061668367086</v>
      </c>
      <c r="DN407" s="1979">
        <v>8.0329061668367086</v>
      </c>
      <c r="DO407" s="1998">
        <v>0.97975662301212196</v>
      </c>
      <c r="DP407" s="1998">
        <v>0.97975662301212196</v>
      </c>
      <c r="DQ407" s="1998">
        <v>0.97975662301212196</v>
      </c>
      <c r="DR407" s="1998">
        <v>0.97975662301212196</v>
      </c>
      <c r="DS407" s="1998">
        <v>0.97975662301212196</v>
      </c>
      <c r="DT407" s="1979">
        <v>0.97614876347816082</v>
      </c>
      <c r="DU407" s="1979">
        <v>0.97614876347816082</v>
      </c>
      <c r="DV407" s="1979">
        <v>0.97614876347816082</v>
      </c>
      <c r="DW407" s="1979">
        <v>0.97614876347816082</v>
      </c>
      <c r="DX407" s="2021">
        <v>0.97614876347816082</v>
      </c>
      <c r="EA407" s="2022"/>
      <c r="EB407" s="2">
        <v>23</v>
      </c>
      <c r="EC407" s="2" t="str">
        <f>CONCATENATE($U$8," ",JI$17)</f>
        <v xml:space="preserve">Proportion de fenêtres </v>
      </c>
      <c r="ED407" s="1998">
        <v>1.324930528199938</v>
      </c>
      <c r="EE407" s="1998">
        <v>1.3449608677087292</v>
      </c>
      <c r="EF407" s="1998">
        <v>1.3791302704001964</v>
      </c>
      <c r="EG407" s="1998">
        <v>1.4203692046830021</v>
      </c>
      <c r="EH407" s="1998">
        <v>1.4533603521092466</v>
      </c>
      <c r="EI407" s="1979">
        <v>2.020317032827263</v>
      </c>
      <c r="EJ407" s="1979">
        <v>2.069803753966629</v>
      </c>
      <c r="EK407" s="1979">
        <v>2.1334295382886719</v>
      </c>
      <c r="EL407" s="1979">
        <v>2.2041248542020528</v>
      </c>
      <c r="EM407" s="1979">
        <v>2.2253334489760674</v>
      </c>
      <c r="EN407" s="1998">
        <v>1.3988038191597751</v>
      </c>
      <c r="EO407" s="1998">
        <v>1.432131610947512</v>
      </c>
      <c r="EP407" s="1998">
        <v>1.4341514771164658</v>
      </c>
      <c r="EQ407" s="1998">
        <v>1.4361713432854195</v>
      </c>
      <c r="ER407" s="1998">
        <v>1.4381912094543732</v>
      </c>
      <c r="ES407" s="1979">
        <v>1.7711091583252017</v>
      </c>
      <c r="ET407" s="1979">
        <v>1.7993872846905539</v>
      </c>
      <c r="EU407" s="1979">
        <v>1.8064568162818917</v>
      </c>
      <c r="EV407" s="1979">
        <v>1.8135263478732302</v>
      </c>
      <c r="EW407" s="1979">
        <v>1.820595879464568</v>
      </c>
      <c r="EX407" s="1998">
        <v>1.4299386133926479</v>
      </c>
      <c r="EY407" s="1998">
        <v>1.4624584587128031</v>
      </c>
      <c r="EZ407" s="1998">
        <v>1.4652862713493382</v>
      </c>
      <c r="FA407" s="1998">
        <v>1.4681140839858735</v>
      </c>
      <c r="FB407" s="1998">
        <v>1.470941896622409</v>
      </c>
      <c r="FC407" s="1979">
        <v>1.5895989347175963</v>
      </c>
      <c r="FD407" s="1979">
        <v>1.5754598715349202</v>
      </c>
      <c r="FE407" s="1979">
        <v>1.5895989347175963</v>
      </c>
      <c r="FF407" s="1979">
        <v>1.6037379979002726</v>
      </c>
      <c r="FG407" s="1979">
        <v>1.6178770610829487</v>
      </c>
      <c r="FH407" s="1998">
        <v>2.3921927569513635</v>
      </c>
      <c r="FI407" s="1998">
        <v>2.3992622885427015</v>
      </c>
      <c r="FJ407" s="1998">
        <v>2.4063318201340396</v>
      </c>
      <c r="FK407" s="1998">
        <v>2.4134013517253781</v>
      </c>
      <c r="FL407" s="1998">
        <v>2.4204708833167157</v>
      </c>
      <c r="FM407" s="1979">
        <v>1.5115041757386145</v>
      </c>
      <c r="FN407" s="1979">
        <v>1.5374257915735208</v>
      </c>
      <c r="FO407" s="1979">
        <v>1.5774864705911036</v>
      </c>
      <c r="FP407" s="1979">
        <v>1.6246166812000238</v>
      </c>
      <c r="FQ407" s="1979">
        <v>1.6552513180958224</v>
      </c>
      <c r="FR407" s="1998">
        <v>18.696584463294087</v>
      </c>
      <c r="FS407" s="1998">
        <v>18.75348613168352</v>
      </c>
      <c r="FT407" s="1998">
        <v>18.810387800072949</v>
      </c>
      <c r="FU407" s="1998">
        <v>18.867289468462388</v>
      </c>
      <c r="FV407" s="1998">
        <v>18.924191136851817</v>
      </c>
      <c r="FW407" s="1979">
        <v>19.033724251273018</v>
      </c>
      <c r="FX407" s="1979">
        <v>19.09051313518972</v>
      </c>
      <c r="FY407" s="1979">
        <v>19.14730201910643</v>
      </c>
      <c r="FZ407" s="1979">
        <v>19.20409090302314</v>
      </c>
      <c r="GA407" s="1979">
        <v>19.260879786939839</v>
      </c>
      <c r="GB407" s="1998">
        <v>1.6775934781314683</v>
      </c>
      <c r="GC407" s="1998">
        <v>1.6845198985296752</v>
      </c>
      <c r="GD407" s="1998">
        <v>1.6914463189278821</v>
      </c>
      <c r="GE407" s="1998">
        <v>1.698372739326089</v>
      </c>
      <c r="GF407" s="1998">
        <v>1.7122255801225028</v>
      </c>
      <c r="GG407" s="1979">
        <v>1.7179970745130155</v>
      </c>
      <c r="GH407" s="1979">
        <v>1.7248979890342699</v>
      </c>
      <c r="GI407" s="1979">
        <v>1.7317989035555246</v>
      </c>
      <c r="GJ407" s="1979">
        <v>1.738699818076779</v>
      </c>
      <c r="GK407" s="2021">
        <v>1.7525016471192878</v>
      </c>
    </row>
    <row r="408" spans="1:193">
      <c r="A408" s="2020"/>
      <c r="B408" s="2">
        <v>24</v>
      </c>
      <c r="C408" s="2" t="s">
        <v>4211</v>
      </c>
      <c r="D408" s="1998">
        <f>IF(Construction!$F$31=Construction!$R$22,Oeko!BQ408,Oeko!ED408)</f>
        <v>1</v>
      </c>
      <c r="E408" s="1998">
        <f>IF(Construction!$F$31=Construction!$R$22,Oeko!BR408,Oeko!EE408)</f>
        <v>1</v>
      </c>
      <c r="F408" s="1998">
        <f>IF(Construction!$F$31=Construction!$R$22,Oeko!BS408,Oeko!EF408)</f>
        <v>1</v>
      </c>
      <c r="G408" s="1998">
        <f>IF(Construction!$F$31=Construction!$R$22,Oeko!BT408,Oeko!EG408)</f>
        <v>1</v>
      </c>
      <c r="H408" s="1998">
        <f>IF(Construction!$F$31=Construction!$R$22,Oeko!BU408,Oeko!EH408)</f>
        <v>1</v>
      </c>
      <c r="I408" s="1979">
        <f>IF(Construction!$F$31=Construction!$R$22,Oeko!BV408,Oeko!EI408)</f>
        <v>1</v>
      </c>
      <c r="J408" s="1979">
        <f>IF(Construction!$F$31=Construction!$R$22,Oeko!BW408,Oeko!EJ408)</f>
        <v>1</v>
      </c>
      <c r="K408" s="1979">
        <f>IF(Construction!$F$31=Construction!$R$22,Oeko!BX408,Oeko!EK408)</f>
        <v>1</v>
      </c>
      <c r="L408" s="1979">
        <f>IF(Construction!$F$31=Construction!$R$22,Oeko!BY408,Oeko!EL408)</f>
        <v>1</v>
      </c>
      <c r="M408" s="1979">
        <f>IF(Construction!$F$31=Construction!$R$22,Oeko!BZ408,Oeko!EM408)</f>
        <v>1</v>
      </c>
      <c r="N408" s="1998">
        <f>IF(Construction!$F$31=Construction!$R$22,Oeko!CA408,Oeko!EN408)</f>
        <v>1.0000000000000002</v>
      </c>
      <c r="O408" s="1998">
        <f>IF(Construction!$F$31=Construction!$R$22,Oeko!CB408,Oeko!EO408)</f>
        <v>1.0000000000000002</v>
      </c>
      <c r="P408" s="1998">
        <f>IF(Construction!$F$31=Construction!$R$22,Oeko!CC408,Oeko!EP408)</f>
        <v>1.0000000000000002</v>
      </c>
      <c r="Q408" s="1998">
        <f>IF(Construction!$F$31=Construction!$R$22,Oeko!CD408,Oeko!EQ408)</f>
        <v>1.0000000000000002</v>
      </c>
      <c r="R408" s="1998">
        <f>IF(Construction!$F$31=Construction!$R$22,Oeko!CE408,Oeko!ER408)</f>
        <v>1.0000000000000002</v>
      </c>
      <c r="S408" s="1979">
        <f>IF(Construction!$F$31=Construction!$R$22,Oeko!CF408,Oeko!ES408)</f>
        <v>1</v>
      </c>
      <c r="T408" s="1979">
        <f>IF(Construction!$F$31=Construction!$R$22,Oeko!CG408,Oeko!ET408)</f>
        <v>1</v>
      </c>
      <c r="U408" s="1979">
        <f>IF(Construction!$F$31=Construction!$R$22,Oeko!CH408,Oeko!EU408)</f>
        <v>1</v>
      </c>
      <c r="V408" s="1979">
        <f>IF(Construction!$F$31=Construction!$R$22,Oeko!CI408,Oeko!EV408)</f>
        <v>1</v>
      </c>
      <c r="W408" s="1979">
        <f>IF(Construction!$F$31=Construction!$R$22,Oeko!CJ408,Oeko!EW408)</f>
        <v>1</v>
      </c>
      <c r="X408" s="1998">
        <f>IF(Construction!$F$31=Construction!$R$22,Oeko!CK408,Oeko!EX408)</f>
        <v>1</v>
      </c>
      <c r="Y408" s="1998">
        <f>IF(Construction!$F$31=Construction!$R$22,Oeko!CL408,Oeko!EY408)</f>
        <v>1</v>
      </c>
      <c r="Z408" s="1998">
        <f>IF(Construction!$F$31=Construction!$R$22,Oeko!CM408,Oeko!EZ408)</f>
        <v>1</v>
      </c>
      <c r="AA408" s="1998">
        <f>IF(Construction!$F$31=Construction!$R$22,Oeko!CN408,Oeko!FA408)</f>
        <v>1</v>
      </c>
      <c r="AB408" s="1998">
        <f>IF(Construction!$F$31=Construction!$R$22,Oeko!CO408,Oeko!FB408)</f>
        <v>1</v>
      </c>
      <c r="AC408" s="1979">
        <f>IF(Construction!$F$31=Construction!$R$22,Oeko!CP408,Oeko!FC408)</f>
        <v>1</v>
      </c>
      <c r="AD408" s="1979">
        <f>IF(Construction!$F$31=Construction!$R$22,Oeko!CQ408,Oeko!FD408)</f>
        <v>1</v>
      </c>
      <c r="AE408" s="1979">
        <f>IF(Construction!$F$31=Construction!$R$22,Oeko!CR408,Oeko!FE408)</f>
        <v>1</v>
      </c>
      <c r="AF408" s="1979">
        <f>IF(Construction!$F$31=Construction!$R$22,Oeko!CS408,Oeko!FF408)</f>
        <v>1</v>
      </c>
      <c r="AG408" s="1979">
        <f>IF(Construction!$F$31=Construction!$R$22,Oeko!CT408,Oeko!FG408)</f>
        <v>1</v>
      </c>
      <c r="AH408" s="1998">
        <f>IF(Construction!$F$31=Construction!$R$22,Oeko!CU408,Oeko!FH408)</f>
        <v>1</v>
      </c>
      <c r="AI408" s="1998">
        <f>IF(Construction!$F$31=Construction!$R$22,Oeko!CV408,Oeko!FI408)</f>
        <v>1</v>
      </c>
      <c r="AJ408" s="1998">
        <f>IF(Construction!$F$31=Construction!$R$22,Oeko!CW408,Oeko!FJ408)</f>
        <v>1</v>
      </c>
      <c r="AK408" s="1998">
        <f>IF(Construction!$F$31=Construction!$R$22,Oeko!CX408,Oeko!FK408)</f>
        <v>1</v>
      </c>
      <c r="AL408" s="1998">
        <f>IF(Construction!$F$31=Construction!$R$22,Oeko!CY408,Oeko!FL408)</f>
        <v>1</v>
      </c>
      <c r="AM408" s="1979">
        <f>IF(Construction!$F$31=Construction!$R$22,Oeko!CZ408,Oeko!FM408)</f>
        <v>0.66666666666666663</v>
      </c>
      <c r="AN408" s="1979">
        <f>IF(Construction!$F$31=Construction!$R$22,Oeko!DA408,Oeko!FN408)</f>
        <v>0.66666666666666663</v>
      </c>
      <c r="AO408" s="1979">
        <f>IF(Construction!$F$31=Construction!$R$22,Oeko!DB408,Oeko!FO408)</f>
        <v>0.66666666666666663</v>
      </c>
      <c r="AP408" s="1979">
        <f>IF(Construction!$F$31=Construction!$R$22,Oeko!DC408,Oeko!FP408)</f>
        <v>0.66666666666666663</v>
      </c>
      <c r="AQ408" s="1979">
        <f>IF(Construction!$F$31=Construction!$R$22,Oeko!DD408,Oeko!FQ408)</f>
        <v>0.66666666666666663</v>
      </c>
      <c r="AR408" s="1998">
        <f>IF(Construction!$F$31=Construction!$R$22,Oeko!DE408,Oeko!FR408)</f>
        <v>8.1914540462959007</v>
      </c>
      <c r="AS408" s="1998">
        <f>IF(Construction!$F$31=Construction!$R$22,Oeko!DF408,Oeko!FS408)</f>
        <v>8.1914540462959007</v>
      </c>
      <c r="AT408" s="1998">
        <f>IF(Construction!$F$31=Construction!$R$22,Oeko!DG408,Oeko!FT408)</f>
        <v>8.1914540462959007</v>
      </c>
      <c r="AU408" s="1998">
        <f>IF(Construction!$F$31=Construction!$R$22,Oeko!DH408,Oeko!FU408)</f>
        <v>8.1914540462959007</v>
      </c>
      <c r="AV408" s="1998">
        <f>IF(Construction!$F$31=Construction!$R$22,Oeko!DI408,Oeko!FV408)</f>
        <v>8.1914540462959007</v>
      </c>
      <c r="AW408" s="1979">
        <f>IF(Construction!$F$31=Construction!$R$22,Oeko!DJ408,Oeko!FW408)</f>
        <v>8.1771999062029916</v>
      </c>
      <c r="AX408" s="1979">
        <f>IF(Construction!$F$31=Construction!$R$22,Oeko!DK408,Oeko!FX408)</f>
        <v>8.1771999062029916</v>
      </c>
      <c r="AY408" s="1979">
        <f>IF(Construction!$F$31=Construction!$R$22,Oeko!DL408,Oeko!FY408)</f>
        <v>8.1771999062029916</v>
      </c>
      <c r="AZ408" s="1979">
        <f>IF(Construction!$F$31=Construction!$R$22,Oeko!DM408,Oeko!FZ408)</f>
        <v>8.1771999062029916</v>
      </c>
      <c r="BA408" s="1979">
        <f>IF(Construction!$F$31=Construction!$R$22,Oeko!DN408,Oeko!GA408)</f>
        <v>8.1771999062029916</v>
      </c>
      <c r="BB408" s="1998">
        <f>IF(Construction!$F$31=Construction!$R$22,Oeko!DO408,Oeko!GB408)</f>
        <v>1</v>
      </c>
      <c r="BC408" s="1998">
        <f>IF(Construction!$F$31=Construction!$R$22,Oeko!DP408,Oeko!GC408)</f>
        <v>1</v>
      </c>
      <c r="BD408" s="1998">
        <f>IF(Construction!$F$31=Construction!$R$22,Oeko!DQ408,Oeko!GD408)</f>
        <v>1</v>
      </c>
      <c r="BE408" s="1998">
        <f>IF(Construction!$F$31=Construction!$R$22,Oeko!DR408,Oeko!GE408)</f>
        <v>1</v>
      </c>
      <c r="BF408" s="1998">
        <f>IF(Construction!$F$31=Construction!$R$22,Oeko!DS408,Oeko!GF408)</f>
        <v>1</v>
      </c>
      <c r="BG408" s="1979">
        <f>IF(Construction!$F$31=Construction!$R$22,Oeko!DT408,Oeko!GG408)</f>
        <v>1</v>
      </c>
      <c r="BH408" s="1979">
        <f>IF(Construction!$F$31=Construction!$R$22,Oeko!DU408,Oeko!GH408)</f>
        <v>1</v>
      </c>
      <c r="BI408" s="1979">
        <f>IF(Construction!$F$31=Construction!$R$22,Oeko!DV408,Oeko!GI408)</f>
        <v>1</v>
      </c>
      <c r="BJ408" s="1979">
        <f>IF(Construction!$F$31=Construction!$R$22,Oeko!DW408,Oeko!GJ408)</f>
        <v>1</v>
      </c>
      <c r="BK408" s="2021">
        <f>IF(Construction!$F$31=Construction!$R$22,Oeko!DX408,Oeko!GK408)</f>
        <v>1</v>
      </c>
      <c r="BN408" s="2022"/>
      <c r="BO408" s="2">
        <v>24</v>
      </c>
      <c r="BP408" s="2" t="s">
        <v>4211</v>
      </c>
      <c r="BQ408" s="1998">
        <v>1</v>
      </c>
      <c r="BR408" s="1998">
        <v>1</v>
      </c>
      <c r="BS408" s="1998">
        <v>1</v>
      </c>
      <c r="BT408" s="1998">
        <v>1</v>
      </c>
      <c r="BU408" s="1998">
        <v>1</v>
      </c>
      <c r="BV408" s="1979">
        <v>1</v>
      </c>
      <c r="BW408" s="1979">
        <v>1</v>
      </c>
      <c r="BX408" s="1979">
        <v>1</v>
      </c>
      <c r="BY408" s="1979">
        <v>1</v>
      </c>
      <c r="BZ408" s="1979">
        <v>1</v>
      </c>
      <c r="CA408" s="1998">
        <v>1.0000000000000002</v>
      </c>
      <c r="CB408" s="1998">
        <v>1.0000000000000002</v>
      </c>
      <c r="CC408" s="1998">
        <v>1.0000000000000002</v>
      </c>
      <c r="CD408" s="1998">
        <v>1.0000000000000002</v>
      </c>
      <c r="CE408" s="1998">
        <v>1.0000000000000002</v>
      </c>
      <c r="CF408" s="1979">
        <v>1</v>
      </c>
      <c r="CG408" s="1979">
        <v>1</v>
      </c>
      <c r="CH408" s="1979">
        <v>1</v>
      </c>
      <c r="CI408" s="1979">
        <v>1</v>
      </c>
      <c r="CJ408" s="1979">
        <v>1</v>
      </c>
      <c r="CK408" s="1998">
        <v>1</v>
      </c>
      <c r="CL408" s="1998">
        <v>1</v>
      </c>
      <c r="CM408" s="1998">
        <v>1</v>
      </c>
      <c r="CN408" s="1998">
        <v>1</v>
      </c>
      <c r="CO408" s="1998">
        <v>1</v>
      </c>
      <c r="CP408" s="1979">
        <v>1</v>
      </c>
      <c r="CQ408" s="1979">
        <v>1</v>
      </c>
      <c r="CR408" s="1979">
        <v>1</v>
      </c>
      <c r="CS408" s="1979">
        <v>1</v>
      </c>
      <c r="CT408" s="1979">
        <v>1</v>
      </c>
      <c r="CU408" s="1998">
        <v>1</v>
      </c>
      <c r="CV408" s="1998">
        <v>1</v>
      </c>
      <c r="CW408" s="1998">
        <v>1</v>
      </c>
      <c r="CX408" s="1998">
        <v>1</v>
      </c>
      <c r="CY408" s="1998">
        <v>1</v>
      </c>
      <c r="CZ408" s="1979">
        <v>0.66666666666666663</v>
      </c>
      <c r="DA408" s="1979">
        <v>0.66666666666666663</v>
      </c>
      <c r="DB408" s="1979">
        <v>0.66666666666666663</v>
      </c>
      <c r="DC408" s="1979">
        <v>0.66666666666666663</v>
      </c>
      <c r="DD408" s="1979">
        <v>0.66666666666666663</v>
      </c>
      <c r="DE408" s="1998">
        <v>8.1914540462959007</v>
      </c>
      <c r="DF408" s="1998">
        <v>8.1914540462959007</v>
      </c>
      <c r="DG408" s="1998">
        <v>8.1914540462959007</v>
      </c>
      <c r="DH408" s="1998">
        <v>8.1914540462959007</v>
      </c>
      <c r="DI408" s="1998">
        <v>8.1914540462959007</v>
      </c>
      <c r="DJ408" s="1979">
        <v>8.1771999062029916</v>
      </c>
      <c r="DK408" s="1979">
        <v>8.1771999062029916</v>
      </c>
      <c r="DL408" s="1979">
        <v>8.1771999062029916</v>
      </c>
      <c r="DM408" s="1979">
        <v>8.1771999062029916</v>
      </c>
      <c r="DN408" s="1979">
        <v>8.1771999062029916</v>
      </c>
      <c r="DO408" s="1998">
        <v>1</v>
      </c>
      <c r="DP408" s="1998">
        <v>1</v>
      </c>
      <c r="DQ408" s="1998">
        <v>1</v>
      </c>
      <c r="DR408" s="1998">
        <v>1</v>
      </c>
      <c r="DS408" s="1998">
        <v>1</v>
      </c>
      <c r="DT408" s="1979">
        <v>1</v>
      </c>
      <c r="DU408" s="1979">
        <v>1</v>
      </c>
      <c r="DV408" s="1979">
        <v>1</v>
      </c>
      <c r="DW408" s="1979">
        <v>1</v>
      </c>
      <c r="DX408" s="2021">
        <v>1</v>
      </c>
      <c r="EA408" s="2022"/>
      <c r="EB408" s="2">
        <v>24</v>
      </c>
      <c r="EC408" s="2" t="s">
        <v>4211</v>
      </c>
      <c r="ED408" s="1998">
        <v>1.2868815919764993</v>
      </c>
      <c r="EE408" s="1998">
        <v>1.2868815919764993</v>
      </c>
      <c r="EF408" s="1998">
        <v>1.2868815919764993</v>
      </c>
      <c r="EG408" s="1998">
        <v>1.2868815919764993</v>
      </c>
      <c r="EH408" s="1998">
        <v>1.2868815919764993</v>
      </c>
      <c r="EI408" s="1979">
        <v>1.5980823726272015</v>
      </c>
      <c r="EJ408" s="1979">
        <v>1.5980823726272015</v>
      </c>
      <c r="EK408" s="1979">
        <v>1.5980823726272015</v>
      </c>
      <c r="EL408" s="1979">
        <v>1.5980823726272015</v>
      </c>
      <c r="EM408" s="1979">
        <v>1.5980823726272015</v>
      </c>
      <c r="EN408" s="1998">
        <v>1.3606673031283796</v>
      </c>
      <c r="EO408" s="1998">
        <v>1.3606673031283796</v>
      </c>
      <c r="EP408" s="1998">
        <v>1.3606673031283796</v>
      </c>
      <c r="EQ408" s="1998">
        <v>1.3606673031283796</v>
      </c>
      <c r="ER408" s="1998">
        <v>1.3606673031283796</v>
      </c>
      <c r="ES408" s="1979">
        <v>1.5330426819868914</v>
      </c>
      <c r="ET408" s="1979">
        <v>1.5330426819868914</v>
      </c>
      <c r="EU408" s="1979">
        <v>1.5330426819868914</v>
      </c>
      <c r="EV408" s="1979">
        <v>1.5330426819868914</v>
      </c>
      <c r="EW408" s="1979">
        <v>1.5330426819868914</v>
      </c>
      <c r="EX408" s="1998">
        <v>1.3807649715094688</v>
      </c>
      <c r="EY408" s="1998">
        <v>1.3807649715094688</v>
      </c>
      <c r="EZ408" s="1998">
        <v>1.3807649715094688</v>
      </c>
      <c r="FA408" s="1998">
        <v>1.3807649715094688</v>
      </c>
      <c r="FB408" s="1998">
        <v>1.3807649715094688</v>
      </c>
      <c r="FC408" s="1979">
        <v>1.6277744053108218</v>
      </c>
      <c r="FD408" s="1979">
        <v>1.6277744053108218</v>
      </c>
      <c r="FE408" s="1979">
        <v>1.6277744053108218</v>
      </c>
      <c r="FF408" s="1979">
        <v>1.6277744053108218</v>
      </c>
      <c r="FG408" s="1979">
        <v>1.6277744053108218</v>
      </c>
      <c r="FH408" s="1998">
        <v>1.9137369581804469</v>
      </c>
      <c r="FI408" s="1998">
        <v>1.9137369581804469</v>
      </c>
      <c r="FJ408" s="1998">
        <v>1.9137369581804469</v>
      </c>
      <c r="FK408" s="1998">
        <v>1.9137369581804469</v>
      </c>
      <c r="FL408" s="1998">
        <v>1.9137369581804469</v>
      </c>
      <c r="FM408" s="1979">
        <v>0.95312408674768578</v>
      </c>
      <c r="FN408" s="1979">
        <v>0.95312408674768578</v>
      </c>
      <c r="FO408" s="1979">
        <v>0.95312408674768578</v>
      </c>
      <c r="FP408" s="1979">
        <v>0.95312408674768578</v>
      </c>
      <c r="FQ408" s="1979">
        <v>0.95312408674768578</v>
      </c>
      <c r="FR408" s="1998">
        <v>13.156124613273878</v>
      </c>
      <c r="FS408" s="1998">
        <v>13.156124613273878</v>
      </c>
      <c r="FT408" s="1998">
        <v>13.156124613273878</v>
      </c>
      <c r="FU408" s="1998">
        <v>13.156124613273878</v>
      </c>
      <c r="FV408" s="1998">
        <v>13.156124613273878</v>
      </c>
      <c r="FW408" s="1979">
        <v>13.515354994373412</v>
      </c>
      <c r="FX408" s="1979">
        <v>13.515354994373412</v>
      </c>
      <c r="FY408" s="1979">
        <v>13.515354994373412</v>
      </c>
      <c r="FZ408" s="1979">
        <v>13.515354994373412</v>
      </c>
      <c r="GA408" s="1979">
        <v>13.515354994373412</v>
      </c>
      <c r="GB408" s="1998">
        <v>1.3861479372000356</v>
      </c>
      <c r="GC408" s="1998">
        <v>1.3861479372000356</v>
      </c>
      <c r="GD408" s="1998">
        <v>1.3861479372000356</v>
      </c>
      <c r="GE408" s="1998">
        <v>1.3861479372000356</v>
      </c>
      <c r="GF408" s="1998">
        <v>1.3861479372000356</v>
      </c>
      <c r="GG408" s="1979">
        <v>1.4313071575784038</v>
      </c>
      <c r="GH408" s="1979">
        <v>1.4313071575784038</v>
      </c>
      <c r="GI408" s="1979">
        <v>1.4313071575784038</v>
      </c>
      <c r="GJ408" s="1979">
        <v>1.4313071575784038</v>
      </c>
      <c r="GK408" s="2021">
        <v>1.4313071575784038</v>
      </c>
    </row>
    <row r="409" spans="1:193">
      <c r="A409" s="2020"/>
      <c r="B409" s="2">
        <v>25</v>
      </c>
      <c r="C409" s="2" t="s">
        <v>4229</v>
      </c>
      <c r="D409" s="1998">
        <f>IF(Construction!$F$31=Construction!$R$22,Oeko!BQ409,Oeko!ED409)</f>
        <v>1</v>
      </c>
      <c r="E409" s="1998">
        <f>IF(Construction!$F$31=Construction!$R$22,Oeko!BR409,Oeko!EE409)</f>
        <v>1</v>
      </c>
      <c r="F409" s="1998">
        <f>IF(Construction!$F$31=Construction!$R$22,Oeko!BS409,Oeko!EF409)</f>
        <v>1</v>
      </c>
      <c r="G409" s="1998">
        <f>IF(Construction!$F$31=Construction!$R$22,Oeko!BT409,Oeko!EG409)</f>
        <v>1</v>
      </c>
      <c r="H409" s="1998">
        <f>IF(Construction!$F$31=Construction!$R$22,Oeko!BU409,Oeko!EH409)</f>
        <v>1</v>
      </c>
      <c r="I409" s="1979">
        <f>IF(Construction!$F$31=Construction!$R$22,Oeko!BV409,Oeko!EI409)</f>
        <v>1</v>
      </c>
      <c r="J409" s="1979">
        <f>IF(Construction!$F$31=Construction!$R$22,Oeko!BW409,Oeko!EJ409)</f>
        <v>1</v>
      </c>
      <c r="K409" s="1979">
        <f>IF(Construction!$F$31=Construction!$R$22,Oeko!BX409,Oeko!EK409)</f>
        <v>1</v>
      </c>
      <c r="L409" s="1979">
        <f>IF(Construction!$F$31=Construction!$R$22,Oeko!BY409,Oeko!EL409)</f>
        <v>1</v>
      </c>
      <c r="M409" s="1979">
        <f>IF(Construction!$F$31=Construction!$R$22,Oeko!BZ409,Oeko!EM409)</f>
        <v>1</v>
      </c>
      <c r="N409" s="1998">
        <f>IF(Construction!$F$31=Construction!$R$22,Oeko!CA409,Oeko!EN409)</f>
        <v>1</v>
      </c>
      <c r="O409" s="1998">
        <f>IF(Construction!$F$31=Construction!$R$22,Oeko!CB409,Oeko!EO409)</f>
        <v>1</v>
      </c>
      <c r="P409" s="1998">
        <f>IF(Construction!$F$31=Construction!$R$22,Oeko!CC409,Oeko!EP409)</f>
        <v>1</v>
      </c>
      <c r="Q409" s="1998">
        <f>IF(Construction!$F$31=Construction!$R$22,Oeko!CD409,Oeko!EQ409)</f>
        <v>1</v>
      </c>
      <c r="R409" s="1998">
        <f>IF(Construction!$F$31=Construction!$R$22,Oeko!CE409,Oeko!ER409)</f>
        <v>1</v>
      </c>
      <c r="S409" s="1979">
        <f>IF(Construction!$F$31=Construction!$R$22,Oeko!CF409,Oeko!ES409)</f>
        <v>1.0000000000000002</v>
      </c>
      <c r="T409" s="1979">
        <f>IF(Construction!$F$31=Construction!$R$22,Oeko!CG409,Oeko!ET409)</f>
        <v>1.0000000000000002</v>
      </c>
      <c r="U409" s="1979">
        <f>IF(Construction!$F$31=Construction!$R$22,Oeko!CH409,Oeko!EU409)</f>
        <v>1.0000000000000002</v>
      </c>
      <c r="V409" s="1979">
        <f>IF(Construction!$F$31=Construction!$R$22,Oeko!CI409,Oeko!EV409)</f>
        <v>1.0000000000000002</v>
      </c>
      <c r="W409" s="1979">
        <f>IF(Construction!$F$31=Construction!$R$22,Oeko!CJ409,Oeko!EW409)</f>
        <v>1.0000000000000002</v>
      </c>
      <c r="X409" s="1998">
        <f>IF(Construction!$F$31=Construction!$R$22,Oeko!CK409,Oeko!EX409)</f>
        <v>1</v>
      </c>
      <c r="Y409" s="1998">
        <f>IF(Construction!$F$31=Construction!$R$22,Oeko!CL409,Oeko!EY409)</f>
        <v>1</v>
      </c>
      <c r="Z409" s="1998">
        <f>IF(Construction!$F$31=Construction!$R$22,Oeko!CM409,Oeko!EZ409)</f>
        <v>1</v>
      </c>
      <c r="AA409" s="1998">
        <f>IF(Construction!$F$31=Construction!$R$22,Oeko!CN409,Oeko!FA409)</f>
        <v>1</v>
      </c>
      <c r="AB409" s="1998">
        <f>IF(Construction!$F$31=Construction!$R$22,Oeko!CO409,Oeko!FB409)</f>
        <v>1</v>
      </c>
      <c r="AC409" s="1979">
        <f>IF(Construction!$F$31=Construction!$R$22,Oeko!CP409,Oeko!FC409)</f>
        <v>1</v>
      </c>
      <c r="AD409" s="1979">
        <f>IF(Construction!$F$31=Construction!$R$22,Oeko!CQ409,Oeko!FD409)</f>
        <v>1</v>
      </c>
      <c r="AE409" s="1979">
        <f>IF(Construction!$F$31=Construction!$R$22,Oeko!CR409,Oeko!FE409)</f>
        <v>1</v>
      </c>
      <c r="AF409" s="1979">
        <f>IF(Construction!$F$31=Construction!$R$22,Oeko!CS409,Oeko!FF409)</f>
        <v>1</v>
      </c>
      <c r="AG409" s="1979">
        <f>IF(Construction!$F$31=Construction!$R$22,Oeko!CT409,Oeko!FG409)</f>
        <v>1</v>
      </c>
      <c r="AH409" s="1998">
        <f>IF(Construction!$F$31=Construction!$R$22,Oeko!CU409,Oeko!FH409)</f>
        <v>1</v>
      </c>
      <c r="AI409" s="1998">
        <f>IF(Construction!$F$31=Construction!$R$22,Oeko!CV409,Oeko!FI409)</f>
        <v>1</v>
      </c>
      <c r="AJ409" s="1998">
        <f>IF(Construction!$F$31=Construction!$R$22,Oeko!CW409,Oeko!FJ409)</f>
        <v>1</v>
      </c>
      <c r="AK409" s="1998">
        <f>IF(Construction!$F$31=Construction!$R$22,Oeko!CX409,Oeko!FK409)</f>
        <v>1</v>
      </c>
      <c r="AL409" s="1998">
        <f>IF(Construction!$F$31=Construction!$R$22,Oeko!CY409,Oeko!FL409)</f>
        <v>1</v>
      </c>
      <c r="AM409" s="1979">
        <f>IF(Construction!$F$31=Construction!$R$22,Oeko!CZ409,Oeko!FM409)</f>
        <v>0.66666666666666663</v>
      </c>
      <c r="AN409" s="1979">
        <f>IF(Construction!$F$31=Construction!$R$22,Oeko!DA409,Oeko!FN409)</f>
        <v>0.66666666666666663</v>
      </c>
      <c r="AO409" s="1979">
        <f>IF(Construction!$F$31=Construction!$R$22,Oeko!DB409,Oeko!FO409)</f>
        <v>0.66666666666666663</v>
      </c>
      <c r="AP409" s="1979">
        <f>IF(Construction!$F$31=Construction!$R$22,Oeko!DC409,Oeko!FP409)</f>
        <v>0.66666666666666663</v>
      </c>
      <c r="AQ409" s="1979">
        <f>IF(Construction!$F$31=Construction!$R$22,Oeko!DD409,Oeko!FQ409)</f>
        <v>0.66666666666666663</v>
      </c>
      <c r="AR409" s="1998">
        <f>IF(Construction!$F$31=Construction!$R$22,Oeko!DE409,Oeko!FR409)</f>
        <v>6.393590534721926</v>
      </c>
      <c r="AS409" s="1998">
        <f>IF(Construction!$F$31=Construction!$R$22,Oeko!DF409,Oeko!FS409)</f>
        <v>6.393590534721926</v>
      </c>
      <c r="AT409" s="1998">
        <f>IF(Construction!$F$31=Construction!$R$22,Oeko!DG409,Oeko!FT409)</f>
        <v>6.393590534721926</v>
      </c>
      <c r="AU409" s="1998">
        <f>IF(Construction!$F$31=Construction!$R$22,Oeko!DH409,Oeko!FU409)</f>
        <v>6.393590534721926</v>
      </c>
      <c r="AV409" s="1998">
        <f>IF(Construction!$F$31=Construction!$R$22,Oeko!DI409,Oeko!FV409)</f>
        <v>6.393590534721926</v>
      </c>
      <c r="AW409" s="1979">
        <f>IF(Construction!$F$31=Construction!$R$22,Oeko!DJ409,Oeko!FW409)</f>
        <v>6.3828999296522442</v>
      </c>
      <c r="AX409" s="1979">
        <f>IF(Construction!$F$31=Construction!$R$22,Oeko!DK409,Oeko!FX409)</f>
        <v>6.3828999296522442</v>
      </c>
      <c r="AY409" s="1979">
        <f>IF(Construction!$F$31=Construction!$R$22,Oeko!DL409,Oeko!FY409)</f>
        <v>6.3828999296522442</v>
      </c>
      <c r="AZ409" s="1979">
        <f>IF(Construction!$F$31=Construction!$R$22,Oeko!DM409,Oeko!FZ409)</f>
        <v>6.3828999296522442</v>
      </c>
      <c r="BA409" s="1979">
        <f>IF(Construction!$F$31=Construction!$R$22,Oeko!DN409,Oeko!GA409)</f>
        <v>6.3828999296522442</v>
      </c>
      <c r="BB409" s="1998">
        <f>IF(Construction!$F$31=Construction!$R$22,Oeko!DO409,Oeko!GB409)</f>
        <v>0.78115301620803501</v>
      </c>
      <c r="BC409" s="1998">
        <f>IF(Construction!$F$31=Construction!$R$22,Oeko!DP409,Oeko!GC409)</f>
        <v>0.78115301620803501</v>
      </c>
      <c r="BD409" s="1998">
        <f>IF(Construction!$F$31=Construction!$R$22,Oeko!DQ409,Oeko!GD409)</f>
        <v>0.78115301620803501</v>
      </c>
      <c r="BE409" s="1998">
        <f>IF(Construction!$F$31=Construction!$R$22,Oeko!DR409,Oeko!GE409)</f>
        <v>0.78115301620803501</v>
      </c>
      <c r="BF409" s="1998">
        <f>IF(Construction!$F$31=Construction!$R$22,Oeko!DS409,Oeko!GF409)</f>
        <v>0.78115301620803501</v>
      </c>
      <c r="BG409" s="1979">
        <f>IF(Construction!$F$31=Construction!$R$22,Oeko!DT409,Oeko!GG409)</f>
        <v>0.78195889917775152</v>
      </c>
      <c r="BH409" s="1979">
        <f>IF(Construction!$F$31=Construction!$R$22,Oeko!DU409,Oeko!GH409)</f>
        <v>0.78195889917775152</v>
      </c>
      <c r="BI409" s="1979">
        <f>IF(Construction!$F$31=Construction!$R$22,Oeko!DV409,Oeko!GI409)</f>
        <v>0.78195889917775152</v>
      </c>
      <c r="BJ409" s="1979">
        <f>IF(Construction!$F$31=Construction!$R$22,Oeko!DW409,Oeko!GJ409)</f>
        <v>0.78195889917775152</v>
      </c>
      <c r="BK409" s="2021">
        <f>IF(Construction!$F$31=Construction!$R$22,Oeko!DX409,Oeko!GK409)</f>
        <v>0.78195889917775152</v>
      </c>
      <c r="BN409" s="2022"/>
      <c r="BO409" s="2">
        <v>25</v>
      </c>
      <c r="BP409" s="2" t="s">
        <v>4229</v>
      </c>
      <c r="BQ409" s="1998">
        <v>1</v>
      </c>
      <c r="BR409" s="1998">
        <v>1</v>
      </c>
      <c r="BS409" s="1998">
        <v>1</v>
      </c>
      <c r="BT409" s="1998">
        <v>1</v>
      </c>
      <c r="BU409" s="1998">
        <v>1</v>
      </c>
      <c r="BV409" s="1979">
        <v>1</v>
      </c>
      <c r="BW409" s="1979">
        <v>1</v>
      </c>
      <c r="BX409" s="1979">
        <v>1</v>
      </c>
      <c r="BY409" s="1979">
        <v>1</v>
      </c>
      <c r="BZ409" s="1979">
        <v>1</v>
      </c>
      <c r="CA409" s="1998">
        <v>1</v>
      </c>
      <c r="CB409" s="1998">
        <v>1</v>
      </c>
      <c r="CC409" s="1998">
        <v>1</v>
      </c>
      <c r="CD409" s="1998">
        <v>1</v>
      </c>
      <c r="CE409" s="1998">
        <v>1</v>
      </c>
      <c r="CF409" s="1979">
        <v>1.0000000000000002</v>
      </c>
      <c r="CG409" s="1979">
        <v>1.0000000000000002</v>
      </c>
      <c r="CH409" s="1979">
        <v>1.0000000000000002</v>
      </c>
      <c r="CI409" s="1979">
        <v>1.0000000000000002</v>
      </c>
      <c r="CJ409" s="1979">
        <v>1.0000000000000002</v>
      </c>
      <c r="CK409" s="1998">
        <v>1</v>
      </c>
      <c r="CL409" s="1998">
        <v>1</v>
      </c>
      <c r="CM409" s="1998">
        <v>1</v>
      </c>
      <c r="CN409" s="1998">
        <v>1</v>
      </c>
      <c r="CO409" s="1998">
        <v>1</v>
      </c>
      <c r="CP409" s="1979">
        <v>1</v>
      </c>
      <c r="CQ409" s="1979">
        <v>1</v>
      </c>
      <c r="CR409" s="1979">
        <v>1</v>
      </c>
      <c r="CS409" s="1979">
        <v>1</v>
      </c>
      <c r="CT409" s="1979">
        <v>1</v>
      </c>
      <c r="CU409" s="1998">
        <v>1</v>
      </c>
      <c r="CV409" s="1998">
        <v>1</v>
      </c>
      <c r="CW409" s="1998">
        <v>1</v>
      </c>
      <c r="CX409" s="1998">
        <v>1</v>
      </c>
      <c r="CY409" s="1998">
        <v>1</v>
      </c>
      <c r="CZ409" s="1979">
        <v>0.66666666666666663</v>
      </c>
      <c r="DA409" s="1979">
        <v>0.66666666666666663</v>
      </c>
      <c r="DB409" s="1979">
        <v>0.66666666666666663</v>
      </c>
      <c r="DC409" s="1979">
        <v>0.66666666666666663</v>
      </c>
      <c r="DD409" s="1979">
        <v>0.66666666666666663</v>
      </c>
      <c r="DE409" s="1998">
        <v>6.393590534721926</v>
      </c>
      <c r="DF409" s="1998">
        <v>6.393590534721926</v>
      </c>
      <c r="DG409" s="1998">
        <v>6.393590534721926</v>
      </c>
      <c r="DH409" s="1998">
        <v>6.393590534721926</v>
      </c>
      <c r="DI409" s="1998">
        <v>6.393590534721926</v>
      </c>
      <c r="DJ409" s="1979">
        <v>6.3828999296522442</v>
      </c>
      <c r="DK409" s="1979">
        <v>6.3828999296522442</v>
      </c>
      <c r="DL409" s="1979">
        <v>6.3828999296522442</v>
      </c>
      <c r="DM409" s="1979">
        <v>6.3828999296522442</v>
      </c>
      <c r="DN409" s="1979">
        <v>6.3828999296522442</v>
      </c>
      <c r="DO409" s="1998">
        <v>0.78115301620803501</v>
      </c>
      <c r="DP409" s="1998">
        <v>0.78115301620803501</v>
      </c>
      <c r="DQ409" s="1998">
        <v>0.78115301620803501</v>
      </c>
      <c r="DR409" s="1998">
        <v>0.78115301620803501</v>
      </c>
      <c r="DS409" s="1998">
        <v>0.78115301620803501</v>
      </c>
      <c r="DT409" s="1979">
        <v>0.78195889917775152</v>
      </c>
      <c r="DU409" s="1979">
        <v>0.78195889917775152</v>
      </c>
      <c r="DV409" s="1979">
        <v>0.78195889917775152</v>
      </c>
      <c r="DW409" s="1979">
        <v>0.78195889917775152</v>
      </c>
      <c r="DX409" s="2021">
        <v>0.78195889917775152</v>
      </c>
      <c r="EA409" s="2022"/>
      <c r="EB409" s="2">
        <v>25</v>
      </c>
      <c r="EC409" s="2" t="s">
        <v>4229</v>
      </c>
      <c r="ED409" s="1998">
        <v>1.3137061099439951</v>
      </c>
      <c r="EE409" s="1998">
        <v>1.3137061099439951</v>
      </c>
      <c r="EF409" s="1998">
        <v>1.3137061099439951</v>
      </c>
      <c r="EG409" s="1998">
        <v>1.3137061099439951</v>
      </c>
      <c r="EH409" s="1998">
        <v>1.3137061099439951</v>
      </c>
      <c r="EI409" s="1979">
        <v>1.7872841547940841</v>
      </c>
      <c r="EJ409" s="1979">
        <v>1.7872841547940841</v>
      </c>
      <c r="EK409" s="1979">
        <v>1.7872841547940841</v>
      </c>
      <c r="EL409" s="1979">
        <v>1.7872841547940841</v>
      </c>
      <c r="EM409" s="1979">
        <v>1.7872841547940841</v>
      </c>
      <c r="EN409" s="1998">
        <v>1.4053027385583838</v>
      </c>
      <c r="EO409" s="1998">
        <v>1.4053027385583838</v>
      </c>
      <c r="EP409" s="1998">
        <v>1.4053027385583838</v>
      </c>
      <c r="EQ409" s="1998">
        <v>1.4053027385583838</v>
      </c>
      <c r="ER409" s="1998">
        <v>1.4053027385583838</v>
      </c>
      <c r="ES409" s="1979">
        <v>1.7252455721263957</v>
      </c>
      <c r="ET409" s="1979">
        <v>1.7252455721263957</v>
      </c>
      <c r="EU409" s="1979">
        <v>1.7252455721263957</v>
      </c>
      <c r="EV409" s="1979">
        <v>1.7252455721263957</v>
      </c>
      <c r="EW409" s="1979">
        <v>1.7252455721263957</v>
      </c>
      <c r="EX409" s="1998">
        <v>1.4298477194150447</v>
      </c>
      <c r="EY409" s="1998">
        <v>1.4298477194150447</v>
      </c>
      <c r="EZ409" s="1998">
        <v>1.4298477194150447</v>
      </c>
      <c r="FA409" s="1998">
        <v>1.4298477194150447</v>
      </c>
      <c r="FB409" s="1998">
        <v>1.4298477194150447</v>
      </c>
      <c r="FC409" s="1979">
        <v>1.8981839886795036</v>
      </c>
      <c r="FD409" s="1979">
        <v>1.8981839886795036</v>
      </c>
      <c r="FE409" s="1979">
        <v>1.8981839886795036</v>
      </c>
      <c r="FF409" s="1979">
        <v>1.8981839886795036</v>
      </c>
      <c r="FG409" s="1979">
        <v>1.8981839886795036</v>
      </c>
      <c r="FH409" s="1998">
        <v>2.1927309727671824</v>
      </c>
      <c r="FI409" s="1998">
        <v>2.1927309727671824</v>
      </c>
      <c r="FJ409" s="1998">
        <v>2.1927309727671824</v>
      </c>
      <c r="FK409" s="1998">
        <v>2.1927309727671824</v>
      </c>
      <c r="FL409" s="1998">
        <v>2.1927309727671824</v>
      </c>
      <c r="FM409" s="1979">
        <v>1.0285324237219586</v>
      </c>
      <c r="FN409" s="1979">
        <v>1.0285324237219586</v>
      </c>
      <c r="FO409" s="1979">
        <v>1.0285324237219586</v>
      </c>
      <c r="FP409" s="1979">
        <v>1.0285324237219586</v>
      </c>
      <c r="FQ409" s="1979">
        <v>1.0285324237219586</v>
      </c>
      <c r="FR409" s="1998">
        <v>12.009073933904036</v>
      </c>
      <c r="FS409" s="1998">
        <v>12.009073933904036</v>
      </c>
      <c r="FT409" s="1998">
        <v>12.009073933904036</v>
      </c>
      <c r="FU409" s="1998">
        <v>12.009073933904036</v>
      </c>
      <c r="FV409" s="1998">
        <v>12.009073933904036</v>
      </c>
      <c r="FW409" s="1979">
        <v>12.366014485162406</v>
      </c>
      <c r="FX409" s="1979">
        <v>12.366014485162406</v>
      </c>
      <c r="FY409" s="1979">
        <v>12.366014485162406</v>
      </c>
      <c r="FZ409" s="1979">
        <v>12.366014485162406</v>
      </c>
      <c r="GA409" s="1979">
        <v>12.366014485162406</v>
      </c>
      <c r="GB409" s="1998">
        <v>1.2468215875951767</v>
      </c>
      <c r="GC409" s="1998">
        <v>1.2468215875951767</v>
      </c>
      <c r="GD409" s="1998">
        <v>1.2468215875951767</v>
      </c>
      <c r="GE409" s="1998">
        <v>1.2468215875951767</v>
      </c>
      <c r="GF409" s="1998">
        <v>1.2468215875951767</v>
      </c>
      <c r="GG409" s="1979">
        <v>1.3027314842995616</v>
      </c>
      <c r="GH409" s="1979">
        <v>1.3027314842995616</v>
      </c>
      <c r="GI409" s="1979">
        <v>1.3027314842995616</v>
      </c>
      <c r="GJ409" s="1979">
        <v>1.3027314842995616</v>
      </c>
      <c r="GK409" s="2021">
        <v>1.3027314842995616</v>
      </c>
    </row>
    <row r="410" spans="1:193">
      <c r="A410" s="2020"/>
      <c r="B410" s="2">
        <v>26</v>
      </c>
      <c r="C410" s="2" t="s">
        <v>4244</v>
      </c>
      <c r="D410" s="1998">
        <f>IF(Construction!$F$31=Construction!$R$22,Oeko!BQ410,Oeko!ED410)</f>
        <v>1</v>
      </c>
      <c r="E410" s="1998">
        <f>IF(Construction!$F$31=Construction!$R$22,Oeko!BR410,Oeko!EE410)</f>
        <v>1</v>
      </c>
      <c r="F410" s="1998">
        <f>IF(Construction!$F$31=Construction!$R$22,Oeko!BS410,Oeko!EF410)</f>
        <v>1</v>
      </c>
      <c r="G410" s="1998">
        <f>IF(Construction!$F$31=Construction!$R$22,Oeko!BT410,Oeko!EG410)</f>
        <v>1</v>
      </c>
      <c r="H410" s="1998">
        <f>IF(Construction!$F$31=Construction!$R$22,Oeko!BU410,Oeko!EH410)</f>
        <v>1</v>
      </c>
      <c r="I410" s="1979">
        <f>IF(Construction!$F$31=Construction!$R$22,Oeko!BV410,Oeko!EI410)</f>
        <v>1</v>
      </c>
      <c r="J410" s="1979">
        <f>IF(Construction!$F$31=Construction!$R$22,Oeko!BW410,Oeko!EJ410)</f>
        <v>1</v>
      </c>
      <c r="K410" s="1979">
        <f>IF(Construction!$F$31=Construction!$R$22,Oeko!BX410,Oeko!EK410)</f>
        <v>1</v>
      </c>
      <c r="L410" s="1979">
        <f>IF(Construction!$F$31=Construction!$R$22,Oeko!BY410,Oeko!EL410)</f>
        <v>1</v>
      </c>
      <c r="M410" s="1979">
        <f>IF(Construction!$F$31=Construction!$R$22,Oeko!BZ410,Oeko!EM410)</f>
        <v>1</v>
      </c>
      <c r="N410" s="1998">
        <f>IF(Construction!$F$31=Construction!$R$22,Oeko!CA410,Oeko!EN410)</f>
        <v>1</v>
      </c>
      <c r="O410" s="1998">
        <f>IF(Construction!$F$31=Construction!$R$22,Oeko!CB410,Oeko!EO410)</f>
        <v>1</v>
      </c>
      <c r="P410" s="1998">
        <f>IF(Construction!$F$31=Construction!$R$22,Oeko!CC410,Oeko!EP410)</f>
        <v>1</v>
      </c>
      <c r="Q410" s="1998">
        <f>IF(Construction!$F$31=Construction!$R$22,Oeko!CD410,Oeko!EQ410)</f>
        <v>1</v>
      </c>
      <c r="R410" s="1998">
        <f>IF(Construction!$F$31=Construction!$R$22,Oeko!CE410,Oeko!ER410)</f>
        <v>1</v>
      </c>
      <c r="S410" s="1979">
        <f>IF(Construction!$F$31=Construction!$R$22,Oeko!CF410,Oeko!ES410)</f>
        <v>1</v>
      </c>
      <c r="T410" s="1979">
        <f>IF(Construction!$F$31=Construction!$R$22,Oeko!CG410,Oeko!ET410)</f>
        <v>1</v>
      </c>
      <c r="U410" s="1979">
        <f>IF(Construction!$F$31=Construction!$R$22,Oeko!CH410,Oeko!EU410)</f>
        <v>1</v>
      </c>
      <c r="V410" s="1979">
        <f>IF(Construction!$F$31=Construction!$R$22,Oeko!CI410,Oeko!EV410)</f>
        <v>1</v>
      </c>
      <c r="W410" s="1979">
        <f>IF(Construction!$F$31=Construction!$R$22,Oeko!CJ410,Oeko!EW410)</f>
        <v>1</v>
      </c>
      <c r="X410" s="1998">
        <f>IF(Construction!$F$31=Construction!$R$22,Oeko!CK410,Oeko!EX410)</f>
        <v>1</v>
      </c>
      <c r="Y410" s="1998">
        <f>IF(Construction!$F$31=Construction!$R$22,Oeko!CL410,Oeko!EY410)</f>
        <v>1</v>
      </c>
      <c r="Z410" s="1998">
        <f>IF(Construction!$F$31=Construction!$R$22,Oeko!CM410,Oeko!EZ410)</f>
        <v>1</v>
      </c>
      <c r="AA410" s="1998">
        <f>IF(Construction!$F$31=Construction!$R$22,Oeko!CN410,Oeko!FA410)</f>
        <v>1</v>
      </c>
      <c r="AB410" s="1998">
        <f>IF(Construction!$F$31=Construction!$R$22,Oeko!CO410,Oeko!FB410)</f>
        <v>1</v>
      </c>
      <c r="AC410" s="1979">
        <f>IF(Construction!$F$31=Construction!$R$22,Oeko!CP410,Oeko!FC410)</f>
        <v>1</v>
      </c>
      <c r="AD410" s="1979">
        <f>IF(Construction!$F$31=Construction!$R$22,Oeko!CQ410,Oeko!FD410)</f>
        <v>1</v>
      </c>
      <c r="AE410" s="1979">
        <f>IF(Construction!$F$31=Construction!$R$22,Oeko!CR410,Oeko!FE410)</f>
        <v>1</v>
      </c>
      <c r="AF410" s="1979">
        <f>IF(Construction!$F$31=Construction!$R$22,Oeko!CS410,Oeko!FF410)</f>
        <v>1</v>
      </c>
      <c r="AG410" s="1979">
        <f>IF(Construction!$F$31=Construction!$R$22,Oeko!CT410,Oeko!FG410)</f>
        <v>1</v>
      </c>
      <c r="AH410" s="1998">
        <f>IF(Construction!$F$31=Construction!$R$22,Oeko!CU410,Oeko!FH410)</f>
        <v>1</v>
      </c>
      <c r="AI410" s="1998">
        <f>IF(Construction!$F$31=Construction!$R$22,Oeko!CV410,Oeko!FI410)</f>
        <v>1</v>
      </c>
      <c r="AJ410" s="1998">
        <f>IF(Construction!$F$31=Construction!$R$22,Oeko!CW410,Oeko!FJ410)</f>
        <v>1</v>
      </c>
      <c r="AK410" s="1998">
        <f>IF(Construction!$F$31=Construction!$R$22,Oeko!CX410,Oeko!FK410)</f>
        <v>1</v>
      </c>
      <c r="AL410" s="1998">
        <f>IF(Construction!$F$31=Construction!$R$22,Oeko!CY410,Oeko!FL410)</f>
        <v>1</v>
      </c>
      <c r="AM410" s="1979">
        <f>IF(Construction!$F$31=Construction!$R$22,Oeko!CZ410,Oeko!FM410)</f>
        <v>1</v>
      </c>
      <c r="AN410" s="1979">
        <f>IF(Construction!$F$31=Construction!$R$22,Oeko!DA410,Oeko!FN410)</f>
        <v>1</v>
      </c>
      <c r="AO410" s="1979">
        <f>IF(Construction!$F$31=Construction!$R$22,Oeko!DB410,Oeko!FO410)</f>
        <v>1</v>
      </c>
      <c r="AP410" s="1979">
        <f>IF(Construction!$F$31=Construction!$R$22,Oeko!DC410,Oeko!FP410)</f>
        <v>1</v>
      </c>
      <c r="AQ410" s="1979">
        <f>IF(Construction!$F$31=Construction!$R$22,Oeko!DD410,Oeko!FQ410)</f>
        <v>1</v>
      </c>
      <c r="AR410" s="1998">
        <f>IF(Construction!$F$31=Construction!$R$22,Oeko!DE410,Oeko!FR410)</f>
        <v>1</v>
      </c>
      <c r="AS410" s="1998">
        <f>IF(Construction!$F$31=Construction!$R$22,Oeko!DF410,Oeko!FS410)</f>
        <v>1</v>
      </c>
      <c r="AT410" s="1998">
        <f>IF(Construction!$F$31=Construction!$R$22,Oeko!DG410,Oeko!FT410)</f>
        <v>1</v>
      </c>
      <c r="AU410" s="1998">
        <f>IF(Construction!$F$31=Construction!$R$22,Oeko!DH410,Oeko!FU410)</f>
        <v>1</v>
      </c>
      <c r="AV410" s="1998">
        <f>IF(Construction!$F$31=Construction!$R$22,Oeko!DI410,Oeko!FV410)</f>
        <v>1</v>
      </c>
      <c r="AW410" s="1979">
        <f>IF(Construction!$F$31=Construction!$R$22,Oeko!DJ410,Oeko!FW410)</f>
        <v>1</v>
      </c>
      <c r="AX410" s="1979">
        <f>IF(Construction!$F$31=Construction!$R$22,Oeko!DK410,Oeko!FX410)</f>
        <v>1</v>
      </c>
      <c r="AY410" s="1979">
        <f>IF(Construction!$F$31=Construction!$R$22,Oeko!DL410,Oeko!FY410)</f>
        <v>1</v>
      </c>
      <c r="AZ410" s="1979">
        <f>IF(Construction!$F$31=Construction!$R$22,Oeko!DM410,Oeko!FZ410)</f>
        <v>1</v>
      </c>
      <c r="BA410" s="1979">
        <f>IF(Construction!$F$31=Construction!$R$22,Oeko!DN410,Oeko!GA410)</f>
        <v>1</v>
      </c>
      <c r="BB410" s="1998">
        <f>IF(Construction!$F$31=Construction!$R$22,Oeko!DO410,Oeko!GB410)</f>
        <v>0.12461206483213953</v>
      </c>
      <c r="BC410" s="1998">
        <f>IF(Construction!$F$31=Construction!$R$22,Oeko!DP410,Oeko!GC410)</f>
        <v>0.12461206483213953</v>
      </c>
      <c r="BD410" s="1998">
        <f>IF(Construction!$F$31=Construction!$R$22,Oeko!DQ410,Oeko!GD410)</f>
        <v>0.12461206483213953</v>
      </c>
      <c r="BE410" s="1998">
        <f>IF(Construction!$F$31=Construction!$R$22,Oeko!DR410,Oeko!GE410)</f>
        <v>0.12461206483213953</v>
      </c>
      <c r="BF410" s="1998">
        <f>IF(Construction!$F$31=Construction!$R$22,Oeko!DS410,Oeko!GF410)</f>
        <v>0.12461206483213953</v>
      </c>
      <c r="BG410" s="1979">
        <f>IF(Construction!$F$31=Construction!$R$22,Oeko!DT410,Oeko!GG410)</f>
        <v>0.12783559671100567</v>
      </c>
      <c r="BH410" s="1979">
        <f>IF(Construction!$F$31=Construction!$R$22,Oeko!DU410,Oeko!GH410)</f>
        <v>0.12783559671100567</v>
      </c>
      <c r="BI410" s="1979">
        <f>IF(Construction!$F$31=Construction!$R$22,Oeko!DV410,Oeko!GI410)</f>
        <v>0.12783559671100567</v>
      </c>
      <c r="BJ410" s="1979">
        <f>IF(Construction!$F$31=Construction!$R$22,Oeko!DW410,Oeko!GJ410)</f>
        <v>0.12783559671100567</v>
      </c>
      <c r="BK410" s="2021">
        <f>IF(Construction!$F$31=Construction!$R$22,Oeko!DX410,Oeko!GK410)</f>
        <v>0.12783559671100567</v>
      </c>
      <c r="BN410" s="2022"/>
      <c r="BO410" s="2">
        <v>26</v>
      </c>
      <c r="BP410" s="2" t="s">
        <v>4244</v>
      </c>
      <c r="BQ410" s="1998">
        <v>1</v>
      </c>
      <c r="BR410" s="1998">
        <v>1</v>
      </c>
      <c r="BS410" s="1998">
        <v>1</v>
      </c>
      <c r="BT410" s="1998">
        <v>1</v>
      </c>
      <c r="BU410" s="1998">
        <v>1</v>
      </c>
      <c r="BV410" s="1979">
        <v>1</v>
      </c>
      <c r="BW410" s="1979">
        <v>1</v>
      </c>
      <c r="BX410" s="1979">
        <v>1</v>
      </c>
      <c r="BY410" s="1979">
        <v>1</v>
      </c>
      <c r="BZ410" s="1979">
        <v>1</v>
      </c>
      <c r="CA410" s="1998">
        <v>1</v>
      </c>
      <c r="CB410" s="1998">
        <v>1</v>
      </c>
      <c r="CC410" s="1998">
        <v>1</v>
      </c>
      <c r="CD410" s="1998">
        <v>1</v>
      </c>
      <c r="CE410" s="1998">
        <v>1</v>
      </c>
      <c r="CF410" s="1979">
        <v>1</v>
      </c>
      <c r="CG410" s="1979">
        <v>1</v>
      </c>
      <c r="CH410" s="1979">
        <v>1</v>
      </c>
      <c r="CI410" s="1979">
        <v>1</v>
      </c>
      <c r="CJ410" s="1979">
        <v>1</v>
      </c>
      <c r="CK410" s="1998">
        <v>1</v>
      </c>
      <c r="CL410" s="1998">
        <v>1</v>
      </c>
      <c r="CM410" s="1998">
        <v>1</v>
      </c>
      <c r="CN410" s="1998">
        <v>1</v>
      </c>
      <c r="CO410" s="1998">
        <v>1</v>
      </c>
      <c r="CP410" s="1979">
        <v>1</v>
      </c>
      <c r="CQ410" s="1979">
        <v>1</v>
      </c>
      <c r="CR410" s="1979">
        <v>1</v>
      </c>
      <c r="CS410" s="1979">
        <v>1</v>
      </c>
      <c r="CT410" s="1979">
        <v>1</v>
      </c>
      <c r="CU410" s="1998">
        <v>1</v>
      </c>
      <c r="CV410" s="1998">
        <v>1</v>
      </c>
      <c r="CW410" s="1998">
        <v>1</v>
      </c>
      <c r="CX410" s="1998">
        <v>1</v>
      </c>
      <c r="CY410" s="1998">
        <v>1</v>
      </c>
      <c r="CZ410" s="1979">
        <v>1</v>
      </c>
      <c r="DA410" s="1979">
        <v>1</v>
      </c>
      <c r="DB410" s="1979">
        <v>1</v>
      </c>
      <c r="DC410" s="1979">
        <v>1</v>
      </c>
      <c r="DD410" s="1979">
        <v>1</v>
      </c>
      <c r="DE410" s="1998">
        <v>1</v>
      </c>
      <c r="DF410" s="1998">
        <v>1</v>
      </c>
      <c r="DG410" s="1998">
        <v>1</v>
      </c>
      <c r="DH410" s="1998">
        <v>1</v>
      </c>
      <c r="DI410" s="1998">
        <v>1</v>
      </c>
      <c r="DJ410" s="1979">
        <v>1</v>
      </c>
      <c r="DK410" s="1979">
        <v>1</v>
      </c>
      <c r="DL410" s="1979">
        <v>1</v>
      </c>
      <c r="DM410" s="1979">
        <v>1</v>
      </c>
      <c r="DN410" s="1979">
        <v>1</v>
      </c>
      <c r="DO410" s="1998">
        <v>0.12461206483213953</v>
      </c>
      <c r="DP410" s="1998">
        <v>0.12461206483213953</v>
      </c>
      <c r="DQ410" s="1998">
        <v>0.12461206483213953</v>
      </c>
      <c r="DR410" s="1998">
        <v>0.12461206483213953</v>
      </c>
      <c r="DS410" s="1998">
        <v>0.12461206483213953</v>
      </c>
      <c r="DT410" s="1979">
        <v>0.12783559671100567</v>
      </c>
      <c r="DU410" s="1979">
        <v>0.12783559671100567</v>
      </c>
      <c r="DV410" s="1979">
        <v>0.12783559671100567</v>
      </c>
      <c r="DW410" s="1979">
        <v>0.12783559671100567</v>
      </c>
      <c r="DX410" s="2021">
        <v>0.12783559671100567</v>
      </c>
      <c r="EA410" s="2022"/>
      <c r="EB410" s="2">
        <v>26</v>
      </c>
      <c r="EC410" s="2" t="s">
        <v>4244</v>
      </c>
      <c r="ED410" s="1998">
        <v>1.3605609674202821</v>
      </c>
      <c r="EE410" s="1998">
        <v>1.3605609674202821</v>
      </c>
      <c r="EF410" s="1998">
        <v>1.3605609674202821</v>
      </c>
      <c r="EG410" s="1998">
        <v>1.3605609674202821</v>
      </c>
      <c r="EH410" s="1998">
        <v>1.3605609674202821</v>
      </c>
      <c r="EI410" s="1979">
        <v>2.0966679740137137</v>
      </c>
      <c r="EJ410" s="1979">
        <v>2.0966679740137137</v>
      </c>
      <c r="EK410" s="1979">
        <v>2.0966679740137137</v>
      </c>
      <c r="EL410" s="1979">
        <v>2.0966679740137137</v>
      </c>
      <c r="EM410" s="1979">
        <v>2.0966679740137137</v>
      </c>
      <c r="EN410" s="1998">
        <v>1.4337071065592959</v>
      </c>
      <c r="EO410" s="1998">
        <v>1.4337071065592959</v>
      </c>
      <c r="EP410" s="1998">
        <v>1.4337071065592959</v>
      </c>
      <c r="EQ410" s="1998">
        <v>1.4337071065592959</v>
      </c>
      <c r="ER410" s="1998">
        <v>1.4337071065592959</v>
      </c>
      <c r="ES410" s="1979">
        <v>1.8379162318633464</v>
      </c>
      <c r="ET410" s="1979">
        <v>1.8379162318633464</v>
      </c>
      <c r="EU410" s="1979">
        <v>1.8379162318633464</v>
      </c>
      <c r="EV410" s="1979">
        <v>1.8379162318633464</v>
      </c>
      <c r="EW410" s="1979">
        <v>1.8379162318633464</v>
      </c>
      <c r="EX410" s="1998">
        <v>1.4662053104562123</v>
      </c>
      <c r="EY410" s="1998">
        <v>1.4662053104562123</v>
      </c>
      <c r="EZ410" s="1998">
        <v>1.4662053104562123</v>
      </c>
      <c r="FA410" s="1998">
        <v>1.4662053104562123</v>
      </c>
      <c r="FB410" s="1998">
        <v>1.4662053104562123</v>
      </c>
      <c r="FC410" s="1979">
        <v>2.0890613416456318</v>
      </c>
      <c r="FD410" s="1979">
        <v>2.0890613416456318</v>
      </c>
      <c r="FE410" s="1979">
        <v>2.0890613416456318</v>
      </c>
      <c r="FF410" s="1979">
        <v>2.0890613416456318</v>
      </c>
      <c r="FG410" s="1979">
        <v>2.0890613416456318</v>
      </c>
      <c r="FH410" s="1998">
        <v>2.3921927569513635</v>
      </c>
      <c r="FI410" s="1998">
        <v>2.3921927569513635</v>
      </c>
      <c r="FJ410" s="1998">
        <v>2.3921927569513635</v>
      </c>
      <c r="FK410" s="1998">
        <v>2.3921927569513635</v>
      </c>
      <c r="FL410" s="1998">
        <v>2.3921927569513635</v>
      </c>
      <c r="FM410" s="1979">
        <v>1.5115041757386145</v>
      </c>
      <c r="FN410" s="1979">
        <v>1.5115041757386145</v>
      </c>
      <c r="FO410" s="1979">
        <v>1.5115041757386145</v>
      </c>
      <c r="FP410" s="1979">
        <v>1.5115041757386145</v>
      </c>
      <c r="FQ410" s="1979">
        <v>1.5115041757386145</v>
      </c>
      <c r="FR410" s="1998">
        <v>8.1198212572277306</v>
      </c>
      <c r="FS410" s="1998">
        <v>8.1198212572277306</v>
      </c>
      <c r="FT410" s="1998">
        <v>8.1198212572277306</v>
      </c>
      <c r="FU410" s="1998">
        <v>8.1198212572277306</v>
      </c>
      <c r="FV410" s="1998">
        <v>8.1198212572277306</v>
      </c>
      <c r="FW410" s="1979">
        <v>8.4799072816005001</v>
      </c>
      <c r="FX410" s="1979">
        <v>8.4799072816005001</v>
      </c>
      <c r="FY410" s="1979">
        <v>8.4799072816005001</v>
      </c>
      <c r="FZ410" s="1979">
        <v>8.4799072816005001</v>
      </c>
      <c r="GA410" s="1979">
        <v>8.4799072816005001</v>
      </c>
      <c r="GB410" s="1998">
        <v>0.7736975763794911</v>
      </c>
      <c r="GC410" s="1998">
        <v>0.7736975763794911</v>
      </c>
      <c r="GD410" s="1998">
        <v>0.7736975763794911</v>
      </c>
      <c r="GE410" s="1998">
        <v>0.7736975763794911</v>
      </c>
      <c r="GF410" s="1998">
        <v>0.7736975763794911</v>
      </c>
      <c r="GG410" s="1979">
        <v>0.84158732719503859</v>
      </c>
      <c r="GH410" s="1979">
        <v>0.84158732719503859</v>
      </c>
      <c r="GI410" s="1979">
        <v>0.84158732719503859</v>
      </c>
      <c r="GJ410" s="1979">
        <v>0.84158732719503859</v>
      </c>
      <c r="GK410" s="2021">
        <v>0.84158732719503859</v>
      </c>
    </row>
    <row r="411" spans="1:193">
      <c r="A411" s="2020"/>
      <c r="B411" s="2">
        <v>27</v>
      </c>
      <c r="C411" s="2" t="s">
        <v>4259</v>
      </c>
      <c r="D411" s="1998">
        <f>IF(Construction!$F$31=Construction!$R$22,Oeko!BQ411,Oeko!ED411)</f>
        <v>1</v>
      </c>
      <c r="E411" s="1998">
        <f>IF(Construction!$F$31=Construction!$R$22,Oeko!BR411,Oeko!EE411)</f>
        <v>1</v>
      </c>
      <c r="F411" s="1998">
        <f>IF(Construction!$F$31=Construction!$R$22,Oeko!BS411,Oeko!EF411)</f>
        <v>1</v>
      </c>
      <c r="G411" s="1998">
        <f>IF(Construction!$F$31=Construction!$R$22,Oeko!BT411,Oeko!EG411)</f>
        <v>1</v>
      </c>
      <c r="H411" s="1998">
        <f>IF(Construction!$F$31=Construction!$R$22,Oeko!BU411,Oeko!EH411)</f>
        <v>1</v>
      </c>
      <c r="I411" s="1979">
        <f>IF(Construction!$F$31=Construction!$R$22,Oeko!BV411,Oeko!EI411)</f>
        <v>1</v>
      </c>
      <c r="J411" s="1979">
        <f>IF(Construction!$F$31=Construction!$R$22,Oeko!BW411,Oeko!EJ411)</f>
        <v>1</v>
      </c>
      <c r="K411" s="1979">
        <f>IF(Construction!$F$31=Construction!$R$22,Oeko!BX411,Oeko!EK411)</f>
        <v>1</v>
      </c>
      <c r="L411" s="1979">
        <f>IF(Construction!$F$31=Construction!$R$22,Oeko!BY411,Oeko!EL411)</f>
        <v>1</v>
      </c>
      <c r="M411" s="1979">
        <f>IF(Construction!$F$31=Construction!$R$22,Oeko!BZ411,Oeko!EM411)</f>
        <v>1</v>
      </c>
      <c r="N411" s="1998">
        <f>IF(Construction!$F$31=Construction!$R$22,Oeko!CA411,Oeko!EN411)</f>
        <v>1</v>
      </c>
      <c r="O411" s="1998">
        <f>IF(Construction!$F$31=Construction!$R$22,Oeko!CB411,Oeko!EO411)</f>
        <v>1</v>
      </c>
      <c r="P411" s="1998">
        <f>IF(Construction!$F$31=Construction!$R$22,Oeko!CC411,Oeko!EP411)</f>
        <v>1</v>
      </c>
      <c r="Q411" s="1998">
        <f>IF(Construction!$F$31=Construction!$R$22,Oeko!CD411,Oeko!EQ411)</f>
        <v>1</v>
      </c>
      <c r="R411" s="1998">
        <f>IF(Construction!$F$31=Construction!$R$22,Oeko!CE411,Oeko!ER411)</f>
        <v>1</v>
      </c>
      <c r="S411" s="1979">
        <f>IF(Construction!$F$31=Construction!$R$22,Oeko!CF411,Oeko!ES411)</f>
        <v>1</v>
      </c>
      <c r="T411" s="1979">
        <f>IF(Construction!$F$31=Construction!$R$22,Oeko!CG411,Oeko!ET411)</f>
        <v>1</v>
      </c>
      <c r="U411" s="1979">
        <f>IF(Construction!$F$31=Construction!$R$22,Oeko!CH411,Oeko!EU411)</f>
        <v>1</v>
      </c>
      <c r="V411" s="1979">
        <f>IF(Construction!$F$31=Construction!$R$22,Oeko!CI411,Oeko!EV411)</f>
        <v>1</v>
      </c>
      <c r="W411" s="1979">
        <f>IF(Construction!$F$31=Construction!$R$22,Oeko!CJ411,Oeko!EW411)</f>
        <v>1</v>
      </c>
      <c r="X411" s="1998">
        <f>IF(Construction!$F$31=Construction!$R$22,Oeko!CK411,Oeko!EX411)</f>
        <v>1</v>
      </c>
      <c r="Y411" s="1998">
        <f>IF(Construction!$F$31=Construction!$R$22,Oeko!CL411,Oeko!EY411)</f>
        <v>1</v>
      </c>
      <c r="Z411" s="1998">
        <f>IF(Construction!$F$31=Construction!$R$22,Oeko!CM411,Oeko!EZ411)</f>
        <v>1</v>
      </c>
      <c r="AA411" s="1998">
        <f>IF(Construction!$F$31=Construction!$R$22,Oeko!CN411,Oeko!FA411)</f>
        <v>1</v>
      </c>
      <c r="AB411" s="1998">
        <f>IF(Construction!$F$31=Construction!$R$22,Oeko!CO411,Oeko!FB411)</f>
        <v>1</v>
      </c>
      <c r="AC411" s="1979">
        <f>IF(Construction!$F$31=Construction!$R$22,Oeko!CP411,Oeko!FC411)</f>
        <v>1</v>
      </c>
      <c r="AD411" s="1979">
        <f>IF(Construction!$F$31=Construction!$R$22,Oeko!CQ411,Oeko!FD411)</f>
        <v>1</v>
      </c>
      <c r="AE411" s="1979">
        <f>IF(Construction!$F$31=Construction!$R$22,Oeko!CR411,Oeko!FE411)</f>
        <v>1</v>
      </c>
      <c r="AF411" s="1979">
        <f>IF(Construction!$F$31=Construction!$R$22,Oeko!CS411,Oeko!FF411)</f>
        <v>1</v>
      </c>
      <c r="AG411" s="1979">
        <f>IF(Construction!$F$31=Construction!$R$22,Oeko!CT411,Oeko!FG411)</f>
        <v>1</v>
      </c>
      <c r="AH411" s="1998">
        <f>IF(Construction!$F$31=Construction!$R$22,Oeko!CU411,Oeko!FH411)</f>
        <v>1</v>
      </c>
      <c r="AI411" s="1998">
        <f>IF(Construction!$F$31=Construction!$R$22,Oeko!CV411,Oeko!FI411)</f>
        <v>1</v>
      </c>
      <c r="AJ411" s="1998">
        <f>IF(Construction!$F$31=Construction!$R$22,Oeko!CW411,Oeko!FJ411)</f>
        <v>1</v>
      </c>
      <c r="AK411" s="1998">
        <f>IF(Construction!$F$31=Construction!$R$22,Oeko!CX411,Oeko!FK411)</f>
        <v>1</v>
      </c>
      <c r="AL411" s="1998">
        <f>IF(Construction!$F$31=Construction!$R$22,Oeko!CY411,Oeko!FL411)</f>
        <v>1</v>
      </c>
      <c r="AM411" s="1979">
        <f>IF(Construction!$F$31=Construction!$R$22,Oeko!CZ411,Oeko!FM411)</f>
        <v>1.1666666666666665</v>
      </c>
      <c r="AN411" s="1979">
        <f>IF(Construction!$F$31=Construction!$R$22,Oeko!DA411,Oeko!FN411)</f>
        <v>1.1666666666666665</v>
      </c>
      <c r="AO411" s="1979">
        <f>IF(Construction!$F$31=Construction!$R$22,Oeko!DB411,Oeko!FO411)</f>
        <v>1.1666666666666665</v>
      </c>
      <c r="AP411" s="1979">
        <f>IF(Construction!$F$31=Construction!$R$22,Oeko!DC411,Oeko!FP411)</f>
        <v>1.1666666666666665</v>
      </c>
      <c r="AQ411" s="1979">
        <f>IF(Construction!$F$31=Construction!$R$22,Oeko!DD411,Oeko!FQ411)</f>
        <v>1.1666666666666665</v>
      </c>
      <c r="AR411" s="1998">
        <f>IF(Construction!$F$31=Construction!$R$22,Oeko!DE411,Oeko!FR411)</f>
        <v>1</v>
      </c>
      <c r="AS411" s="1998">
        <f>IF(Construction!$F$31=Construction!$R$22,Oeko!DF411,Oeko!FS411)</f>
        <v>1</v>
      </c>
      <c r="AT411" s="1998">
        <f>IF(Construction!$F$31=Construction!$R$22,Oeko!DG411,Oeko!FT411)</f>
        <v>1</v>
      </c>
      <c r="AU411" s="1998">
        <f>IF(Construction!$F$31=Construction!$R$22,Oeko!DH411,Oeko!FU411)</f>
        <v>1</v>
      </c>
      <c r="AV411" s="1998">
        <f>IF(Construction!$F$31=Construction!$R$22,Oeko!DI411,Oeko!FV411)</f>
        <v>1</v>
      </c>
      <c r="AW411" s="1979">
        <f>IF(Construction!$F$31=Construction!$R$22,Oeko!DJ411,Oeko!FW411)</f>
        <v>1</v>
      </c>
      <c r="AX411" s="1979">
        <f>IF(Construction!$F$31=Construction!$R$22,Oeko!DK411,Oeko!FX411)</f>
        <v>1</v>
      </c>
      <c r="AY411" s="1979">
        <f>IF(Construction!$F$31=Construction!$R$22,Oeko!DL411,Oeko!FY411)</f>
        <v>1</v>
      </c>
      <c r="AZ411" s="1979">
        <f>IF(Construction!$F$31=Construction!$R$22,Oeko!DM411,Oeko!FZ411)</f>
        <v>1</v>
      </c>
      <c r="BA411" s="1979">
        <f>IF(Construction!$F$31=Construction!$R$22,Oeko!DN411,Oeko!GA411)</f>
        <v>1</v>
      </c>
      <c r="BB411" s="1998">
        <f>IF(Construction!$F$31=Construction!$R$22,Oeko!DO411,Oeko!GB411)</f>
        <v>0.12461206483213953</v>
      </c>
      <c r="BC411" s="1998">
        <f>IF(Construction!$F$31=Construction!$R$22,Oeko!DP411,Oeko!GC411)</f>
        <v>0.12461206483213953</v>
      </c>
      <c r="BD411" s="1998">
        <f>IF(Construction!$F$31=Construction!$R$22,Oeko!DQ411,Oeko!GD411)</f>
        <v>0.12461206483213953</v>
      </c>
      <c r="BE411" s="1998">
        <f>IF(Construction!$F$31=Construction!$R$22,Oeko!DR411,Oeko!GE411)</f>
        <v>0.12461206483213953</v>
      </c>
      <c r="BF411" s="1998">
        <f>IF(Construction!$F$31=Construction!$R$22,Oeko!DS411,Oeko!GF411)</f>
        <v>0.12461206483213953</v>
      </c>
      <c r="BG411" s="1979">
        <f>IF(Construction!$F$31=Construction!$R$22,Oeko!DT411,Oeko!GG411)</f>
        <v>0.12783559671100567</v>
      </c>
      <c r="BH411" s="1979">
        <f>IF(Construction!$F$31=Construction!$R$22,Oeko!DU411,Oeko!GH411)</f>
        <v>0.12783559671100567</v>
      </c>
      <c r="BI411" s="1979">
        <f>IF(Construction!$F$31=Construction!$R$22,Oeko!DV411,Oeko!GI411)</f>
        <v>0.12783559671100567</v>
      </c>
      <c r="BJ411" s="1979">
        <f>IF(Construction!$F$31=Construction!$R$22,Oeko!DW411,Oeko!GJ411)</f>
        <v>0.12783559671100567</v>
      </c>
      <c r="BK411" s="2021">
        <f>IF(Construction!$F$31=Construction!$R$22,Oeko!DX411,Oeko!GK411)</f>
        <v>0.12783559671100567</v>
      </c>
      <c r="BN411" s="2022"/>
      <c r="BO411" s="2">
        <v>27</v>
      </c>
      <c r="BP411" s="2" t="s">
        <v>4259</v>
      </c>
      <c r="BQ411" s="1998">
        <v>1</v>
      </c>
      <c r="BR411" s="1998">
        <v>1</v>
      </c>
      <c r="BS411" s="1998">
        <v>1</v>
      </c>
      <c r="BT411" s="1998">
        <v>1</v>
      </c>
      <c r="BU411" s="1998">
        <v>1</v>
      </c>
      <c r="BV411" s="1979">
        <v>1</v>
      </c>
      <c r="BW411" s="1979">
        <v>1</v>
      </c>
      <c r="BX411" s="1979">
        <v>1</v>
      </c>
      <c r="BY411" s="1979">
        <v>1</v>
      </c>
      <c r="BZ411" s="1979">
        <v>1</v>
      </c>
      <c r="CA411" s="1998">
        <v>1</v>
      </c>
      <c r="CB411" s="1998">
        <v>1</v>
      </c>
      <c r="CC411" s="1998">
        <v>1</v>
      </c>
      <c r="CD411" s="1998">
        <v>1</v>
      </c>
      <c r="CE411" s="1998">
        <v>1</v>
      </c>
      <c r="CF411" s="1979">
        <v>1</v>
      </c>
      <c r="CG411" s="1979">
        <v>1</v>
      </c>
      <c r="CH411" s="1979">
        <v>1</v>
      </c>
      <c r="CI411" s="1979">
        <v>1</v>
      </c>
      <c r="CJ411" s="1979">
        <v>1</v>
      </c>
      <c r="CK411" s="1998">
        <v>1</v>
      </c>
      <c r="CL411" s="1998">
        <v>1</v>
      </c>
      <c r="CM411" s="1998">
        <v>1</v>
      </c>
      <c r="CN411" s="1998">
        <v>1</v>
      </c>
      <c r="CO411" s="1998">
        <v>1</v>
      </c>
      <c r="CP411" s="1979">
        <v>1</v>
      </c>
      <c r="CQ411" s="1979">
        <v>1</v>
      </c>
      <c r="CR411" s="1979">
        <v>1</v>
      </c>
      <c r="CS411" s="1979">
        <v>1</v>
      </c>
      <c r="CT411" s="1979">
        <v>1</v>
      </c>
      <c r="CU411" s="1998">
        <v>1</v>
      </c>
      <c r="CV411" s="1998">
        <v>1</v>
      </c>
      <c r="CW411" s="1998">
        <v>1</v>
      </c>
      <c r="CX411" s="1998">
        <v>1</v>
      </c>
      <c r="CY411" s="1998">
        <v>1</v>
      </c>
      <c r="CZ411" s="1979">
        <v>1.1666666666666665</v>
      </c>
      <c r="DA411" s="1979">
        <v>1.1666666666666665</v>
      </c>
      <c r="DB411" s="1979">
        <v>1.1666666666666665</v>
      </c>
      <c r="DC411" s="1979">
        <v>1.1666666666666665</v>
      </c>
      <c r="DD411" s="1979">
        <v>1.1666666666666665</v>
      </c>
      <c r="DE411" s="1998">
        <v>1</v>
      </c>
      <c r="DF411" s="1998">
        <v>1</v>
      </c>
      <c r="DG411" s="1998">
        <v>1</v>
      </c>
      <c r="DH411" s="1998">
        <v>1</v>
      </c>
      <c r="DI411" s="1998">
        <v>1</v>
      </c>
      <c r="DJ411" s="1979">
        <v>1</v>
      </c>
      <c r="DK411" s="1979">
        <v>1</v>
      </c>
      <c r="DL411" s="1979">
        <v>1</v>
      </c>
      <c r="DM411" s="1979">
        <v>1</v>
      </c>
      <c r="DN411" s="1979">
        <v>1</v>
      </c>
      <c r="DO411" s="1998">
        <v>0.12461206483213953</v>
      </c>
      <c r="DP411" s="1998">
        <v>0.12461206483213953</v>
      </c>
      <c r="DQ411" s="1998">
        <v>0.12461206483213953</v>
      </c>
      <c r="DR411" s="1998">
        <v>0.12461206483213953</v>
      </c>
      <c r="DS411" s="1998">
        <v>0.12461206483213953</v>
      </c>
      <c r="DT411" s="1979">
        <v>0.12783559671100567</v>
      </c>
      <c r="DU411" s="1979">
        <v>0.12783559671100567</v>
      </c>
      <c r="DV411" s="1979">
        <v>0.12783559671100567</v>
      </c>
      <c r="DW411" s="1979">
        <v>0.12783559671100567</v>
      </c>
      <c r="DX411" s="2021">
        <v>0.12783559671100567</v>
      </c>
      <c r="EA411" s="2022"/>
      <c r="EB411" s="2">
        <v>27</v>
      </c>
      <c r="EC411" s="2" t="s">
        <v>4259</v>
      </c>
      <c r="ED411" s="1998">
        <v>1.419345659456952</v>
      </c>
      <c r="EE411" s="1998">
        <v>1.419345659456952</v>
      </c>
      <c r="EF411" s="1998">
        <v>1.419345659456952</v>
      </c>
      <c r="EG411" s="1998">
        <v>1.419345659456952</v>
      </c>
      <c r="EH411" s="1998">
        <v>1.419345659456952</v>
      </c>
      <c r="EI411" s="1979">
        <v>2.4716056316257515</v>
      </c>
      <c r="EJ411" s="1979">
        <v>2.4716056316257515</v>
      </c>
      <c r="EK411" s="1979">
        <v>2.4716056316257515</v>
      </c>
      <c r="EL411" s="1979">
        <v>2.4716056316257515</v>
      </c>
      <c r="EM411" s="1979">
        <v>2.4716056316257515</v>
      </c>
      <c r="EN411" s="1998">
        <v>1.4848349689609373</v>
      </c>
      <c r="EO411" s="1998">
        <v>1.4848349689609373</v>
      </c>
      <c r="EP411" s="1998">
        <v>1.4848349689609373</v>
      </c>
      <c r="EQ411" s="1998">
        <v>1.4848349689609373</v>
      </c>
      <c r="ER411" s="1998">
        <v>1.4848349689609373</v>
      </c>
      <c r="ES411" s="1979">
        <v>2.0301191220028505</v>
      </c>
      <c r="ET411" s="1979">
        <v>2.0301191220028505</v>
      </c>
      <c r="EU411" s="1979">
        <v>2.0301191220028505</v>
      </c>
      <c r="EV411" s="1979">
        <v>2.0301191220028505</v>
      </c>
      <c r="EW411" s="1979">
        <v>2.0301191220028505</v>
      </c>
      <c r="EX411" s="1998">
        <v>1.5343757936584008</v>
      </c>
      <c r="EY411" s="1998">
        <v>1.5343757936584008</v>
      </c>
      <c r="EZ411" s="1998">
        <v>1.5343757936584008</v>
      </c>
      <c r="FA411" s="1998">
        <v>1.5343757936584008</v>
      </c>
      <c r="FB411" s="1998">
        <v>1.5343757936584008</v>
      </c>
      <c r="FC411" s="1979">
        <v>2.4390031554168674</v>
      </c>
      <c r="FD411" s="1979">
        <v>2.4390031554168674</v>
      </c>
      <c r="FE411" s="1979">
        <v>2.4390031554168674</v>
      </c>
      <c r="FF411" s="1979">
        <v>2.4390031554168674</v>
      </c>
      <c r="FG411" s="1979">
        <v>2.4390031554168674</v>
      </c>
      <c r="FH411" s="1998">
        <v>2.7330451729623064</v>
      </c>
      <c r="FI411" s="1998">
        <v>2.7330451729623064</v>
      </c>
      <c r="FJ411" s="1998">
        <v>2.7330451729623064</v>
      </c>
      <c r="FK411" s="1998">
        <v>2.7330451729623064</v>
      </c>
      <c r="FL411" s="1998">
        <v>2.7330451729623064</v>
      </c>
      <c r="FM411" s="1979">
        <v>1.8301657716190503</v>
      </c>
      <c r="FN411" s="1979">
        <v>1.8301657716190503</v>
      </c>
      <c r="FO411" s="1979">
        <v>1.8301657716190503</v>
      </c>
      <c r="FP411" s="1979">
        <v>1.8301657716190503</v>
      </c>
      <c r="FQ411" s="1979">
        <v>1.8301657716190503</v>
      </c>
      <c r="FR411" s="1998">
        <v>10.7444107116903</v>
      </c>
      <c r="FS411" s="1998">
        <v>10.7444107116903</v>
      </c>
      <c r="FT411" s="1998">
        <v>10.7444107116903</v>
      </c>
      <c r="FU411" s="1998">
        <v>10.7444107116903</v>
      </c>
      <c r="FV411" s="1998">
        <v>10.7444107116903</v>
      </c>
      <c r="FW411" s="1979">
        <v>11.126674907004146</v>
      </c>
      <c r="FX411" s="1979">
        <v>11.126674907004146</v>
      </c>
      <c r="FY411" s="1979">
        <v>11.126674907004146</v>
      </c>
      <c r="FZ411" s="1979">
        <v>11.126674907004146</v>
      </c>
      <c r="GA411" s="1979">
        <v>11.126674907004146</v>
      </c>
      <c r="GB411" s="1998">
        <v>1.0973745296033908</v>
      </c>
      <c r="GC411" s="1998">
        <v>1.0973745296033908</v>
      </c>
      <c r="GD411" s="1998">
        <v>1.0973745296033908</v>
      </c>
      <c r="GE411" s="1998">
        <v>1.0973745296033908</v>
      </c>
      <c r="GF411" s="1998">
        <v>1.0973745296033908</v>
      </c>
      <c r="GG411" s="1979">
        <v>1.1676555383243121</v>
      </c>
      <c r="GH411" s="1979">
        <v>1.1676555383243121</v>
      </c>
      <c r="GI411" s="1979">
        <v>1.1676555383243121</v>
      </c>
      <c r="GJ411" s="1979">
        <v>1.1676555383243121</v>
      </c>
      <c r="GK411" s="2021">
        <v>1.1676555383243121</v>
      </c>
    </row>
    <row r="412" spans="1:193">
      <c r="A412" s="2020"/>
      <c r="B412" s="2">
        <v>28</v>
      </c>
      <c r="C412" s="2" t="s">
        <v>4274</v>
      </c>
      <c r="D412" s="1998">
        <f>IF(Construction!$F$31=Construction!$R$22,Oeko!BQ412,Oeko!ED412)</f>
        <v>1.3333333333333333</v>
      </c>
      <c r="E412" s="1998">
        <f>IF(Construction!$F$31=Construction!$R$22,Oeko!BR412,Oeko!EE412)</f>
        <v>1.3333333333333333</v>
      </c>
      <c r="F412" s="1998">
        <f>IF(Construction!$F$31=Construction!$R$22,Oeko!BS412,Oeko!EF412)</f>
        <v>1.3333333333333333</v>
      </c>
      <c r="G412" s="1998">
        <f>IF(Construction!$F$31=Construction!$R$22,Oeko!BT412,Oeko!EG412)</f>
        <v>1.3333333333333333</v>
      </c>
      <c r="H412" s="1998">
        <f>IF(Construction!$F$31=Construction!$R$22,Oeko!BU412,Oeko!EH412)</f>
        <v>1.3333333333333333</v>
      </c>
      <c r="I412" s="1979">
        <f>IF(Construction!$F$31=Construction!$R$22,Oeko!BV412,Oeko!EI412)</f>
        <v>1</v>
      </c>
      <c r="J412" s="1979">
        <f>IF(Construction!$F$31=Construction!$R$22,Oeko!BW412,Oeko!EJ412)</f>
        <v>1</v>
      </c>
      <c r="K412" s="1979">
        <f>IF(Construction!$F$31=Construction!$R$22,Oeko!BX412,Oeko!EK412)</f>
        <v>1</v>
      </c>
      <c r="L412" s="1979">
        <f>IF(Construction!$F$31=Construction!$R$22,Oeko!BY412,Oeko!EL412)</f>
        <v>1</v>
      </c>
      <c r="M412" s="1979">
        <f>IF(Construction!$F$31=Construction!$R$22,Oeko!BZ412,Oeko!EM412)</f>
        <v>1</v>
      </c>
      <c r="N412" s="1998">
        <f>IF(Construction!$F$31=Construction!$R$22,Oeko!CA412,Oeko!EN412)</f>
        <v>1</v>
      </c>
      <c r="O412" s="1998">
        <f>IF(Construction!$F$31=Construction!$R$22,Oeko!CB412,Oeko!EO412)</f>
        <v>1</v>
      </c>
      <c r="P412" s="1998">
        <f>IF(Construction!$F$31=Construction!$R$22,Oeko!CC412,Oeko!EP412)</f>
        <v>1</v>
      </c>
      <c r="Q412" s="1998">
        <f>IF(Construction!$F$31=Construction!$R$22,Oeko!CD412,Oeko!EQ412)</f>
        <v>1</v>
      </c>
      <c r="R412" s="1998">
        <f>IF(Construction!$F$31=Construction!$R$22,Oeko!CE412,Oeko!ER412)</f>
        <v>1</v>
      </c>
      <c r="S412" s="1979">
        <f>IF(Construction!$F$31=Construction!$R$22,Oeko!CF412,Oeko!ES412)</f>
        <v>1</v>
      </c>
      <c r="T412" s="1979">
        <f>IF(Construction!$F$31=Construction!$R$22,Oeko!CG412,Oeko!ET412)</f>
        <v>1</v>
      </c>
      <c r="U412" s="1979">
        <f>IF(Construction!$F$31=Construction!$R$22,Oeko!CH412,Oeko!EU412)</f>
        <v>1</v>
      </c>
      <c r="V412" s="1979">
        <f>IF(Construction!$F$31=Construction!$R$22,Oeko!CI412,Oeko!EV412)</f>
        <v>1</v>
      </c>
      <c r="W412" s="1979">
        <f>IF(Construction!$F$31=Construction!$R$22,Oeko!CJ412,Oeko!EW412)</f>
        <v>1</v>
      </c>
      <c r="X412" s="1998">
        <f>IF(Construction!$F$31=Construction!$R$22,Oeko!CK412,Oeko!EX412)</f>
        <v>1</v>
      </c>
      <c r="Y412" s="1998">
        <f>IF(Construction!$F$31=Construction!$R$22,Oeko!CL412,Oeko!EY412)</f>
        <v>1</v>
      </c>
      <c r="Z412" s="1998">
        <f>IF(Construction!$F$31=Construction!$R$22,Oeko!CM412,Oeko!EZ412)</f>
        <v>1</v>
      </c>
      <c r="AA412" s="1998">
        <f>IF(Construction!$F$31=Construction!$R$22,Oeko!CN412,Oeko!FA412)</f>
        <v>1</v>
      </c>
      <c r="AB412" s="1998">
        <f>IF(Construction!$F$31=Construction!$R$22,Oeko!CO412,Oeko!FB412)</f>
        <v>1</v>
      </c>
      <c r="AC412" s="1979">
        <f>IF(Construction!$F$31=Construction!$R$22,Oeko!CP412,Oeko!FC412)</f>
        <v>1</v>
      </c>
      <c r="AD412" s="1979">
        <f>IF(Construction!$F$31=Construction!$R$22,Oeko!CQ412,Oeko!FD412)</f>
        <v>1</v>
      </c>
      <c r="AE412" s="1979">
        <f>IF(Construction!$F$31=Construction!$R$22,Oeko!CR412,Oeko!FE412)</f>
        <v>1</v>
      </c>
      <c r="AF412" s="1979">
        <f>IF(Construction!$F$31=Construction!$R$22,Oeko!CS412,Oeko!FF412)</f>
        <v>1</v>
      </c>
      <c r="AG412" s="1979">
        <f>IF(Construction!$F$31=Construction!$R$22,Oeko!CT412,Oeko!FG412)</f>
        <v>1</v>
      </c>
      <c r="AH412" s="1998">
        <f>IF(Construction!$F$31=Construction!$R$22,Oeko!CU412,Oeko!FH412)</f>
        <v>1</v>
      </c>
      <c r="AI412" s="1998">
        <f>IF(Construction!$F$31=Construction!$R$22,Oeko!CV412,Oeko!FI412)</f>
        <v>1</v>
      </c>
      <c r="AJ412" s="1998">
        <f>IF(Construction!$F$31=Construction!$R$22,Oeko!CW412,Oeko!FJ412)</f>
        <v>1</v>
      </c>
      <c r="AK412" s="1998">
        <f>IF(Construction!$F$31=Construction!$R$22,Oeko!CX412,Oeko!FK412)</f>
        <v>1</v>
      </c>
      <c r="AL412" s="1998">
        <f>IF(Construction!$F$31=Construction!$R$22,Oeko!CY412,Oeko!FL412)</f>
        <v>1</v>
      </c>
      <c r="AM412" s="1979">
        <f>IF(Construction!$F$31=Construction!$R$22,Oeko!CZ412,Oeko!FM412)</f>
        <v>1.3333333333333333</v>
      </c>
      <c r="AN412" s="1979">
        <f>IF(Construction!$F$31=Construction!$R$22,Oeko!DA412,Oeko!FN412)</f>
        <v>1.3333333333333333</v>
      </c>
      <c r="AO412" s="1979">
        <f>IF(Construction!$F$31=Construction!$R$22,Oeko!DB412,Oeko!FO412)</f>
        <v>1.3333333333333333</v>
      </c>
      <c r="AP412" s="1979">
        <f>IF(Construction!$F$31=Construction!$R$22,Oeko!DC412,Oeko!FP412)</f>
        <v>1.3333333333333333</v>
      </c>
      <c r="AQ412" s="1979">
        <f>IF(Construction!$F$31=Construction!$R$22,Oeko!DD412,Oeko!FQ412)</f>
        <v>1.3333333333333333</v>
      </c>
      <c r="AR412" s="1998">
        <f>IF(Construction!$F$31=Construction!$R$22,Oeko!DE412,Oeko!FR412)</f>
        <v>1</v>
      </c>
      <c r="AS412" s="1998">
        <f>IF(Construction!$F$31=Construction!$R$22,Oeko!DF412,Oeko!FS412)</f>
        <v>1</v>
      </c>
      <c r="AT412" s="1998">
        <f>IF(Construction!$F$31=Construction!$R$22,Oeko!DG412,Oeko!FT412)</f>
        <v>1</v>
      </c>
      <c r="AU412" s="1998">
        <f>IF(Construction!$F$31=Construction!$R$22,Oeko!DH412,Oeko!FU412)</f>
        <v>1</v>
      </c>
      <c r="AV412" s="1998">
        <f>IF(Construction!$F$31=Construction!$R$22,Oeko!DI412,Oeko!FV412)</f>
        <v>1</v>
      </c>
      <c r="AW412" s="1979">
        <f>IF(Construction!$F$31=Construction!$R$22,Oeko!DJ412,Oeko!FW412)</f>
        <v>1</v>
      </c>
      <c r="AX412" s="1979">
        <f>IF(Construction!$F$31=Construction!$R$22,Oeko!DK412,Oeko!FX412)</f>
        <v>1</v>
      </c>
      <c r="AY412" s="1979">
        <f>IF(Construction!$F$31=Construction!$R$22,Oeko!DL412,Oeko!FY412)</f>
        <v>1</v>
      </c>
      <c r="AZ412" s="1979">
        <f>IF(Construction!$F$31=Construction!$R$22,Oeko!DM412,Oeko!FZ412)</f>
        <v>1</v>
      </c>
      <c r="BA412" s="1979">
        <f>IF(Construction!$F$31=Construction!$R$22,Oeko!DN412,Oeko!GA412)</f>
        <v>1</v>
      </c>
      <c r="BB412" s="1998">
        <f>IF(Construction!$F$31=Construction!$R$22,Oeko!DO412,Oeko!GB412)</f>
        <v>0.12461206483213953</v>
      </c>
      <c r="BC412" s="1998">
        <f>IF(Construction!$F$31=Construction!$R$22,Oeko!DP412,Oeko!GC412)</f>
        <v>0.12461206483213953</v>
      </c>
      <c r="BD412" s="1998">
        <f>IF(Construction!$F$31=Construction!$R$22,Oeko!DQ412,Oeko!GD412)</f>
        <v>0.12461206483213953</v>
      </c>
      <c r="BE412" s="1998">
        <f>IF(Construction!$F$31=Construction!$R$22,Oeko!DR412,Oeko!GE412)</f>
        <v>0.12461206483213953</v>
      </c>
      <c r="BF412" s="1998">
        <f>IF(Construction!$F$31=Construction!$R$22,Oeko!DS412,Oeko!GF412)</f>
        <v>0.12461206483213953</v>
      </c>
      <c r="BG412" s="1979">
        <f>IF(Construction!$F$31=Construction!$R$22,Oeko!DT412,Oeko!GG412)</f>
        <v>0.12783559671100567</v>
      </c>
      <c r="BH412" s="1979">
        <f>IF(Construction!$F$31=Construction!$R$22,Oeko!DU412,Oeko!GH412)</f>
        <v>0.12783559671100567</v>
      </c>
      <c r="BI412" s="1979">
        <f>IF(Construction!$F$31=Construction!$R$22,Oeko!DV412,Oeko!GI412)</f>
        <v>0.12783559671100567</v>
      </c>
      <c r="BJ412" s="1979">
        <f>IF(Construction!$F$31=Construction!$R$22,Oeko!DW412,Oeko!GJ412)</f>
        <v>0.12783559671100567</v>
      </c>
      <c r="BK412" s="2021">
        <f>IF(Construction!$F$31=Construction!$R$22,Oeko!DX412,Oeko!GK412)</f>
        <v>0.12783559671100567</v>
      </c>
      <c r="BN412" s="2022"/>
      <c r="BO412" s="2">
        <v>28</v>
      </c>
      <c r="BP412" s="2" t="s">
        <v>4274</v>
      </c>
      <c r="BQ412" s="1998">
        <v>1.3333333333333333</v>
      </c>
      <c r="BR412" s="1998">
        <v>1.3333333333333333</v>
      </c>
      <c r="BS412" s="1998">
        <v>1.3333333333333333</v>
      </c>
      <c r="BT412" s="1998">
        <v>1.3333333333333333</v>
      </c>
      <c r="BU412" s="1998">
        <v>1.3333333333333333</v>
      </c>
      <c r="BV412" s="1979">
        <v>1</v>
      </c>
      <c r="BW412" s="1979">
        <v>1</v>
      </c>
      <c r="BX412" s="1979">
        <v>1</v>
      </c>
      <c r="BY412" s="1979">
        <v>1</v>
      </c>
      <c r="BZ412" s="1979">
        <v>1</v>
      </c>
      <c r="CA412" s="1998">
        <v>1</v>
      </c>
      <c r="CB412" s="1998">
        <v>1</v>
      </c>
      <c r="CC412" s="1998">
        <v>1</v>
      </c>
      <c r="CD412" s="1998">
        <v>1</v>
      </c>
      <c r="CE412" s="1998">
        <v>1</v>
      </c>
      <c r="CF412" s="1979">
        <v>1</v>
      </c>
      <c r="CG412" s="1979">
        <v>1</v>
      </c>
      <c r="CH412" s="1979">
        <v>1</v>
      </c>
      <c r="CI412" s="1979">
        <v>1</v>
      </c>
      <c r="CJ412" s="1979">
        <v>1</v>
      </c>
      <c r="CK412" s="1998">
        <v>1</v>
      </c>
      <c r="CL412" s="1998">
        <v>1</v>
      </c>
      <c r="CM412" s="1998">
        <v>1</v>
      </c>
      <c r="CN412" s="1998">
        <v>1</v>
      </c>
      <c r="CO412" s="1998">
        <v>1</v>
      </c>
      <c r="CP412" s="1979">
        <v>1</v>
      </c>
      <c r="CQ412" s="1979">
        <v>1</v>
      </c>
      <c r="CR412" s="1979">
        <v>1</v>
      </c>
      <c r="CS412" s="1979">
        <v>1</v>
      </c>
      <c r="CT412" s="1979">
        <v>1</v>
      </c>
      <c r="CU412" s="1998">
        <v>1</v>
      </c>
      <c r="CV412" s="1998">
        <v>1</v>
      </c>
      <c r="CW412" s="1998">
        <v>1</v>
      </c>
      <c r="CX412" s="1998">
        <v>1</v>
      </c>
      <c r="CY412" s="1998">
        <v>1</v>
      </c>
      <c r="CZ412" s="1979">
        <v>1.3333333333333333</v>
      </c>
      <c r="DA412" s="1979">
        <v>1.3333333333333333</v>
      </c>
      <c r="DB412" s="1979">
        <v>1.3333333333333333</v>
      </c>
      <c r="DC412" s="1979">
        <v>1.3333333333333333</v>
      </c>
      <c r="DD412" s="1979">
        <v>1.3333333333333333</v>
      </c>
      <c r="DE412" s="1998">
        <v>1</v>
      </c>
      <c r="DF412" s="1998">
        <v>1</v>
      </c>
      <c r="DG412" s="1998">
        <v>1</v>
      </c>
      <c r="DH412" s="1998">
        <v>1</v>
      </c>
      <c r="DI412" s="1998">
        <v>1</v>
      </c>
      <c r="DJ412" s="1979">
        <v>1</v>
      </c>
      <c r="DK412" s="1979">
        <v>1</v>
      </c>
      <c r="DL412" s="1979">
        <v>1</v>
      </c>
      <c r="DM412" s="1979">
        <v>1</v>
      </c>
      <c r="DN412" s="1979">
        <v>1</v>
      </c>
      <c r="DO412" s="1998">
        <v>0.12461206483213953</v>
      </c>
      <c r="DP412" s="1998">
        <v>0.12461206483213953</v>
      </c>
      <c r="DQ412" s="1998">
        <v>0.12461206483213953</v>
      </c>
      <c r="DR412" s="1998">
        <v>0.12461206483213953</v>
      </c>
      <c r="DS412" s="1998">
        <v>0.12461206483213953</v>
      </c>
      <c r="DT412" s="1979">
        <v>0.12783559671100567</v>
      </c>
      <c r="DU412" s="1979">
        <v>0.12783559671100567</v>
      </c>
      <c r="DV412" s="1979">
        <v>0.12783559671100567</v>
      </c>
      <c r="DW412" s="1979">
        <v>0.12783559671100567</v>
      </c>
      <c r="DX412" s="2021">
        <v>0.12783559671100567</v>
      </c>
      <c r="EA412" s="2022"/>
      <c r="EB412" s="2">
        <v>28</v>
      </c>
      <c r="EC412" s="2" t="s">
        <v>4274</v>
      </c>
      <c r="ED412" s="1998">
        <v>1.9131650441871284</v>
      </c>
      <c r="EE412" s="1998">
        <v>1.9131650441871284</v>
      </c>
      <c r="EF412" s="1998">
        <v>1.9131650441871284</v>
      </c>
      <c r="EG412" s="1998">
        <v>1.9131650441871284</v>
      </c>
      <c r="EH412" s="1998">
        <v>1.9131650441871284</v>
      </c>
      <c r="EI412" s="1979">
        <v>2.8465432892377889</v>
      </c>
      <c r="EJ412" s="1979">
        <v>2.8465432892377889</v>
      </c>
      <c r="EK412" s="1979">
        <v>2.8465432892377889</v>
      </c>
      <c r="EL412" s="1979">
        <v>2.8465432892377889</v>
      </c>
      <c r="EM412" s="1979">
        <v>2.8465432892377889</v>
      </c>
      <c r="EN412" s="1998">
        <v>1.5359628313625786</v>
      </c>
      <c r="EO412" s="1998">
        <v>1.5359628313625786</v>
      </c>
      <c r="EP412" s="1998">
        <v>1.5359628313625786</v>
      </c>
      <c r="EQ412" s="1998">
        <v>1.5359628313625786</v>
      </c>
      <c r="ER412" s="1998">
        <v>1.5359628313625786</v>
      </c>
      <c r="ES412" s="1979">
        <v>2.2223220121423544</v>
      </c>
      <c r="ET412" s="1979">
        <v>2.2223220121423544</v>
      </c>
      <c r="EU412" s="1979">
        <v>2.2223220121423544</v>
      </c>
      <c r="EV412" s="1979">
        <v>2.2223220121423544</v>
      </c>
      <c r="EW412" s="1979">
        <v>2.2223220121423544</v>
      </c>
      <c r="EX412" s="1998">
        <v>1.6025462768605891</v>
      </c>
      <c r="EY412" s="1998">
        <v>1.6025462768605891</v>
      </c>
      <c r="EZ412" s="1998">
        <v>1.6025462768605891</v>
      </c>
      <c r="FA412" s="1998">
        <v>1.6025462768605891</v>
      </c>
      <c r="FB412" s="1998">
        <v>1.6025462768605891</v>
      </c>
      <c r="FC412" s="1979">
        <v>2.7889449691881021</v>
      </c>
      <c r="FD412" s="1979">
        <v>2.7889449691881021</v>
      </c>
      <c r="FE412" s="1979">
        <v>2.7889449691881021</v>
      </c>
      <c r="FF412" s="1979">
        <v>2.7889449691881021</v>
      </c>
      <c r="FG412" s="1979">
        <v>2.7889449691881021</v>
      </c>
      <c r="FH412" s="1998">
        <v>3.0738975889732503</v>
      </c>
      <c r="FI412" s="1998">
        <v>3.0738975889732503</v>
      </c>
      <c r="FJ412" s="1998">
        <v>3.0738975889732503</v>
      </c>
      <c r="FK412" s="1998">
        <v>3.0738975889732503</v>
      </c>
      <c r="FL412" s="1998">
        <v>3.0738975889732503</v>
      </c>
      <c r="FM412" s="1979">
        <v>2.1488273674994858</v>
      </c>
      <c r="FN412" s="1979">
        <v>2.1488273674994858</v>
      </c>
      <c r="FO412" s="1979">
        <v>2.1488273674994858</v>
      </c>
      <c r="FP412" s="1979">
        <v>2.1488273674994858</v>
      </c>
      <c r="FQ412" s="1979">
        <v>2.1488273674994858</v>
      </c>
      <c r="FR412" s="1998">
        <v>13.369000166152871</v>
      </c>
      <c r="FS412" s="1998">
        <v>13.369000166152871</v>
      </c>
      <c r="FT412" s="1998">
        <v>13.369000166152871</v>
      </c>
      <c r="FU412" s="1998">
        <v>13.369000166152871</v>
      </c>
      <c r="FV412" s="1998">
        <v>13.369000166152871</v>
      </c>
      <c r="FW412" s="1979">
        <v>13.773442532407794</v>
      </c>
      <c r="FX412" s="1979">
        <v>13.773442532407794</v>
      </c>
      <c r="FY412" s="1979">
        <v>13.773442532407794</v>
      </c>
      <c r="FZ412" s="1979">
        <v>13.773442532407794</v>
      </c>
      <c r="GA412" s="1979">
        <v>13.773442532407794</v>
      </c>
      <c r="GB412" s="1998">
        <v>1.4210514828272911</v>
      </c>
      <c r="GC412" s="1998">
        <v>1.4210514828272911</v>
      </c>
      <c r="GD412" s="1998">
        <v>1.4210514828272911</v>
      </c>
      <c r="GE412" s="1998">
        <v>1.4210514828272911</v>
      </c>
      <c r="GF412" s="1998">
        <v>1.4210514828272911</v>
      </c>
      <c r="GG412" s="1979">
        <v>1.4937237494535853</v>
      </c>
      <c r="GH412" s="1979">
        <v>1.4937237494535853</v>
      </c>
      <c r="GI412" s="1979">
        <v>1.4937237494535853</v>
      </c>
      <c r="GJ412" s="1979">
        <v>1.4937237494535853</v>
      </c>
      <c r="GK412" s="2021">
        <v>1.4937237494535853</v>
      </c>
    </row>
    <row r="413" spans="1:193">
      <c r="A413" s="2020"/>
      <c r="B413" s="2">
        <v>29</v>
      </c>
      <c r="C413" s="2" t="str">
        <f>$AD$13</f>
        <v>Fondation superficielle</v>
      </c>
      <c r="D413" s="1998">
        <f>IF(Construction!$F$31=Construction!$R$22,Oeko!BQ413,Oeko!ED413)</f>
        <v>1</v>
      </c>
      <c r="E413" s="1998">
        <f>IF(Construction!$F$31=Construction!$R$22,Oeko!BR413,Oeko!EE413)</f>
        <v>1</v>
      </c>
      <c r="F413" s="1998">
        <f>IF(Construction!$F$31=Construction!$R$22,Oeko!BS413,Oeko!EF413)</f>
        <v>1</v>
      </c>
      <c r="G413" s="1998">
        <f>IF(Construction!$F$31=Construction!$R$22,Oeko!BT413,Oeko!EG413)</f>
        <v>1</v>
      </c>
      <c r="H413" s="1998">
        <f>IF(Construction!$F$31=Construction!$R$22,Oeko!BU413,Oeko!EH413)</f>
        <v>1</v>
      </c>
      <c r="I413" s="1979">
        <f>IF(Construction!$F$31=Construction!$R$22,Oeko!BV413,Oeko!EI413)</f>
        <v>1</v>
      </c>
      <c r="J413" s="1979">
        <f>IF(Construction!$F$31=Construction!$R$22,Oeko!BW413,Oeko!EJ413)</f>
        <v>1</v>
      </c>
      <c r="K413" s="1979">
        <f>IF(Construction!$F$31=Construction!$R$22,Oeko!BX413,Oeko!EK413)</f>
        <v>1</v>
      </c>
      <c r="L413" s="1979">
        <f>IF(Construction!$F$31=Construction!$R$22,Oeko!BY413,Oeko!EL413)</f>
        <v>1</v>
      </c>
      <c r="M413" s="1979">
        <f>IF(Construction!$F$31=Construction!$R$22,Oeko!BZ413,Oeko!EM413)</f>
        <v>1</v>
      </c>
      <c r="N413" s="1998">
        <f>IF(Construction!$F$31=Construction!$R$22,Oeko!CA413,Oeko!EN413)</f>
        <v>1</v>
      </c>
      <c r="O413" s="1998">
        <f>IF(Construction!$F$31=Construction!$R$22,Oeko!CB413,Oeko!EO413)</f>
        <v>1</v>
      </c>
      <c r="P413" s="1998">
        <f>IF(Construction!$F$31=Construction!$R$22,Oeko!CC413,Oeko!EP413)</f>
        <v>1</v>
      </c>
      <c r="Q413" s="1998">
        <f>IF(Construction!$F$31=Construction!$R$22,Oeko!CD413,Oeko!EQ413)</f>
        <v>1</v>
      </c>
      <c r="R413" s="1998">
        <f>IF(Construction!$F$31=Construction!$R$22,Oeko!CE413,Oeko!ER413)</f>
        <v>1</v>
      </c>
      <c r="S413" s="1979">
        <f>IF(Construction!$F$31=Construction!$R$22,Oeko!CF413,Oeko!ES413)</f>
        <v>1</v>
      </c>
      <c r="T413" s="1979">
        <f>IF(Construction!$F$31=Construction!$R$22,Oeko!CG413,Oeko!ET413)</f>
        <v>1</v>
      </c>
      <c r="U413" s="1979">
        <f>IF(Construction!$F$31=Construction!$R$22,Oeko!CH413,Oeko!EU413)</f>
        <v>1</v>
      </c>
      <c r="V413" s="1979">
        <f>IF(Construction!$F$31=Construction!$R$22,Oeko!CI413,Oeko!EV413)</f>
        <v>1</v>
      </c>
      <c r="W413" s="1979">
        <f>IF(Construction!$F$31=Construction!$R$22,Oeko!CJ413,Oeko!EW413)</f>
        <v>1</v>
      </c>
      <c r="X413" s="1998">
        <f>IF(Construction!$F$31=Construction!$R$22,Oeko!CK413,Oeko!EX413)</f>
        <v>1</v>
      </c>
      <c r="Y413" s="1998">
        <f>IF(Construction!$F$31=Construction!$R$22,Oeko!CL413,Oeko!EY413)</f>
        <v>1</v>
      </c>
      <c r="Z413" s="1998">
        <f>IF(Construction!$F$31=Construction!$R$22,Oeko!CM413,Oeko!EZ413)</f>
        <v>1</v>
      </c>
      <c r="AA413" s="1998">
        <f>IF(Construction!$F$31=Construction!$R$22,Oeko!CN413,Oeko!FA413)</f>
        <v>1</v>
      </c>
      <c r="AB413" s="1998">
        <f>IF(Construction!$F$31=Construction!$R$22,Oeko!CO413,Oeko!FB413)</f>
        <v>1</v>
      </c>
      <c r="AC413" s="1979">
        <f>IF(Construction!$F$31=Construction!$R$22,Oeko!CP413,Oeko!FC413)</f>
        <v>1</v>
      </c>
      <c r="AD413" s="1979">
        <f>IF(Construction!$F$31=Construction!$R$22,Oeko!CQ413,Oeko!FD413)</f>
        <v>1</v>
      </c>
      <c r="AE413" s="1979">
        <f>IF(Construction!$F$31=Construction!$R$22,Oeko!CR413,Oeko!FE413)</f>
        <v>1</v>
      </c>
      <c r="AF413" s="1979">
        <f>IF(Construction!$F$31=Construction!$R$22,Oeko!CS413,Oeko!FF413)</f>
        <v>1</v>
      </c>
      <c r="AG413" s="1979">
        <f>IF(Construction!$F$31=Construction!$R$22,Oeko!CT413,Oeko!FG413)</f>
        <v>1</v>
      </c>
      <c r="AH413" s="1998">
        <f>IF(Construction!$F$31=Construction!$R$22,Oeko!CU413,Oeko!FH413)</f>
        <v>1</v>
      </c>
      <c r="AI413" s="1998">
        <f>IF(Construction!$F$31=Construction!$R$22,Oeko!CV413,Oeko!FI413)</f>
        <v>1</v>
      </c>
      <c r="AJ413" s="1998">
        <f>IF(Construction!$F$31=Construction!$R$22,Oeko!CW413,Oeko!FJ413)</f>
        <v>1</v>
      </c>
      <c r="AK413" s="1998">
        <f>IF(Construction!$F$31=Construction!$R$22,Oeko!CX413,Oeko!FK413)</f>
        <v>1</v>
      </c>
      <c r="AL413" s="1998">
        <f>IF(Construction!$F$31=Construction!$R$22,Oeko!CY413,Oeko!FL413)</f>
        <v>1</v>
      </c>
      <c r="AM413" s="1979">
        <f>IF(Construction!$F$31=Construction!$R$22,Oeko!CZ413,Oeko!FM413)</f>
        <v>1</v>
      </c>
      <c r="AN413" s="1979">
        <f>IF(Construction!$F$31=Construction!$R$22,Oeko!DA413,Oeko!FN413)</f>
        <v>1</v>
      </c>
      <c r="AO413" s="1979">
        <f>IF(Construction!$F$31=Construction!$R$22,Oeko!DB413,Oeko!FO413)</f>
        <v>1</v>
      </c>
      <c r="AP413" s="1979">
        <f>IF(Construction!$F$31=Construction!$R$22,Oeko!DC413,Oeko!FP413)</f>
        <v>1</v>
      </c>
      <c r="AQ413" s="1979">
        <f>IF(Construction!$F$31=Construction!$R$22,Oeko!DD413,Oeko!FQ413)</f>
        <v>1</v>
      </c>
      <c r="AR413" s="1998">
        <f>IF(Construction!$F$31=Construction!$R$22,Oeko!DE413,Oeko!FR413)</f>
        <v>1</v>
      </c>
      <c r="AS413" s="1998">
        <f>IF(Construction!$F$31=Construction!$R$22,Oeko!DF413,Oeko!FS413)</f>
        <v>1</v>
      </c>
      <c r="AT413" s="1998">
        <f>IF(Construction!$F$31=Construction!$R$22,Oeko!DG413,Oeko!FT413)</f>
        <v>1</v>
      </c>
      <c r="AU413" s="1998">
        <f>IF(Construction!$F$31=Construction!$R$22,Oeko!DH413,Oeko!FU413)</f>
        <v>1</v>
      </c>
      <c r="AV413" s="1998">
        <f>IF(Construction!$F$31=Construction!$R$22,Oeko!DI413,Oeko!FV413)</f>
        <v>1</v>
      </c>
      <c r="AW413" s="1979">
        <f>IF(Construction!$F$31=Construction!$R$22,Oeko!DJ413,Oeko!FW413)</f>
        <v>1</v>
      </c>
      <c r="AX413" s="1979">
        <f>IF(Construction!$F$31=Construction!$R$22,Oeko!DK413,Oeko!FX413)</f>
        <v>1</v>
      </c>
      <c r="AY413" s="1979">
        <f>IF(Construction!$F$31=Construction!$R$22,Oeko!DL413,Oeko!FY413)</f>
        <v>1</v>
      </c>
      <c r="AZ413" s="1979">
        <f>IF(Construction!$F$31=Construction!$R$22,Oeko!DM413,Oeko!FZ413)</f>
        <v>1</v>
      </c>
      <c r="BA413" s="1979">
        <f>IF(Construction!$F$31=Construction!$R$22,Oeko!DN413,Oeko!GA413)</f>
        <v>1</v>
      </c>
      <c r="BB413" s="1998">
        <f>IF(Construction!$F$31=Construction!$R$22,Oeko!DO413,Oeko!GB413)</f>
        <v>1</v>
      </c>
      <c r="BC413" s="1998">
        <f>IF(Construction!$F$31=Construction!$R$22,Oeko!DP413,Oeko!GC413)</f>
        <v>1</v>
      </c>
      <c r="BD413" s="1998">
        <f>IF(Construction!$F$31=Construction!$R$22,Oeko!DQ413,Oeko!GD413)</f>
        <v>1</v>
      </c>
      <c r="BE413" s="1998">
        <f>IF(Construction!$F$31=Construction!$R$22,Oeko!DR413,Oeko!GE413)</f>
        <v>1</v>
      </c>
      <c r="BF413" s="1998">
        <f>IF(Construction!$F$31=Construction!$R$22,Oeko!DS413,Oeko!GF413)</f>
        <v>1</v>
      </c>
      <c r="BG413" s="1979">
        <f>IF(Construction!$F$31=Construction!$R$22,Oeko!DT413,Oeko!GG413)</f>
        <v>1</v>
      </c>
      <c r="BH413" s="1979">
        <f>IF(Construction!$F$31=Construction!$R$22,Oeko!DU413,Oeko!GH413)</f>
        <v>1</v>
      </c>
      <c r="BI413" s="1979">
        <f>IF(Construction!$F$31=Construction!$R$22,Oeko!DV413,Oeko!GI413)</f>
        <v>1</v>
      </c>
      <c r="BJ413" s="1979">
        <f>IF(Construction!$F$31=Construction!$R$22,Oeko!DW413,Oeko!GJ413)</f>
        <v>1</v>
      </c>
      <c r="BK413" s="2021">
        <f>IF(Construction!$F$31=Construction!$R$22,Oeko!DX413,Oeko!GK413)</f>
        <v>1</v>
      </c>
      <c r="BN413" s="2022"/>
      <c r="BO413" s="2">
        <v>29</v>
      </c>
      <c r="BP413" s="2" t="str">
        <f>$AD$13</f>
        <v>Fondation superficielle</v>
      </c>
      <c r="BQ413" s="1998">
        <v>1</v>
      </c>
      <c r="BR413" s="1998">
        <v>1</v>
      </c>
      <c r="BS413" s="1998">
        <v>1</v>
      </c>
      <c r="BT413" s="1998">
        <v>1</v>
      </c>
      <c r="BU413" s="1998">
        <v>1</v>
      </c>
      <c r="BV413" s="1979">
        <v>1</v>
      </c>
      <c r="BW413" s="1979">
        <v>1</v>
      </c>
      <c r="BX413" s="1979">
        <v>1</v>
      </c>
      <c r="BY413" s="1979">
        <v>1</v>
      </c>
      <c r="BZ413" s="1979">
        <v>1</v>
      </c>
      <c r="CA413" s="1998">
        <v>1</v>
      </c>
      <c r="CB413" s="1998">
        <v>1</v>
      </c>
      <c r="CC413" s="1998">
        <v>1</v>
      </c>
      <c r="CD413" s="1998">
        <v>1</v>
      </c>
      <c r="CE413" s="1998">
        <v>1</v>
      </c>
      <c r="CF413" s="1979">
        <v>1</v>
      </c>
      <c r="CG413" s="1979">
        <v>1</v>
      </c>
      <c r="CH413" s="1979">
        <v>1</v>
      </c>
      <c r="CI413" s="1979">
        <v>1</v>
      </c>
      <c r="CJ413" s="1979">
        <v>1</v>
      </c>
      <c r="CK413" s="1998">
        <v>1</v>
      </c>
      <c r="CL413" s="1998">
        <v>1</v>
      </c>
      <c r="CM413" s="1998">
        <v>1</v>
      </c>
      <c r="CN413" s="1998">
        <v>1</v>
      </c>
      <c r="CO413" s="1998">
        <v>1</v>
      </c>
      <c r="CP413" s="1979">
        <v>1</v>
      </c>
      <c r="CQ413" s="1979">
        <v>1</v>
      </c>
      <c r="CR413" s="1979">
        <v>1</v>
      </c>
      <c r="CS413" s="1979">
        <v>1</v>
      </c>
      <c r="CT413" s="1979">
        <v>1</v>
      </c>
      <c r="CU413" s="1998">
        <v>1</v>
      </c>
      <c r="CV413" s="1998">
        <v>1</v>
      </c>
      <c r="CW413" s="1998">
        <v>1</v>
      </c>
      <c r="CX413" s="1998">
        <v>1</v>
      </c>
      <c r="CY413" s="1998">
        <v>1</v>
      </c>
      <c r="CZ413" s="1979">
        <v>1</v>
      </c>
      <c r="DA413" s="1979">
        <v>1</v>
      </c>
      <c r="DB413" s="1979">
        <v>1</v>
      </c>
      <c r="DC413" s="1979">
        <v>1</v>
      </c>
      <c r="DD413" s="1979">
        <v>1</v>
      </c>
      <c r="DE413" s="1998">
        <v>1</v>
      </c>
      <c r="DF413" s="1998">
        <v>1</v>
      </c>
      <c r="DG413" s="1998">
        <v>1</v>
      </c>
      <c r="DH413" s="1998">
        <v>1</v>
      </c>
      <c r="DI413" s="1998">
        <v>1</v>
      </c>
      <c r="DJ413" s="1979">
        <v>1</v>
      </c>
      <c r="DK413" s="1979">
        <v>1</v>
      </c>
      <c r="DL413" s="1979">
        <v>1</v>
      </c>
      <c r="DM413" s="1979">
        <v>1</v>
      </c>
      <c r="DN413" s="1979">
        <v>1</v>
      </c>
      <c r="DO413" s="1998">
        <v>1</v>
      </c>
      <c r="DP413" s="1998">
        <v>1</v>
      </c>
      <c r="DQ413" s="1998">
        <v>1</v>
      </c>
      <c r="DR413" s="1998">
        <v>1</v>
      </c>
      <c r="DS413" s="1998">
        <v>1</v>
      </c>
      <c r="DT413" s="1979">
        <v>1</v>
      </c>
      <c r="DU413" s="1979">
        <v>1</v>
      </c>
      <c r="DV413" s="1979">
        <v>1</v>
      </c>
      <c r="DW413" s="1979">
        <v>1</v>
      </c>
      <c r="DX413" s="2021">
        <v>1</v>
      </c>
      <c r="EA413" s="2022"/>
      <c r="EB413" s="2">
        <v>29</v>
      </c>
      <c r="EC413" s="2" t="str">
        <f>$AD$13</f>
        <v>Fondation superficielle</v>
      </c>
      <c r="ED413" s="1998">
        <v>1.3605609674202821</v>
      </c>
      <c r="EE413" s="1998">
        <v>1.3605609674202821</v>
      </c>
      <c r="EF413" s="1998">
        <v>1.3605609674202821</v>
      </c>
      <c r="EG413" s="1998">
        <v>1.3605609674202821</v>
      </c>
      <c r="EH413" s="1998">
        <v>1.3605609674202821</v>
      </c>
      <c r="EI413" s="1979">
        <v>2.0966679740137137</v>
      </c>
      <c r="EJ413" s="1979">
        <v>2.0966679740137137</v>
      </c>
      <c r="EK413" s="1979">
        <v>2.0966679740137137</v>
      </c>
      <c r="EL413" s="1979">
        <v>2.0966679740137137</v>
      </c>
      <c r="EM413" s="1979">
        <v>2.0966679740137137</v>
      </c>
      <c r="EN413" s="1998">
        <v>1.4337071065592959</v>
      </c>
      <c r="EO413" s="1998">
        <v>1.4337071065592959</v>
      </c>
      <c r="EP413" s="1998">
        <v>1.4337071065592959</v>
      </c>
      <c r="EQ413" s="1998">
        <v>1.4337071065592959</v>
      </c>
      <c r="ER413" s="1998">
        <v>1.4337071065592959</v>
      </c>
      <c r="ES413" s="1979">
        <v>1.8379162318633464</v>
      </c>
      <c r="ET413" s="1979">
        <v>1.8379162318633464</v>
      </c>
      <c r="EU413" s="1979">
        <v>1.8379162318633464</v>
      </c>
      <c r="EV413" s="1979">
        <v>1.8379162318633464</v>
      </c>
      <c r="EW413" s="1979">
        <v>1.8379162318633464</v>
      </c>
      <c r="EX413" s="1998">
        <v>1.4662053104562123</v>
      </c>
      <c r="EY413" s="1998">
        <v>1.4662053104562123</v>
      </c>
      <c r="EZ413" s="1998">
        <v>1.4662053104562123</v>
      </c>
      <c r="FA413" s="1998">
        <v>1.4662053104562123</v>
      </c>
      <c r="FB413" s="1998">
        <v>1.4662053104562123</v>
      </c>
      <c r="FC413" s="1979">
        <v>1.6277744053108218</v>
      </c>
      <c r="FD413" s="1979">
        <v>1.6277744053108218</v>
      </c>
      <c r="FE413" s="1979">
        <v>1.6277744053108218</v>
      </c>
      <c r="FF413" s="1979">
        <v>1.6277744053108218</v>
      </c>
      <c r="FG413" s="1979">
        <v>1.6277744053108218</v>
      </c>
      <c r="FH413" s="1998">
        <v>2.3921927569513635</v>
      </c>
      <c r="FI413" s="1998">
        <v>2.3921927569513635</v>
      </c>
      <c r="FJ413" s="1998">
        <v>2.3921927569513635</v>
      </c>
      <c r="FK413" s="1998">
        <v>2.3921927569513635</v>
      </c>
      <c r="FL413" s="1998">
        <v>2.3921927569513635</v>
      </c>
      <c r="FM413" s="1979">
        <v>1.5115041757386145</v>
      </c>
      <c r="FN413" s="1979">
        <v>1.5115041757386145</v>
      </c>
      <c r="FO413" s="1979">
        <v>1.5115041757386145</v>
      </c>
      <c r="FP413" s="1979">
        <v>1.5115041757386145</v>
      </c>
      <c r="FQ413" s="1979">
        <v>1.5115041757386145</v>
      </c>
      <c r="FR413" s="1998">
        <v>8.1198212572277306</v>
      </c>
      <c r="FS413" s="1998">
        <v>8.1198212572277306</v>
      </c>
      <c r="FT413" s="1998">
        <v>8.1198212572277306</v>
      </c>
      <c r="FU413" s="1998">
        <v>8.1198212572277306</v>
      </c>
      <c r="FV413" s="1998">
        <v>8.1198212572277306</v>
      </c>
      <c r="FW413" s="1979">
        <v>8.4799072816005001</v>
      </c>
      <c r="FX413" s="1979">
        <v>8.4799072816005001</v>
      </c>
      <c r="FY413" s="1979">
        <v>8.4799072816005001</v>
      </c>
      <c r="FZ413" s="1979">
        <v>8.4799072816005001</v>
      </c>
      <c r="GA413" s="1979">
        <v>8.4799072816005001</v>
      </c>
      <c r="GB413" s="1998">
        <v>1.3861479372000356</v>
      </c>
      <c r="GC413" s="1998">
        <v>1.3861479372000356</v>
      </c>
      <c r="GD413" s="1998">
        <v>1.3861479372000356</v>
      </c>
      <c r="GE413" s="1998">
        <v>1.3861479372000356</v>
      </c>
      <c r="GF413" s="1998">
        <v>1.3861479372000356</v>
      </c>
      <c r="GG413" s="1979">
        <v>1.4313071575784038</v>
      </c>
      <c r="GH413" s="1979">
        <v>1.4313071575784038</v>
      </c>
      <c r="GI413" s="1979">
        <v>1.4313071575784038</v>
      </c>
      <c r="GJ413" s="1979">
        <v>1.4313071575784038</v>
      </c>
      <c r="GK413" s="2021">
        <v>1.4313071575784038</v>
      </c>
    </row>
    <row r="414" spans="1:193">
      <c r="A414" s="2020"/>
      <c r="B414" s="2">
        <v>30</v>
      </c>
      <c r="C414" s="2" t="str">
        <f>$AD$14</f>
        <v>Micro-pieux</v>
      </c>
      <c r="D414" s="1998">
        <f>IF(Construction!$F$31=Construction!$R$22,Oeko!BQ414,Oeko!ED414)</f>
        <v>1</v>
      </c>
      <c r="E414" s="1998">
        <f>IF(Construction!$F$31=Construction!$R$22,Oeko!BR414,Oeko!EE414)</f>
        <v>1</v>
      </c>
      <c r="F414" s="1998">
        <f>IF(Construction!$F$31=Construction!$R$22,Oeko!BS414,Oeko!EF414)</f>
        <v>1</v>
      </c>
      <c r="G414" s="1998">
        <f>IF(Construction!$F$31=Construction!$R$22,Oeko!BT414,Oeko!EG414)</f>
        <v>1</v>
      </c>
      <c r="H414" s="1998">
        <f>IF(Construction!$F$31=Construction!$R$22,Oeko!BU414,Oeko!EH414)</f>
        <v>1</v>
      </c>
      <c r="I414" s="1979">
        <f>IF(Construction!$F$31=Construction!$R$22,Oeko!BV414,Oeko!EI414)</f>
        <v>1</v>
      </c>
      <c r="J414" s="1979">
        <f>IF(Construction!$F$31=Construction!$R$22,Oeko!BW414,Oeko!EJ414)</f>
        <v>1</v>
      </c>
      <c r="K414" s="1979">
        <f>IF(Construction!$F$31=Construction!$R$22,Oeko!BX414,Oeko!EK414)</f>
        <v>1</v>
      </c>
      <c r="L414" s="1979">
        <f>IF(Construction!$F$31=Construction!$R$22,Oeko!BY414,Oeko!EL414)</f>
        <v>1</v>
      </c>
      <c r="M414" s="1979">
        <f>IF(Construction!$F$31=Construction!$R$22,Oeko!BZ414,Oeko!EM414)</f>
        <v>1</v>
      </c>
      <c r="N414" s="1998">
        <f>IF(Construction!$F$31=Construction!$R$22,Oeko!CA414,Oeko!EN414)</f>
        <v>1</v>
      </c>
      <c r="O414" s="1998">
        <f>IF(Construction!$F$31=Construction!$R$22,Oeko!CB414,Oeko!EO414)</f>
        <v>1</v>
      </c>
      <c r="P414" s="1998">
        <f>IF(Construction!$F$31=Construction!$R$22,Oeko!CC414,Oeko!EP414)</f>
        <v>1</v>
      </c>
      <c r="Q414" s="1998">
        <f>IF(Construction!$F$31=Construction!$R$22,Oeko!CD414,Oeko!EQ414)</f>
        <v>1</v>
      </c>
      <c r="R414" s="1998">
        <f>IF(Construction!$F$31=Construction!$R$22,Oeko!CE414,Oeko!ER414)</f>
        <v>1</v>
      </c>
      <c r="S414" s="1979">
        <f>IF(Construction!$F$31=Construction!$R$22,Oeko!CF414,Oeko!ES414)</f>
        <v>1</v>
      </c>
      <c r="T414" s="1979">
        <f>IF(Construction!$F$31=Construction!$R$22,Oeko!CG414,Oeko!ET414)</f>
        <v>1</v>
      </c>
      <c r="U414" s="1979">
        <f>IF(Construction!$F$31=Construction!$R$22,Oeko!CH414,Oeko!EU414)</f>
        <v>1</v>
      </c>
      <c r="V414" s="1979">
        <f>IF(Construction!$F$31=Construction!$R$22,Oeko!CI414,Oeko!EV414)</f>
        <v>1</v>
      </c>
      <c r="W414" s="1979">
        <f>IF(Construction!$F$31=Construction!$R$22,Oeko!CJ414,Oeko!EW414)</f>
        <v>1</v>
      </c>
      <c r="X414" s="1998">
        <f>IF(Construction!$F$31=Construction!$R$22,Oeko!CK414,Oeko!EX414)</f>
        <v>1</v>
      </c>
      <c r="Y414" s="1998">
        <f>IF(Construction!$F$31=Construction!$R$22,Oeko!CL414,Oeko!EY414)</f>
        <v>1</v>
      </c>
      <c r="Z414" s="1998">
        <f>IF(Construction!$F$31=Construction!$R$22,Oeko!CM414,Oeko!EZ414)</f>
        <v>1</v>
      </c>
      <c r="AA414" s="1998">
        <f>IF(Construction!$F$31=Construction!$R$22,Oeko!CN414,Oeko!FA414)</f>
        <v>1</v>
      </c>
      <c r="AB414" s="1998">
        <f>IF(Construction!$F$31=Construction!$R$22,Oeko!CO414,Oeko!FB414)</f>
        <v>1</v>
      </c>
      <c r="AC414" s="1979">
        <f>IF(Construction!$F$31=Construction!$R$22,Oeko!CP414,Oeko!FC414)</f>
        <v>1</v>
      </c>
      <c r="AD414" s="1979">
        <f>IF(Construction!$F$31=Construction!$R$22,Oeko!CQ414,Oeko!FD414)</f>
        <v>1</v>
      </c>
      <c r="AE414" s="1979">
        <f>IF(Construction!$F$31=Construction!$R$22,Oeko!CR414,Oeko!FE414)</f>
        <v>1</v>
      </c>
      <c r="AF414" s="1979">
        <f>IF(Construction!$F$31=Construction!$R$22,Oeko!CS414,Oeko!FF414)</f>
        <v>1</v>
      </c>
      <c r="AG414" s="1979">
        <f>IF(Construction!$F$31=Construction!$R$22,Oeko!CT414,Oeko!FG414)</f>
        <v>1</v>
      </c>
      <c r="AH414" s="1998">
        <f>IF(Construction!$F$31=Construction!$R$22,Oeko!CU414,Oeko!FH414)</f>
        <v>1</v>
      </c>
      <c r="AI414" s="1998">
        <f>IF(Construction!$F$31=Construction!$R$22,Oeko!CV414,Oeko!FI414)</f>
        <v>1</v>
      </c>
      <c r="AJ414" s="1998">
        <f>IF(Construction!$F$31=Construction!$R$22,Oeko!CW414,Oeko!FJ414)</f>
        <v>1</v>
      </c>
      <c r="AK414" s="1998">
        <f>IF(Construction!$F$31=Construction!$R$22,Oeko!CX414,Oeko!FK414)</f>
        <v>1</v>
      </c>
      <c r="AL414" s="1998">
        <f>IF(Construction!$F$31=Construction!$R$22,Oeko!CY414,Oeko!FL414)</f>
        <v>1</v>
      </c>
      <c r="AM414" s="1979">
        <f>IF(Construction!$F$31=Construction!$R$22,Oeko!CZ414,Oeko!FM414)</f>
        <v>1</v>
      </c>
      <c r="AN414" s="1979">
        <f>IF(Construction!$F$31=Construction!$R$22,Oeko!DA414,Oeko!FN414)</f>
        <v>1</v>
      </c>
      <c r="AO414" s="1979">
        <f>IF(Construction!$F$31=Construction!$R$22,Oeko!DB414,Oeko!FO414)</f>
        <v>1</v>
      </c>
      <c r="AP414" s="1979">
        <f>IF(Construction!$F$31=Construction!$R$22,Oeko!DC414,Oeko!FP414)</f>
        <v>1</v>
      </c>
      <c r="AQ414" s="1979">
        <f>IF(Construction!$F$31=Construction!$R$22,Oeko!DD414,Oeko!FQ414)</f>
        <v>1</v>
      </c>
      <c r="AR414" s="1998">
        <f>IF(Construction!$F$31=Construction!$R$22,Oeko!DE414,Oeko!FR414)</f>
        <v>1</v>
      </c>
      <c r="AS414" s="1998">
        <f>IF(Construction!$F$31=Construction!$R$22,Oeko!DF414,Oeko!FS414)</f>
        <v>1</v>
      </c>
      <c r="AT414" s="1998">
        <f>IF(Construction!$F$31=Construction!$R$22,Oeko!DG414,Oeko!FT414)</f>
        <v>1</v>
      </c>
      <c r="AU414" s="1998">
        <f>IF(Construction!$F$31=Construction!$R$22,Oeko!DH414,Oeko!FU414)</f>
        <v>1</v>
      </c>
      <c r="AV414" s="1998">
        <f>IF(Construction!$F$31=Construction!$R$22,Oeko!DI414,Oeko!FV414)</f>
        <v>1</v>
      </c>
      <c r="AW414" s="1979">
        <f>IF(Construction!$F$31=Construction!$R$22,Oeko!DJ414,Oeko!FW414)</f>
        <v>1</v>
      </c>
      <c r="AX414" s="1979">
        <f>IF(Construction!$F$31=Construction!$R$22,Oeko!DK414,Oeko!FX414)</f>
        <v>1</v>
      </c>
      <c r="AY414" s="1979">
        <f>IF(Construction!$F$31=Construction!$R$22,Oeko!DL414,Oeko!FY414)</f>
        <v>1</v>
      </c>
      <c r="AZ414" s="1979">
        <f>IF(Construction!$F$31=Construction!$R$22,Oeko!DM414,Oeko!FZ414)</f>
        <v>1</v>
      </c>
      <c r="BA414" s="1979">
        <f>IF(Construction!$F$31=Construction!$R$22,Oeko!DN414,Oeko!GA414)</f>
        <v>1</v>
      </c>
      <c r="BB414" s="1998">
        <f>IF(Construction!$F$31=Construction!$R$22,Oeko!DO414,Oeko!GB414)</f>
        <v>1</v>
      </c>
      <c r="BC414" s="1998">
        <f>IF(Construction!$F$31=Construction!$R$22,Oeko!DP414,Oeko!GC414)</f>
        <v>1</v>
      </c>
      <c r="BD414" s="1998">
        <f>IF(Construction!$F$31=Construction!$R$22,Oeko!DQ414,Oeko!GD414)</f>
        <v>1</v>
      </c>
      <c r="BE414" s="1998">
        <f>IF(Construction!$F$31=Construction!$R$22,Oeko!DR414,Oeko!GE414)</f>
        <v>1</v>
      </c>
      <c r="BF414" s="1998">
        <f>IF(Construction!$F$31=Construction!$R$22,Oeko!DS414,Oeko!GF414)</f>
        <v>1</v>
      </c>
      <c r="BG414" s="1979">
        <f>IF(Construction!$F$31=Construction!$R$22,Oeko!DT414,Oeko!GG414)</f>
        <v>1</v>
      </c>
      <c r="BH414" s="1979">
        <f>IF(Construction!$F$31=Construction!$R$22,Oeko!DU414,Oeko!GH414)</f>
        <v>1</v>
      </c>
      <c r="BI414" s="1979">
        <f>IF(Construction!$F$31=Construction!$R$22,Oeko!DV414,Oeko!GI414)</f>
        <v>1</v>
      </c>
      <c r="BJ414" s="1979">
        <f>IF(Construction!$F$31=Construction!$R$22,Oeko!DW414,Oeko!GJ414)</f>
        <v>1</v>
      </c>
      <c r="BK414" s="2021">
        <f>IF(Construction!$F$31=Construction!$R$22,Oeko!DX414,Oeko!GK414)</f>
        <v>1</v>
      </c>
      <c r="BN414" s="2022"/>
      <c r="BO414" s="2">
        <v>30</v>
      </c>
      <c r="BP414" s="2" t="str">
        <f>$AD$14</f>
        <v>Micro-pieux</v>
      </c>
      <c r="BQ414" s="1998">
        <v>1</v>
      </c>
      <c r="BR414" s="1998">
        <v>1</v>
      </c>
      <c r="BS414" s="1998">
        <v>1</v>
      </c>
      <c r="BT414" s="1998">
        <v>1</v>
      </c>
      <c r="BU414" s="1998">
        <v>1</v>
      </c>
      <c r="BV414" s="1979">
        <v>1</v>
      </c>
      <c r="BW414" s="1979">
        <v>1</v>
      </c>
      <c r="BX414" s="1979">
        <v>1</v>
      </c>
      <c r="BY414" s="1979">
        <v>1</v>
      </c>
      <c r="BZ414" s="1979">
        <v>1</v>
      </c>
      <c r="CA414" s="1998">
        <v>1</v>
      </c>
      <c r="CB414" s="1998">
        <v>1</v>
      </c>
      <c r="CC414" s="1998">
        <v>1</v>
      </c>
      <c r="CD414" s="1998">
        <v>1</v>
      </c>
      <c r="CE414" s="1998">
        <v>1</v>
      </c>
      <c r="CF414" s="1979">
        <v>1</v>
      </c>
      <c r="CG414" s="1979">
        <v>1</v>
      </c>
      <c r="CH414" s="1979">
        <v>1</v>
      </c>
      <c r="CI414" s="1979">
        <v>1</v>
      </c>
      <c r="CJ414" s="1979">
        <v>1</v>
      </c>
      <c r="CK414" s="1998">
        <v>1</v>
      </c>
      <c r="CL414" s="1998">
        <v>1</v>
      </c>
      <c r="CM414" s="1998">
        <v>1</v>
      </c>
      <c r="CN414" s="1998">
        <v>1</v>
      </c>
      <c r="CO414" s="1998">
        <v>1</v>
      </c>
      <c r="CP414" s="1979">
        <v>1</v>
      </c>
      <c r="CQ414" s="1979">
        <v>1</v>
      </c>
      <c r="CR414" s="1979">
        <v>1</v>
      </c>
      <c r="CS414" s="1979">
        <v>1</v>
      </c>
      <c r="CT414" s="1979">
        <v>1</v>
      </c>
      <c r="CU414" s="1998">
        <v>1</v>
      </c>
      <c r="CV414" s="1998">
        <v>1</v>
      </c>
      <c r="CW414" s="1998">
        <v>1</v>
      </c>
      <c r="CX414" s="1998">
        <v>1</v>
      </c>
      <c r="CY414" s="1998">
        <v>1</v>
      </c>
      <c r="CZ414" s="1979">
        <v>1</v>
      </c>
      <c r="DA414" s="1979">
        <v>1</v>
      </c>
      <c r="DB414" s="1979">
        <v>1</v>
      </c>
      <c r="DC414" s="1979">
        <v>1</v>
      </c>
      <c r="DD414" s="1979">
        <v>1</v>
      </c>
      <c r="DE414" s="1998">
        <v>1</v>
      </c>
      <c r="DF414" s="1998">
        <v>1</v>
      </c>
      <c r="DG414" s="1998">
        <v>1</v>
      </c>
      <c r="DH414" s="1998">
        <v>1</v>
      </c>
      <c r="DI414" s="1998">
        <v>1</v>
      </c>
      <c r="DJ414" s="1979">
        <v>1</v>
      </c>
      <c r="DK414" s="1979">
        <v>1</v>
      </c>
      <c r="DL414" s="1979">
        <v>1</v>
      </c>
      <c r="DM414" s="1979">
        <v>1</v>
      </c>
      <c r="DN414" s="1979">
        <v>1</v>
      </c>
      <c r="DO414" s="1998">
        <v>1</v>
      </c>
      <c r="DP414" s="1998">
        <v>1</v>
      </c>
      <c r="DQ414" s="1998">
        <v>1</v>
      </c>
      <c r="DR414" s="1998">
        <v>1</v>
      </c>
      <c r="DS414" s="1998">
        <v>1</v>
      </c>
      <c r="DT414" s="1979">
        <v>1</v>
      </c>
      <c r="DU414" s="1979">
        <v>1</v>
      </c>
      <c r="DV414" s="1979">
        <v>1</v>
      </c>
      <c r="DW414" s="1979">
        <v>1</v>
      </c>
      <c r="DX414" s="2021">
        <v>1</v>
      </c>
      <c r="EA414" s="2022"/>
      <c r="EB414" s="2">
        <v>30</v>
      </c>
      <c r="EC414" s="2" t="str">
        <f>$AD$14</f>
        <v>Micro-pieux</v>
      </c>
      <c r="ED414" s="1998">
        <v>1.3605609674202821</v>
      </c>
      <c r="EE414" s="1998">
        <v>1.3605609674202821</v>
      </c>
      <c r="EF414" s="1998">
        <v>1.3605609674202821</v>
      </c>
      <c r="EG414" s="1998">
        <v>1.3605609674202821</v>
      </c>
      <c r="EH414" s="1998">
        <v>1.3605609674202821</v>
      </c>
      <c r="EI414" s="1979">
        <v>2.0966679740137137</v>
      </c>
      <c r="EJ414" s="1979">
        <v>2.0966679740137137</v>
      </c>
      <c r="EK414" s="1979">
        <v>2.0966679740137137</v>
      </c>
      <c r="EL414" s="1979">
        <v>2.0966679740137137</v>
      </c>
      <c r="EM414" s="1979">
        <v>2.0966679740137137</v>
      </c>
      <c r="EN414" s="1998">
        <v>1.4337071065592959</v>
      </c>
      <c r="EO414" s="1998">
        <v>1.4337071065592959</v>
      </c>
      <c r="EP414" s="1998">
        <v>1.4337071065592959</v>
      </c>
      <c r="EQ414" s="1998">
        <v>1.4337071065592959</v>
      </c>
      <c r="ER414" s="1998">
        <v>1.4337071065592959</v>
      </c>
      <c r="ES414" s="1979">
        <v>1.8379162318633464</v>
      </c>
      <c r="ET414" s="1979">
        <v>1.8379162318633464</v>
      </c>
      <c r="EU414" s="1979">
        <v>1.8379162318633464</v>
      </c>
      <c r="EV414" s="1979">
        <v>1.8379162318633464</v>
      </c>
      <c r="EW414" s="1979">
        <v>1.8379162318633464</v>
      </c>
      <c r="EX414" s="1998">
        <v>1.4662053104562123</v>
      </c>
      <c r="EY414" s="1998">
        <v>1.4662053104562123</v>
      </c>
      <c r="EZ414" s="1998">
        <v>1.4662053104562123</v>
      </c>
      <c r="FA414" s="1998">
        <v>1.4662053104562123</v>
      </c>
      <c r="FB414" s="1998">
        <v>1.4662053104562123</v>
      </c>
      <c r="FC414" s="1979">
        <v>1.6277744053108218</v>
      </c>
      <c r="FD414" s="1979">
        <v>1.6277744053108218</v>
      </c>
      <c r="FE414" s="1979">
        <v>1.6277744053108218</v>
      </c>
      <c r="FF414" s="1979">
        <v>1.6277744053108218</v>
      </c>
      <c r="FG414" s="1979">
        <v>1.6277744053108218</v>
      </c>
      <c r="FH414" s="1998">
        <v>2.3921927569513635</v>
      </c>
      <c r="FI414" s="1998">
        <v>2.3921927569513635</v>
      </c>
      <c r="FJ414" s="1998">
        <v>2.3921927569513635</v>
      </c>
      <c r="FK414" s="1998">
        <v>2.3921927569513635</v>
      </c>
      <c r="FL414" s="1998">
        <v>2.3921927569513635</v>
      </c>
      <c r="FM414" s="1979">
        <v>1.5115041757386145</v>
      </c>
      <c r="FN414" s="1979">
        <v>1.5115041757386145</v>
      </c>
      <c r="FO414" s="1979">
        <v>1.5115041757386145</v>
      </c>
      <c r="FP414" s="1979">
        <v>1.5115041757386145</v>
      </c>
      <c r="FQ414" s="1979">
        <v>1.5115041757386145</v>
      </c>
      <c r="FR414" s="1998">
        <v>8.1198212572277306</v>
      </c>
      <c r="FS414" s="1998">
        <v>8.1198212572277306</v>
      </c>
      <c r="FT414" s="1998">
        <v>8.1198212572277306</v>
      </c>
      <c r="FU414" s="1998">
        <v>8.1198212572277306</v>
      </c>
      <c r="FV414" s="1998">
        <v>8.1198212572277306</v>
      </c>
      <c r="FW414" s="1979">
        <v>8.4799072816005001</v>
      </c>
      <c r="FX414" s="1979">
        <v>8.4799072816005001</v>
      </c>
      <c r="FY414" s="1979">
        <v>8.4799072816005001</v>
      </c>
      <c r="FZ414" s="1979">
        <v>8.4799072816005001</v>
      </c>
      <c r="GA414" s="1979">
        <v>8.4799072816005001</v>
      </c>
      <c r="GB414" s="1998">
        <v>1.3861479372000356</v>
      </c>
      <c r="GC414" s="1998">
        <v>1.3861479372000356</v>
      </c>
      <c r="GD414" s="1998">
        <v>1.3861479372000356</v>
      </c>
      <c r="GE414" s="1998">
        <v>1.3861479372000356</v>
      </c>
      <c r="GF414" s="1998">
        <v>1.3861479372000356</v>
      </c>
      <c r="GG414" s="1979">
        <v>1.4313071575784038</v>
      </c>
      <c r="GH414" s="1979">
        <v>1.4313071575784038</v>
      </c>
      <c r="GI414" s="1979">
        <v>1.4313071575784038</v>
      </c>
      <c r="GJ414" s="1979">
        <v>1.4313071575784038</v>
      </c>
      <c r="GK414" s="2021">
        <v>1.4313071575784038</v>
      </c>
    </row>
    <row r="415" spans="1:193">
      <c r="A415" s="2020"/>
      <c r="B415" s="2">
        <v>31</v>
      </c>
      <c r="C415" s="2" t="str">
        <f>$AD$15</f>
        <v>Pieux en béton coulé sur place</v>
      </c>
      <c r="D415" s="1998">
        <f>IF(Construction!$F$31=Construction!$R$22,Oeko!BQ415,Oeko!ED415)</f>
        <v>1</v>
      </c>
      <c r="E415" s="1998">
        <f>IF(Construction!$F$31=Construction!$R$22,Oeko!BR415,Oeko!EE415)</f>
        <v>1</v>
      </c>
      <c r="F415" s="1998">
        <f>IF(Construction!$F$31=Construction!$R$22,Oeko!BS415,Oeko!EF415)</f>
        <v>1</v>
      </c>
      <c r="G415" s="1998">
        <f>IF(Construction!$F$31=Construction!$R$22,Oeko!BT415,Oeko!EG415)</f>
        <v>1</v>
      </c>
      <c r="H415" s="1998">
        <f>IF(Construction!$F$31=Construction!$R$22,Oeko!BU415,Oeko!EH415)</f>
        <v>1</v>
      </c>
      <c r="I415" s="1979">
        <f>IF(Construction!$F$31=Construction!$R$22,Oeko!BV415,Oeko!EI415)</f>
        <v>1</v>
      </c>
      <c r="J415" s="1979">
        <f>IF(Construction!$F$31=Construction!$R$22,Oeko!BW415,Oeko!EJ415)</f>
        <v>1</v>
      </c>
      <c r="K415" s="1979">
        <f>IF(Construction!$F$31=Construction!$R$22,Oeko!BX415,Oeko!EK415)</f>
        <v>1</v>
      </c>
      <c r="L415" s="1979">
        <f>IF(Construction!$F$31=Construction!$R$22,Oeko!BY415,Oeko!EL415)</f>
        <v>1</v>
      </c>
      <c r="M415" s="1979">
        <f>IF(Construction!$F$31=Construction!$R$22,Oeko!BZ415,Oeko!EM415)</f>
        <v>1</v>
      </c>
      <c r="N415" s="1998">
        <f>IF(Construction!$F$31=Construction!$R$22,Oeko!CA415,Oeko!EN415)</f>
        <v>1</v>
      </c>
      <c r="O415" s="1998">
        <f>IF(Construction!$F$31=Construction!$R$22,Oeko!CB415,Oeko!EO415)</f>
        <v>1</v>
      </c>
      <c r="P415" s="1998">
        <f>IF(Construction!$F$31=Construction!$R$22,Oeko!CC415,Oeko!EP415)</f>
        <v>1</v>
      </c>
      <c r="Q415" s="1998">
        <f>IF(Construction!$F$31=Construction!$R$22,Oeko!CD415,Oeko!EQ415)</f>
        <v>1</v>
      </c>
      <c r="R415" s="1998">
        <f>IF(Construction!$F$31=Construction!$R$22,Oeko!CE415,Oeko!ER415)</f>
        <v>1</v>
      </c>
      <c r="S415" s="1979">
        <f>IF(Construction!$F$31=Construction!$R$22,Oeko!CF415,Oeko!ES415)</f>
        <v>1</v>
      </c>
      <c r="T415" s="1979">
        <f>IF(Construction!$F$31=Construction!$R$22,Oeko!CG415,Oeko!ET415)</f>
        <v>1</v>
      </c>
      <c r="U415" s="1979">
        <f>IF(Construction!$F$31=Construction!$R$22,Oeko!CH415,Oeko!EU415)</f>
        <v>1</v>
      </c>
      <c r="V415" s="1979">
        <f>IF(Construction!$F$31=Construction!$R$22,Oeko!CI415,Oeko!EV415)</f>
        <v>1</v>
      </c>
      <c r="W415" s="1979">
        <f>IF(Construction!$F$31=Construction!$R$22,Oeko!CJ415,Oeko!EW415)</f>
        <v>1</v>
      </c>
      <c r="X415" s="1998">
        <f>IF(Construction!$F$31=Construction!$R$22,Oeko!CK415,Oeko!EX415)</f>
        <v>1</v>
      </c>
      <c r="Y415" s="1998">
        <f>IF(Construction!$F$31=Construction!$R$22,Oeko!CL415,Oeko!EY415)</f>
        <v>1</v>
      </c>
      <c r="Z415" s="1998">
        <f>IF(Construction!$F$31=Construction!$R$22,Oeko!CM415,Oeko!EZ415)</f>
        <v>1</v>
      </c>
      <c r="AA415" s="1998">
        <f>IF(Construction!$F$31=Construction!$R$22,Oeko!CN415,Oeko!FA415)</f>
        <v>1</v>
      </c>
      <c r="AB415" s="1998">
        <f>IF(Construction!$F$31=Construction!$R$22,Oeko!CO415,Oeko!FB415)</f>
        <v>1</v>
      </c>
      <c r="AC415" s="1979">
        <f>IF(Construction!$F$31=Construction!$R$22,Oeko!CP415,Oeko!FC415)</f>
        <v>1</v>
      </c>
      <c r="AD415" s="1979">
        <f>IF(Construction!$F$31=Construction!$R$22,Oeko!CQ415,Oeko!FD415)</f>
        <v>1</v>
      </c>
      <c r="AE415" s="1979">
        <f>IF(Construction!$F$31=Construction!$R$22,Oeko!CR415,Oeko!FE415)</f>
        <v>1</v>
      </c>
      <c r="AF415" s="1979">
        <f>IF(Construction!$F$31=Construction!$R$22,Oeko!CS415,Oeko!FF415)</f>
        <v>1</v>
      </c>
      <c r="AG415" s="1979">
        <f>IF(Construction!$F$31=Construction!$R$22,Oeko!CT415,Oeko!FG415)</f>
        <v>1</v>
      </c>
      <c r="AH415" s="1998">
        <f>IF(Construction!$F$31=Construction!$R$22,Oeko!CU415,Oeko!FH415)</f>
        <v>1</v>
      </c>
      <c r="AI415" s="1998">
        <f>IF(Construction!$F$31=Construction!$R$22,Oeko!CV415,Oeko!FI415)</f>
        <v>1</v>
      </c>
      <c r="AJ415" s="1998">
        <f>IF(Construction!$F$31=Construction!$R$22,Oeko!CW415,Oeko!FJ415)</f>
        <v>1</v>
      </c>
      <c r="AK415" s="1998">
        <f>IF(Construction!$F$31=Construction!$R$22,Oeko!CX415,Oeko!FK415)</f>
        <v>1</v>
      </c>
      <c r="AL415" s="1998">
        <f>IF(Construction!$F$31=Construction!$R$22,Oeko!CY415,Oeko!FL415)</f>
        <v>1</v>
      </c>
      <c r="AM415" s="1979">
        <f>IF(Construction!$F$31=Construction!$R$22,Oeko!CZ415,Oeko!FM415)</f>
        <v>1</v>
      </c>
      <c r="AN415" s="1979">
        <f>IF(Construction!$F$31=Construction!$R$22,Oeko!DA415,Oeko!FN415)</f>
        <v>1</v>
      </c>
      <c r="AO415" s="1979">
        <f>IF(Construction!$F$31=Construction!$R$22,Oeko!DB415,Oeko!FO415)</f>
        <v>1</v>
      </c>
      <c r="AP415" s="1979">
        <f>IF(Construction!$F$31=Construction!$R$22,Oeko!DC415,Oeko!FP415)</f>
        <v>1</v>
      </c>
      <c r="AQ415" s="1979">
        <f>IF(Construction!$F$31=Construction!$R$22,Oeko!DD415,Oeko!FQ415)</f>
        <v>1</v>
      </c>
      <c r="AR415" s="1998">
        <f>IF(Construction!$F$31=Construction!$R$22,Oeko!DE415,Oeko!FR415)</f>
        <v>1</v>
      </c>
      <c r="AS415" s="1998">
        <f>IF(Construction!$F$31=Construction!$R$22,Oeko!DF415,Oeko!FS415)</f>
        <v>1</v>
      </c>
      <c r="AT415" s="1998">
        <f>IF(Construction!$F$31=Construction!$R$22,Oeko!DG415,Oeko!FT415)</f>
        <v>1</v>
      </c>
      <c r="AU415" s="1998">
        <f>IF(Construction!$F$31=Construction!$R$22,Oeko!DH415,Oeko!FU415)</f>
        <v>1</v>
      </c>
      <c r="AV415" s="1998">
        <f>IF(Construction!$F$31=Construction!$R$22,Oeko!DI415,Oeko!FV415)</f>
        <v>1</v>
      </c>
      <c r="AW415" s="1979">
        <f>IF(Construction!$F$31=Construction!$R$22,Oeko!DJ415,Oeko!FW415)</f>
        <v>1</v>
      </c>
      <c r="AX415" s="1979">
        <f>IF(Construction!$F$31=Construction!$R$22,Oeko!DK415,Oeko!FX415)</f>
        <v>1</v>
      </c>
      <c r="AY415" s="1979">
        <f>IF(Construction!$F$31=Construction!$R$22,Oeko!DL415,Oeko!FY415)</f>
        <v>1</v>
      </c>
      <c r="AZ415" s="1979">
        <f>IF(Construction!$F$31=Construction!$R$22,Oeko!DM415,Oeko!FZ415)</f>
        <v>1</v>
      </c>
      <c r="BA415" s="1979">
        <f>IF(Construction!$F$31=Construction!$R$22,Oeko!DN415,Oeko!GA415)</f>
        <v>1</v>
      </c>
      <c r="BB415" s="1998">
        <f>IF(Construction!$F$31=Construction!$R$22,Oeko!DO415,Oeko!GB415)</f>
        <v>1</v>
      </c>
      <c r="BC415" s="1998">
        <f>IF(Construction!$F$31=Construction!$R$22,Oeko!DP415,Oeko!GC415)</f>
        <v>1</v>
      </c>
      <c r="BD415" s="1998">
        <f>IF(Construction!$F$31=Construction!$R$22,Oeko!DQ415,Oeko!GD415)</f>
        <v>1</v>
      </c>
      <c r="BE415" s="1998">
        <f>IF(Construction!$F$31=Construction!$R$22,Oeko!DR415,Oeko!GE415)</f>
        <v>1</v>
      </c>
      <c r="BF415" s="1998">
        <f>IF(Construction!$F$31=Construction!$R$22,Oeko!DS415,Oeko!GF415)</f>
        <v>1</v>
      </c>
      <c r="BG415" s="1979">
        <f>IF(Construction!$F$31=Construction!$R$22,Oeko!DT415,Oeko!GG415)</f>
        <v>1</v>
      </c>
      <c r="BH415" s="1979">
        <f>IF(Construction!$F$31=Construction!$R$22,Oeko!DU415,Oeko!GH415)</f>
        <v>1</v>
      </c>
      <c r="BI415" s="1979">
        <f>IF(Construction!$F$31=Construction!$R$22,Oeko!DV415,Oeko!GI415)</f>
        <v>1</v>
      </c>
      <c r="BJ415" s="1979">
        <f>IF(Construction!$F$31=Construction!$R$22,Oeko!DW415,Oeko!GJ415)</f>
        <v>1</v>
      </c>
      <c r="BK415" s="2021">
        <f>IF(Construction!$F$31=Construction!$R$22,Oeko!DX415,Oeko!GK415)</f>
        <v>1</v>
      </c>
      <c r="BN415" s="2022"/>
      <c r="BO415" s="2">
        <v>31</v>
      </c>
      <c r="BP415" s="2" t="str">
        <f>$AD$15</f>
        <v>Pieux en béton coulé sur place</v>
      </c>
      <c r="BQ415" s="1998">
        <v>1</v>
      </c>
      <c r="BR415" s="1998">
        <v>1</v>
      </c>
      <c r="BS415" s="1998">
        <v>1</v>
      </c>
      <c r="BT415" s="1998">
        <v>1</v>
      </c>
      <c r="BU415" s="1998">
        <v>1</v>
      </c>
      <c r="BV415" s="1979">
        <v>1</v>
      </c>
      <c r="BW415" s="1979">
        <v>1</v>
      </c>
      <c r="BX415" s="1979">
        <v>1</v>
      </c>
      <c r="BY415" s="1979">
        <v>1</v>
      </c>
      <c r="BZ415" s="1979">
        <v>1</v>
      </c>
      <c r="CA415" s="1998">
        <v>1</v>
      </c>
      <c r="CB415" s="1998">
        <v>1</v>
      </c>
      <c r="CC415" s="1998">
        <v>1</v>
      </c>
      <c r="CD415" s="1998">
        <v>1</v>
      </c>
      <c r="CE415" s="1998">
        <v>1</v>
      </c>
      <c r="CF415" s="1979">
        <v>1</v>
      </c>
      <c r="CG415" s="1979">
        <v>1</v>
      </c>
      <c r="CH415" s="1979">
        <v>1</v>
      </c>
      <c r="CI415" s="1979">
        <v>1</v>
      </c>
      <c r="CJ415" s="1979">
        <v>1</v>
      </c>
      <c r="CK415" s="1998">
        <v>1</v>
      </c>
      <c r="CL415" s="1998">
        <v>1</v>
      </c>
      <c r="CM415" s="1998">
        <v>1</v>
      </c>
      <c r="CN415" s="1998">
        <v>1</v>
      </c>
      <c r="CO415" s="1998">
        <v>1</v>
      </c>
      <c r="CP415" s="1979">
        <v>1</v>
      </c>
      <c r="CQ415" s="1979">
        <v>1</v>
      </c>
      <c r="CR415" s="1979">
        <v>1</v>
      </c>
      <c r="CS415" s="1979">
        <v>1</v>
      </c>
      <c r="CT415" s="1979">
        <v>1</v>
      </c>
      <c r="CU415" s="1998">
        <v>1</v>
      </c>
      <c r="CV415" s="1998">
        <v>1</v>
      </c>
      <c r="CW415" s="1998">
        <v>1</v>
      </c>
      <c r="CX415" s="1998">
        <v>1</v>
      </c>
      <c r="CY415" s="1998">
        <v>1</v>
      </c>
      <c r="CZ415" s="1979">
        <v>1</v>
      </c>
      <c r="DA415" s="1979">
        <v>1</v>
      </c>
      <c r="DB415" s="1979">
        <v>1</v>
      </c>
      <c r="DC415" s="1979">
        <v>1</v>
      </c>
      <c r="DD415" s="1979">
        <v>1</v>
      </c>
      <c r="DE415" s="1998">
        <v>1</v>
      </c>
      <c r="DF415" s="1998">
        <v>1</v>
      </c>
      <c r="DG415" s="1998">
        <v>1</v>
      </c>
      <c r="DH415" s="1998">
        <v>1</v>
      </c>
      <c r="DI415" s="1998">
        <v>1</v>
      </c>
      <c r="DJ415" s="1979">
        <v>1</v>
      </c>
      <c r="DK415" s="1979">
        <v>1</v>
      </c>
      <c r="DL415" s="1979">
        <v>1</v>
      </c>
      <c r="DM415" s="1979">
        <v>1</v>
      </c>
      <c r="DN415" s="1979">
        <v>1</v>
      </c>
      <c r="DO415" s="1998">
        <v>1</v>
      </c>
      <c r="DP415" s="1998">
        <v>1</v>
      </c>
      <c r="DQ415" s="1998">
        <v>1</v>
      </c>
      <c r="DR415" s="1998">
        <v>1</v>
      </c>
      <c r="DS415" s="1998">
        <v>1</v>
      </c>
      <c r="DT415" s="1979">
        <v>1</v>
      </c>
      <c r="DU415" s="1979">
        <v>1</v>
      </c>
      <c r="DV415" s="1979">
        <v>1</v>
      </c>
      <c r="DW415" s="1979">
        <v>1</v>
      </c>
      <c r="DX415" s="2021">
        <v>1</v>
      </c>
      <c r="EA415" s="2022"/>
      <c r="EB415" s="2">
        <v>31</v>
      </c>
      <c r="EC415" s="2" t="str">
        <f>$AD$15</f>
        <v>Pieux en béton coulé sur place</v>
      </c>
      <c r="ED415" s="1998">
        <v>1.3605609674202821</v>
      </c>
      <c r="EE415" s="1998">
        <v>1.3605609674202821</v>
      </c>
      <c r="EF415" s="1998">
        <v>1.3605609674202821</v>
      </c>
      <c r="EG415" s="1998">
        <v>1.3605609674202821</v>
      </c>
      <c r="EH415" s="1998">
        <v>1.3605609674202821</v>
      </c>
      <c r="EI415" s="1979">
        <v>2.0966679740137137</v>
      </c>
      <c r="EJ415" s="1979">
        <v>2.0966679740137137</v>
      </c>
      <c r="EK415" s="1979">
        <v>2.0966679740137137</v>
      </c>
      <c r="EL415" s="1979">
        <v>2.0966679740137137</v>
      </c>
      <c r="EM415" s="1979">
        <v>2.0966679740137137</v>
      </c>
      <c r="EN415" s="1998">
        <v>1.4337071065592959</v>
      </c>
      <c r="EO415" s="1998">
        <v>1.4337071065592959</v>
      </c>
      <c r="EP415" s="1998">
        <v>1.4337071065592959</v>
      </c>
      <c r="EQ415" s="1998">
        <v>1.4337071065592959</v>
      </c>
      <c r="ER415" s="1998">
        <v>1.4337071065592959</v>
      </c>
      <c r="ES415" s="1979">
        <v>1.8379162318633464</v>
      </c>
      <c r="ET415" s="1979">
        <v>1.8379162318633464</v>
      </c>
      <c r="EU415" s="1979">
        <v>1.8379162318633464</v>
      </c>
      <c r="EV415" s="1979">
        <v>1.8379162318633464</v>
      </c>
      <c r="EW415" s="1979">
        <v>1.8379162318633464</v>
      </c>
      <c r="EX415" s="1998">
        <v>1.4662053104562123</v>
      </c>
      <c r="EY415" s="1998">
        <v>1.4662053104562123</v>
      </c>
      <c r="EZ415" s="1998">
        <v>1.4662053104562123</v>
      </c>
      <c r="FA415" s="1998">
        <v>1.4662053104562123</v>
      </c>
      <c r="FB415" s="1998">
        <v>1.4662053104562123</v>
      </c>
      <c r="FC415" s="1979">
        <v>1.6277744053108218</v>
      </c>
      <c r="FD415" s="1979">
        <v>1.6277744053108218</v>
      </c>
      <c r="FE415" s="1979">
        <v>1.6277744053108218</v>
      </c>
      <c r="FF415" s="1979">
        <v>1.6277744053108218</v>
      </c>
      <c r="FG415" s="1979">
        <v>1.6277744053108218</v>
      </c>
      <c r="FH415" s="1998">
        <v>2.3921927569513635</v>
      </c>
      <c r="FI415" s="1998">
        <v>2.3921927569513635</v>
      </c>
      <c r="FJ415" s="1998">
        <v>2.3921927569513635</v>
      </c>
      <c r="FK415" s="1998">
        <v>2.3921927569513635</v>
      </c>
      <c r="FL415" s="1998">
        <v>2.3921927569513635</v>
      </c>
      <c r="FM415" s="1979">
        <v>1.5115041757386145</v>
      </c>
      <c r="FN415" s="1979">
        <v>1.5115041757386145</v>
      </c>
      <c r="FO415" s="1979">
        <v>1.5115041757386145</v>
      </c>
      <c r="FP415" s="1979">
        <v>1.5115041757386145</v>
      </c>
      <c r="FQ415" s="1979">
        <v>1.5115041757386145</v>
      </c>
      <c r="FR415" s="1998">
        <v>8.1198212572277306</v>
      </c>
      <c r="FS415" s="1998">
        <v>8.1198212572277306</v>
      </c>
      <c r="FT415" s="1998">
        <v>8.1198212572277306</v>
      </c>
      <c r="FU415" s="1998">
        <v>8.1198212572277306</v>
      </c>
      <c r="FV415" s="1998">
        <v>8.1198212572277306</v>
      </c>
      <c r="FW415" s="1979">
        <v>8.4799072816005001</v>
      </c>
      <c r="FX415" s="1979">
        <v>8.4799072816005001</v>
      </c>
      <c r="FY415" s="1979">
        <v>8.4799072816005001</v>
      </c>
      <c r="FZ415" s="1979">
        <v>8.4799072816005001</v>
      </c>
      <c r="GA415" s="1979">
        <v>8.4799072816005001</v>
      </c>
      <c r="GB415" s="1998">
        <v>1.3861479372000356</v>
      </c>
      <c r="GC415" s="1998">
        <v>1.3861479372000356</v>
      </c>
      <c r="GD415" s="1998">
        <v>1.3861479372000356</v>
      </c>
      <c r="GE415" s="1998">
        <v>1.3861479372000356</v>
      </c>
      <c r="GF415" s="1998">
        <v>1.3861479372000356</v>
      </c>
      <c r="GG415" s="1979">
        <v>1.4313071575784038</v>
      </c>
      <c r="GH415" s="1979">
        <v>1.4313071575784038</v>
      </c>
      <c r="GI415" s="1979">
        <v>1.4313071575784038</v>
      </c>
      <c r="GJ415" s="1979">
        <v>1.4313071575784038</v>
      </c>
      <c r="GK415" s="2021">
        <v>1.4313071575784038</v>
      </c>
    </row>
    <row r="416" spans="1:193">
      <c r="A416" s="2020"/>
      <c r="B416" s="2">
        <v>32</v>
      </c>
      <c r="C416" s="2" t="str">
        <f>$AD$16</f>
        <v>Colonnes ballastées</v>
      </c>
      <c r="D416" s="1998">
        <f>IF(Construction!$F$31=Construction!$R$22,Oeko!BQ416,Oeko!ED416)</f>
        <v>1</v>
      </c>
      <c r="E416" s="1998">
        <f>IF(Construction!$F$31=Construction!$R$22,Oeko!BR416,Oeko!EE416)</f>
        <v>1</v>
      </c>
      <c r="F416" s="1998">
        <f>IF(Construction!$F$31=Construction!$R$22,Oeko!BS416,Oeko!EF416)</f>
        <v>1</v>
      </c>
      <c r="G416" s="1998">
        <f>IF(Construction!$F$31=Construction!$R$22,Oeko!BT416,Oeko!EG416)</f>
        <v>1</v>
      </c>
      <c r="H416" s="1998">
        <f>IF(Construction!$F$31=Construction!$R$22,Oeko!BU416,Oeko!EH416)</f>
        <v>1</v>
      </c>
      <c r="I416" s="1979">
        <f>IF(Construction!$F$31=Construction!$R$22,Oeko!BV416,Oeko!EI416)</f>
        <v>1</v>
      </c>
      <c r="J416" s="1979">
        <f>IF(Construction!$F$31=Construction!$R$22,Oeko!BW416,Oeko!EJ416)</f>
        <v>1</v>
      </c>
      <c r="K416" s="1979">
        <f>IF(Construction!$F$31=Construction!$R$22,Oeko!BX416,Oeko!EK416)</f>
        <v>1</v>
      </c>
      <c r="L416" s="1979">
        <f>IF(Construction!$F$31=Construction!$R$22,Oeko!BY416,Oeko!EL416)</f>
        <v>1</v>
      </c>
      <c r="M416" s="1979">
        <f>IF(Construction!$F$31=Construction!$R$22,Oeko!BZ416,Oeko!EM416)</f>
        <v>1</v>
      </c>
      <c r="N416" s="1998">
        <f>IF(Construction!$F$31=Construction!$R$22,Oeko!CA416,Oeko!EN416)</f>
        <v>1</v>
      </c>
      <c r="O416" s="1998">
        <f>IF(Construction!$F$31=Construction!$R$22,Oeko!CB416,Oeko!EO416)</f>
        <v>1</v>
      </c>
      <c r="P416" s="1998">
        <f>IF(Construction!$F$31=Construction!$R$22,Oeko!CC416,Oeko!EP416)</f>
        <v>1</v>
      </c>
      <c r="Q416" s="1998">
        <f>IF(Construction!$F$31=Construction!$R$22,Oeko!CD416,Oeko!EQ416)</f>
        <v>1</v>
      </c>
      <c r="R416" s="1998">
        <f>IF(Construction!$F$31=Construction!$R$22,Oeko!CE416,Oeko!ER416)</f>
        <v>1</v>
      </c>
      <c r="S416" s="1979">
        <f>IF(Construction!$F$31=Construction!$R$22,Oeko!CF416,Oeko!ES416)</f>
        <v>1</v>
      </c>
      <c r="T416" s="1979">
        <f>IF(Construction!$F$31=Construction!$R$22,Oeko!CG416,Oeko!ET416)</f>
        <v>1</v>
      </c>
      <c r="U416" s="1979">
        <f>IF(Construction!$F$31=Construction!$R$22,Oeko!CH416,Oeko!EU416)</f>
        <v>1</v>
      </c>
      <c r="V416" s="1979">
        <f>IF(Construction!$F$31=Construction!$R$22,Oeko!CI416,Oeko!EV416)</f>
        <v>1</v>
      </c>
      <c r="W416" s="1979">
        <f>IF(Construction!$F$31=Construction!$R$22,Oeko!CJ416,Oeko!EW416)</f>
        <v>1</v>
      </c>
      <c r="X416" s="1998">
        <f>IF(Construction!$F$31=Construction!$R$22,Oeko!CK416,Oeko!EX416)</f>
        <v>1</v>
      </c>
      <c r="Y416" s="1998">
        <f>IF(Construction!$F$31=Construction!$R$22,Oeko!CL416,Oeko!EY416)</f>
        <v>1</v>
      </c>
      <c r="Z416" s="1998">
        <f>IF(Construction!$F$31=Construction!$R$22,Oeko!CM416,Oeko!EZ416)</f>
        <v>1</v>
      </c>
      <c r="AA416" s="1998">
        <f>IF(Construction!$F$31=Construction!$R$22,Oeko!CN416,Oeko!FA416)</f>
        <v>1</v>
      </c>
      <c r="AB416" s="1998">
        <f>IF(Construction!$F$31=Construction!$R$22,Oeko!CO416,Oeko!FB416)</f>
        <v>1</v>
      </c>
      <c r="AC416" s="1979">
        <f>IF(Construction!$F$31=Construction!$R$22,Oeko!CP416,Oeko!FC416)</f>
        <v>1</v>
      </c>
      <c r="AD416" s="1979">
        <f>IF(Construction!$F$31=Construction!$R$22,Oeko!CQ416,Oeko!FD416)</f>
        <v>1</v>
      </c>
      <c r="AE416" s="1979">
        <f>IF(Construction!$F$31=Construction!$R$22,Oeko!CR416,Oeko!FE416)</f>
        <v>1</v>
      </c>
      <c r="AF416" s="1979">
        <f>IF(Construction!$F$31=Construction!$R$22,Oeko!CS416,Oeko!FF416)</f>
        <v>1</v>
      </c>
      <c r="AG416" s="1979">
        <f>IF(Construction!$F$31=Construction!$R$22,Oeko!CT416,Oeko!FG416)</f>
        <v>1</v>
      </c>
      <c r="AH416" s="1998">
        <f>IF(Construction!$F$31=Construction!$R$22,Oeko!CU416,Oeko!FH416)</f>
        <v>1</v>
      </c>
      <c r="AI416" s="1998">
        <f>IF(Construction!$F$31=Construction!$R$22,Oeko!CV416,Oeko!FI416)</f>
        <v>1</v>
      </c>
      <c r="AJ416" s="1998">
        <f>IF(Construction!$F$31=Construction!$R$22,Oeko!CW416,Oeko!FJ416)</f>
        <v>1</v>
      </c>
      <c r="AK416" s="1998">
        <f>IF(Construction!$F$31=Construction!$R$22,Oeko!CX416,Oeko!FK416)</f>
        <v>1</v>
      </c>
      <c r="AL416" s="1998">
        <f>IF(Construction!$F$31=Construction!$R$22,Oeko!CY416,Oeko!FL416)</f>
        <v>1</v>
      </c>
      <c r="AM416" s="1979">
        <f>IF(Construction!$F$31=Construction!$R$22,Oeko!CZ416,Oeko!FM416)</f>
        <v>1</v>
      </c>
      <c r="AN416" s="1979">
        <f>IF(Construction!$F$31=Construction!$R$22,Oeko!DA416,Oeko!FN416)</f>
        <v>1</v>
      </c>
      <c r="AO416" s="1979">
        <f>IF(Construction!$F$31=Construction!$R$22,Oeko!DB416,Oeko!FO416)</f>
        <v>1</v>
      </c>
      <c r="AP416" s="1979">
        <f>IF(Construction!$F$31=Construction!$R$22,Oeko!DC416,Oeko!FP416)</f>
        <v>1</v>
      </c>
      <c r="AQ416" s="1979">
        <f>IF(Construction!$F$31=Construction!$R$22,Oeko!DD416,Oeko!FQ416)</f>
        <v>1</v>
      </c>
      <c r="AR416" s="1998">
        <f>IF(Construction!$F$31=Construction!$R$22,Oeko!DE416,Oeko!FR416)</f>
        <v>1</v>
      </c>
      <c r="AS416" s="1998">
        <f>IF(Construction!$F$31=Construction!$R$22,Oeko!DF416,Oeko!FS416)</f>
        <v>1</v>
      </c>
      <c r="AT416" s="1998">
        <f>IF(Construction!$F$31=Construction!$R$22,Oeko!DG416,Oeko!FT416)</f>
        <v>1</v>
      </c>
      <c r="AU416" s="1998">
        <f>IF(Construction!$F$31=Construction!$R$22,Oeko!DH416,Oeko!FU416)</f>
        <v>1</v>
      </c>
      <c r="AV416" s="1998">
        <f>IF(Construction!$F$31=Construction!$R$22,Oeko!DI416,Oeko!FV416)</f>
        <v>1</v>
      </c>
      <c r="AW416" s="1979">
        <f>IF(Construction!$F$31=Construction!$R$22,Oeko!DJ416,Oeko!FW416)</f>
        <v>1</v>
      </c>
      <c r="AX416" s="1979">
        <f>IF(Construction!$F$31=Construction!$R$22,Oeko!DK416,Oeko!FX416)</f>
        <v>1</v>
      </c>
      <c r="AY416" s="1979">
        <f>IF(Construction!$F$31=Construction!$R$22,Oeko!DL416,Oeko!FY416)</f>
        <v>1</v>
      </c>
      <c r="AZ416" s="1979">
        <f>IF(Construction!$F$31=Construction!$R$22,Oeko!DM416,Oeko!FZ416)</f>
        <v>1</v>
      </c>
      <c r="BA416" s="1979">
        <f>IF(Construction!$F$31=Construction!$R$22,Oeko!DN416,Oeko!GA416)</f>
        <v>1</v>
      </c>
      <c r="BB416" s="1998">
        <f>IF(Construction!$F$31=Construction!$R$22,Oeko!DO416,Oeko!GB416)</f>
        <v>1</v>
      </c>
      <c r="BC416" s="1998">
        <f>IF(Construction!$F$31=Construction!$R$22,Oeko!DP416,Oeko!GC416)</f>
        <v>1</v>
      </c>
      <c r="BD416" s="1998">
        <f>IF(Construction!$F$31=Construction!$R$22,Oeko!DQ416,Oeko!GD416)</f>
        <v>1</v>
      </c>
      <c r="BE416" s="1998">
        <f>IF(Construction!$F$31=Construction!$R$22,Oeko!DR416,Oeko!GE416)</f>
        <v>1</v>
      </c>
      <c r="BF416" s="1998">
        <f>IF(Construction!$F$31=Construction!$R$22,Oeko!DS416,Oeko!GF416)</f>
        <v>1</v>
      </c>
      <c r="BG416" s="1979">
        <f>IF(Construction!$F$31=Construction!$R$22,Oeko!DT416,Oeko!GG416)</f>
        <v>1</v>
      </c>
      <c r="BH416" s="1979">
        <f>IF(Construction!$F$31=Construction!$R$22,Oeko!DU416,Oeko!GH416)</f>
        <v>1</v>
      </c>
      <c r="BI416" s="1979">
        <f>IF(Construction!$F$31=Construction!$R$22,Oeko!DV416,Oeko!GI416)</f>
        <v>1</v>
      </c>
      <c r="BJ416" s="1979">
        <f>IF(Construction!$F$31=Construction!$R$22,Oeko!DW416,Oeko!GJ416)</f>
        <v>1</v>
      </c>
      <c r="BK416" s="2021">
        <f>IF(Construction!$F$31=Construction!$R$22,Oeko!DX416,Oeko!GK416)</f>
        <v>1</v>
      </c>
      <c r="BN416" s="2022"/>
      <c r="BO416" s="2">
        <v>32</v>
      </c>
      <c r="BP416" s="2" t="str">
        <f>$AD$16</f>
        <v>Colonnes ballastées</v>
      </c>
      <c r="BQ416" s="1998">
        <v>1</v>
      </c>
      <c r="BR416" s="1998">
        <v>1</v>
      </c>
      <c r="BS416" s="1998">
        <v>1</v>
      </c>
      <c r="BT416" s="1998">
        <v>1</v>
      </c>
      <c r="BU416" s="1998">
        <v>1</v>
      </c>
      <c r="BV416" s="1979">
        <v>1</v>
      </c>
      <c r="BW416" s="1979">
        <v>1</v>
      </c>
      <c r="BX416" s="1979">
        <v>1</v>
      </c>
      <c r="BY416" s="1979">
        <v>1</v>
      </c>
      <c r="BZ416" s="1979">
        <v>1</v>
      </c>
      <c r="CA416" s="1998">
        <v>1</v>
      </c>
      <c r="CB416" s="1998">
        <v>1</v>
      </c>
      <c r="CC416" s="1998">
        <v>1</v>
      </c>
      <c r="CD416" s="1998">
        <v>1</v>
      </c>
      <c r="CE416" s="1998">
        <v>1</v>
      </c>
      <c r="CF416" s="1979">
        <v>1</v>
      </c>
      <c r="CG416" s="1979">
        <v>1</v>
      </c>
      <c r="CH416" s="1979">
        <v>1</v>
      </c>
      <c r="CI416" s="1979">
        <v>1</v>
      </c>
      <c r="CJ416" s="1979">
        <v>1</v>
      </c>
      <c r="CK416" s="1998">
        <v>1</v>
      </c>
      <c r="CL416" s="1998">
        <v>1</v>
      </c>
      <c r="CM416" s="1998">
        <v>1</v>
      </c>
      <c r="CN416" s="1998">
        <v>1</v>
      </c>
      <c r="CO416" s="1998">
        <v>1</v>
      </c>
      <c r="CP416" s="1979">
        <v>1</v>
      </c>
      <c r="CQ416" s="1979">
        <v>1</v>
      </c>
      <c r="CR416" s="1979">
        <v>1</v>
      </c>
      <c r="CS416" s="1979">
        <v>1</v>
      </c>
      <c r="CT416" s="1979">
        <v>1</v>
      </c>
      <c r="CU416" s="1998">
        <v>1</v>
      </c>
      <c r="CV416" s="1998">
        <v>1</v>
      </c>
      <c r="CW416" s="1998">
        <v>1</v>
      </c>
      <c r="CX416" s="1998">
        <v>1</v>
      </c>
      <c r="CY416" s="1998">
        <v>1</v>
      </c>
      <c r="CZ416" s="1979">
        <v>1</v>
      </c>
      <c r="DA416" s="1979">
        <v>1</v>
      </c>
      <c r="DB416" s="1979">
        <v>1</v>
      </c>
      <c r="DC416" s="1979">
        <v>1</v>
      </c>
      <c r="DD416" s="1979">
        <v>1</v>
      </c>
      <c r="DE416" s="1998">
        <v>1</v>
      </c>
      <c r="DF416" s="1998">
        <v>1</v>
      </c>
      <c r="DG416" s="1998">
        <v>1</v>
      </c>
      <c r="DH416" s="1998">
        <v>1</v>
      </c>
      <c r="DI416" s="1998">
        <v>1</v>
      </c>
      <c r="DJ416" s="1979">
        <v>1</v>
      </c>
      <c r="DK416" s="1979">
        <v>1</v>
      </c>
      <c r="DL416" s="1979">
        <v>1</v>
      </c>
      <c r="DM416" s="1979">
        <v>1</v>
      </c>
      <c r="DN416" s="1979">
        <v>1</v>
      </c>
      <c r="DO416" s="1998">
        <v>1</v>
      </c>
      <c r="DP416" s="1998">
        <v>1</v>
      </c>
      <c r="DQ416" s="1998">
        <v>1</v>
      </c>
      <c r="DR416" s="1998">
        <v>1</v>
      </c>
      <c r="DS416" s="1998">
        <v>1</v>
      </c>
      <c r="DT416" s="1979">
        <v>1</v>
      </c>
      <c r="DU416" s="1979">
        <v>1</v>
      </c>
      <c r="DV416" s="1979">
        <v>1</v>
      </c>
      <c r="DW416" s="1979">
        <v>1</v>
      </c>
      <c r="DX416" s="2021">
        <v>1</v>
      </c>
      <c r="EA416" s="2022"/>
      <c r="EB416" s="2">
        <v>32</v>
      </c>
      <c r="EC416" s="2" t="str">
        <f>$AD$16</f>
        <v>Colonnes ballastées</v>
      </c>
      <c r="ED416" s="1998">
        <v>1.3605609674202821</v>
      </c>
      <c r="EE416" s="1998">
        <v>1.3605609674202821</v>
      </c>
      <c r="EF416" s="1998">
        <v>1.3605609674202821</v>
      </c>
      <c r="EG416" s="1998">
        <v>1.3605609674202821</v>
      </c>
      <c r="EH416" s="1998">
        <v>1.3605609674202821</v>
      </c>
      <c r="EI416" s="1979">
        <v>2.0966679740137137</v>
      </c>
      <c r="EJ416" s="1979">
        <v>2.0966679740137137</v>
      </c>
      <c r="EK416" s="1979">
        <v>2.0966679740137137</v>
      </c>
      <c r="EL416" s="1979">
        <v>2.0966679740137137</v>
      </c>
      <c r="EM416" s="1979">
        <v>2.0966679740137137</v>
      </c>
      <c r="EN416" s="1998">
        <v>1.4337071065592959</v>
      </c>
      <c r="EO416" s="1998">
        <v>1.4337071065592959</v>
      </c>
      <c r="EP416" s="1998">
        <v>1.4337071065592959</v>
      </c>
      <c r="EQ416" s="1998">
        <v>1.4337071065592959</v>
      </c>
      <c r="ER416" s="1998">
        <v>1.4337071065592959</v>
      </c>
      <c r="ES416" s="1979">
        <v>1.8379162318633464</v>
      </c>
      <c r="ET416" s="1979">
        <v>1.8379162318633464</v>
      </c>
      <c r="EU416" s="1979">
        <v>1.8379162318633464</v>
      </c>
      <c r="EV416" s="1979">
        <v>1.8379162318633464</v>
      </c>
      <c r="EW416" s="1979">
        <v>1.8379162318633464</v>
      </c>
      <c r="EX416" s="1998">
        <v>1.4662053104562123</v>
      </c>
      <c r="EY416" s="1998">
        <v>1.4662053104562123</v>
      </c>
      <c r="EZ416" s="1998">
        <v>1.4662053104562123</v>
      </c>
      <c r="FA416" s="1998">
        <v>1.4662053104562123</v>
      </c>
      <c r="FB416" s="1998">
        <v>1.4662053104562123</v>
      </c>
      <c r="FC416" s="1979">
        <v>1.6277744053108218</v>
      </c>
      <c r="FD416" s="1979">
        <v>1.6277744053108218</v>
      </c>
      <c r="FE416" s="1979">
        <v>1.6277744053108218</v>
      </c>
      <c r="FF416" s="1979">
        <v>1.6277744053108218</v>
      </c>
      <c r="FG416" s="1979">
        <v>1.6277744053108218</v>
      </c>
      <c r="FH416" s="1998">
        <v>2.3921927569513635</v>
      </c>
      <c r="FI416" s="1998">
        <v>2.3921927569513635</v>
      </c>
      <c r="FJ416" s="1998">
        <v>2.3921927569513635</v>
      </c>
      <c r="FK416" s="1998">
        <v>2.3921927569513635</v>
      </c>
      <c r="FL416" s="1998">
        <v>2.3921927569513635</v>
      </c>
      <c r="FM416" s="1979">
        <v>1.5115041757386145</v>
      </c>
      <c r="FN416" s="1979">
        <v>1.5115041757386145</v>
      </c>
      <c r="FO416" s="1979">
        <v>1.5115041757386145</v>
      </c>
      <c r="FP416" s="1979">
        <v>1.5115041757386145</v>
      </c>
      <c r="FQ416" s="1979">
        <v>1.5115041757386145</v>
      </c>
      <c r="FR416" s="1998">
        <v>8.1198212572277306</v>
      </c>
      <c r="FS416" s="1998">
        <v>8.1198212572277306</v>
      </c>
      <c r="FT416" s="1998">
        <v>8.1198212572277306</v>
      </c>
      <c r="FU416" s="1998">
        <v>8.1198212572277306</v>
      </c>
      <c r="FV416" s="1998">
        <v>8.1198212572277306</v>
      </c>
      <c r="FW416" s="1979">
        <v>8.4799072816005001</v>
      </c>
      <c r="FX416" s="1979">
        <v>8.4799072816005001</v>
      </c>
      <c r="FY416" s="1979">
        <v>8.4799072816005001</v>
      </c>
      <c r="FZ416" s="1979">
        <v>8.4799072816005001</v>
      </c>
      <c r="GA416" s="1979">
        <v>8.4799072816005001</v>
      </c>
      <c r="GB416" s="1998">
        <v>1.3861479372000356</v>
      </c>
      <c r="GC416" s="1998">
        <v>1.3861479372000356</v>
      </c>
      <c r="GD416" s="1998">
        <v>1.3861479372000356</v>
      </c>
      <c r="GE416" s="1998">
        <v>1.3861479372000356</v>
      </c>
      <c r="GF416" s="1998">
        <v>1.3861479372000356</v>
      </c>
      <c r="GG416" s="1979">
        <v>1.4313071575784038</v>
      </c>
      <c r="GH416" s="1979">
        <v>1.4313071575784038</v>
      </c>
      <c r="GI416" s="1979">
        <v>1.4313071575784038</v>
      </c>
      <c r="GJ416" s="1979">
        <v>1.4313071575784038</v>
      </c>
      <c r="GK416" s="2021">
        <v>1.4313071575784038</v>
      </c>
    </row>
    <row r="417" spans="1:193">
      <c r="A417" s="2020"/>
      <c r="B417" s="2">
        <v>33</v>
      </c>
      <c r="C417" s="2" t="str">
        <f>$AD$17</f>
        <v>Pieu en béton préfabriqué (battus)</v>
      </c>
      <c r="D417" s="1998">
        <f>IF(Construction!$F$31=Construction!$R$22,Oeko!BQ417,Oeko!ED417)</f>
        <v>1</v>
      </c>
      <c r="E417" s="1998">
        <f>IF(Construction!$F$31=Construction!$R$22,Oeko!BR417,Oeko!EE417)</f>
        <v>1</v>
      </c>
      <c r="F417" s="1998">
        <f>IF(Construction!$F$31=Construction!$R$22,Oeko!BS417,Oeko!EF417)</f>
        <v>1</v>
      </c>
      <c r="G417" s="1998">
        <f>IF(Construction!$F$31=Construction!$R$22,Oeko!BT417,Oeko!EG417)</f>
        <v>1</v>
      </c>
      <c r="H417" s="1998">
        <f>IF(Construction!$F$31=Construction!$R$22,Oeko!BU417,Oeko!EH417)</f>
        <v>1</v>
      </c>
      <c r="I417" s="1979">
        <f>IF(Construction!$F$31=Construction!$R$22,Oeko!BV417,Oeko!EI417)</f>
        <v>1</v>
      </c>
      <c r="J417" s="1979">
        <f>IF(Construction!$F$31=Construction!$R$22,Oeko!BW417,Oeko!EJ417)</f>
        <v>1</v>
      </c>
      <c r="K417" s="1979">
        <f>IF(Construction!$F$31=Construction!$R$22,Oeko!BX417,Oeko!EK417)</f>
        <v>1</v>
      </c>
      <c r="L417" s="1979">
        <f>IF(Construction!$F$31=Construction!$R$22,Oeko!BY417,Oeko!EL417)</f>
        <v>1</v>
      </c>
      <c r="M417" s="1979">
        <f>IF(Construction!$F$31=Construction!$R$22,Oeko!BZ417,Oeko!EM417)</f>
        <v>1</v>
      </c>
      <c r="N417" s="1998">
        <f>IF(Construction!$F$31=Construction!$R$22,Oeko!CA417,Oeko!EN417)</f>
        <v>1</v>
      </c>
      <c r="O417" s="1998">
        <f>IF(Construction!$F$31=Construction!$R$22,Oeko!CB417,Oeko!EO417)</f>
        <v>1</v>
      </c>
      <c r="P417" s="1998">
        <f>IF(Construction!$F$31=Construction!$R$22,Oeko!CC417,Oeko!EP417)</f>
        <v>1</v>
      </c>
      <c r="Q417" s="1998">
        <f>IF(Construction!$F$31=Construction!$R$22,Oeko!CD417,Oeko!EQ417)</f>
        <v>1</v>
      </c>
      <c r="R417" s="1998">
        <f>IF(Construction!$F$31=Construction!$R$22,Oeko!CE417,Oeko!ER417)</f>
        <v>1</v>
      </c>
      <c r="S417" s="1979">
        <f>IF(Construction!$F$31=Construction!$R$22,Oeko!CF417,Oeko!ES417)</f>
        <v>1</v>
      </c>
      <c r="T417" s="1979">
        <f>IF(Construction!$F$31=Construction!$R$22,Oeko!CG417,Oeko!ET417)</f>
        <v>1</v>
      </c>
      <c r="U417" s="1979">
        <f>IF(Construction!$F$31=Construction!$R$22,Oeko!CH417,Oeko!EU417)</f>
        <v>1</v>
      </c>
      <c r="V417" s="1979">
        <f>IF(Construction!$F$31=Construction!$R$22,Oeko!CI417,Oeko!EV417)</f>
        <v>1</v>
      </c>
      <c r="W417" s="1979">
        <f>IF(Construction!$F$31=Construction!$R$22,Oeko!CJ417,Oeko!EW417)</f>
        <v>1</v>
      </c>
      <c r="X417" s="1998">
        <f>IF(Construction!$F$31=Construction!$R$22,Oeko!CK417,Oeko!EX417)</f>
        <v>1</v>
      </c>
      <c r="Y417" s="1998">
        <f>IF(Construction!$F$31=Construction!$R$22,Oeko!CL417,Oeko!EY417)</f>
        <v>1</v>
      </c>
      <c r="Z417" s="1998">
        <f>IF(Construction!$F$31=Construction!$R$22,Oeko!CM417,Oeko!EZ417)</f>
        <v>1</v>
      </c>
      <c r="AA417" s="1998">
        <f>IF(Construction!$F$31=Construction!$R$22,Oeko!CN417,Oeko!FA417)</f>
        <v>1</v>
      </c>
      <c r="AB417" s="1998">
        <f>IF(Construction!$F$31=Construction!$R$22,Oeko!CO417,Oeko!FB417)</f>
        <v>1</v>
      </c>
      <c r="AC417" s="1979">
        <f>IF(Construction!$F$31=Construction!$R$22,Oeko!CP417,Oeko!FC417)</f>
        <v>1</v>
      </c>
      <c r="AD417" s="1979">
        <f>IF(Construction!$F$31=Construction!$R$22,Oeko!CQ417,Oeko!FD417)</f>
        <v>1</v>
      </c>
      <c r="AE417" s="1979">
        <f>IF(Construction!$F$31=Construction!$R$22,Oeko!CR417,Oeko!FE417)</f>
        <v>1</v>
      </c>
      <c r="AF417" s="1979">
        <f>IF(Construction!$F$31=Construction!$R$22,Oeko!CS417,Oeko!FF417)</f>
        <v>1</v>
      </c>
      <c r="AG417" s="1979">
        <f>IF(Construction!$F$31=Construction!$R$22,Oeko!CT417,Oeko!FG417)</f>
        <v>1</v>
      </c>
      <c r="AH417" s="1998">
        <f>IF(Construction!$F$31=Construction!$R$22,Oeko!CU417,Oeko!FH417)</f>
        <v>1</v>
      </c>
      <c r="AI417" s="1998">
        <f>IF(Construction!$F$31=Construction!$R$22,Oeko!CV417,Oeko!FI417)</f>
        <v>1</v>
      </c>
      <c r="AJ417" s="1998">
        <f>IF(Construction!$F$31=Construction!$R$22,Oeko!CW417,Oeko!FJ417)</f>
        <v>1</v>
      </c>
      <c r="AK417" s="1998">
        <f>IF(Construction!$F$31=Construction!$R$22,Oeko!CX417,Oeko!FK417)</f>
        <v>1</v>
      </c>
      <c r="AL417" s="1998">
        <f>IF(Construction!$F$31=Construction!$R$22,Oeko!CY417,Oeko!FL417)</f>
        <v>1</v>
      </c>
      <c r="AM417" s="1979">
        <f>IF(Construction!$F$31=Construction!$R$22,Oeko!CZ417,Oeko!FM417)</f>
        <v>1</v>
      </c>
      <c r="AN417" s="1979">
        <f>IF(Construction!$F$31=Construction!$R$22,Oeko!DA417,Oeko!FN417)</f>
        <v>1</v>
      </c>
      <c r="AO417" s="1979">
        <f>IF(Construction!$F$31=Construction!$R$22,Oeko!DB417,Oeko!FO417)</f>
        <v>1</v>
      </c>
      <c r="AP417" s="1979">
        <f>IF(Construction!$F$31=Construction!$R$22,Oeko!DC417,Oeko!FP417)</f>
        <v>1</v>
      </c>
      <c r="AQ417" s="1979">
        <f>IF(Construction!$F$31=Construction!$R$22,Oeko!DD417,Oeko!FQ417)</f>
        <v>1</v>
      </c>
      <c r="AR417" s="1998">
        <f>IF(Construction!$F$31=Construction!$R$22,Oeko!DE417,Oeko!FR417)</f>
        <v>1</v>
      </c>
      <c r="AS417" s="1998">
        <f>IF(Construction!$F$31=Construction!$R$22,Oeko!DF417,Oeko!FS417)</f>
        <v>1</v>
      </c>
      <c r="AT417" s="1998">
        <f>IF(Construction!$F$31=Construction!$R$22,Oeko!DG417,Oeko!FT417)</f>
        <v>1</v>
      </c>
      <c r="AU417" s="1998">
        <f>IF(Construction!$F$31=Construction!$R$22,Oeko!DH417,Oeko!FU417)</f>
        <v>1</v>
      </c>
      <c r="AV417" s="1998">
        <f>IF(Construction!$F$31=Construction!$R$22,Oeko!DI417,Oeko!FV417)</f>
        <v>1</v>
      </c>
      <c r="AW417" s="1979">
        <f>IF(Construction!$F$31=Construction!$R$22,Oeko!DJ417,Oeko!FW417)</f>
        <v>1</v>
      </c>
      <c r="AX417" s="1979">
        <f>IF(Construction!$F$31=Construction!$R$22,Oeko!DK417,Oeko!FX417)</f>
        <v>1</v>
      </c>
      <c r="AY417" s="1979">
        <f>IF(Construction!$F$31=Construction!$R$22,Oeko!DL417,Oeko!FY417)</f>
        <v>1</v>
      </c>
      <c r="AZ417" s="1979">
        <f>IF(Construction!$F$31=Construction!$R$22,Oeko!DM417,Oeko!FZ417)</f>
        <v>1</v>
      </c>
      <c r="BA417" s="1979">
        <f>IF(Construction!$F$31=Construction!$R$22,Oeko!DN417,Oeko!GA417)</f>
        <v>1</v>
      </c>
      <c r="BB417" s="1998">
        <f>IF(Construction!$F$31=Construction!$R$22,Oeko!DO417,Oeko!GB417)</f>
        <v>1</v>
      </c>
      <c r="BC417" s="1998">
        <f>IF(Construction!$F$31=Construction!$R$22,Oeko!DP417,Oeko!GC417)</f>
        <v>1</v>
      </c>
      <c r="BD417" s="1998">
        <f>IF(Construction!$F$31=Construction!$R$22,Oeko!DQ417,Oeko!GD417)</f>
        <v>1</v>
      </c>
      <c r="BE417" s="1998">
        <f>IF(Construction!$F$31=Construction!$R$22,Oeko!DR417,Oeko!GE417)</f>
        <v>1</v>
      </c>
      <c r="BF417" s="1998">
        <f>IF(Construction!$F$31=Construction!$R$22,Oeko!DS417,Oeko!GF417)</f>
        <v>1</v>
      </c>
      <c r="BG417" s="1979">
        <f>IF(Construction!$F$31=Construction!$R$22,Oeko!DT417,Oeko!GG417)</f>
        <v>1</v>
      </c>
      <c r="BH417" s="1979">
        <f>IF(Construction!$F$31=Construction!$R$22,Oeko!DU417,Oeko!GH417)</f>
        <v>1</v>
      </c>
      <c r="BI417" s="1979">
        <f>IF(Construction!$F$31=Construction!$R$22,Oeko!DV417,Oeko!GI417)</f>
        <v>1</v>
      </c>
      <c r="BJ417" s="1979">
        <f>IF(Construction!$F$31=Construction!$R$22,Oeko!DW417,Oeko!GJ417)</f>
        <v>1</v>
      </c>
      <c r="BK417" s="2021">
        <f>IF(Construction!$F$31=Construction!$R$22,Oeko!DX417,Oeko!GK417)</f>
        <v>1</v>
      </c>
      <c r="BN417" s="2022"/>
      <c r="BO417" s="2">
        <v>33</v>
      </c>
      <c r="BP417" s="2" t="str">
        <f>$AD$17</f>
        <v>Pieu en béton préfabriqué (battus)</v>
      </c>
      <c r="BQ417" s="1998">
        <v>1</v>
      </c>
      <c r="BR417" s="1998">
        <v>1</v>
      </c>
      <c r="BS417" s="1998">
        <v>1</v>
      </c>
      <c r="BT417" s="1998">
        <v>1</v>
      </c>
      <c r="BU417" s="1998">
        <v>1</v>
      </c>
      <c r="BV417" s="1979">
        <v>1</v>
      </c>
      <c r="BW417" s="1979">
        <v>1</v>
      </c>
      <c r="BX417" s="1979">
        <v>1</v>
      </c>
      <c r="BY417" s="1979">
        <v>1</v>
      </c>
      <c r="BZ417" s="1979">
        <v>1</v>
      </c>
      <c r="CA417" s="1998">
        <v>1</v>
      </c>
      <c r="CB417" s="1998">
        <v>1</v>
      </c>
      <c r="CC417" s="1998">
        <v>1</v>
      </c>
      <c r="CD417" s="1998">
        <v>1</v>
      </c>
      <c r="CE417" s="1998">
        <v>1</v>
      </c>
      <c r="CF417" s="1979">
        <v>1</v>
      </c>
      <c r="CG417" s="1979">
        <v>1</v>
      </c>
      <c r="CH417" s="1979">
        <v>1</v>
      </c>
      <c r="CI417" s="1979">
        <v>1</v>
      </c>
      <c r="CJ417" s="1979">
        <v>1</v>
      </c>
      <c r="CK417" s="1998">
        <v>1</v>
      </c>
      <c r="CL417" s="1998">
        <v>1</v>
      </c>
      <c r="CM417" s="1998">
        <v>1</v>
      </c>
      <c r="CN417" s="1998">
        <v>1</v>
      </c>
      <c r="CO417" s="1998">
        <v>1</v>
      </c>
      <c r="CP417" s="1979">
        <v>1</v>
      </c>
      <c r="CQ417" s="1979">
        <v>1</v>
      </c>
      <c r="CR417" s="1979">
        <v>1</v>
      </c>
      <c r="CS417" s="1979">
        <v>1</v>
      </c>
      <c r="CT417" s="1979">
        <v>1</v>
      </c>
      <c r="CU417" s="1998">
        <v>1</v>
      </c>
      <c r="CV417" s="1998">
        <v>1</v>
      </c>
      <c r="CW417" s="1998">
        <v>1</v>
      </c>
      <c r="CX417" s="1998">
        <v>1</v>
      </c>
      <c r="CY417" s="1998">
        <v>1</v>
      </c>
      <c r="CZ417" s="1979">
        <v>1</v>
      </c>
      <c r="DA417" s="1979">
        <v>1</v>
      </c>
      <c r="DB417" s="1979">
        <v>1</v>
      </c>
      <c r="DC417" s="1979">
        <v>1</v>
      </c>
      <c r="DD417" s="1979">
        <v>1</v>
      </c>
      <c r="DE417" s="1998">
        <v>1</v>
      </c>
      <c r="DF417" s="1998">
        <v>1</v>
      </c>
      <c r="DG417" s="1998">
        <v>1</v>
      </c>
      <c r="DH417" s="1998">
        <v>1</v>
      </c>
      <c r="DI417" s="1998">
        <v>1</v>
      </c>
      <c r="DJ417" s="1979">
        <v>1</v>
      </c>
      <c r="DK417" s="1979">
        <v>1</v>
      </c>
      <c r="DL417" s="1979">
        <v>1</v>
      </c>
      <c r="DM417" s="1979">
        <v>1</v>
      </c>
      <c r="DN417" s="1979">
        <v>1</v>
      </c>
      <c r="DO417" s="1998">
        <v>1</v>
      </c>
      <c r="DP417" s="1998">
        <v>1</v>
      </c>
      <c r="DQ417" s="1998">
        <v>1</v>
      </c>
      <c r="DR417" s="1998">
        <v>1</v>
      </c>
      <c r="DS417" s="1998">
        <v>1</v>
      </c>
      <c r="DT417" s="1979">
        <v>1</v>
      </c>
      <c r="DU417" s="1979">
        <v>1</v>
      </c>
      <c r="DV417" s="1979">
        <v>1</v>
      </c>
      <c r="DW417" s="1979">
        <v>1</v>
      </c>
      <c r="DX417" s="2021">
        <v>1</v>
      </c>
      <c r="EA417" s="2022"/>
      <c r="EB417" s="2">
        <v>33</v>
      </c>
      <c r="EC417" s="2" t="str">
        <f>$AD$17</f>
        <v>Pieu en béton préfabriqué (battus)</v>
      </c>
      <c r="ED417" s="1998">
        <v>1.3605609674202821</v>
      </c>
      <c r="EE417" s="1998">
        <v>1.3605609674202821</v>
      </c>
      <c r="EF417" s="1998">
        <v>1.3605609674202821</v>
      </c>
      <c r="EG417" s="1998">
        <v>1.3605609674202821</v>
      </c>
      <c r="EH417" s="1998">
        <v>1.3605609674202821</v>
      </c>
      <c r="EI417" s="1979">
        <v>2.0966679740137137</v>
      </c>
      <c r="EJ417" s="1979">
        <v>2.0966679740137137</v>
      </c>
      <c r="EK417" s="1979">
        <v>2.0966679740137137</v>
      </c>
      <c r="EL417" s="1979">
        <v>2.0966679740137137</v>
      </c>
      <c r="EM417" s="1979">
        <v>2.0966679740137137</v>
      </c>
      <c r="EN417" s="1998">
        <v>1.4337071065592959</v>
      </c>
      <c r="EO417" s="1998">
        <v>1.4337071065592959</v>
      </c>
      <c r="EP417" s="1998">
        <v>1.4337071065592959</v>
      </c>
      <c r="EQ417" s="1998">
        <v>1.4337071065592959</v>
      </c>
      <c r="ER417" s="1998">
        <v>1.4337071065592959</v>
      </c>
      <c r="ES417" s="1979">
        <v>1.8379162318633464</v>
      </c>
      <c r="ET417" s="1979">
        <v>1.8379162318633464</v>
      </c>
      <c r="EU417" s="1979">
        <v>1.8379162318633464</v>
      </c>
      <c r="EV417" s="1979">
        <v>1.8379162318633464</v>
      </c>
      <c r="EW417" s="1979">
        <v>1.8379162318633464</v>
      </c>
      <c r="EX417" s="1998">
        <v>1.4662053104562123</v>
      </c>
      <c r="EY417" s="1998">
        <v>1.4662053104562123</v>
      </c>
      <c r="EZ417" s="1998">
        <v>1.4662053104562123</v>
      </c>
      <c r="FA417" s="1998">
        <v>1.4662053104562123</v>
      </c>
      <c r="FB417" s="1998">
        <v>1.4662053104562123</v>
      </c>
      <c r="FC417" s="1979">
        <v>1.6277744053108218</v>
      </c>
      <c r="FD417" s="1979">
        <v>1.6277744053108218</v>
      </c>
      <c r="FE417" s="1979">
        <v>1.6277744053108218</v>
      </c>
      <c r="FF417" s="1979">
        <v>1.6277744053108218</v>
      </c>
      <c r="FG417" s="1979">
        <v>1.6277744053108218</v>
      </c>
      <c r="FH417" s="1998">
        <v>2.3921927569513635</v>
      </c>
      <c r="FI417" s="1998">
        <v>2.3921927569513635</v>
      </c>
      <c r="FJ417" s="1998">
        <v>2.3921927569513635</v>
      </c>
      <c r="FK417" s="1998">
        <v>2.3921927569513635</v>
      </c>
      <c r="FL417" s="1998">
        <v>2.3921927569513635</v>
      </c>
      <c r="FM417" s="1979">
        <v>1.5115041757386145</v>
      </c>
      <c r="FN417" s="1979">
        <v>1.5115041757386145</v>
      </c>
      <c r="FO417" s="1979">
        <v>1.5115041757386145</v>
      </c>
      <c r="FP417" s="1979">
        <v>1.5115041757386145</v>
      </c>
      <c r="FQ417" s="1979">
        <v>1.5115041757386145</v>
      </c>
      <c r="FR417" s="1998">
        <v>8.1198212572277306</v>
      </c>
      <c r="FS417" s="1998">
        <v>8.1198212572277306</v>
      </c>
      <c r="FT417" s="1998">
        <v>8.1198212572277306</v>
      </c>
      <c r="FU417" s="1998">
        <v>8.1198212572277306</v>
      </c>
      <c r="FV417" s="1998">
        <v>8.1198212572277306</v>
      </c>
      <c r="FW417" s="1979">
        <v>8.4799072816005001</v>
      </c>
      <c r="FX417" s="1979">
        <v>8.4799072816005001</v>
      </c>
      <c r="FY417" s="1979">
        <v>8.4799072816005001</v>
      </c>
      <c r="FZ417" s="1979">
        <v>8.4799072816005001</v>
      </c>
      <c r="GA417" s="1979">
        <v>8.4799072816005001</v>
      </c>
      <c r="GB417" s="1998">
        <v>1.3861479372000356</v>
      </c>
      <c r="GC417" s="1998">
        <v>1.3861479372000356</v>
      </c>
      <c r="GD417" s="1998">
        <v>1.3861479372000356</v>
      </c>
      <c r="GE417" s="1998">
        <v>1.3861479372000356</v>
      </c>
      <c r="GF417" s="1998">
        <v>1.3861479372000356</v>
      </c>
      <c r="GG417" s="1979">
        <v>1.4313071575784038</v>
      </c>
      <c r="GH417" s="1979">
        <v>1.4313071575784038</v>
      </c>
      <c r="GI417" s="1979">
        <v>1.4313071575784038</v>
      </c>
      <c r="GJ417" s="1979">
        <v>1.4313071575784038</v>
      </c>
      <c r="GK417" s="2021">
        <v>1.4313071575784038</v>
      </c>
    </row>
    <row r="418" spans="1:193">
      <c r="A418" s="2020"/>
      <c r="B418" s="2">
        <v>34</v>
      </c>
      <c r="C418" s="2" t="str">
        <f>$AF$13</f>
        <v/>
      </c>
      <c r="D418" s="1998">
        <f>IF(Construction!$F$31=Construction!$R$22,Oeko!BQ418,Oeko!ED418)</f>
        <v>1</v>
      </c>
      <c r="E418" s="1998">
        <f>IF(Construction!$F$31=Construction!$R$22,Oeko!BR418,Oeko!EE418)</f>
        <v>1</v>
      </c>
      <c r="F418" s="1998">
        <f>IF(Construction!$F$31=Construction!$R$22,Oeko!BS418,Oeko!EF418)</f>
        <v>1</v>
      </c>
      <c r="G418" s="1998">
        <f>IF(Construction!$F$31=Construction!$R$22,Oeko!BT418,Oeko!EG418)</f>
        <v>1</v>
      </c>
      <c r="H418" s="1998">
        <f>IF(Construction!$F$31=Construction!$R$22,Oeko!BU418,Oeko!EH418)</f>
        <v>1</v>
      </c>
      <c r="I418" s="1979">
        <f>IF(Construction!$F$31=Construction!$R$22,Oeko!BV418,Oeko!EI418)</f>
        <v>1</v>
      </c>
      <c r="J418" s="1979">
        <f>IF(Construction!$F$31=Construction!$R$22,Oeko!BW418,Oeko!EJ418)</f>
        <v>1</v>
      </c>
      <c r="K418" s="1979">
        <f>IF(Construction!$F$31=Construction!$R$22,Oeko!BX418,Oeko!EK418)</f>
        <v>1</v>
      </c>
      <c r="L418" s="1979">
        <f>IF(Construction!$F$31=Construction!$R$22,Oeko!BY418,Oeko!EL418)</f>
        <v>1</v>
      </c>
      <c r="M418" s="1979">
        <f>IF(Construction!$F$31=Construction!$R$22,Oeko!BZ418,Oeko!EM418)</f>
        <v>1</v>
      </c>
      <c r="N418" s="1998">
        <f>IF(Construction!$F$31=Construction!$R$22,Oeko!CA418,Oeko!EN418)</f>
        <v>1</v>
      </c>
      <c r="O418" s="1998">
        <f>IF(Construction!$F$31=Construction!$R$22,Oeko!CB418,Oeko!EO418)</f>
        <v>1</v>
      </c>
      <c r="P418" s="1998">
        <f>IF(Construction!$F$31=Construction!$R$22,Oeko!CC418,Oeko!EP418)</f>
        <v>1</v>
      </c>
      <c r="Q418" s="1998">
        <f>IF(Construction!$F$31=Construction!$R$22,Oeko!CD418,Oeko!EQ418)</f>
        <v>1</v>
      </c>
      <c r="R418" s="1998">
        <f>IF(Construction!$F$31=Construction!$R$22,Oeko!CE418,Oeko!ER418)</f>
        <v>1</v>
      </c>
      <c r="S418" s="1979">
        <f>IF(Construction!$F$31=Construction!$R$22,Oeko!CF418,Oeko!ES418)</f>
        <v>1</v>
      </c>
      <c r="T418" s="1979">
        <f>IF(Construction!$F$31=Construction!$R$22,Oeko!CG418,Oeko!ET418)</f>
        <v>1</v>
      </c>
      <c r="U418" s="1979">
        <f>IF(Construction!$F$31=Construction!$R$22,Oeko!CH418,Oeko!EU418)</f>
        <v>1</v>
      </c>
      <c r="V418" s="1979">
        <f>IF(Construction!$F$31=Construction!$R$22,Oeko!CI418,Oeko!EV418)</f>
        <v>1</v>
      </c>
      <c r="W418" s="1979">
        <f>IF(Construction!$F$31=Construction!$R$22,Oeko!CJ418,Oeko!EW418)</f>
        <v>1</v>
      </c>
      <c r="X418" s="1998">
        <f>IF(Construction!$F$31=Construction!$R$22,Oeko!CK418,Oeko!EX418)</f>
        <v>1</v>
      </c>
      <c r="Y418" s="1998">
        <f>IF(Construction!$F$31=Construction!$R$22,Oeko!CL418,Oeko!EY418)</f>
        <v>1</v>
      </c>
      <c r="Z418" s="1998">
        <f>IF(Construction!$F$31=Construction!$R$22,Oeko!CM418,Oeko!EZ418)</f>
        <v>1</v>
      </c>
      <c r="AA418" s="1998">
        <f>IF(Construction!$F$31=Construction!$R$22,Oeko!CN418,Oeko!FA418)</f>
        <v>1</v>
      </c>
      <c r="AB418" s="1998">
        <f>IF(Construction!$F$31=Construction!$R$22,Oeko!CO418,Oeko!FB418)</f>
        <v>1</v>
      </c>
      <c r="AC418" s="1979">
        <f>IF(Construction!$F$31=Construction!$R$22,Oeko!CP418,Oeko!FC418)</f>
        <v>1</v>
      </c>
      <c r="AD418" s="1979">
        <f>IF(Construction!$F$31=Construction!$R$22,Oeko!CQ418,Oeko!FD418)</f>
        <v>1</v>
      </c>
      <c r="AE418" s="1979">
        <f>IF(Construction!$F$31=Construction!$R$22,Oeko!CR418,Oeko!FE418)</f>
        <v>1</v>
      </c>
      <c r="AF418" s="1979">
        <f>IF(Construction!$F$31=Construction!$R$22,Oeko!CS418,Oeko!FF418)</f>
        <v>1</v>
      </c>
      <c r="AG418" s="1979">
        <f>IF(Construction!$F$31=Construction!$R$22,Oeko!CT418,Oeko!FG418)</f>
        <v>1</v>
      </c>
      <c r="AH418" s="1998">
        <f>IF(Construction!$F$31=Construction!$R$22,Oeko!CU418,Oeko!FH418)</f>
        <v>1</v>
      </c>
      <c r="AI418" s="1998">
        <f>IF(Construction!$F$31=Construction!$R$22,Oeko!CV418,Oeko!FI418)</f>
        <v>1</v>
      </c>
      <c r="AJ418" s="1998">
        <f>IF(Construction!$F$31=Construction!$R$22,Oeko!CW418,Oeko!FJ418)</f>
        <v>1</v>
      </c>
      <c r="AK418" s="1998">
        <f>IF(Construction!$F$31=Construction!$R$22,Oeko!CX418,Oeko!FK418)</f>
        <v>1</v>
      </c>
      <c r="AL418" s="1998">
        <f>IF(Construction!$F$31=Construction!$R$22,Oeko!CY418,Oeko!FL418)</f>
        <v>1</v>
      </c>
      <c r="AM418" s="1979">
        <f>IF(Construction!$F$31=Construction!$R$22,Oeko!CZ418,Oeko!FM418)</f>
        <v>1</v>
      </c>
      <c r="AN418" s="1979">
        <f>IF(Construction!$F$31=Construction!$R$22,Oeko!DA418,Oeko!FN418)</f>
        <v>1</v>
      </c>
      <c r="AO418" s="1979">
        <f>IF(Construction!$F$31=Construction!$R$22,Oeko!DB418,Oeko!FO418)</f>
        <v>1</v>
      </c>
      <c r="AP418" s="1979">
        <f>IF(Construction!$F$31=Construction!$R$22,Oeko!DC418,Oeko!FP418)</f>
        <v>1</v>
      </c>
      <c r="AQ418" s="1979">
        <f>IF(Construction!$F$31=Construction!$R$22,Oeko!DD418,Oeko!FQ418)</f>
        <v>1</v>
      </c>
      <c r="AR418" s="1998">
        <f>IF(Construction!$F$31=Construction!$R$22,Oeko!DE418,Oeko!FR418)</f>
        <v>1</v>
      </c>
      <c r="AS418" s="1998">
        <f>IF(Construction!$F$31=Construction!$R$22,Oeko!DF418,Oeko!FS418)</f>
        <v>1</v>
      </c>
      <c r="AT418" s="1998">
        <f>IF(Construction!$F$31=Construction!$R$22,Oeko!DG418,Oeko!FT418)</f>
        <v>1</v>
      </c>
      <c r="AU418" s="1998">
        <f>IF(Construction!$F$31=Construction!$R$22,Oeko!DH418,Oeko!FU418)</f>
        <v>1</v>
      </c>
      <c r="AV418" s="1998">
        <f>IF(Construction!$F$31=Construction!$R$22,Oeko!DI418,Oeko!FV418)</f>
        <v>1</v>
      </c>
      <c r="AW418" s="1979">
        <f>IF(Construction!$F$31=Construction!$R$22,Oeko!DJ418,Oeko!FW418)</f>
        <v>1</v>
      </c>
      <c r="AX418" s="1979">
        <f>IF(Construction!$F$31=Construction!$R$22,Oeko!DK418,Oeko!FX418)</f>
        <v>1</v>
      </c>
      <c r="AY418" s="1979">
        <f>IF(Construction!$F$31=Construction!$R$22,Oeko!DL418,Oeko!FY418)</f>
        <v>1</v>
      </c>
      <c r="AZ418" s="1979">
        <f>IF(Construction!$F$31=Construction!$R$22,Oeko!DM418,Oeko!FZ418)</f>
        <v>1</v>
      </c>
      <c r="BA418" s="1979">
        <f>IF(Construction!$F$31=Construction!$R$22,Oeko!DN418,Oeko!GA418)</f>
        <v>1</v>
      </c>
      <c r="BB418" s="1998">
        <f>IF(Construction!$F$31=Construction!$R$22,Oeko!DO418,Oeko!GB418)</f>
        <v>1</v>
      </c>
      <c r="BC418" s="1998">
        <f>IF(Construction!$F$31=Construction!$R$22,Oeko!DP418,Oeko!GC418)</f>
        <v>1</v>
      </c>
      <c r="BD418" s="1998">
        <f>IF(Construction!$F$31=Construction!$R$22,Oeko!DQ418,Oeko!GD418)</f>
        <v>1</v>
      </c>
      <c r="BE418" s="1998">
        <f>IF(Construction!$F$31=Construction!$R$22,Oeko!DR418,Oeko!GE418)</f>
        <v>1</v>
      </c>
      <c r="BF418" s="1998">
        <f>IF(Construction!$F$31=Construction!$R$22,Oeko!DS418,Oeko!GF418)</f>
        <v>1</v>
      </c>
      <c r="BG418" s="1979">
        <f>IF(Construction!$F$31=Construction!$R$22,Oeko!DT418,Oeko!GG418)</f>
        <v>1</v>
      </c>
      <c r="BH418" s="1979">
        <f>IF(Construction!$F$31=Construction!$R$22,Oeko!DU418,Oeko!GH418)</f>
        <v>1</v>
      </c>
      <c r="BI418" s="1979">
        <f>IF(Construction!$F$31=Construction!$R$22,Oeko!DV418,Oeko!GI418)</f>
        <v>1</v>
      </c>
      <c r="BJ418" s="1979">
        <f>IF(Construction!$F$31=Construction!$R$22,Oeko!DW418,Oeko!GJ418)</f>
        <v>1</v>
      </c>
      <c r="BK418" s="2021">
        <f>IF(Construction!$F$31=Construction!$R$22,Oeko!DX418,Oeko!GK418)</f>
        <v>1</v>
      </c>
      <c r="BN418" s="2022"/>
      <c r="BO418" s="2">
        <v>34</v>
      </c>
      <c r="BP418" s="2" t="str">
        <f>$AF$13</f>
        <v/>
      </c>
      <c r="BQ418" s="1998">
        <v>1</v>
      </c>
      <c r="BR418" s="1998">
        <v>1</v>
      </c>
      <c r="BS418" s="1998">
        <v>1</v>
      </c>
      <c r="BT418" s="1998">
        <v>1</v>
      </c>
      <c r="BU418" s="1998">
        <v>1</v>
      </c>
      <c r="BV418" s="1979">
        <v>1</v>
      </c>
      <c r="BW418" s="1979">
        <v>1</v>
      </c>
      <c r="BX418" s="1979">
        <v>1</v>
      </c>
      <c r="BY418" s="1979">
        <v>1</v>
      </c>
      <c r="BZ418" s="1979">
        <v>1</v>
      </c>
      <c r="CA418" s="1998">
        <v>1</v>
      </c>
      <c r="CB418" s="1998">
        <v>1</v>
      </c>
      <c r="CC418" s="1998">
        <v>1</v>
      </c>
      <c r="CD418" s="1998">
        <v>1</v>
      </c>
      <c r="CE418" s="1998">
        <v>1</v>
      </c>
      <c r="CF418" s="1979">
        <v>1</v>
      </c>
      <c r="CG418" s="1979">
        <v>1</v>
      </c>
      <c r="CH418" s="1979">
        <v>1</v>
      </c>
      <c r="CI418" s="1979">
        <v>1</v>
      </c>
      <c r="CJ418" s="1979">
        <v>1</v>
      </c>
      <c r="CK418" s="1998">
        <v>1</v>
      </c>
      <c r="CL418" s="1998">
        <v>1</v>
      </c>
      <c r="CM418" s="1998">
        <v>1</v>
      </c>
      <c r="CN418" s="1998">
        <v>1</v>
      </c>
      <c r="CO418" s="1998">
        <v>1</v>
      </c>
      <c r="CP418" s="1979">
        <v>1</v>
      </c>
      <c r="CQ418" s="1979">
        <v>1</v>
      </c>
      <c r="CR418" s="1979">
        <v>1</v>
      </c>
      <c r="CS418" s="1979">
        <v>1</v>
      </c>
      <c r="CT418" s="1979">
        <v>1</v>
      </c>
      <c r="CU418" s="1998">
        <v>1</v>
      </c>
      <c r="CV418" s="1998">
        <v>1</v>
      </c>
      <c r="CW418" s="1998">
        <v>1</v>
      </c>
      <c r="CX418" s="1998">
        <v>1</v>
      </c>
      <c r="CY418" s="1998">
        <v>1</v>
      </c>
      <c r="CZ418" s="1979">
        <v>1</v>
      </c>
      <c r="DA418" s="1979">
        <v>1</v>
      </c>
      <c r="DB418" s="1979">
        <v>1</v>
      </c>
      <c r="DC418" s="1979">
        <v>1</v>
      </c>
      <c r="DD418" s="1979">
        <v>1</v>
      </c>
      <c r="DE418" s="1998">
        <v>1</v>
      </c>
      <c r="DF418" s="1998">
        <v>1</v>
      </c>
      <c r="DG418" s="1998">
        <v>1</v>
      </c>
      <c r="DH418" s="1998">
        <v>1</v>
      </c>
      <c r="DI418" s="1998">
        <v>1</v>
      </c>
      <c r="DJ418" s="1979">
        <v>1</v>
      </c>
      <c r="DK418" s="1979">
        <v>1</v>
      </c>
      <c r="DL418" s="1979">
        <v>1</v>
      </c>
      <c r="DM418" s="1979">
        <v>1</v>
      </c>
      <c r="DN418" s="1979">
        <v>1</v>
      </c>
      <c r="DO418" s="1998">
        <v>1</v>
      </c>
      <c r="DP418" s="1998">
        <v>1</v>
      </c>
      <c r="DQ418" s="1998">
        <v>1</v>
      </c>
      <c r="DR418" s="1998">
        <v>1</v>
      </c>
      <c r="DS418" s="1998">
        <v>1</v>
      </c>
      <c r="DT418" s="1979">
        <v>1</v>
      </c>
      <c r="DU418" s="1979">
        <v>1</v>
      </c>
      <c r="DV418" s="1979">
        <v>1</v>
      </c>
      <c r="DW418" s="1979">
        <v>1</v>
      </c>
      <c r="DX418" s="2021">
        <v>1</v>
      </c>
      <c r="EA418" s="2022"/>
      <c r="EB418" s="2">
        <v>34</v>
      </c>
      <c r="EC418" s="2" t="str">
        <f>$AF$13</f>
        <v/>
      </c>
      <c r="ED418" s="1998">
        <v>1.3605609674202821</v>
      </c>
      <c r="EE418" s="1998">
        <v>1.3605609674202821</v>
      </c>
      <c r="EF418" s="1998">
        <v>1.3605609674202821</v>
      </c>
      <c r="EG418" s="1998">
        <v>1.3605609674202821</v>
      </c>
      <c r="EH418" s="1998">
        <v>1.3605609674202821</v>
      </c>
      <c r="EI418" s="1979">
        <v>2.0966679740137137</v>
      </c>
      <c r="EJ418" s="1979">
        <v>2.0966679740137137</v>
      </c>
      <c r="EK418" s="1979">
        <v>2.0966679740137137</v>
      </c>
      <c r="EL418" s="1979">
        <v>2.0966679740137137</v>
      </c>
      <c r="EM418" s="1979">
        <v>2.0966679740137137</v>
      </c>
      <c r="EN418" s="1998">
        <v>1.4337071065592959</v>
      </c>
      <c r="EO418" s="1998">
        <v>1.4337071065592959</v>
      </c>
      <c r="EP418" s="1998">
        <v>1.4337071065592959</v>
      </c>
      <c r="EQ418" s="1998">
        <v>1.4337071065592959</v>
      </c>
      <c r="ER418" s="1998">
        <v>1.4337071065592959</v>
      </c>
      <c r="ES418" s="1979">
        <v>1.8379162318633464</v>
      </c>
      <c r="ET418" s="1979">
        <v>1.8379162318633464</v>
      </c>
      <c r="EU418" s="1979">
        <v>1.8379162318633464</v>
      </c>
      <c r="EV418" s="1979">
        <v>1.8379162318633464</v>
      </c>
      <c r="EW418" s="1979">
        <v>1.8379162318633464</v>
      </c>
      <c r="EX418" s="1998">
        <v>1.4662053104562123</v>
      </c>
      <c r="EY418" s="1998">
        <v>1.4662053104562123</v>
      </c>
      <c r="EZ418" s="1998">
        <v>1.4662053104562123</v>
      </c>
      <c r="FA418" s="1998">
        <v>1.4662053104562123</v>
      </c>
      <c r="FB418" s="1998">
        <v>1.4662053104562123</v>
      </c>
      <c r="FC418" s="1979">
        <v>1.6277744053108218</v>
      </c>
      <c r="FD418" s="1979">
        <v>1.6277744053108218</v>
      </c>
      <c r="FE418" s="1979">
        <v>1.6277744053108218</v>
      </c>
      <c r="FF418" s="1979">
        <v>1.6277744053108218</v>
      </c>
      <c r="FG418" s="1979">
        <v>1.6277744053108218</v>
      </c>
      <c r="FH418" s="1998">
        <v>2.3921927569513635</v>
      </c>
      <c r="FI418" s="1998">
        <v>2.3921927569513635</v>
      </c>
      <c r="FJ418" s="1998">
        <v>2.3921927569513635</v>
      </c>
      <c r="FK418" s="1998">
        <v>2.3921927569513635</v>
      </c>
      <c r="FL418" s="1998">
        <v>2.3921927569513635</v>
      </c>
      <c r="FM418" s="1979">
        <v>1.5115041757386145</v>
      </c>
      <c r="FN418" s="1979">
        <v>1.5115041757386145</v>
      </c>
      <c r="FO418" s="1979">
        <v>1.5115041757386145</v>
      </c>
      <c r="FP418" s="1979">
        <v>1.5115041757386145</v>
      </c>
      <c r="FQ418" s="1979">
        <v>1.5115041757386145</v>
      </c>
      <c r="FR418" s="1998">
        <v>8.1198212572277306</v>
      </c>
      <c r="FS418" s="1998">
        <v>8.1198212572277306</v>
      </c>
      <c r="FT418" s="1998">
        <v>8.1198212572277306</v>
      </c>
      <c r="FU418" s="1998">
        <v>8.1198212572277306</v>
      </c>
      <c r="FV418" s="1998">
        <v>8.1198212572277306</v>
      </c>
      <c r="FW418" s="1979">
        <v>8.4799072816005001</v>
      </c>
      <c r="FX418" s="1979">
        <v>8.4799072816005001</v>
      </c>
      <c r="FY418" s="1979">
        <v>8.4799072816005001</v>
      </c>
      <c r="FZ418" s="1979">
        <v>8.4799072816005001</v>
      </c>
      <c r="GA418" s="1979">
        <v>8.4799072816005001</v>
      </c>
      <c r="GB418" s="1998">
        <v>1.3861479372000356</v>
      </c>
      <c r="GC418" s="1998">
        <v>1.3861479372000356</v>
      </c>
      <c r="GD418" s="1998">
        <v>1.3861479372000356</v>
      </c>
      <c r="GE418" s="1998">
        <v>1.3861479372000356</v>
      </c>
      <c r="GF418" s="1998">
        <v>1.3861479372000356</v>
      </c>
      <c r="GG418" s="1979">
        <v>1.4313071575784038</v>
      </c>
      <c r="GH418" s="1979">
        <v>1.4313071575784038</v>
      </c>
      <c r="GI418" s="1979">
        <v>1.4313071575784038</v>
      </c>
      <c r="GJ418" s="1979">
        <v>1.4313071575784038</v>
      </c>
      <c r="GK418" s="2021">
        <v>1.4313071575784038</v>
      </c>
    </row>
    <row r="419" spans="1:193">
      <c r="A419" s="2020"/>
      <c r="B419" s="2">
        <v>35</v>
      </c>
      <c r="C419" s="2" t="str">
        <f>$AF$14</f>
        <v/>
      </c>
      <c r="D419" s="1998">
        <f>IF(Construction!$F$31=Construction!$R$22,Oeko!BQ419,Oeko!ED419)</f>
        <v>1</v>
      </c>
      <c r="E419" s="1998">
        <f>IF(Construction!$F$31=Construction!$R$22,Oeko!BR419,Oeko!EE419)</f>
        <v>1</v>
      </c>
      <c r="F419" s="1998">
        <f>IF(Construction!$F$31=Construction!$R$22,Oeko!BS419,Oeko!EF419)</f>
        <v>1</v>
      </c>
      <c r="G419" s="1998">
        <f>IF(Construction!$F$31=Construction!$R$22,Oeko!BT419,Oeko!EG419)</f>
        <v>1</v>
      </c>
      <c r="H419" s="1998">
        <f>IF(Construction!$F$31=Construction!$R$22,Oeko!BU419,Oeko!EH419)</f>
        <v>1</v>
      </c>
      <c r="I419" s="1979">
        <f>IF(Construction!$F$31=Construction!$R$22,Oeko!BV419,Oeko!EI419)</f>
        <v>1</v>
      </c>
      <c r="J419" s="1979">
        <f>IF(Construction!$F$31=Construction!$R$22,Oeko!BW419,Oeko!EJ419)</f>
        <v>1</v>
      </c>
      <c r="K419" s="1979">
        <f>IF(Construction!$F$31=Construction!$R$22,Oeko!BX419,Oeko!EK419)</f>
        <v>1</v>
      </c>
      <c r="L419" s="1979">
        <f>IF(Construction!$F$31=Construction!$R$22,Oeko!BY419,Oeko!EL419)</f>
        <v>1</v>
      </c>
      <c r="M419" s="1979">
        <f>IF(Construction!$F$31=Construction!$R$22,Oeko!BZ419,Oeko!EM419)</f>
        <v>1</v>
      </c>
      <c r="N419" s="1998">
        <f>IF(Construction!$F$31=Construction!$R$22,Oeko!CA419,Oeko!EN419)</f>
        <v>1</v>
      </c>
      <c r="O419" s="1998">
        <f>IF(Construction!$F$31=Construction!$R$22,Oeko!CB419,Oeko!EO419)</f>
        <v>1</v>
      </c>
      <c r="P419" s="1998">
        <f>IF(Construction!$F$31=Construction!$R$22,Oeko!CC419,Oeko!EP419)</f>
        <v>1</v>
      </c>
      <c r="Q419" s="1998">
        <f>IF(Construction!$F$31=Construction!$R$22,Oeko!CD419,Oeko!EQ419)</f>
        <v>1</v>
      </c>
      <c r="R419" s="1998">
        <f>IF(Construction!$F$31=Construction!$R$22,Oeko!CE419,Oeko!ER419)</f>
        <v>1</v>
      </c>
      <c r="S419" s="1979">
        <f>IF(Construction!$F$31=Construction!$R$22,Oeko!CF419,Oeko!ES419)</f>
        <v>1</v>
      </c>
      <c r="T419" s="1979">
        <f>IF(Construction!$F$31=Construction!$R$22,Oeko!CG419,Oeko!ET419)</f>
        <v>1</v>
      </c>
      <c r="U419" s="1979">
        <f>IF(Construction!$F$31=Construction!$R$22,Oeko!CH419,Oeko!EU419)</f>
        <v>1</v>
      </c>
      <c r="V419" s="1979">
        <f>IF(Construction!$F$31=Construction!$R$22,Oeko!CI419,Oeko!EV419)</f>
        <v>1</v>
      </c>
      <c r="W419" s="1979">
        <f>IF(Construction!$F$31=Construction!$R$22,Oeko!CJ419,Oeko!EW419)</f>
        <v>1</v>
      </c>
      <c r="X419" s="1998">
        <f>IF(Construction!$F$31=Construction!$R$22,Oeko!CK419,Oeko!EX419)</f>
        <v>1</v>
      </c>
      <c r="Y419" s="1998">
        <f>IF(Construction!$F$31=Construction!$R$22,Oeko!CL419,Oeko!EY419)</f>
        <v>1</v>
      </c>
      <c r="Z419" s="1998">
        <f>IF(Construction!$F$31=Construction!$R$22,Oeko!CM419,Oeko!EZ419)</f>
        <v>1</v>
      </c>
      <c r="AA419" s="1998">
        <f>IF(Construction!$F$31=Construction!$R$22,Oeko!CN419,Oeko!FA419)</f>
        <v>1</v>
      </c>
      <c r="AB419" s="1998">
        <f>IF(Construction!$F$31=Construction!$R$22,Oeko!CO419,Oeko!FB419)</f>
        <v>1</v>
      </c>
      <c r="AC419" s="1979">
        <f>IF(Construction!$F$31=Construction!$R$22,Oeko!CP419,Oeko!FC419)</f>
        <v>1</v>
      </c>
      <c r="AD419" s="1979">
        <f>IF(Construction!$F$31=Construction!$R$22,Oeko!CQ419,Oeko!FD419)</f>
        <v>1</v>
      </c>
      <c r="AE419" s="1979">
        <f>IF(Construction!$F$31=Construction!$R$22,Oeko!CR419,Oeko!FE419)</f>
        <v>1</v>
      </c>
      <c r="AF419" s="1979">
        <f>IF(Construction!$F$31=Construction!$R$22,Oeko!CS419,Oeko!FF419)</f>
        <v>1</v>
      </c>
      <c r="AG419" s="1979">
        <f>IF(Construction!$F$31=Construction!$R$22,Oeko!CT419,Oeko!FG419)</f>
        <v>1</v>
      </c>
      <c r="AH419" s="1998">
        <f>IF(Construction!$F$31=Construction!$R$22,Oeko!CU419,Oeko!FH419)</f>
        <v>1</v>
      </c>
      <c r="AI419" s="1998">
        <f>IF(Construction!$F$31=Construction!$R$22,Oeko!CV419,Oeko!FI419)</f>
        <v>1</v>
      </c>
      <c r="AJ419" s="1998">
        <f>IF(Construction!$F$31=Construction!$R$22,Oeko!CW419,Oeko!FJ419)</f>
        <v>1</v>
      </c>
      <c r="AK419" s="1998">
        <f>IF(Construction!$F$31=Construction!$R$22,Oeko!CX419,Oeko!FK419)</f>
        <v>1</v>
      </c>
      <c r="AL419" s="1998">
        <f>IF(Construction!$F$31=Construction!$R$22,Oeko!CY419,Oeko!FL419)</f>
        <v>1</v>
      </c>
      <c r="AM419" s="1979">
        <f>IF(Construction!$F$31=Construction!$R$22,Oeko!CZ419,Oeko!FM419)</f>
        <v>1</v>
      </c>
      <c r="AN419" s="1979">
        <f>IF(Construction!$F$31=Construction!$R$22,Oeko!DA419,Oeko!FN419)</f>
        <v>1</v>
      </c>
      <c r="AO419" s="1979">
        <f>IF(Construction!$F$31=Construction!$R$22,Oeko!DB419,Oeko!FO419)</f>
        <v>1</v>
      </c>
      <c r="AP419" s="1979">
        <f>IF(Construction!$F$31=Construction!$R$22,Oeko!DC419,Oeko!FP419)</f>
        <v>1</v>
      </c>
      <c r="AQ419" s="1979">
        <f>IF(Construction!$F$31=Construction!$R$22,Oeko!DD419,Oeko!FQ419)</f>
        <v>1</v>
      </c>
      <c r="AR419" s="1998">
        <f>IF(Construction!$F$31=Construction!$R$22,Oeko!DE419,Oeko!FR419)</f>
        <v>1</v>
      </c>
      <c r="AS419" s="1998">
        <f>IF(Construction!$F$31=Construction!$R$22,Oeko!DF419,Oeko!FS419)</f>
        <v>1</v>
      </c>
      <c r="AT419" s="1998">
        <f>IF(Construction!$F$31=Construction!$R$22,Oeko!DG419,Oeko!FT419)</f>
        <v>1</v>
      </c>
      <c r="AU419" s="1998">
        <f>IF(Construction!$F$31=Construction!$R$22,Oeko!DH419,Oeko!FU419)</f>
        <v>1</v>
      </c>
      <c r="AV419" s="1998">
        <f>IF(Construction!$F$31=Construction!$R$22,Oeko!DI419,Oeko!FV419)</f>
        <v>1</v>
      </c>
      <c r="AW419" s="1979">
        <f>IF(Construction!$F$31=Construction!$R$22,Oeko!DJ419,Oeko!FW419)</f>
        <v>1</v>
      </c>
      <c r="AX419" s="1979">
        <f>IF(Construction!$F$31=Construction!$R$22,Oeko!DK419,Oeko!FX419)</f>
        <v>1</v>
      </c>
      <c r="AY419" s="1979">
        <f>IF(Construction!$F$31=Construction!$R$22,Oeko!DL419,Oeko!FY419)</f>
        <v>1</v>
      </c>
      <c r="AZ419" s="1979">
        <f>IF(Construction!$F$31=Construction!$R$22,Oeko!DM419,Oeko!FZ419)</f>
        <v>1</v>
      </c>
      <c r="BA419" s="1979">
        <f>IF(Construction!$F$31=Construction!$R$22,Oeko!DN419,Oeko!GA419)</f>
        <v>1</v>
      </c>
      <c r="BB419" s="1998">
        <f>IF(Construction!$F$31=Construction!$R$22,Oeko!DO419,Oeko!GB419)</f>
        <v>1</v>
      </c>
      <c r="BC419" s="1998">
        <f>IF(Construction!$F$31=Construction!$R$22,Oeko!DP419,Oeko!GC419)</f>
        <v>1</v>
      </c>
      <c r="BD419" s="1998">
        <f>IF(Construction!$F$31=Construction!$R$22,Oeko!DQ419,Oeko!GD419)</f>
        <v>1</v>
      </c>
      <c r="BE419" s="1998">
        <f>IF(Construction!$F$31=Construction!$R$22,Oeko!DR419,Oeko!GE419)</f>
        <v>1</v>
      </c>
      <c r="BF419" s="1998">
        <f>IF(Construction!$F$31=Construction!$R$22,Oeko!DS419,Oeko!GF419)</f>
        <v>1</v>
      </c>
      <c r="BG419" s="1979">
        <f>IF(Construction!$F$31=Construction!$R$22,Oeko!DT419,Oeko!GG419)</f>
        <v>1</v>
      </c>
      <c r="BH419" s="1979">
        <f>IF(Construction!$F$31=Construction!$R$22,Oeko!DU419,Oeko!GH419)</f>
        <v>1</v>
      </c>
      <c r="BI419" s="1979">
        <f>IF(Construction!$F$31=Construction!$R$22,Oeko!DV419,Oeko!GI419)</f>
        <v>1</v>
      </c>
      <c r="BJ419" s="1979">
        <f>IF(Construction!$F$31=Construction!$R$22,Oeko!DW419,Oeko!GJ419)</f>
        <v>1</v>
      </c>
      <c r="BK419" s="2021">
        <f>IF(Construction!$F$31=Construction!$R$22,Oeko!DX419,Oeko!GK419)</f>
        <v>1</v>
      </c>
      <c r="BN419" s="2022"/>
      <c r="BO419" s="2">
        <v>35</v>
      </c>
      <c r="BP419" s="2" t="str">
        <f>$AF$14</f>
        <v/>
      </c>
      <c r="BQ419" s="1998">
        <v>1</v>
      </c>
      <c r="BR419" s="1998">
        <v>1</v>
      </c>
      <c r="BS419" s="1998">
        <v>1</v>
      </c>
      <c r="BT419" s="1998">
        <v>1</v>
      </c>
      <c r="BU419" s="1998">
        <v>1</v>
      </c>
      <c r="BV419" s="1979">
        <v>1</v>
      </c>
      <c r="BW419" s="1979">
        <v>1</v>
      </c>
      <c r="BX419" s="1979">
        <v>1</v>
      </c>
      <c r="BY419" s="1979">
        <v>1</v>
      </c>
      <c r="BZ419" s="1979">
        <v>1</v>
      </c>
      <c r="CA419" s="1998">
        <v>1</v>
      </c>
      <c r="CB419" s="1998">
        <v>1</v>
      </c>
      <c r="CC419" s="1998">
        <v>1</v>
      </c>
      <c r="CD419" s="1998">
        <v>1</v>
      </c>
      <c r="CE419" s="1998">
        <v>1</v>
      </c>
      <c r="CF419" s="1979">
        <v>1</v>
      </c>
      <c r="CG419" s="1979">
        <v>1</v>
      </c>
      <c r="CH419" s="1979">
        <v>1</v>
      </c>
      <c r="CI419" s="1979">
        <v>1</v>
      </c>
      <c r="CJ419" s="1979">
        <v>1</v>
      </c>
      <c r="CK419" s="1998">
        <v>1</v>
      </c>
      <c r="CL419" s="1998">
        <v>1</v>
      </c>
      <c r="CM419" s="1998">
        <v>1</v>
      </c>
      <c r="CN419" s="1998">
        <v>1</v>
      </c>
      <c r="CO419" s="1998">
        <v>1</v>
      </c>
      <c r="CP419" s="1979">
        <v>1</v>
      </c>
      <c r="CQ419" s="1979">
        <v>1</v>
      </c>
      <c r="CR419" s="1979">
        <v>1</v>
      </c>
      <c r="CS419" s="1979">
        <v>1</v>
      </c>
      <c r="CT419" s="1979">
        <v>1</v>
      </c>
      <c r="CU419" s="1998">
        <v>1</v>
      </c>
      <c r="CV419" s="1998">
        <v>1</v>
      </c>
      <c r="CW419" s="1998">
        <v>1</v>
      </c>
      <c r="CX419" s="1998">
        <v>1</v>
      </c>
      <c r="CY419" s="1998">
        <v>1</v>
      </c>
      <c r="CZ419" s="1979">
        <v>1</v>
      </c>
      <c r="DA419" s="1979">
        <v>1</v>
      </c>
      <c r="DB419" s="1979">
        <v>1</v>
      </c>
      <c r="DC419" s="1979">
        <v>1</v>
      </c>
      <c r="DD419" s="1979">
        <v>1</v>
      </c>
      <c r="DE419" s="1998">
        <v>1</v>
      </c>
      <c r="DF419" s="1998">
        <v>1</v>
      </c>
      <c r="DG419" s="1998">
        <v>1</v>
      </c>
      <c r="DH419" s="1998">
        <v>1</v>
      </c>
      <c r="DI419" s="1998">
        <v>1</v>
      </c>
      <c r="DJ419" s="1979">
        <v>1</v>
      </c>
      <c r="DK419" s="1979">
        <v>1</v>
      </c>
      <c r="DL419" s="1979">
        <v>1</v>
      </c>
      <c r="DM419" s="1979">
        <v>1</v>
      </c>
      <c r="DN419" s="1979">
        <v>1</v>
      </c>
      <c r="DO419" s="1998">
        <v>1</v>
      </c>
      <c r="DP419" s="1998">
        <v>1</v>
      </c>
      <c r="DQ419" s="1998">
        <v>1</v>
      </c>
      <c r="DR419" s="1998">
        <v>1</v>
      </c>
      <c r="DS419" s="1998">
        <v>1</v>
      </c>
      <c r="DT419" s="1979">
        <v>1</v>
      </c>
      <c r="DU419" s="1979">
        <v>1</v>
      </c>
      <c r="DV419" s="1979">
        <v>1</v>
      </c>
      <c r="DW419" s="1979">
        <v>1</v>
      </c>
      <c r="DX419" s="2021">
        <v>1</v>
      </c>
      <c r="EA419" s="2022"/>
      <c r="EB419" s="2">
        <v>35</v>
      </c>
      <c r="EC419" s="2" t="str">
        <f>$AF$14</f>
        <v/>
      </c>
      <c r="ED419" s="1998">
        <v>1.3605609674202821</v>
      </c>
      <c r="EE419" s="1998">
        <v>1.3605609674202821</v>
      </c>
      <c r="EF419" s="1998">
        <v>1.3605609674202821</v>
      </c>
      <c r="EG419" s="1998">
        <v>1.3605609674202821</v>
      </c>
      <c r="EH419" s="1998">
        <v>1.3605609674202821</v>
      </c>
      <c r="EI419" s="1979">
        <v>2.0966679740137137</v>
      </c>
      <c r="EJ419" s="1979">
        <v>2.0966679740137137</v>
      </c>
      <c r="EK419" s="1979">
        <v>2.0966679740137137</v>
      </c>
      <c r="EL419" s="1979">
        <v>2.0966679740137137</v>
      </c>
      <c r="EM419" s="1979">
        <v>2.0966679740137137</v>
      </c>
      <c r="EN419" s="1998">
        <v>1.4337071065592959</v>
      </c>
      <c r="EO419" s="1998">
        <v>1.4337071065592959</v>
      </c>
      <c r="EP419" s="1998">
        <v>1.4337071065592959</v>
      </c>
      <c r="EQ419" s="1998">
        <v>1.4337071065592959</v>
      </c>
      <c r="ER419" s="1998">
        <v>1.4337071065592959</v>
      </c>
      <c r="ES419" s="1979">
        <v>1.8379162318633464</v>
      </c>
      <c r="ET419" s="1979">
        <v>1.8379162318633464</v>
      </c>
      <c r="EU419" s="1979">
        <v>1.8379162318633464</v>
      </c>
      <c r="EV419" s="1979">
        <v>1.8379162318633464</v>
      </c>
      <c r="EW419" s="1979">
        <v>1.8379162318633464</v>
      </c>
      <c r="EX419" s="1998">
        <v>1.4662053104562123</v>
      </c>
      <c r="EY419" s="1998">
        <v>1.4662053104562123</v>
      </c>
      <c r="EZ419" s="1998">
        <v>1.4662053104562123</v>
      </c>
      <c r="FA419" s="1998">
        <v>1.4662053104562123</v>
      </c>
      <c r="FB419" s="1998">
        <v>1.4662053104562123</v>
      </c>
      <c r="FC419" s="1979">
        <v>1.6277744053108218</v>
      </c>
      <c r="FD419" s="1979">
        <v>1.6277744053108218</v>
      </c>
      <c r="FE419" s="1979">
        <v>1.6277744053108218</v>
      </c>
      <c r="FF419" s="1979">
        <v>1.6277744053108218</v>
      </c>
      <c r="FG419" s="1979">
        <v>1.6277744053108218</v>
      </c>
      <c r="FH419" s="1998">
        <v>2.3921927569513635</v>
      </c>
      <c r="FI419" s="1998">
        <v>2.3921927569513635</v>
      </c>
      <c r="FJ419" s="1998">
        <v>2.3921927569513635</v>
      </c>
      <c r="FK419" s="1998">
        <v>2.3921927569513635</v>
      </c>
      <c r="FL419" s="1998">
        <v>2.3921927569513635</v>
      </c>
      <c r="FM419" s="1979">
        <v>1.5115041757386145</v>
      </c>
      <c r="FN419" s="1979">
        <v>1.5115041757386145</v>
      </c>
      <c r="FO419" s="1979">
        <v>1.5115041757386145</v>
      </c>
      <c r="FP419" s="1979">
        <v>1.5115041757386145</v>
      </c>
      <c r="FQ419" s="1979">
        <v>1.5115041757386145</v>
      </c>
      <c r="FR419" s="1998">
        <v>8.1198212572277306</v>
      </c>
      <c r="FS419" s="1998">
        <v>8.1198212572277306</v>
      </c>
      <c r="FT419" s="1998">
        <v>8.1198212572277306</v>
      </c>
      <c r="FU419" s="1998">
        <v>8.1198212572277306</v>
      </c>
      <c r="FV419" s="1998">
        <v>8.1198212572277306</v>
      </c>
      <c r="FW419" s="1979">
        <v>8.4799072816005001</v>
      </c>
      <c r="FX419" s="1979">
        <v>8.4799072816005001</v>
      </c>
      <c r="FY419" s="1979">
        <v>8.4799072816005001</v>
      </c>
      <c r="FZ419" s="1979">
        <v>8.4799072816005001</v>
      </c>
      <c r="GA419" s="1979">
        <v>8.4799072816005001</v>
      </c>
      <c r="GB419" s="1998">
        <v>1.3861479372000356</v>
      </c>
      <c r="GC419" s="1998">
        <v>1.3861479372000356</v>
      </c>
      <c r="GD419" s="1998">
        <v>1.3861479372000356</v>
      </c>
      <c r="GE419" s="1998">
        <v>1.3861479372000356</v>
      </c>
      <c r="GF419" s="1998">
        <v>1.3861479372000356</v>
      </c>
      <c r="GG419" s="1979">
        <v>1.4313071575784038</v>
      </c>
      <c r="GH419" s="1979">
        <v>1.4313071575784038</v>
      </c>
      <c r="GI419" s="1979">
        <v>1.4313071575784038</v>
      </c>
      <c r="GJ419" s="1979">
        <v>1.4313071575784038</v>
      </c>
      <c r="GK419" s="2021">
        <v>1.4313071575784038</v>
      </c>
    </row>
    <row r="420" spans="1:193">
      <c r="A420" s="2020"/>
      <c r="B420" s="2">
        <v>36</v>
      </c>
      <c r="C420" s="2" t="str">
        <f>$AF$15</f>
        <v/>
      </c>
      <c r="D420" s="1998">
        <f>IF(Construction!$F$31=Construction!$R$22,Oeko!BQ420,Oeko!ED420)</f>
        <v>1</v>
      </c>
      <c r="E420" s="1998">
        <f>IF(Construction!$F$31=Construction!$R$22,Oeko!BR420,Oeko!EE420)</f>
        <v>1</v>
      </c>
      <c r="F420" s="1998">
        <f>IF(Construction!$F$31=Construction!$R$22,Oeko!BS420,Oeko!EF420)</f>
        <v>1</v>
      </c>
      <c r="G420" s="1998">
        <f>IF(Construction!$F$31=Construction!$R$22,Oeko!BT420,Oeko!EG420)</f>
        <v>1</v>
      </c>
      <c r="H420" s="1998">
        <f>IF(Construction!$F$31=Construction!$R$22,Oeko!BU420,Oeko!EH420)</f>
        <v>1</v>
      </c>
      <c r="I420" s="1979">
        <f>IF(Construction!$F$31=Construction!$R$22,Oeko!BV420,Oeko!EI420)</f>
        <v>1</v>
      </c>
      <c r="J420" s="1979">
        <f>IF(Construction!$F$31=Construction!$R$22,Oeko!BW420,Oeko!EJ420)</f>
        <v>1</v>
      </c>
      <c r="K420" s="1979">
        <f>IF(Construction!$F$31=Construction!$R$22,Oeko!BX420,Oeko!EK420)</f>
        <v>1</v>
      </c>
      <c r="L420" s="1979">
        <f>IF(Construction!$F$31=Construction!$R$22,Oeko!BY420,Oeko!EL420)</f>
        <v>1</v>
      </c>
      <c r="M420" s="1979">
        <f>IF(Construction!$F$31=Construction!$R$22,Oeko!BZ420,Oeko!EM420)</f>
        <v>1</v>
      </c>
      <c r="N420" s="1998">
        <f>IF(Construction!$F$31=Construction!$R$22,Oeko!CA420,Oeko!EN420)</f>
        <v>1</v>
      </c>
      <c r="O420" s="1998">
        <f>IF(Construction!$F$31=Construction!$R$22,Oeko!CB420,Oeko!EO420)</f>
        <v>1</v>
      </c>
      <c r="P420" s="1998">
        <f>IF(Construction!$F$31=Construction!$R$22,Oeko!CC420,Oeko!EP420)</f>
        <v>1</v>
      </c>
      <c r="Q420" s="1998">
        <f>IF(Construction!$F$31=Construction!$R$22,Oeko!CD420,Oeko!EQ420)</f>
        <v>1</v>
      </c>
      <c r="R420" s="1998">
        <f>IF(Construction!$F$31=Construction!$R$22,Oeko!CE420,Oeko!ER420)</f>
        <v>1</v>
      </c>
      <c r="S420" s="1979">
        <f>IF(Construction!$F$31=Construction!$R$22,Oeko!CF420,Oeko!ES420)</f>
        <v>1</v>
      </c>
      <c r="T420" s="1979">
        <f>IF(Construction!$F$31=Construction!$R$22,Oeko!CG420,Oeko!ET420)</f>
        <v>1</v>
      </c>
      <c r="U420" s="1979">
        <f>IF(Construction!$F$31=Construction!$R$22,Oeko!CH420,Oeko!EU420)</f>
        <v>1</v>
      </c>
      <c r="V420" s="1979">
        <f>IF(Construction!$F$31=Construction!$R$22,Oeko!CI420,Oeko!EV420)</f>
        <v>1</v>
      </c>
      <c r="W420" s="1979">
        <f>IF(Construction!$F$31=Construction!$R$22,Oeko!CJ420,Oeko!EW420)</f>
        <v>1</v>
      </c>
      <c r="X420" s="1998">
        <f>IF(Construction!$F$31=Construction!$R$22,Oeko!CK420,Oeko!EX420)</f>
        <v>1</v>
      </c>
      <c r="Y420" s="1998">
        <f>IF(Construction!$F$31=Construction!$R$22,Oeko!CL420,Oeko!EY420)</f>
        <v>1</v>
      </c>
      <c r="Z420" s="1998">
        <f>IF(Construction!$F$31=Construction!$R$22,Oeko!CM420,Oeko!EZ420)</f>
        <v>1</v>
      </c>
      <c r="AA420" s="1998">
        <f>IF(Construction!$F$31=Construction!$R$22,Oeko!CN420,Oeko!FA420)</f>
        <v>1</v>
      </c>
      <c r="AB420" s="1998">
        <f>IF(Construction!$F$31=Construction!$R$22,Oeko!CO420,Oeko!FB420)</f>
        <v>1</v>
      </c>
      <c r="AC420" s="1979">
        <f>IF(Construction!$F$31=Construction!$R$22,Oeko!CP420,Oeko!FC420)</f>
        <v>1</v>
      </c>
      <c r="AD420" s="1979">
        <f>IF(Construction!$F$31=Construction!$R$22,Oeko!CQ420,Oeko!FD420)</f>
        <v>1</v>
      </c>
      <c r="AE420" s="1979">
        <f>IF(Construction!$F$31=Construction!$R$22,Oeko!CR420,Oeko!FE420)</f>
        <v>1</v>
      </c>
      <c r="AF420" s="1979">
        <f>IF(Construction!$F$31=Construction!$R$22,Oeko!CS420,Oeko!FF420)</f>
        <v>1</v>
      </c>
      <c r="AG420" s="1979">
        <f>IF(Construction!$F$31=Construction!$R$22,Oeko!CT420,Oeko!FG420)</f>
        <v>1</v>
      </c>
      <c r="AH420" s="1998">
        <f>IF(Construction!$F$31=Construction!$R$22,Oeko!CU420,Oeko!FH420)</f>
        <v>1</v>
      </c>
      <c r="AI420" s="1998">
        <f>IF(Construction!$F$31=Construction!$R$22,Oeko!CV420,Oeko!FI420)</f>
        <v>1</v>
      </c>
      <c r="AJ420" s="1998">
        <f>IF(Construction!$F$31=Construction!$R$22,Oeko!CW420,Oeko!FJ420)</f>
        <v>1</v>
      </c>
      <c r="AK420" s="1998">
        <f>IF(Construction!$F$31=Construction!$R$22,Oeko!CX420,Oeko!FK420)</f>
        <v>1</v>
      </c>
      <c r="AL420" s="1998">
        <f>IF(Construction!$F$31=Construction!$R$22,Oeko!CY420,Oeko!FL420)</f>
        <v>1</v>
      </c>
      <c r="AM420" s="1979">
        <f>IF(Construction!$F$31=Construction!$R$22,Oeko!CZ420,Oeko!FM420)</f>
        <v>1</v>
      </c>
      <c r="AN420" s="1979">
        <f>IF(Construction!$F$31=Construction!$R$22,Oeko!DA420,Oeko!FN420)</f>
        <v>1</v>
      </c>
      <c r="AO420" s="1979">
        <f>IF(Construction!$F$31=Construction!$R$22,Oeko!DB420,Oeko!FO420)</f>
        <v>1</v>
      </c>
      <c r="AP420" s="1979">
        <f>IF(Construction!$F$31=Construction!$R$22,Oeko!DC420,Oeko!FP420)</f>
        <v>1</v>
      </c>
      <c r="AQ420" s="1979">
        <f>IF(Construction!$F$31=Construction!$R$22,Oeko!DD420,Oeko!FQ420)</f>
        <v>1</v>
      </c>
      <c r="AR420" s="1998">
        <f>IF(Construction!$F$31=Construction!$R$22,Oeko!DE420,Oeko!FR420)</f>
        <v>1</v>
      </c>
      <c r="AS420" s="1998">
        <f>IF(Construction!$F$31=Construction!$R$22,Oeko!DF420,Oeko!FS420)</f>
        <v>1</v>
      </c>
      <c r="AT420" s="1998">
        <f>IF(Construction!$F$31=Construction!$R$22,Oeko!DG420,Oeko!FT420)</f>
        <v>1</v>
      </c>
      <c r="AU420" s="1998">
        <f>IF(Construction!$F$31=Construction!$R$22,Oeko!DH420,Oeko!FU420)</f>
        <v>1</v>
      </c>
      <c r="AV420" s="1998">
        <f>IF(Construction!$F$31=Construction!$R$22,Oeko!DI420,Oeko!FV420)</f>
        <v>1</v>
      </c>
      <c r="AW420" s="1979">
        <f>IF(Construction!$F$31=Construction!$R$22,Oeko!DJ420,Oeko!FW420)</f>
        <v>1</v>
      </c>
      <c r="AX420" s="1979">
        <f>IF(Construction!$F$31=Construction!$R$22,Oeko!DK420,Oeko!FX420)</f>
        <v>1</v>
      </c>
      <c r="AY420" s="1979">
        <f>IF(Construction!$F$31=Construction!$R$22,Oeko!DL420,Oeko!FY420)</f>
        <v>1</v>
      </c>
      <c r="AZ420" s="1979">
        <f>IF(Construction!$F$31=Construction!$R$22,Oeko!DM420,Oeko!FZ420)</f>
        <v>1</v>
      </c>
      <c r="BA420" s="1979">
        <f>IF(Construction!$F$31=Construction!$R$22,Oeko!DN420,Oeko!GA420)</f>
        <v>1</v>
      </c>
      <c r="BB420" s="1998">
        <f>IF(Construction!$F$31=Construction!$R$22,Oeko!DO420,Oeko!GB420)</f>
        <v>1</v>
      </c>
      <c r="BC420" s="1998">
        <f>IF(Construction!$F$31=Construction!$R$22,Oeko!DP420,Oeko!GC420)</f>
        <v>1</v>
      </c>
      <c r="BD420" s="1998">
        <f>IF(Construction!$F$31=Construction!$R$22,Oeko!DQ420,Oeko!GD420)</f>
        <v>1</v>
      </c>
      <c r="BE420" s="1998">
        <f>IF(Construction!$F$31=Construction!$R$22,Oeko!DR420,Oeko!GE420)</f>
        <v>1</v>
      </c>
      <c r="BF420" s="1998">
        <f>IF(Construction!$F$31=Construction!$R$22,Oeko!DS420,Oeko!GF420)</f>
        <v>1</v>
      </c>
      <c r="BG420" s="1979">
        <f>IF(Construction!$F$31=Construction!$R$22,Oeko!DT420,Oeko!GG420)</f>
        <v>1</v>
      </c>
      <c r="BH420" s="1979">
        <f>IF(Construction!$F$31=Construction!$R$22,Oeko!DU420,Oeko!GH420)</f>
        <v>1</v>
      </c>
      <c r="BI420" s="1979">
        <f>IF(Construction!$F$31=Construction!$R$22,Oeko!DV420,Oeko!GI420)</f>
        <v>1</v>
      </c>
      <c r="BJ420" s="1979">
        <f>IF(Construction!$F$31=Construction!$R$22,Oeko!DW420,Oeko!GJ420)</f>
        <v>1</v>
      </c>
      <c r="BK420" s="2021">
        <f>IF(Construction!$F$31=Construction!$R$22,Oeko!DX420,Oeko!GK420)</f>
        <v>1</v>
      </c>
      <c r="BN420" s="2022"/>
      <c r="BO420" s="2">
        <v>36</v>
      </c>
      <c r="BP420" s="2" t="str">
        <f>$AF$15</f>
        <v/>
      </c>
      <c r="BQ420" s="1998">
        <v>1</v>
      </c>
      <c r="BR420" s="1998">
        <v>1</v>
      </c>
      <c r="BS420" s="1998">
        <v>1</v>
      </c>
      <c r="BT420" s="1998">
        <v>1</v>
      </c>
      <c r="BU420" s="1998">
        <v>1</v>
      </c>
      <c r="BV420" s="1979">
        <v>1</v>
      </c>
      <c r="BW420" s="1979">
        <v>1</v>
      </c>
      <c r="BX420" s="1979">
        <v>1</v>
      </c>
      <c r="BY420" s="1979">
        <v>1</v>
      </c>
      <c r="BZ420" s="1979">
        <v>1</v>
      </c>
      <c r="CA420" s="1998">
        <v>1</v>
      </c>
      <c r="CB420" s="1998">
        <v>1</v>
      </c>
      <c r="CC420" s="1998">
        <v>1</v>
      </c>
      <c r="CD420" s="1998">
        <v>1</v>
      </c>
      <c r="CE420" s="1998">
        <v>1</v>
      </c>
      <c r="CF420" s="1979">
        <v>1</v>
      </c>
      <c r="CG420" s="1979">
        <v>1</v>
      </c>
      <c r="CH420" s="1979">
        <v>1</v>
      </c>
      <c r="CI420" s="1979">
        <v>1</v>
      </c>
      <c r="CJ420" s="1979">
        <v>1</v>
      </c>
      <c r="CK420" s="1998">
        <v>1</v>
      </c>
      <c r="CL420" s="1998">
        <v>1</v>
      </c>
      <c r="CM420" s="1998">
        <v>1</v>
      </c>
      <c r="CN420" s="1998">
        <v>1</v>
      </c>
      <c r="CO420" s="1998">
        <v>1</v>
      </c>
      <c r="CP420" s="1979">
        <v>1</v>
      </c>
      <c r="CQ420" s="1979">
        <v>1</v>
      </c>
      <c r="CR420" s="1979">
        <v>1</v>
      </c>
      <c r="CS420" s="1979">
        <v>1</v>
      </c>
      <c r="CT420" s="1979">
        <v>1</v>
      </c>
      <c r="CU420" s="1998">
        <v>1</v>
      </c>
      <c r="CV420" s="1998">
        <v>1</v>
      </c>
      <c r="CW420" s="1998">
        <v>1</v>
      </c>
      <c r="CX420" s="1998">
        <v>1</v>
      </c>
      <c r="CY420" s="1998">
        <v>1</v>
      </c>
      <c r="CZ420" s="1979">
        <v>1</v>
      </c>
      <c r="DA420" s="1979">
        <v>1</v>
      </c>
      <c r="DB420" s="1979">
        <v>1</v>
      </c>
      <c r="DC420" s="1979">
        <v>1</v>
      </c>
      <c r="DD420" s="1979">
        <v>1</v>
      </c>
      <c r="DE420" s="1998">
        <v>1</v>
      </c>
      <c r="DF420" s="1998">
        <v>1</v>
      </c>
      <c r="DG420" s="1998">
        <v>1</v>
      </c>
      <c r="DH420" s="1998">
        <v>1</v>
      </c>
      <c r="DI420" s="1998">
        <v>1</v>
      </c>
      <c r="DJ420" s="1979">
        <v>1</v>
      </c>
      <c r="DK420" s="1979">
        <v>1</v>
      </c>
      <c r="DL420" s="1979">
        <v>1</v>
      </c>
      <c r="DM420" s="1979">
        <v>1</v>
      </c>
      <c r="DN420" s="1979">
        <v>1</v>
      </c>
      <c r="DO420" s="1998">
        <v>1</v>
      </c>
      <c r="DP420" s="1998">
        <v>1</v>
      </c>
      <c r="DQ420" s="1998">
        <v>1</v>
      </c>
      <c r="DR420" s="1998">
        <v>1</v>
      </c>
      <c r="DS420" s="1998">
        <v>1</v>
      </c>
      <c r="DT420" s="1979">
        <v>1</v>
      </c>
      <c r="DU420" s="1979">
        <v>1</v>
      </c>
      <c r="DV420" s="1979">
        <v>1</v>
      </c>
      <c r="DW420" s="1979">
        <v>1</v>
      </c>
      <c r="DX420" s="2021">
        <v>1</v>
      </c>
      <c r="EA420" s="2022"/>
      <c r="EB420" s="2">
        <v>36</v>
      </c>
      <c r="EC420" s="2" t="str">
        <f>$AF$15</f>
        <v/>
      </c>
      <c r="ED420" s="1998">
        <v>1.3605609674202821</v>
      </c>
      <c r="EE420" s="1998">
        <v>1.3605609674202821</v>
      </c>
      <c r="EF420" s="1998">
        <v>1.3605609674202821</v>
      </c>
      <c r="EG420" s="1998">
        <v>1.3605609674202821</v>
      </c>
      <c r="EH420" s="1998">
        <v>1.3605609674202821</v>
      </c>
      <c r="EI420" s="1979">
        <v>2.0966679740137137</v>
      </c>
      <c r="EJ420" s="1979">
        <v>2.0966679740137137</v>
      </c>
      <c r="EK420" s="1979">
        <v>2.0966679740137137</v>
      </c>
      <c r="EL420" s="1979">
        <v>2.0966679740137137</v>
      </c>
      <c r="EM420" s="1979">
        <v>2.0966679740137137</v>
      </c>
      <c r="EN420" s="1998">
        <v>1.4337071065592959</v>
      </c>
      <c r="EO420" s="1998">
        <v>1.4337071065592959</v>
      </c>
      <c r="EP420" s="1998">
        <v>1.4337071065592959</v>
      </c>
      <c r="EQ420" s="1998">
        <v>1.4337071065592959</v>
      </c>
      <c r="ER420" s="1998">
        <v>1.4337071065592959</v>
      </c>
      <c r="ES420" s="1979">
        <v>1.8379162318633464</v>
      </c>
      <c r="ET420" s="1979">
        <v>1.8379162318633464</v>
      </c>
      <c r="EU420" s="1979">
        <v>1.8379162318633464</v>
      </c>
      <c r="EV420" s="1979">
        <v>1.8379162318633464</v>
      </c>
      <c r="EW420" s="1979">
        <v>1.8379162318633464</v>
      </c>
      <c r="EX420" s="1998">
        <v>1.4662053104562123</v>
      </c>
      <c r="EY420" s="1998">
        <v>1.4662053104562123</v>
      </c>
      <c r="EZ420" s="1998">
        <v>1.4662053104562123</v>
      </c>
      <c r="FA420" s="1998">
        <v>1.4662053104562123</v>
      </c>
      <c r="FB420" s="1998">
        <v>1.4662053104562123</v>
      </c>
      <c r="FC420" s="1979">
        <v>1.6277744053108218</v>
      </c>
      <c r="FD420" s="1979">
        <v>1.6277744053108218</v>
      </c>
      <c r="FE420" s="1979">
        <v>1.6277744053108218</v>
      </c>
      <c r="FF420" s="1979">
        <v>1.6277744053108218</v>
      </c>
      <c r="FG420" s="1979">
        <v>1.6277744053108218</v>
      </c>
      <c r="FH420" s="1998">
        <v>2.3921927569513635</v>
      </c>
      <c r="FI420" s="1998">
        <v>2.3921927569513635</v>
      </c>
      <c r="FJ420" s="1998">
        <v>2.3921927569513635</v>
      </c>
      <c r="FK420" s="1998">
        <v>2.3921927569513635</v>
      </c>
      <c r="FL420" s="1998">
        <v>2.3921927569513635</v>
      </c>
      <c r="FM420" s="1979">
        <v>1.5115041757386145</v>
      </c>
      <c r="FN420" s="1979">
        <v>1.5115041757386145</v>
      </c>
      <c r="FO420" s="1979">
        <v>1.5115041757386145</v>
      </c>
      <c r="FP420" s="1979">
        <v>1.5115041757386145</v>
      </c>
      <c r="FQ420" s="1979">
        <v>1.5115041757386145</v>
      </c>
      <c r="FR420" s="1998">
        <v>8.1198212572277306</v>
      </c>
      <c r="FS420" s="1998">
        <v>8.1198212572277306</v>
      </c>
      <c r="FT420" s="1998">
        <v>8.1198212572277306</v>
      </c>
      <c r="FU420" s="1998">
        <v>8.1198212572277306</v>
      </c>
      <c r="FV420" s="1998">
        <v>8.1198212572277306</v>
      </c>
      <c r="FW420" s="1979">
        <v>8.4799072816005001</v>
      </c>
      <c r="FX420" s="1979">
        <v>8.4799072816005001</v>
      </c>
      <c r="FY420" s="1979">
        <v>8.4799072816005001</v>
      </c>
      <c r="FZ420" s="1979">
        <v>8.4799072816005001</v>
      </c>
      <c r="GA420" s="1979">
        <v>8.4799072816005001</v>
      </c>
      <c r="GB420" s="1998">
        <v>1.3861479372000356</v>
      </c>
      <c r="GC420" s="1998">
        <v>1.3861479372000356</v>
      </c>
      <c r="GD420" s="1998">
        <v>1.3861479372000356</v>
      </c>
      <c r="GE420" s="1998">
        <v>1.3861479372000356</v>
      </c>
      <c r="GF420" s="1998">
        <v>1.3861479372000356</v>
      </c>
      <c r="GG420" s="1979">
        <v>1.4313071575784038</v>
      </c>
      <c r="GH420" s="1979">
        <v>1.4313071575784038</v>
      </c>
      <c r="GI420" s="1979">
        <v>1.4313071575784038</v>
      </c>
      <c r="GJ420" s="1979">
        <v>1.4313071575784038</v>
      </c>
      <c r="GK420" s="2021">
        <v>1.4313071575784038</v>
      </c>
    </row>
    <row r="421" spans="1:193">
      <c r="A421" s="2020"/>
      <c r="B421" s="2">
        <v>37</v>
      </c>
      <c r="C421" s="2" t="str">
        <f>$AF$16</f>
        <v/>
      </c>
      <c r="D421" s="1998">
        <f>IF(Construction!$F$31=Construction!$R$22,Oeko!BQ421,Oeko!ED421)</f>
        <v>1</v>
      </c>
      <c r="E421" s="1998">
        <f>IF(Construction!$F$31=Construction!$R$22,Oeko!BR421,Oeko!EE421)</f>
        <v>1</v>
      </c>
      <c r="F421" s="1998">
        <f>IF(Construction!$F$31=Construction!$R$22,Oeko!BS421,Oeko!EF421)</f>
        <v>1</v>
      </c>
      <c r="G421" s="1998">
        <f>IF(Construction!$F$31=Construction!$R$22,Oeko!BT421,Oeko!EG421)</f>
        <v>1</v>
      </c>
      <c r="H421" s="1998">
        <f>IF(Construction!$F$31=Construction!$R$22,Oeko!BU421,Oeko!EH421)</f>
        <v>1</v>
      </c>
      <c r="I421" s="1979">
        <f>IF(Construction!$F$31=Construction!$R$22,Oeko!BV421,Oeko!EI421)</f>
        <v>1</v>
      </c>
      <c r="J421" s="1979">
        <f>IF(Construction!$F$31=Construction!$R$22,Oeko!BW421,Oeko!EJ421)</f>
        <v>1</v>
      </c>
      <c r="K421" s="1979">
        <f>IF(Construction!$F$31=Construction!$R$22,Oeko!BX421,Oeko!EK421)</f>
        <v>1</v>
      </c>
      <c r="L421" s="1979">
        <f>IF(Construction!$F$31=Construction!$R$22,Oeko!BY421,Oeko!EL421)</f>
        <v>1</v>
      </c>
      <c r="M421" s="1979">
        <f>IF(Construction!$F$31=Construction!$R$22,Oeko!BZ421,Oeko!EM421)</f>
        <v>1</v>
      </c>
      <c r="N421" s="1998">
        <f>IF(Construction!$F$31=Construction!$R$22,Oeko!CA421,Oeko!EN421)</f>
        <v>1</v>
      </c>
      <c r="O421" s="1998">
        <f>IF(Construction!$F$31=Construction!$R$22,Oeko!CB421,Oeko!EO421)</f>
        <v>1</v>
      </c>
      <c r="P421" s="1998">
        <f>IF(Construction!$F$31=Construction!$R$22,Oeko!CC421,Oeko!EP421)</f>
        <v>1</v>
      </c>
      <c r="Q421" s="1998">
        <f>IF(Construction!$F$31=Construction!$R$22,Oeko!CD421,Oeko!EQ421)</f>
        <v>1</v>
      </c>
      <c r="R421" s="1998">
        <f>IF(Construction!$F$31=Construction!$R$22,Oeko!CE421,Oeko!ER421)</f>
        <v>1</v>
      </c>
      <c r="S421" s="1979">
        <f>IF(Construction!$F$31=Construction!$R$22,Oeko!CF421,Oeko!ES421)</f>
        <v>1</v>
      </c>
      <c r="T421" s="1979">
        <f>IF(Construction!$F$31=Construction!$R$22,Oeko!CG421,Oeko!ET421)</f>
        <v>1</v>
      </c>
      <c r="U421" s="1979">
        <f>IF(Construction!$F$31=Construction!$R$22,Oeko!CH421,Oeko!EU421)</f>
        <v>1</v>
      </c>
      <c r="V421" s="1979">
        <f>IF(Construction!$F$31=Construction!$R$22,Oeko!CI421,Oeko!EV421)</f>
        <v>1</v>
      </c>
      <c r="W421" s="1979">
        <f>IF(Construction!$F$31=Construction!$R$22,Oeko!CJ421,Oeko!EW421)</f>
        <v>1</v>
      </c>
      <c r="X421" s="1998">
        <f>IF(Construction!$F$31=Construction!$R$22,Oeko!CK421,Oeko!EX421)</f>
        <v>1</v>
      </c>
      <c r="Y421" s="1998">
        <f>IF(Construction!$F$31=Construction!$R$22,Oeko!CL421,Oeko!EY421)</f>
        <v>1</v>
      </c>
      <c r="Z421" s="1998">
        <f>IF(Construction!$F$31=Construction!$R$22,Oeko!CM421,Oeko!EZ421)</f>
        <v>1</v>
      </c>
      <c r="AA421" s="1998">
        <f>IF(Construction!$F$31=Construction!$R$22,Oeko!CN421,Oeko!FA421)</f>
        <v>1</v>
      </c>
      <c r="AB421" s="1998">
        <f>IF(Construction!$F$31=Construction!$R$22,Oeko!CO421,Oeko!FB421)</f>
        <v>1</v>
      </c>
      <c r="AC421" s="1979">
        <f>IF(Construction!$F$31=Construction!$R$22,Oeko!CP421,Oeko!FC421)</f>
        <v>1</v>
      </c>
      <c r="AD421" s="1979">
        <f>IF(Construction!$F$31=Construction!$R$22,Oeko!CQ421,Oeko!FD421)</f>
        <v>1</v>
      </c>
      <c r="AE421" s="1979">
        <f>IF(Construction!$F$31=Construction!$R$22,Oeko!CR421,Oeko!FE421)</f>
        <v>1</v>
      </c>
      <c r="AF421" s="1979">
        <f>IF(Construction!$F$31=Construction!$R$22,Oeko!CS421,Oeko!FF421)</f>
        <v>1</v>
      </c>
      <c r="AG421" s="1979">
        <f>IF(Construction!$F$31=Construction!$R$22,Oeko!CT421,Oeko!FG421)</f>
        <v>1</v>
      </c>
      <c r="AH421" s="1998">
        <f>IF(Construction!$F$31=Construction!$R$22,Oeko!CU421,Oeko!FH421)</f>
        <v>1</v>
      </c>
      <c r="AI421" s="1998">
        <f>IF(Construction!$F$31=Construction!$R$22,Oeko!CV421,Oeko!FI421)</f>
        <v>1</v>
      </c>
      <c r="AJ421" s="1998">
        <f>IF(Construction!$F$31=Construction!$R$22,Oeko!CW421,Oeko!FJ421)</f>
        <v>1</v>
      </c>
      <c r="AK421" s="1998">
        <f>IF(Construction!$F$31=Construction!$R$22,Oeko!CX421,Oeko!FK421)</f>
        <v>1</v>
      </c>
      <c r="AL421" s="1998">
        <f>IF(Construction!$F$31=Construction!$R$22,Oeko!CY421,Oeko!FL421)</f>
        <v>1</v>
      </c>
      <c r="AM421" s="1979">
        <f>IF(Construction!$F$31=Construction!$R$22,Oeko!CZ421,Oeko!FM421)</f>
        <v>1</v>
      </c>
      <c r="AN421" s="1979">
        <f>IF(Construction!$F$31=Construction!$R$22,Oeko!DA421,Oeko!FN421)</f>
        <v>1</v>
      </c>
      <c r="AO421" s="1979">
        <f>IF(Construction!$F$31=Construction!$R$22,Oeko!DB421,Oeko!FO421)</f>
        <v>1</v>
      </c>
      <c r="AP421" s="1979">
        <f>IF(Construction!$F$31=Construction!$R$22,Oeko!DC421,Oeko!FP421)</f>
        <v>1</v>
      </c>
      <c r="AQ421" s="1979">
        <f>IF(Construction!$F$31=Construction!$R$22,Oeko!DD421,Oeko!FQ421)</f>
        <v>1</v>
      </c>
      <c r="AR421" s="1998">
        <f>IF(Construction!$F$31=Construction!$R$22,Oeko!DE421,Oeko!FR421)</f>
        <v>1</v>
      </c>
      <c r="AS421" s="1998">
        <f>IF(Construction!$F$31=Construction!$R$22,Oeko!DF421,Oeko!FS421)</f>
        <v>1</v>
      </c>
      <c r="AT421" s="1998">
        <f>IF(Construction!$F$31=Construction!$R$22,Oeko!DG421,Oeko!FT421)</f>
        <v>1</v>
      </c>
      <c r="AU421" s="1998">
        <f>IF(Construction!$F$31=Construction!$R$22,Oeko!DH421,Oeko!FU421)</f>
        <v>1</v>
      </c>
      <c r="AV421" s="1998">
        <f>IF(Construction!$F$31=Construction!$R$22,Oeko!DI421,Oeko!FV421)</f>
        <v>1</v>
      </c>
      <c r="AW421" s="1979">
        <f>IF(Construction!$F$31=Construction!$R$22,Oeko!DJ421,Oeko!FW421)</f>
        <v>1</v>
      </c>
      <c r="AX421" s="1979">
        <f>IF(Construction!$F$31=Construction!$R$22,Oeko!DK421,Oeko!FX421)</f>
        <v>1</v>
      </c>
      <c r="AY421" s="1979">
        <f>IF(Construction!$F$31=Construction!$R$22,Oeko!DL421,Oeko!FY421)</f>
        <v>1</v>
      </c>
      <c r="AZ421" s="1979">
        <f>IF(Construction!$F$31=Construction!$R$22,Oeko!DM421,Oeko!FZ421)</f>
        <v>1</v>
      </c>
      <c r="BA421" s="1979">
        <f>IF(Construction!$F$31=Construction!$R$22,Oeko!DN421,Oeko!GA421)</f>
        <v>1</v>
      </c>
      <c r="BB421" s="1998">
        <f>IF(Construction!$F$31=Construction!$R$22,Oeko!DO421,Oeko!GB421)</f>
        <v>1</v>
      </c>
      <c r="BC421" s="1998">
        <f>IF(Construction!$F$31=Construction!$R$22,Oeko!DP421,Oeko!GC421)</f>
        <v>1</v>
      </c>
      <c r="BD421" s="1998">
        <f>IF(Construction!$F$31=Construction!$R$22,Oeko!DQ421,Oeko!GD421)</f>
        <v>1</v>
      </c>
      <c r="BE421" s="1998">
        <f>IF(Construction!$F$31=Construction!$R$22,Oeko!DR421,Oeko!GE421)</f>
        <v>1</v>
      </c>
      <c r="BF421" s="1998">
        <f>IF(Construction!$F$31=Construction!$R$22,Oeko!DS421,Oeko!GF421)</f>
        <v>1</v>
      </c>
      <c r="BG421" s="1979">
        <f>IF(Construction!$F$31=Construction!$R$22,Oeko!DT421,Oeko!GG421)</f>
        <v>1</v>
      </c>
      <c r="BH421" s="1979">
        <f>IF(Construction!$F$31=Construction!$R$22,Oeko!DU421,Oeko!GH421)</f>
        <v>1</v>
      </c>
      <c r="BI421" s="1979">
        <f>IF(Construction!$F$31=Construction!$R$22,Oeko!DV421,Oeko!GI421)</f>
        <v>1</v>
      </c>
      <c r="BJ421" s="1979">
        <f>IF(Construction!$F$31=Construction!$R$22,Oeko!DW421,Oeko!GJ421)</f>
        <v>1</v>
      </c>
      <c r="BK421" s="2021">
        <f>IF(Construction!$F$31=Construction!$R$22,Oeko!DX421,Oeko!GK421)</f>
        <v>1</v>
      </c>
      <c r="BN421" s="2022"/>
      <c r="BO421" s="2">
        <v>37</v>
      </c>
      <c r="BP421" s="2" t="str">
        <f>$AF$16</f>
        <v/>
      </c>
      <c r="BQ421" s="1998">
        <v>1</v>
      </c>
      <c r="BR421" s="1998">
        <v>1</v>
      </c>
      <c r="BS421" s="1998">
        <v>1</v>
      </c>
      <c r="BT421" s="1998">
        <v>1</v>
      </c>
      <c r="BU421" s="1998">
        <v>1</v>
      </c>
      <c r="BV421" s="1979">
        <v>1</v>
      </c>
      <c r="BW421" s="1979">
        <v>1</v>
      </c>
      <c r="BX421" s="1979">
        <v>1</v>
      </c>
      <c r="BY421" s="1979">
        <v>1</v>
      </c>
      <c r="BZ421" s="1979">
        <v>1</v>
      </c>
      <c r="CA421" s="1998">
        <v>1</v>
      </c>
      <c r="CB421" s="1998">
        <v>1</v>
      </c>
      <c r="CC421" s="1998">
        <v>1</v>
      </c>
      <c r="CD421" s="1998">
        <v>1</v>
      </c>
      <c r="CE421" s="1998">
        <v>1</v>
      </c>
      <c r="CF421" s="1979">
        <v>1</v>
      </c>
      <c r="CG421" s="1979">
        <v>1</v>
      </c>
      <c r="CH421" s="1979">
        <v>1</v>
      </c>
      <c r="CI421" s="1979">
        <v>1</v>
      </c>
      <c r="CJ421" s="1979">
        <v>1</v>
      </c>
      <c r="CK421" s="1998">
        <v>1</v>
      </c>
      <c r="CL421" s="1998">
        <v>1</v>
      </c>
      <c r="CM421" s="1998">
        <v>1</v>
      </c>
      <c r="CN421" s="1998">
        <v>1</v>
      </c>
      <c r="CO421" s="1998">
        <v>1</v>
      </c>
      <c r="CP421" s="1979">
        <v>1</v>
      </c>
      <c r="CQ421" s="1979">
        <v>1</v>
      </c>
      <c r="CR421" s="1979">
        <v>1</v>
      </c>
      <c r="CS421" s="1979">
        <v>1</v>
      </c>
      <c r="CT421" s="1979">
        <v>1</v>
      </c>
      <c r="CU421" s="1998">
        <v>1</v>
      </c>
      <c r="CV421" s="1998">
        <v>1</v>
      </c>
      <c r="CW421" s="1998">
        <v>1</v>
      </c>
      <c r="CX421" s="1998">
        <v>1</v>
      </c>
      <c r="CY421" s="1998">
        <v>1</v>
      </c>
      <c r="CZ421" s="1979">
        <v>1</v>
      </c>
      <c r="DA421" s="1979">
        <v>1</v>
      </c>
      <c r="DB421" s="1979">
        <v>1</v>
      </c>
      <c r="DC421" s="1979">
        <v>1</v>
      </c>
      <c r="DD421" s="1979">
        <v>1</v>
      </c>
      <c r="DE421" s="1998">
        <v>1</v>
      </c>
      <c r="DF421" s="1998">
        <v>1</v>
      </c>
      <c r="DG421" s="1998">
        <v>1</v>
      </c>
      <c r="DH421" s="1998">
        <v>1</v>
      </c>
      <c r="DI421" s="1998">
        <v>1</v>
      </c>
      <c r="DJ421" s="1979">
        <v>1</v>
      </c>
      <c r="DK421" s="1979">
        <v>1</v>
      </c>
      <c r="DL421" s="1979">
        <v>1</v>
      </c>
      <c r="DM421" s="1979">
        <v>1</v>
      </c>
      <c r="DN421" s="1979">
        <v>1</v>
      </c>
      <c r="DO421" s="1998">
        <v>1</v>
      </c>
      <c r="DP421" s="1998">
        <v>1</v>
      </c>
      <c r="DQ421" s="1998">
        <v>1</v>
      </c>
      <c r="DR421" s="1998">
        <v>1</v>
      </c>
      <c r="DS421" s="1998">
        <v>1</v>
      </c>
      <c r="DT421" s="1979">
        <v>1</v>
      </c>
      <c r="DU421" s="1979">
        <v>1</v>
      </c>
      <c r="DV421" s="1979">
        <v>1</v>
      </c>
      <c r="DW421" s="1979">
        <v>1</v>
      </c>
      <c r="DX421" s="2021">
        <v>1</v>
      </c>
      <c r="EA421" s="2022"/>
      <c r="EB421" s="2">
        <v>37</v>
      </c>
      <c r="EC421" s="2" t="str">
        <f>$AF$16</f>
        <v/>
      </c>
      <c r="ED421" s="1998">
        <v>1.3605609674202821</v>
      </c>
      <c r="EE421" s="1998">
        <v>1.3605609674202821</v>
      </c>
      <c r="EF421" s="1998">
        <v>1.3605609674202821</v>
      </c>
      <c r="EG421" s="1998">
        <v>1.3605609674202821</v>
      </c>
      <c r="EH421" s="1998">
        <v>1.3605609674202821</v>
      </c>
      <c r="EI421" s="1979">
        <v>2.0966679740137137</v>
      </c>
      <c r="EJ421" s="1979">
        <v>2.0966679740137137</v>
      </c>
      <c r="EK421" s="1979">
        <v>2.0966679740137137</v>
      </c>
      <c r="EL421" s="1979">
        <v>2.0966679740137137</v>
      </c>
      <c r="EM421" s="1979">
        <v>2.0966679740137137</v>
      </c>
      <c r="EN421" s="1998">
        <v>1.4337071065592959</v>
      </c>
      <c r="EO421" s="1998">
        <v>1.4337071065592959</v>
      </c>
      <c r="EP421" s="1998">
        <v>1.4337071065592959</v>
      </c>
      <c r="EQ421" s="1998">
        <v>1.4337071065592959</v>
      </c>
      <c r="ER421" s="1998">
        <v>1.4337071065592959</v>
      </c>
      <c r="ES421" s="1979">
        <v>1.8379162318633464</v>
      </c>
      <c r="ET421" s="1979">
        <v>1.8379162318633464</v>
      </c>
      <c r="EU421" s="1979">
        <v>1.8379162318633464</v>
      </c>
      <c r="EV421" s="1979">
        <v>1.8379162318633464</v>
      </c>
      <c r="EW421" s="1979">
        <v>1.8379162318633464</v>
      </c>
      <c r="EX421" s="1998">
        <v>1.4662053104562123</v>
      </c>
      <c r="EY421" s="1998">
        <v>1.4662053104562123</v>
      </c>
      <c r="EZ421" s="1998">
        <v>1.4662053104562123</v>
      </c>
      <c r="FA421" s="1998">
        <v>1.4662053104562123</v>
      </c>
      <c r="FB421" s="1998">
        <v>1.4662053104562123</v>
      </c>
      <c r="FC421" s="1979">
        <v>1.6277744053108218</v>
      </c>
      <c r="FD421" s="1979">
        <v>1.6277744053108218</v>
      </c>
      <c r="FE421" s="1979">
        <v>1.6277744053108218</v>
      </c>
      <c r="FF421" s="1979">
        <v>1.6277744053108218</v>
      </c>
      <c r="FG421" s="1979">
        <v>1.6277744053108218</v>
      </c>
      <c r="FH421" s="1998">
        <v>2.3921927569513635</v>
      </c>
      <c r="FI421" s="1998">
        <v>2.3921927569513635</v>
      </c>
      <c r="FJ421" s="1998">
        <v>2.3921927569513635</v>
      </c>
      <c r="FK421" s="1998">
        <v>2.3921927569513635</v>
      </c>
      <c r="FL421" s="1998">
        <v>2.3921927569513635</v>
      </c>
      <c r="FM421" s="1979">
        <v>1.5115041757386145</v>
      </c>
      <c r="FN421" s="1979">
        <v>1.5115041757386145</v>
      </c>
      <c r="FO421" s="1979">
        <v>1.5115041757386145</v>
      </c>
      <c r="FP421" s="1979">
        <v>1.5115041757386145</v>
      </c>
      <c r="FQ421" s="1979">
        <v>1.5115041757386145</v>
      </c>
      <c r="FR421" s="1998">
        <v>8.1198212572277306</v>
      </c>
      <c r="FS421" s="1998">
        <v>8.1198212572277306</v>
      </c>
      <c r="FT421" s="1998">
        <v>8.1198212572277306</v>
      </c>
      <c r="FU421" s="1998">
        <v>8.1198212572277306</v>
      </c>
      <c r="FV421" s="1998">
        <v>8.1198212572277306</v>
      </c>
      <c r="FW421" s="1979">
        <v>8.4799072816005001</v>
      </c>
      <c r="FX421" s="1979">
        <v>8.4799072816005001</v>
      </c>
      <c r="FY421" s="1979">
        <v>8.4799072816005001</v>
      </c>
      <c r="FZ421" s="1979">
        <v>8.4799072816005001</v>
      </c>
      <c r="GA421" s="1979">
        <v>8.4799072816005001</v>
      </c>
      <c r="GB421" s="1998">
        <v>1.3861479372000356</v>
      </c>
      <c r="GC421" s="1998">
        <v>1.3861479372000356</v>
      </c>
      <c r="GD421" s="1998">
        <v>1.3861479372000356</v>
      </c>
      <c r="GE421" s="1998">
        <v>1.3861479372000356</v>
      </c>
      <c r="GF421" s="1998">
        <v>1.3861479372000356</v>
      </c>
      <c r="GG421" s="1979">
        <v>1.4313071575784038</v>
      </c>
      <c r="GH421" s="1979">
        <v>1.4313071575784038</v>
      </c>
      <c r="GI421" s="1979">
        <v>1.4313071575784038</v>
      </c>
      <c r="GJ421" s="1979">
        <v>1.4313071575784038</v>
      </c>
      <c r="GK421" s="2021">
        <v>1.4313071575784038</v>
      </c>
    </row>
    <row r="422" spans="1:193">
      <c r="A422" s="2020"/>
      <c r="B422" s="2">
        <v>38</v>
      </c>
      <c r="C422" s="2" t="str">
        <f>$AF$17</f>
        <v/>
      </c>
      <c r="D422" s="1998">
        <f>IF(Construction!$F$31=Construction!$R$22,Oeko!BQ422,Oeko!ED422)</f>
        <v>1</v>
      </c>
      <c r="E422" s="1998">
        <f>IF(Construction!$F$31=Construction!$R$22,Oeko!BR422,Oeko!EE422)</f>
        <v>1</v>
      </c>
      <c r="F422" s="1998">
        <f>IF(Construction!$F$31=Construction!$R$22,Oeko!BS422,Oeko!EF422)</f>
        <v>1</v>
      </c>
      <c r="G422" s="1998">
        <f>IF(Construction!$F$31=Construction!$R$22,Oeko!BT422,Oeko!EG422)</f>
        <v>1</v>
      </c>
      <c r="H422" s="1998">
        <f>IF(Construction!$F$31=Construction!$R$22,Oeko!BU422,Oeko!EH422)</f>
        <v>1</v>
      </c>
      <c r="I422" s="1979">
        <f>IF(Construction!$F$31=Construction!$R$22,Oeko!BV422,Oeko!EI422)</f>
        <v>1</v>
      </c>
      <c r="J422" s="1979">
        <f>IF(Construction!$F$31=Construction!$R$22,Oeko!BW422,Oeko!EJ422)</f>
        <v>1</v>
      </c>
      <c r="K422" s="1979">
        <f>IF(Construction!$F$31=Construction!$R$22,Oeko!BX422,Oeko!EK422)</f>
        <v>1</v>
      </c>
      <c r="L422" s="1979">
        <f>IF(Construction!$F$31=Construction!$R$22,Oeko!BY422,Oeko!EL422)</f>
        <v>1</v>
      </c>
      <c r="M422" s="1979">
        <f>IF(Construction!$F$31=Construction!$R$22,Oeko!BZ422,Oeko!EM422)</f>
        <v>1</v>
      </c>
      <c r="N422" s="1998">
        <f>IF(Construction!$F$31=Construction!$R$22,Oeko!CA422,Oeko!EN422)</f>
        <v>1</v>
      </c>
      <c r="O422" s="1998">
        <f>IF(Construction!$F$31=Construction!$R$22,Oeko!CB422,Oeko!EO422)</f>
        <v>1</v>
      </c>
      <c r="P422" s="1998">
        <f>IF(Construction!$F$31=Construction!$R$22,Oeko!CC422,Oeko!EP422)</f>
        <v>1</v>
      </c>
      <c r="Q422" s="1998">
        <f>IF(Construction!$F$31=Construction!$R$22,Oeko!CD422,Oeko!EQ422)</f>
        <v>1</v>
      </c>
      <c r="R422" s="1998">
        <f>IF(Construction!$F$31=Construction!$R$22,Oeko!CE422,Oeko!ER422)</f>
        <v>1</v>
      </c>
      <c r="S422" s="1979">
        <f>IF(Construction!$F$31=Construction!$R$22,Oeko!CF422,Oeko!ES422)</f>
        <v>1</v>
      </c>
      <c r="T422" s="1979">
        <f>IF(Construction!$F$31=Construction!$R$22,Oeko!CG422,Oeko!ET422)</f>
        <v>1</v>
      </c>
      <c r="U422" s="1979">
        <f>IF(Construction!$F$31=Construction!$R$22,Oeko!CH422,Oeko!EU422)</f>
        <v>1</v>
      </c>
      <c r="V422" s="1979">
        <f>IF(Construction!$F$31=Construction!$R$22,Oeko!CI422,Oeko!EV422)</f>
        <v>1</v>
      </c>
      <c r="W422" s="1979">
        <f>IF(Construction!$F$31=Construction!$R$22,Oeko!CJ422,Oeko!EW422)</f>
        <v>1</v>
      </c>
      <c r="X422" s="1998">
        <f>IF(Construction!$F$31=Construction!$R$22,Oeko!CK422,Oeko!EX422)</f>
        <v>1</v>
      </c>
      <c r="Y422" s="1998">
        <f>IF(Construction!$F$31=Construction!$R$22,Oeko!CL422,Oeko!EY422)</f>
        <v>1</v>
      </c>
      <c r="Z422" s="1998">
        <f>IF(Construction!$F$31=Construction!$R$22,Oeko!CM422,Oeko!EZ422)</f>
        <v>1</v>
      </c>
      <c r="AA422" s="1998">
        <f>IF(Construction!$F$31=Construction!$R$22,Oeko!CN422,Oeko!FA422)</f>
        <v>1</v>
      </c>
      <c r="AB422" s="1998">
        <f>IF(Construction!$F$31=Construction!$R$22,Oeko!CO422,Oeko!FB422)</f>
        <v>1</v>
      </c>
      <c r="AC422" s="1979">
        <f>IF(Construction!$F$31=Construction!$R$22,Oeko!CP422,Oeko!FC422)</f>
        <v>1</v>
      </c>
      <c r="AD422" s="1979">
        <f>IF(Construction!$F$31=Construction!$R$22,Oeko!CQ422,Oeko!FD422)</f>
        <v>1</v>
      </c>
      <c r="AE422" s="1979">
        <f>IF(Construction!$F$31=Construction!$R$22,Oeko!CR422,Oeko!FE422)</f>
        <v>1</v>
      </c>
      <c r="AF422" s="1979">
        <f>IF(Construction!$F$31=Construction!$R$22,Oeko!CS422,Oeko!FF422)</f>
        <v>1</v>
      </c>
      <c r="AG422" s="1979">
        <f>IF(Construction!$F$31=Construction!$R$22,Oeko!CT422,Oeko!FG422)</f>
        <v>1</v>
      </c>
      <c r="AH422" s="1998">
        <f>IF(Construction!$F$31=Construction!$R$22,Oeko!CU422,Oeko!FH422)</f>
        <v>1</v>
      </c>
      <c r="AI422" s="1998">
        <f>IF(Construction!$F$31=Construction!$R$22,Oeko!CV422,Oeko!FI422)</f>
        <v>1</v>
      </c>
      <c r="AJ422" s="1998">
        <f>IF(Construction!$F$31=Construction!$R$22,Oeko!CW422,Oeko!FJ422)</f>
        <v>1</v>
      </c>
      <c r="AK422" s="1998">
        <f>IF(Construction!$F$31=Construction!$R$22,Oeko!CX422,Oeko!FK422)</f>
        <v>1</v>
      </c>
      <c r="AL422" s="1998">
        <f>IF(Construction!$F$31=Construction!$R$22,Oeko!CY422,Oeko!FL422)</f>
        <v>1</v>
      </c>
      <c r="AM422" s="1979">
        <f>IF(Construction!$F$31=Construction!$R$22,Oeko!CZ422,Oeko!FM422)</f>
        <v>1</v>
      </c>
      <c r="AN422" s="1979">
        <f>IF(Construction!$F$31=Construction!$R$22,Oeko!DA422,Oeko!FN422)</f>
        <v>1</v>
      </c>
      <c r="AO422" s="1979">
        <f>IF(Construction!$F$31=Construction!$R$22,Oeko!DB422,Oeko!FO422)</f>
        <v>1</v>
      </c>
      <c r="AP422" s="1979">
        <f>IF(Construction!$F$31=Construction!$R$22,Oeko!DC422,Oeko!FP422)</f>
        <v>1</v>
      </c>
      <c r="AQ422" s="1979">
        <f>IF(Construction!$F$31=Construction!$R$22,Oeko!DD422,Oeko!FQ422)</f>
        <v>1</v>
      </c>
      <c r="AR422" s="1998">
        <f>IF(Construction!$F$31=Construction!$R$22,Oeko!DE422,Oeko!FR422)</f>
        <v>1</v>
      </c>
      <c r="AS422" s="1998">
        <f>IF(Construction!$F$31=Construction!$R$22,Oeko!DF422,Oeko!FS422)</f>
        <v>1</v>
      </c>
      <c r="AT422" s="1998">
        <f>IF(Construction!$F$31=Construction!$R$22,Oeko!DG422,Oeko!FT422)</f>
        <v>1</v>
      </c>
      <c r="AU422" s="1998">
        <f>IF(Construction!$F$31=Construction!$R$22,Oeko!DH422,Oeko!FU422)</f>
        <v>1</v>
      </c>
      <c r="AV422" s="1998">
        <f>IF(Construction!$F$31=Construction!$R$22,Oeko!DI422,Oeko!FV422)</f>
        <v>1</v>
      </c>
      <c r="AW422" s="1979">
        <f>IF(Construction!$F$31=Construction!$R$22,Oeko!DJ422,Oeko!FW422)</f>
        <v>1</v>
      </c>
      <c r="AX422" s="1979">
        <f>IF(Construction!$F$31=Construction!$R$22,Oeko!DK422,Oeko!FX422)</f>
        <v>1</v>
      </c>
      <c r="AY422" s="1979">
        <f>IF(Construction!$F$31=Construction!$R$22,Oeko!DL422,Oeko!FY422)</f>
        <v>1</v>
      </c>
      <c r="AZ422" s="1979">
        <f>IF(Construction!$F$31=Construction!$R$22,Oeko!DM422,Oeko!FZ422)</f>
        <v>1</v>
      </c>
      <c r="BA422" s="1979">
        <f>IF(Construction!$F$31=Construction!$R$22,Oeko!DN422,Oeko!GA422)</f>
        <v>1</v>
      </c>
      <c r="BB422" s="1998">
        <f>IF(Construction!$F$31=Construction!$R$22,Oeko!DO422,Oeko!GB422)</f>
        <v>1</v>
      </c>
      <c r="BC422" s="1998">
        <f>IF(Construction!$F$31=Construction!$R$22,Oeko!DP422,Oeko!GC422)</f>
        <v>1</v>
      </c>
      <c r="BD422" s="1998">
        <f>IF(Construction!$F$31=Construction!$R$22,Oeko!DQ422,Oeko!GD422)</f>
        <v>1</v>
      </c>
      <c r="BE422" s="1998">
        <f>IF(Construction!$F$31=Construction!$R$22,Oeko!DR422,Oeko!GE422)</f>
        <v>1</v>
      </c>
      <c r="BF422" s="1998">
        <f>IF(Construction!$F$31=Construction!$R$22,Oeko!DS422,Oeko!GF422)</f>
        <v>1</v>
      </c>
      <c r="BG422" s="1979">
        <f>IF(Construction!$F$31=Construction!$R$22,Oeko!DT422,Oeko!GG422)</f>
        <v>1</v>
      </c>
      <c r="BH422" s="1979">
        <f>IF(Construction!$F$31=Construction!$R$22,Oeko!DU422,Oeko!GH422)</f>
        <v>1</v>
      </c>
      <c r="BI422" s="1979">
        <f>IF(Construction!$F$31=Construction!$R$22,Oeko!DV422,Oeko!GI422)</f>
        <v>1</v>
      </c>
      <c r="BJ422" s="1979">
        <f>IF(Construction!$F$31=Construction!$R$22,Oeko!DW422,Oeko!GJ422)</f>
        <v>1</v>
      </c>
      <c r="BK422" s="2021">
        <f>IF(Construction!$F$31=Construction!$R$22,Oeko!DX422,Oeko!GK422)</f>
        <v>1</v>
      </c>
      <c r="BN422" s="2022"/>
      <c r="BO422" s="2">
        <v>38</v>
      </c>
      <c r="BP422" s="2" t="str">
        <f>$AF$17</f>
        <v/>
      </c>
      <c r="BQ422" s="1998">
        <v>1</v>
      </c>
      <c r="BR422" s="1998">
        <v>1</v>
      </c>
      <c r="BS422" s="1998">
        <v>1</v>
      </c>
      <c r="BT422" s="1998">
        <v>1</v>
      </c>
      <c r="BU422" s="1998">
        <v>1</v>
      </c>
      <c r="BV422" s="1979">
        <v>1</v>
      </c>
      <c r="BW422" s="1979">
        <v>1</v>
      </c>
      <c r="BX422" s="1979">
        <v>1</v>
      </c>
      <c r="BY422" s="1979">
        <v>1</v>
      </c>
      <c r="BZ422" s="1979">
        <v>1</v>
      </c>
      <c r="CA422" s="1998">
        <v>1</v>
      </c>
      <c r="CB422" s="1998">
        <v>1</v>
      </c>
      <c r="CC422" s="1998">
        <v>1</v>
      </c>
      <c r="CD422" s="1998">
        <v>1</v>
      </c>
      <c r="CE422" s="1998">
        <v>1</v>
      </c>
      <c r="CF422" s="1979">
        <v>1</v>
      </c>
      <c r="CG422" s="1979">
        <v>1</v>
      </c>
      <c r="CH422" s="1979">
        <v>1</v>
      </c>
      <c r="CI422" s="1979">
        <v>1</v>
      </c>
      <c r="CJ422" s="1979">
        <v>1</v>
      </c>
      <c r="CK422" s="1998">
        <v>1</v>
      </c>
      <c r="CL422" s="1998">
        <v>1</v>
      </c>
      <c r="CM422" s="1998">
        <v>1</v>
      </c>
      <c r="CN422" s="1998">
        <v>1</v>
      </c>
      <c r="CO422" s="1998">
        <v>1</v>
      </c>
      <c r="CP422" s="1979">
        <v>1</v>
      </c>
      <c r="CQ422" s="1979">
        <v>1</v>
      </c>
      <c r="CR422" s="1979">
        <v>1</v>
      </c>
      <c r="CS422" s="1979">
        <v>1</v>
      </c>
      <c r="CT422" s="1979">
        <v>1</v>
      </c>
      <c r="CU422" s="1998">
        <v>1</v>
      </c>
      <c r="CV422" s="1998">
        <v>1</v>
      </c>
      <c r="CW422" s="1998">
        <v>1</v>
      </c>
      <c r="CX422" s="1998">
        <v>1</v>
      </c>
      <c r="CY422" s="1998">
        <v>1</v>
      </c>
      <c r="CZ422" s="1979">
        <v>1</v>
      </c>
      <c r="DA422" s="1979">
        <v>1</v>
      </c>
      <c r="DB422" s="1979">
        <v>1</v>
      </c>
      <c r="DC422" s="1979">
        <v>1</v>
      </c>
      <c r="DD422" s="1979">
        <v>1</v>
      </c>
      <c r="DE422" s="1998">
        <v>1</v>
      </c>
      <c r="DF422" s="1998">
        <v>1</v>
      </c>
      <c r="DG422" s="1998">
        <v>1</v>
      </c>
      <c r="DH422" s="1998">
        <v>1</v>
      </c>
      <c r="DI422" s="1998">
        <v>1</v>
      </c>
      <c r="DJ422" s="1979">
        <v>1</v>
      </c>
      <c r="DK422" s="1979">
        <v>1</v>
      </c>
      <c r="DL422" s="1979">
        <v>1</v>
      </c>
      <c r="DM422" s="1979">
        <v>1</v>
      </c>
      <c r="DN422" s="1979">
        <v>1</v>
      </c>
      <c r="DO422" s="1998">
        <v>1</v>
      </c>
      <c r="DP422" s="1998">
        <v>1</v>
      </c>
      <c r="DQ422" s="1998">
        <v>1</v>
      </c>
      <c r="DR422" s="1998">
        <v>1</v>
      </c>
      <c r="DS422" s="1998">
        <v>1</v>
      </c>
      <c r="DT422" s="1979">
        <v>1</v>
      </c>
      <c r="DU422" s="1979">
        <v>1</v>
      </c>
      <c r="DV422" s="1979">
        <v>1</v>
      </c>
      <c r="DW422" s="1979">
        <v>1</v>
      </c>
      <c r="DX422" s="2021">
        <v>1</v>
      </c>
      <c r="EA422" s="2022"/>
      <c r="EB422" s="2">
        <v>38</v>
      </c>
      <c r="EC422" s="2" t="str">
        <f>$AF$17</f>
        <v/>
      </c>
      <c r="ED422" s="1998">
        <v>1.3605609674202821</v>
      </c>
      <c r="EE422" s="1998">
        <v>1.3605609674202821</v>
      </c>
      <c r="EF422" s="1998">
        <v>1.3605609674202821</v>
      </c>
      <c r="EG422" s="1998">
        <v>1.3605609674202821</v>
      </c>
      <c r="EH422" s="1998">
        <v>1.3605609674202821</v>
      </c>
      <c r="EI422" s="1979">
        <v>2.0966679740137137</v>
      </c>
      <c r="EJ422" s="1979">
        <v>2.0966679740137137</v>
      </c>
      <c r="EK422" s="1979">
        <v>2.0966679740137137</v>
      </c>
      <c r="EL422" s="1979">
        <v>2.0966679740137137</v>
      </c>
      <c r="EM422" s="1979">
        <v>2.0966679740137137</v>
      </c>
      <c r="EN422" s="1998">
        <v>1.4337071065592959</v>
      </c>
      <c r="EO422" s="1998">
        <v>1.4337071065592959</v>
      </c>
      <c r="EP422" s="1998">
        <v>1.4337071065592959</v>
      </c>
      <c r="EQ422" s="1998">
        <v>1.4337071065592959</v>
      </c>
      <c r="ER422" s="1998">
        <v>1.4337071065592959</v>
      </c>
      <c r="ES422" s="1979">
        <v>1.8379162318633464</v>
      </c>
      <c r="ET422" s="1979">
        <v>1.8379162318633464</v>
      </c>
      <c r="EU422" s="1979">
        <v>1.8379162318633464</v>
      </c>
      <c r="EV422" s="1979">
        <v>1.8379162318633464</v>
      </c>
      <c r="EW422" s="1979">
        <v>1.8379162318633464</v>
      </c>
      <c r="EX422" s="1998">
        <v>1.4662053104562123</v>
      </c>
      <c r="EY422" s="1998">
        <v>1.4662053104562123</v>
      </c>
      <c r="EZ422" s="1998">
        <v>1.4662053104562123</v>
      </c>
      <c r="FA422" s="1998">
        <v>1.4662053104562123</v>
      </c>
      <c r="FB422" s="1998">
        <v>1.4662053104562123</v>
      </c>
      <c r="FC422" s="1979">
        <v>1.6277744053108218</v>
      </c>
      <c r="FD422" s="1979">
        <v>1.6277744053108218</v>
      </c>
      <c r="FE422" s="1979">
        <v>1.6277744053108218</v>
      </c>
      <c r="FF422" s="1979">
        <v>1.6277744053108218</v>
      </c>
      <c r="FG422" s="1979">
        <v>1.6277744053108218</v>
      </c>
      <c r="FH422" s="1998">
        <v>2.3921927569513635</v>
      </c>
      <c r="FI422" s="1998">
        <v>2.3921927569513635</v>
      </c>
      <c r="FJ422" s="1998">
        <v>2.3921927569513635</v>
      </c>
      <c r="FK422" s="1998">
        <v>2.3921927569513635</v>
      </c>
      <c r="FL422" s="1998">
        <v>2.3921927569513635</v>
      </c>
      <c r="FM422" s="1979">
        <v>1.5115041757386145</v>
      </c>
      <c r="FN422" s="1979">
        <v>1.5115041757386145</v>
      </c>
      <c r="FO422" s="1979">
        <v>1.5115041757386145</v>
      </c>
      <c r="FP422" s="1979">
        <v>1.5115041757386145</v>
      </c>
      <c r="FQ422" s="1979">
        <v>1.5115041757386145</v>
      </c>
      <c r="FR422" s="1998">
        <v>8.1198212572277306</v>
      </c>
      <c r="FS422" s="1998">
        <v>8.1198212572277306</v>
      </c>
      <c r="FT422" s="1998">
        <v>8.1198212572277306</v>
      </c>
      <c r="FU422" s="1998">
        <v>8.1198212572277306</v>
      </c>
      <c r="FV422" s="1998">
        <v>8.1198212572277306</v>
      </c>
      <c r="FW422" s="1979">
        <v>8.4799072816005001</v>
      </c>
      <c r="FX422" s="1979">
        <v>8.4799072816005001</v>
      </c>
      <c r="FY422" s="1979">
        <v>8.4799072816005001</v>
      </c>
      <c r="FZ422" s="1979">
        <v>8.4799072816005001</v>
      </c>
      <c r="GA422" s="1979">
        <v>8.4799072816005001</v>
      </c>
      <c r="GB422" s="1998">
        <v>1.3861479372000356</v>
      </c>
      <c r="GC422" s="1998">
        <v>1.3861479372000356</v>
      </c>
      <c r="GD422" s="1998">
        <v>1.3861479372000356</v>
      </c>
      <c r="GE422" s="1998">
        <v>1.3861479372000356</v>
      </c>
      <c r="GF422" s="1998">
        <v>1.3861479372000356</v>
      </c>
      <c r="GG422" s="1979">
        <v>1.4313071575784038</v>
      </c>
      <c r="GH422" s="1979">
        <v>1.4313071575784038</v>
      </c>
      <c r="GI422" s="1979">
        <v>1.4313071575784038</v>
      </c>
      <c r="GJ422" s="1979">
        <v>1.4313071575784038</v>
      </c>
      <c r="GK422" s="2021">
        <v>1.4313071575784038</v>
      </c>
    </row>
    <row r="423" spans="1:193">
      <c r="A423" s="2020"/>
      <c r="B423" s="2">
        <v>39</v>
      </c>
      <c r="C423" s="2" t="str">
        <f>$AF$18</f>
        <v/>
      </c>
      <c r="D423" s="1998">
        <f>IF(Construction!$F$31=Construction!$R$22,Oeko!BQ423,Oeko!ED423)</f>
        <v>1</v>
      </c>
      <c r="E423" s="1998">
        <f>IF(Construction!$F$31=Construction!$R$22,Oeko!BR423,Oeko!EE423)</f>
        <v>1</v>
      </c>
      <c r="F423" s="1998">
        <f>IF(Construction!$F$31=Construction!$R$22,Oeko!BS423,Oeko!EF423)</f>
        <v>1</v>
      </c>
      <c r="G423" s="1998">
        <f>IF(Construction!$F$31=Construction!$R$22,Oeko!BT423,Oeko!EG423)</f>
        <v>1</v>
      </c>
      <c r="H423" s="1998">
        <f>IF(Construction!$F$31=Construction!$R$22,Oeko!BU423,Oeko!EH423)</f>
        <v>1</v>
      </c>
      <c r="I423" s="1979">
        <f>IF(Construction!$F$31=Construction!$R$22,Oeko!BV423,Oeko!EI423)</f>
        <v>1</v>
      </c>
      <c r="J423" s="1979">
        <f>IF(Construction!$F$31=Construction!$R$22,Oeko!BW423,Oeko!EJ423)</f>
        <v>1</v>
      </c>
      <c r="K423" s="1979">
        <f>IF(Construction!$F$31=Construction!$R$22,Oeko!BX423,Oeko!EK423)</f>
        <v>1</v>
      </c>
      <c r="L423" s="1979">
        <f>IF(Construction!$F$31=Construction!$R$22,Oeko!BY423,Oeko!EL423)</f>
        <v>1</v>
      </c>
      <c r="M423" s="1979">
        <f>IF(Construction!$F$31=Construction!$R$22,Oeko!BZ423,Oeko!EM423)</f>
        <v>1</v>
      </c>
      <c r="N423" s="1998">
        <f>IF(Construction!$F$31=Construction!$R$22,Oeko!CA423,Oeko!EN423)</f>
        <v>1</v>
      </c>
      <c r="O423" s="1998">
        <f>IF(Construction!$F$31=Construction!$R$22,Oeko!CB423,Oeko!EO423)</f>
        <v>1</v>
      </c>
      <c r="P423" s="1998">
        <f>IF(Construction!$F$31=Construction!$R$22,Oeko!CC423,Oeko!EP423)</f>
        <v>1</v>
      </c>
      <c r="Q423" s="1998">
        <f>IF(Construction!$F$31=Construction!$R$22,Oeko!CD423,Oeko!EQ423)</f>
        <v>1</v>
      </c>
      <c r="R423" s="1998">
        <f>IF(Construction!$F$31=Construction!$R$22,Oeko!CE423,Oeko!ER423)</f>
        <v>1</v>
      </c>
      <c r="S423" s="1979">
        <f>IF(Construction!$F$31=Construction!$R$22,Oeko!CF423,Oeko!ES423)</f>
        <v>1</v>
      </c>
      <c r="T423" s="1979">
        <f>IF(Construction!$F$31=Construction!$R$22,Oeko!CG423,Oeko!ET423)</f>
        <v>1</v>
      </c>
      <c r="U423" s="1979">
        <f>IF(Construction!$F$31=Construction!$R$22,Oeko!CH423,Oeko!EU423)</f>
        <v>1</v>
      </c>
      <c r="V423" s="1979">
        <f>IF(Construction!$F$31=Construction!$R$22,Oeko!CI423,Oeko!EV423)</f>
        <v>1</v>
      </c>
      <c r="W423" s="1979">
        <f>IF(Construction!$F$31=Construction!$R$22,Oeko!CJ423,Oeko!EW423)</f>
        <v>1</v>
      </c>
      <c r="X423" s="1998">
        <f>IF(Construction!$F$31=Construction!$R$22,Oeko!CK423,Oeko!EX423)</f>
        <v>1</v>
      </c>
      <c r="Y423" s="1998">
        <f>IF(Construction!$F$31=Construction!$R$22,Oeko!CL423,Oeko!EY423)</f>
        <v>1</v>
      </c>
      <c r="Z423" s="1998">
        <f>IF(Construction!$F$31=Construction!$R$22,Oeko!CM423,Oeko!EZ423)</f>
        <v>1</v>
      </c>
      <c r="AA423" s="1998">
        <f>IF(Construction!$F$31=Construction!$R$22,Oeko!CN423,Oeko!FA423)</f>
        <v>1</v>
      </c>
      <c r="AB423" s="1998">
        <f>IF(Construction!$F$31=Construction!$R$22,Oeko!CO423,Oeko!FB423)</f>
        <v>1</v>
      </c>
      <c r="AC423" s="1979">
        <f>IF(Construction!$F$31=Construction!$R$22,Oeko!CP423,Oeko!FC423)</f>
        <v>1</v>
      </c>
      <c r="AD423" s="1979">
        <f>IF(Construction!$F$31=Construction!$R$22,Oeko!CQ423,Oeko!FD423)</f>
        <v>1</v>
      </c>
      <c r="AE423" s="1979">
        <f>IF(Construction!$F$31=Construction!$R$22,Oeko!CR423,Oeko!FE423)</f>
        <v>1</v>
      </c>
      <c r="AF423" s="1979">
        <f>IF(Construction!$F$31=Construction!$R$22,Oeko!CS423,Oeko!FF423)</f>
        <v>1</v>
      </c>
      <c r="AG423" s="1979">
        <f>IF(Construction!$F$31=Construction!$R$22,Oeko!CT423,Oeko!FG423)</f>
        <v>1</v>
      </c>
      <c r="AH423" s="1998">
        <f>IF(Construction!$F$31=Construction!$R$22,Oeko!CU423,Oeko!FH423)</f>
        <v>1</v>
      </c>
      <c r="AI423" s="1998">
        <f>IF(Construction!$F$31=Construction!$R$22,Oeko!CV423,Oeko!FI423)</f>
        <v>1</v>
      </c>
      <c r="AJ423" s="1998">
        <f>IF(Construction!$F$31=Construction!$R$22,Oeko!CW423,Oeko!FJ423)</f>
        <v>1</v>
      </c>
      <c r="AK423" s="1998">
        <f>IF(Construction!$F$31=Construction!$R$22,Oeko!CX423,Oeko!FK423)</f>
        <v>1</v>
      </c>
      <c r="AL423" s="1998">
        <f>IF(Construction!$F$31=Construction!$R$22,Oeko!CY423,Oeko!FL423)</f>
        <v>1</v>
      </c>
      <c r="AM423" s="1979">
        <f>IF(Construction!$F$31=Construction!$R$22,Oeko!CZ423,Oeko!FM423)</f>
        <v>1</v>
      </c>
      <c r="AN423" s="1979">
        <f>IF(Construction!$F$31=Construction!$R$22,Oeko!DA423,Oeko!FN423)</f>
        <v>1</v>
      </c>
      <c r="AO423" s="1979">
        <f>IF(Construction!$F$31=Construction!$R$22,Oeko!DB423,Oeko!FO423)</f>
        <v>1</v>
      </c>
      <c r="AP423" s="1979">
        <f>IF(Construction!$F$31=Construction!$R$22,Oeko!DC423,Oeko!FP423)</f>
        <v>1</v>
      </c>
      <c r="AQ423" s="1979">
        <f>IF(Construction!$F$31=Construction!$R$22,Oeko!DD423,Oeko!FQ423)</f>
        <v>1</v>
      </c>
      <c r="AR423" s="1998">
        <f>IF(Construction!$F$31=Construction!$R$22,Oeko!DE423,Oeko!FR423)</f>
        <v>1</v>
      </c>
      <c r="AS423" s="1998">
        <f>IF(Construction!$F$31=Construction!$R$22,Oeko!DF423,Oeko!FS423)</f>
        <v>1</v>
      </c>
      <c r="AT423" s="1998">
        <f>IF(Construction!$F$31=Construction!$R$22,Oeko!DG423,Oeko!FT423)</f>
        <v>1</v>
      </c>
      <c r="AU423" s="1998">
        <f>IF(Construction!$F$31=Construction!$R$22,Oeko!DH423,Oeko!FU423)</f>
        <v>1</v>
      </c>
      <c r="AV423" s="1998">
        <f>IF(Construction!$F$31=Construction!$R$22,Oeko!DI423,Oeko!FV423)</f>
        <v>1</v>
      </c>
      <c r="AW423" s="1979">
        <f>IF(Construction!$F$31=Construction!$R$22,Oeko!DJ423,Oeko!FW423)</f>
        <v>1</v>
      </c>
      <c r="AX423" s="1979">
        <f>IF(Construction!$F$31=Construction!$R$22,Oeko!DK423,Oeko!FX423)</f>
        <v>1</v>
      </c>
      <c r="AY423" s="1979">
        <f>IF(Construction!$F$31=Construction!$R$22,Oeko!DL423,Oeko!FY423)</f>
        <v>1</v>
      </c>
      <c r="AZ423" s="1979">
        <f>IF(Construction!$F$31=Construction!$R$22,Oeko!DM423,Oeko!FZ423)</f>
        <v>1</v>
      </c>
      <c r="BA423" s="1979">
        <f>IF(Construction!$F$31=Construction!$R$22,Oeko!DN423,Oeko!GA423)</f>
        <v>1</v>
      </c>
      <c r="BB423" s="1998">
        <f>IF(Construction!$F$31=Construction!$R$22,Oeko!DO423,Oeko!GB423)</f>
        <v>1</v>
      </c>
      <c r="BC423" s="1998">
        <f>IF(Construction!$F$31=Construction!$R$22,Oeko!DP423,Oeko!GC423)</f>
        <v>1</v>
      </c>
      <c r="BD423" s="1998">
        <f>IF(Construction!$F$31=Construction!$R$22,Oeko!DQ423,Oeko!GD423)</f>
        <v>1</v>
      </c>
      <c r="BE423" s="1998">
        <f>IF(Construction!$F$31=Construction!$R$22,Oeko!DR423,Oeko!GE423)</f>
        <v>1</v>
      </c>
      <c r="BF423" s="1998">
        <f>IF(Construction!$F$31=Construction!$R$22,Oeko!DS423,Oeko!GF423)</f>
        <v>1</v>
      </c>
      <c r="BG423" s="1979">
        <f>IF(Construction!$F$31=Construction!$R$22,Oeko!DT423,Oeko!GG423)</f>
        <v>1</v>
      </c>
      <c r="BH423" s="1979">
        <f>IF(Construction!$F$31=Construction!$R$22,Oeko!DU423,Oeko!GH423)</f>
        <v>1</v>
      </c>
      <c r="BI423" s="1979">
        <f>IF(Construction!$F$31=Construction!$R$22,Oeko!DV423,Oeko!GI423)</f>
        <v>1</v>
      </c>
      <c r="BJ423" s="1979">
        <f>IF(Construction!$F$31=Construction!$R$22,Oeko!DW423,Oeko!GJ423)</f>
        <v>1</v>
      </c>
      <c r="BK423" s="2021">
        <f>IF(Construction!$F$31=Construction!$R$22,Oeko!DX423,Oeko!GK423)</f>
        <v>1</v>
      </c>
      <c r="BN423" s="2022"/>
      <c r="BO423" s="2">
        <v>39</v>
      </c>
      <c r="BP423" s="2" t="str">
        <f>$AF$18</f>
        <v/>
      </c>
      <c r="BQ423" s="1998">
        <v>1</v>
      </c>
      <c r="BR423" s="1998">
        <v>1</v>
      </c>
      <c r="BS423" s="1998">
        <v>1</v>
      </c>
      <c r="BT423" s="1998">
        <v>1</v>
      </c>
      <c r="BU423" s="1998">
        <v>1</v>
      </c>
      <c r="BV423" s="1979">
        <v>1</v>
      </c>
      <c r="BW423" s="1979">
        <v>1</v>
      </c>
      <c r="BX423" s="1979">
        <v>1</v>
      </c>
      <c r="BY423" s="1979">
        <v>1</v>
      </c>
      <c r="BZ423" s="1979">
        <v>1</v>
      </c>
      <c r="CA423" s="1998">
        <v>1</v>
      </c>
      <c r="CB423" s="1998">
        <v>1</v>
      </c>
      <c r="CC423" s="1998">
        <v>1</v>
      </c>
      <c r="CD423" s="1998">
        <v>1</v>
      </c>
      <c r="CE423" s="1998">
        <v>1</v>
      </c>
      <c r="CF423" s="1979">
        <v>1</v>
      </c>
      <c r="CG423" s="1979">
        <v>1</v>
      </c>
      <c r="CH423" s="1979">
        <v>1</v>
      </c>
      <c r="CI423" s="1979">
        <v>1</v>
      </c>
      <c r="CJ423" s="1979">
        <v>1</v>
      </c>
      <c r="CK423" s="1998">
        <v>1</v>
      </c>
      <c r="CL423" s="1998">
        <v>1</v>
      </c>
      <c r="CM423" s="1998">
        <v>1</v>
      </c>
      <c r="CN423" s="1998">
        <v>1</v>
      </c>
      <c r="CO423" s="1998">
        <v>1</v>
      </c>
      <c r="CP423" s="1979">
        <v>1</v>
      </c>
      <c r="CQ423" s="1979">
        <v>1</v>
      </c>
      <c r="CR423" s="1979">
        <v>1</v>
      </c>
      <c r="CS423" s="1979">
        <v>1</v>
      </c>
      <c r="CT423" s="1979">
        <v>1</v>
      </c>
      <c r="CU423" s="1998">
        <v>1</v>
      </c>
      <c r="CV423" s="1998">
        <v>1</v>
      </c>
      <c r="CW423" s="1998">
        <v>1</v>
      </c>
      <c r="CX423" s="1998">
        <v>1</v>
      </c>
      <c r="CY423" s="1998">
        <v>1</v>
      </c>
      <c r="CZ423" s="1979">
        <v>1</v>
      </c>
      <c r="DA423" s="1979">
        <v>1</v>
      </c>
      <c r="DB423" s="1979">
        <v>1</v>
      </c>
      <c r="DC423" s="1979">
        <v>1</v>
      </c>
      <c r="DD423" s="1979">
        <v>1</v>
      </c>
      <c r="DE423" s="1998">
        <v>1</v>
      </c>
      <c r="DF423" s="1998">
        <v>1</v>
      </c>
      <c r="DG423" s="1998">
        <v>1</v>
      </c>
      <c r="DH423" s="1998">
        <v>1</v>
      </c>
      <c r="DI423" s="1998">
        <v>1</v>
      </c>
      <c r="DJ423" s="1979">
        <v>1</v>
      </c>
      <c r="DK423" s="1979">
        <v>1</v>
      </c>
      <c r="DL423" s="1979">
        <v>1</v>
      </c>
      <c r="DM423" s="1979">
        <v>1</v>
      </c>
      <c r="DN423" s="1979">
        <v>1</v>
      </c>
      <c r="DO423" s="1998">
        <v>1</v>
      </c>
      <c r="DP423" s="1998">
        <v>1</v>
      </c>
      <c r="DQ423" s="1998">
        <v>1</v>
      </c>
      <c r="DR423" s="1998">
        <v>1</v>
      </c>
      <c r="DS423" s="1998">
        <v>1</v>
      </c>
      <c r="DT423" s="1979">
        <v>1</v>
      </c>
      <c r="DU423" s="1979">
        <v>1</v>
      </c>
      <c r="DV423" s="1979">
        <v>1</v>
      </c>
      <c r="DW423" s="1979">
        <v>1</v>
      </c>
      <c r="DX423" s="2021">
        <v>1</v>
      </c>
      <c r="EA423" s="2022"/>
      <c r="EB423" s="2">
        <v>39</v>
      </c>
      <c r="EC423" s="2" t="str">
        <f>$AF$18</f>
        <v/>
      </c>
      <c r="ED423" s="1998">
        <v>1.3605609674202821</v>
      </c>
      <c r="EE423" s="1998">
        <v>1.3605609674202821</v>
      </c>
      <c r="EF423" s="1998">
        <v>1.3605609674202821</v>
      </c>
      <c r="EG423" s="1998">
        <v>1.3605609674202821</v>
      </c>
      <c r="EH423" s="1998">
        <v>1.3605609674202821</v>
      </c>
      <c r="EI423" s="1979">
        <v>2.0966679740137137</v>
      </c>
      <c r="EJ423" s="1979">
        <v>2.0966679740137137</v>
      </c>
      <c r="EK423" s="1979">
        <v>2.0966679740137137</v>
      </c>
      <c r="EL423" s="1979">
        <v>2.0966679740137137</v>
      </c>
      <c r="EM423" s="1979">
        <v>2.0966679740137137</v>
      </c>
      <c r="EN423" s="1998">
        <v>1.4337071065592959</v>
      </c>
      <c r="EO423" s="1998">
        <v>1.4337071065592959</v>
      </c>
      <c r="EP423" s="1998">
        <v>1.4337071065592959</v>
      </c>
      <c r="EQ423" s="1998">
        <v>1.4337071065592959</v>
      </c>
      <c r="ER423" s="1998">
        <v>1.4337071065592959</v>
      </c>
      <c r="ES423" s="1979">
        <v>1.8379162318633464</v>
      </c>
      <c r="ET423" s="1979">
        <v>1.8379162318633464</v>
      </c>
      <c r="EU423" s="1979">
        <v>1.8379162318633464</v>
      </c>
      <c r="EV423" s="1979">
        <v>1.8379162318633464</v>
      </c>
      <c r="EW423" s="1979">
        <v>1.8379162318633464</v>
      </c>
      <c r="EX423" s="1998">
        <v>1.4662053104562123</v>
      </c>
      <c r="EY423" s="1998">
        <v>1.4662053104562123</v>
      </c>
      <c r="EZ423" s="1998">
        <v>1.4662053104562123</v>
      </c>
      <c r="FA423" s="1998">
        <v>1.4662053104562123</v>
      </c>
      <c r="FB423" s="1998">
        <v>1.4662053104562123</v>
      </c>
      <c r="FC423" s="1979">
        <v>1.6277744053108218</v>
      </c>
      <c r="FD423" s="1979">
        <v>1.6277744053108218</v>
      </c>
      <c r="FE423" s="1979">
        <v>1.6277744053108218</v>
      </c>
      <c r="FF423" s="1979">
        <v>1.6277744053108218</v>
      </c>
      <c r="FG423" s="1979">
        <v>1.6277744053108218</v>
      </c>
      <c r="FH423" s="1998">
        <v>2.3921927569513635</v>
      </c>
      <c r="FI423" s="1998">
        <v>2.3921927569513635</v>
      </c>
      <c r="FJ423" s="1998">
        <v>2.3921927569513635</v>
      </c>
      <c r="FK423" s="1998">
        <v>2.3921927569513635</v>
      </c>
      <c r="FL423" s="1998">
        <v>2.3921927569513635</v>
      </c>
      <c r="FM423" s="1979">
        <v>1.5115041757386145</v>
      </c>
      <c r="FN423" s="1979">
        <v>1.5115041757386145</v>
      </c>
      <c r="FO423" s="1979">
        <v>1.5115041757386145</v>
      </c>
      <c r="FP423" s="1979">
        <v>1.5115041757386145</v>
      </c>
      <c r="FQ423" s="1979">
        <v>1.5115041757386145</v>
      </c>
      <c r="FR423" s="1998">
        <v>8.1198212572277306</v>
      </c>
      <c r="FS423" s="1998">
        <v>8.1198212572277306</v>
      </c>
      <c r="FT423" s="1998">
        <v>8.1198212572277306</v>
      </c>
      <c r="FU423" s="1998">
        <v>8.1198212572277306</v>
      </c>
      <c r="FV423" s="1998">
        <v>8.1198212572277306</v>
      </c>
      <c r="FW423" s="1979">
        <v>8.4799072816005001</v>
      </c>
      <c r="FX423" s="1979">
        <v>8.4799072816005001</v>
      </c>
      <c r="FY423" s="1979">
        <v>8.4799072816005001</v>
      </c>
      <c r="FZ423" s="1979">
        <v>8.4799072816005001</v>
      </c>
      <c r="GA423" s="1979">
        <v>8.4799072816005001</v>
      </c>
      <c r="GB423" s="1998">
        <v>1.3861479372000356</v>
      </c>
      <c r="GC423" s="1998">
        <v>1.3861479372000356</v>
      </c>
      <c r="GD423" s="1998">
        <v>1.3861479372000356</v>
      </c>
      <c r="GE423" s="1998">
        <v>1.3861479372000356</v>
      </c>
      <c r="GF423" s="1998">
        <v>1.3861479372000356</v>
      </c>
      <c r="GG423" s="1979">
        <v>1.4313071575784038</v>
      </c>
      <c r="GH423" s="1979">
        <v>1.4313071575784038</v>
      </c>
      <c r="GI423" s="1979">
        <v>1.4313071575784038</v>
      </c>
      <c r="GJ423" s="1979">
        <v>1.4313071575784038</v>
      </c>
      <c r="GK423" s="2021">
        <v>1.4313071575784038</v>
      </c>
    </row>
    <row r="424" spans="1:193">
      <c r="A424" s="2023" t="str">
        <f>Uebersetzung!$D632</f>
        <v>Construction en bois lourde</v>
      </c>
      <c r="B424" s="2">
        <v>1</v>
      </c>
      <c r="C424" s="2" t="s">
        <v>4327</v>
      </c>
      <c r="D424" s="2002">
        <f>IF(Construction!$F$31=Construction!$R$22,Oeko!BQ424,Oeko!ED424)</f>
        <v>6.8398972838222356</v>
      </c>
      <c r="E424" s="2002">
        <f>IF(Construction!$F$31=Construction!$R$22,Oeko!BR424,Oeko!EE424)</f>
        <v>6.9600337543595376</v>
      </c>
      <c r="F424" s="2002">
        <f>IF(Construction!$F$31=Construction!$R$22,Oeko!BS424,Oeko!EF424)</f>
        <v>7.6650245720523342</v>
      </c>
      <c r="G424" s="2002">
        <f>IF(Construction!$F$31=Construction!$R$22,Oeko!BT424,Oeko!EG424)</f>
        <v>8.3709038691665025</v>
      </c>
      <c r="H424" s="2002">
        <f>IF(Construction!$F$31=Construction!$R$22,Oeko!BU424,Oeko!EH424)</f>
        <v>9.0767831662806717</v>
      </c>
      <c r="I424" s="2004">
        <f>IF(Construction!$F$31=Construction!$R$22,Oeko!BV424,Oeko!EI424)</f>
        <v>11.651296631063063</v>
      </c>
      <c r="J424" s="2004">
        <f>IF(Construction!$F$31=Construction!$R$22,Oeko!BW424,Oeko!EJ424)</f>
        <v>12.070021241014528</v>
      </c>
      <c r="K424" s="2004">
        <f>IF(Construction!$F$31=Construction!$R$22,Oeko!BX424,Oeko!EK424)</f>
        <v>13.340729984446908</v>
      </c>
      <c r="L424" s="2004">
        <f>IF(Construction!$F$31=Construction!$R$22,Oeko!BY424,Oeko!EL424)</f>
        <v>14.616312672133674</v>
      </c>
      <c r="M424" s="2004">
        <f>IF(Construction!$F$31=Construction!$R$22,Oeko!BZ424,Oeko!EM424)</f>
        <v>15.89189535982044</v>
      </c>
      <c r="N424" s="2002">
        <f>IF(Construction!$F$31=Construction!$R$22,Oeko!CA424,Oeko!EN424)</f>
        <v>7.8224195737185873</v>
      </c>
      <c r="O424" s="2002">
        <f>IF(Construction!$F$31=Construction!$R$22,Oeko!CB424,Oeko!EO424)</f>
        <v>8.3864166801769215</v>
      </c>
      <c r="P424" s="2002">
        <f>IF(Construction!$F$31=Construction!$R$22,Oeko!CC424,Oeko!EP424)</f>
        <v>6.7248083899201854</v>
      </c>
      <c r="Q424" s="2002">
        <f>IF(Construction!$F$31=Construction!$R$22,Oeko!CD424,Oeko!EQ424)</f>
        <v>6.7324041471997518</v>
      </c>
      <c r="R424" s="2002">
        <f>IF(Construction!$F$31=Construction!$R$22,Oeko!CE424,Oeko!ER424)</f>
        <v>6.7463297022122894</v>
      </c>
      <c r="S424" s="2004">
        <f>IF(Construction!$F$31=Construction!$R$22,Oeko!CF424,Oeko!ES424)</f>
        <v>10.159764727840409</v>
      </c>
      <c r="T424" s="2004">
        <f>IF(Construction!$F$31=Construction!$R$22,Oeko!CG424,Oeko!ET424)</f>
        <v>10.893705105501946</v>
      </c>
      <c r="U424" s="2004">
        <f>IF(Construction!$F$31=Construction!$R$22,Oeko!CH424,Oeko!EU424)</f>
        <v>8.7357494708068373</v>
      </c>
      <c r="V424" s="2004">
        <f>IF(Construction!$F$31=Construction!$R$22,Oeko!CI424,Oeko!EV424)</f>
        <v>8.7467158453792102</v>
      </c>
      <c r="W424" s="2004">
        <f>IF(Construction!$F$31=Construction!$R$22,Oeko!CJ424,Oeko!EW424)</f>
        <v>8.76682086542856</v>
      </c>
      <c r="X424" s="2002">
        <f>IF(Construction!$F$31=Construction!$R$22,Oeko!CK424,Oeko!EX424)</f>
        <v>7.7035873109380457</v>
      </c>
      <c r="Y424" s="2002">
        <f>IF(Construction!$F$31=Construction!$R$22,Oeko!CL424,Oeko!EY424)</f>
        <v>8.2669576461363086</v>
      </c>
      <c r="Z424" s="2002">
        <f>IF(Construction!$F$31=Construction!$R$22,Oeko!CM424,Oeko!EZ424)</f>
        <v>6.6269786385866558</v>
      </c>
      <c r="AA424" s="2002">
        <f>IF(Construction!$F$31=Construction!$R$22,Oeko!CN424,Oeko!FA424)</f>
        <v>6.6395116380979387</v>
      </c>
      <c r="AB424" s="2002">
        <f>IF(Construction!$F$31=Construction!$R$22,Oeko!CO424,Oeko!FB424)</f>
        <v>6.6624888038686265</v>
      </c>
      <c r="AC424" s="2004">
        <f>IF(Construction!$F$31=Construction!$R$22,Oeko!CP424,Oeko!FC424)</f>
        <v>6.6466497598892031</v>
      </c>
      <c r="AD424" s="2004">
        <f>IF(Construction!$F$31=Construction!$R$22,Oeko!CQ424,Oeko!FD424)</f>
        <v>7.1051148693456447</v>
      </c>
      <c r="AE424" s="2004">
        <f>IF(Construction!$F$31=Construction!$R$22,Oeko!CR424,Oeko!FE424)</f>
        <v>5.7784589835202054</v>
      </c>
      <c r="AF424" s="2004">
        <f>IF(Construction!$F$31=Construction!$R$22,Oeko!CS424,Oeko!FF424)</f>
        <v>5.7906438441561754</v>
      </c>
      <c r="AG424" s="2004">
        <f>IF(Construction!$F$31=Construction!$R$22,Oeko!CT424,Oeko!FG424)</f>
        <v>5.8129827553221203</v>
      </c>
      <c r="AH424" s="2002">
        <f>IF(Construction!$F$31=Construction!$R$22,Oeko!CU424,Oeko!FH424)</f>
        <v>12.052810665620454</v>
      </c>
      <c r="AI424" s="2002">
        <f>IF(Construction!$F$31=Construction!$R$22,Oeko!CV424,Oeko!FI424)</f>
        <v>12.125919829436276</v>
      </c>
      <c r="AJ424" s="2002">
        <f>IF(Construction!$F$31=Construction!$R$22,Oeko!CW424,Oeko!FJ424)</f>
        <v>12.192936562934113</v>
      </c>
      <c r="AK424" s="2002">
        <f>IF(Construction!$F$31=Construction!$R$22,Oeko!CX424,Oeko!FK424)</f>
        <v>12.266045726749935</v>
      </c>
      <c r="AL424" s="2002">
        <f>IF(Construction!$F$31=Construction!$R$22,Oeko!CY424,Oeko!FL424)</f>
        <v>12.442726205971507</v>
      </c>
      <c r="AM424" s="2004">
        <f>IF(Construction!$F$31=Construction!$R$22,Oeko!CZ424,Oeko!FM424)</f>
        <v>7.4807003454837435</v>
      </c>
      <c r="AN424" s="2004">
        <f>IF(Construction!$F$31=Construction!$R$22,Oeko!DA424,Oeko!FN424)</f>
        <v>7.599897781169707</v>
      </c>
      <c r="AO424" s="2004">
        <f>IF(Construction!$F$31=Construction!$R$22,Oeko!DB424,Oeko!FO424)</f>
        <v>8.3722857083883611</v>
      </c>
      <c r="AP424" s="2004">
        <f>IF(Construction!$F$31=Construction!$R$22,Oeko!DC424,Oeko!FP424)</f>
        <v>9.146027509011013</v>
      </c>
      <c r="AQ424" s="2004">
        <f>IF(Construction!$F$31=Construction!$R$22,Oeko!DD424,Oeko!FQ424)</f>
        <v>9.9197693096336668</v>
      </c>
      <c r="AR424" s="2002">
        <f>IF(Construction!$F$31=Construction!$R$22,Oeko!DE424,Oeko!FR424)</f>
        <v>92.717891608979073</v>
      </c>
      <c r="AS424" s="2002">
        <f>IF(Construction!$F$31=Construction!$R$22,Oeko!DF424,Oeko!FS424)</f>
        <v>93.054146127354699</v>
      </c>
      <c r="AT424" s="2002">
        <f>IF(Construction!$F$31=Construction!$R$22,Oeko!DG424,Oeko!FT424)</f>
        <v>93.362379435865677</v>
      </c>
      <c r="AU424" s="2002">
        <f>IF(Construction!$F$31=Construction!$R$22,Oeko!DH424,Oeko!FU424)</f>
        <v>93.698633954241302</v>
      </c>
      <c r="AV424" s="2002">
        <f>IF(Construction!$F$31=Construction!$R$22,Oeko!DI424,Oeko!FV424)</f>
        <v>94.511249040315718</v>
      </c>
      <c r="AW424" s="2004">
        <f>IF(Construction!$F$31=Construction!$R$22,Oeko!DJ424,Oeko!FW424)</f>
        <v>90.864233961205741</v>
      </c>
      <c r="AX424" s="2004">
        <f>IF(Construction!$F$31=Construction!$R$22,Oeko!DK424,Oeko!FX424)</f>
        <v>91.199821991416258</v>
      </c>
      <c r="AY424" s="2004">
        <f>IF(Construction!$F$31=Construction!$R$22,Oeko!DL424,Oeko!FY424)</f>
        <v>91.507444352442562</v>
      </c>
      <c r="AZ424" s="2004">
        <f>IF(Construction!$F$31=Construction!$R$22,Oeko!DM424,Oeko!FZ424)</f>
        <v>91.843032382653078</v>
      </c>
      <c r="BA424" s="2004">
        <f>IF(Construction!$F$31=Construction!$R$22,Oeko!DN424,Oeko!GA424)</f>
        <v>92.654036788995128</v>
      </c>
      <c r="BB424" s="2002">
        <f>IF(Construction!$F$31=Construction!$R$22,Oeko!DO424,Oeko!GB424)</f>
        <v>5.6116413522235087</v>
      </c>
      <c r="BC424" s="2002">
        <f>IF(Construction!$F$31=Construction!$R$22,Oeko!DP424,Oeko!GC424)</f>
        <v>5.6693426421149375</v>
      </c>
      <c r="BD424" s="2002">
        <f>IF(Construction!$F$31=Construction!$R$22,Oeko!DQ424,Oeko!GD424)</f>
        <v>5.7270439320063673</v>
      </c>
      <c r="BE424" s="2002">
        <f>IF(Construction!$F$31=Construction!$R$22,Oeko!DR424,Oeko!GE424)</f>
        <v>5.7847452218977971</v>
      </c>
      <c r="BF424" s="2002">
        <f>IF(Construction!$F$31=Construction!$R$22,Oeko!DS424,Oeko!GF424)</f>
        <v>5.8424465117892268</v>
      </c>
      <c r="BG424" s="2004">
        <f>IF(Construction!$F$31=Construction!$R$22,Oeko!DT424,Oeko!GG424)</f>
        <v>5.5677685338982039</v>
      </c>
      <c r="BH424" s="2004">
        <f>IF(Construction!$F$31=Construction!$R$22,Oeko!DU424,Oeko!GH424)</f>
        <v>5.6540017495596357</v>
      </c>
      <c r="BI424" s="2004">
        <f>IF(Construction!$F$31=Construction!$R$22,Oeko!DV424,Oeko!GI424)</f>
        <v>5.7402349652210685</v>
      </c>
      <c r="BJ424" s="2004">
        <f>IF(Construction!$F$31=Construction!$R$22,Oeko!DW424,Oeko!GJ424)</f>
        <v>5.8264681808825021</v>
      </c>
      <c r="BK424" s="2024">
        <f>IF(Construction!$F$31=Construction!$R$22,Oeko!DX424,Oeko!GK424)</f>
        <v>5.9127013965439339</v>
      </c>
      <c r="BN424" s="2025" t="str">
        <f>Uebersetzung!$D632</f>
        <v>Construction en bois lourde</v>
      </c>
      <c r="BO424" s="2">
        <v>1</v>
      </c>
      <c r="BP424" s="2" t="s">
        <v>4327</v>
      </c>
      <c r="BQ424" s="2002">
        <v>6.8398972838222356</v>
      </c>
      <c r="BR424" s="2002">
        <v>6.9600337543595376</v>
      </c>
      <c r="BS424" s="2002">
        <v>7.6650245720523342</v>
      </c>
      <c r="BT424" s="2002">
        <v>8.3709038691665025</v>
      </c>
      <c r="BU424" s="2002">
        <v>9.0767831662806717</v>
      </c>
      <c r="BV424" s="2004">
        <v>11.651296631063063</v>
      </c>
      <c r="BW424" s="2004">
        <v>12.070021241014528</v>
      </c>
      <c r="BX424" s="2004">
        <v>13.340729984446908</v>
      </c>
      <c r="BY424" s="2004">
        <v>14.616312672133674</v>
      </c>
      <c r="BZ424" s="2004">
        <v>15.89189535982044</v>
      </c>
      <c r="CA424" s="2002">
        <v>7.8224195737185873</v>
      </c>
      <c r="CB424" s="2002">
        <v>8.3864166801769215</v>
      </c>
      <c r="CC424" s="2002">
        <v>6.7248083899201854</v>
      </c>
      <c r="CD424" s="2002">
        <v>6.7324041471997518</v>
      </c>
      <c r="CE424" s="2002">
        <v>6.7463297022122894</v>
      </c>
      <c r="CF424" s="2004">
        <v>10.159764727840409</v>
      </c>
      <c r="CG424" s="2004">
        <v>10.893705105501946</v>
      </c>
      <c r="CH424" s="2004">
        <v>8.7357494708068373</v>
      </c>
      <c r="CI424" s="2004">
        <v>8.7467158453792102</v>
      </c>
      <c r="CJ424" s="2004">
        <v>8.76682086542856</v>
      </c>
      <c r="CK424" s="2002">
        <v>7.7035873109380457</v>
      </c>
      <c r="CL424" s="2002">
        <v>8.2669576461363086</v>
      </c>
      <c r="CM424" s="2002">
        <v>6.6269786385866558</v>
      </c>
      <c r="CN424" s="2002">
        <v>6.6395116380979387</v>
      </c>
      <c r="CO424" s="2002">
        <v>6.6624888038686265</v>
      </c>
      <c r="CP424" s="2004">
        <v>6.6466497598892031</v>
      </c>
      <c r="CQ424" s="2004">
        <v>7.1051148693456447</v>
      </c>
      <c r="CR424" s="2004">
        <v>5.7784589835202054</v>
      </c>
      <c r="CS424" s="2004">
        <v>5.7906438441561754</v>
      </c>
      <c r="CT424" s="2004">
        <v>5.8129827553221203</v>
      </c>
      <c r="CU424" s="2002">
        <v>12.052810665620454</v>
      </c>
      <c r="CV424" s="2002">
        <v>12.125919829436276</v>
      </c>
      <c r="CW424" s="2002">
        <v>12.192936562934113</v>
      </c>
      <c r="CX424" s="2002">
        <v>12.266045726749935</v>
      </c>
      <c r="CY424" s="2002">
        <v>12.442726205971507</v>
      </c>
      <c r="CZ424" s="2004">
        <v>7.4807003454837435</v>
      </c>
      <c r="DA424" s="2004">
        <v>7.599897781169707</v>
      </c>
      <c r="DB424" s="2004">
        <v>8.3722857083883611</v>
      </c>
      <c r="DC424" s="2004">
        <v>9.146027509011013</v>
      </c>
      <c r="DD424" s="2004">
        <v>9.9197693096336668</v>
      </c>
      <c r="DE424" s="2002">
        <v>92.717891608979073</v>
      </c>
      <c r="DF424" s="2002">
        <v>93.054146127354699</v>
      </c>
      <c r="DG424" s="2002">
        <v>93.362379435865677</v>
      </c>
      <c r="DH424" s="2002">
        <v>93.698633954241302</v>
      </c>
      <c r="DI424" s="2002">
        <v>94.511249040315718</v>
      </c>
      <c r="DJ424" s="2004">
        <v>90.864233961205741</v>
      </c>
      <c r="DK424" s="2004">
        <v>91.199821991416258</v>
      </c>
      <c r="DL424" s="2004">
        <v>91.507444352442562</v>
      </c>
      <c r="DM424" s="2004">
        <v>91.843032382653078</v>
      </c>
      <c r="DN424" s="2004">
        <v>92.654036788995128</v>
      </c>
      <c r="DO424" s="2002">
        <v>5.6116413522235087</v>
      </c>
      <c r="DP424" s="2002">
        <v>5.6693426421149375</v>
      </c>
      <c r="DQ424" s="2002">
        <v>5.7270439320063673</v>
      </c>
      <c r="DR424" s="2002">
        <v>5.7847452218977971</v>
      </c>
      <c r="DS424" s="2002">
        <v>5.8424465117892268</v>
      </c>
      <c r="DT424" s="2004">
        <v>5.5677685338982039</v>
      </c>
      <c r="DU424" s="2004">
        <v>5.6540017495596357</v>
      </c>
      <c r="DV424" s="2004">
        <v>5.7402349652210685</v>
      </c>
      <c r="DW424" s="2004">
        <v>5.8264681808825021</v>
      </c>
      <c r="DX424" s="2024">
        <v>5.9127013965439339</v>
      </c>
      <c r="EA424" s="2025" t="str">
        <f>Uebersetzung!$D632</f>
        <v>Construction en bois lourde</v>
      </c>
      <c r="EB424" s="2">
        <v>1</v>
      </c>
      <c r="EC424" s="2" t="s">
        <v>4327</v>
      </c>
      <c r="ED424" s="2002">
        <v>6.935648934360124</v>
      </c>
      <c r="EE424" s="2002">
        <v>7.0635177050754514</v>
      </c>
      <c r="EF424" s="2002">
        <v>7.7762408229462743</v>
      </c>
      <c r="EG424" s="2002">
        <v>8.4898524202384689</v>
      </c>
      <c r="EH424" s="2002">
        <v>9.2034640175306652</v>
      </c>
      <c r="EI424" s="2004">
        <v>11.986465878171359</v>
      </c>
      <c r="EJ424" s="2004">
        <v>12.416501738668964</v>
      </c>
      <c r="EK424" s="2004">
        <v>13.698521732647487</v>
      </c>
      <c r="EL424" s="2004">
        <v>14.985415670880391</v>
      </c>
      <c r="EM424" s="2004">
        <v>16.2723096091133</v>
      </c>
      <c r="EN424" s="2002">
        <v>7.9502679210034994</v>
      </c>
      <c r="EO424" s="2002">
        <v>8.5216099953489373</v>
      </c>
      <c r="EP424" s="2002">
        <v>6.8600017050922029</v>
      </c>
      <c r="EQ424" s="2002">
        <v>6.8675974623717693</v>
      </c>
      <c r="ER424" s="2002">
        <v>6.8815230173843069</v>
      </c>
      <c r="ES424" s="2004">
        <v>10.332084560379275</v>
      </c>
      <c r="ET424" s="2004">
        <v>11.075568805689116</v>
      </c>
      <c r="EU424" s="2004">
        <v>8.9176131709940094</v>
      </c>
      <c r="EV424" s="2004">
        <v>8.9285795455663823</v>
      </c>
      <c r="EW424" s="2004">
        <v>8.9486845656157321</v>
      </c>
      <c r="EX424" s="2002">
        <v>7.8523504542814884</v>
      </c>
      <c r="EY424" s="2002">
        <v>8.422992307687986</v>
      </c>
      <c r="EZ424" s="2002">
        <v>6.7830133001383315</v>
      </c>
      <c r="FA424" s="2002">
        <v>6.7955462996496152</v>
      </c>
      <c r="FB424" s="2002">
        <v>6.8185234654203022</v>
      </c>
      <c r="FC424" s="2004">
        <v>6.7585840100853893</v>
      </c>
      <c r="FD424" s="2004">
        <v>7.222940395867945</v>
      </c>
      <c r="FE424" s="2004">
        <v>5.8962845100425065</v>
      </c>
      <c r="FF424" s="2004">
        <v>5.9084693706784774</v>
      </c>
      <c r="FG424" s="2004">
        <v>5.9308082818444232</v>
      </c>
      <c r="FH424" s="2002">
        <v>12.388613416209012</v>
      </c>
      <c r="FI424" s="2002">
        <v>12.461722580024837</v>
      </c>
      <c r="FJ424" s="2002">
        <v>12.528739313522671</v>
      </c>
      <c r="FK424" s="2002">
        <v>12.601848477338494</v>
      </c>
      <c r="FL424" s="2002">
        <v>12.778528956560065</v>
      </c>
      <c r="FM424" s="2004">
        <v>7.6126649351887217</v>
      </c>
      <c r="FN424" s="2004">
        <v>7.7405029094863176</v>
      </c>
      <c r="FO424" s="2004">
        <v>8.5215313753166129</v>
      </c>
      <c r="FP424" s="2004">
        <v>9.3039137145508963</v>
      </c>
      <c r="FQ424" s="2004">
        <v>10.086296053785185</v>
      </c>
      <c r="FR424" s="2002">
        <v>94.82934994671551</v>
      </c>
      <c r="FS424" s="2002">
        <v>95.165604465091135</v>
      </c>
      <c r="FT424" s="2002">
        <v>95.473837773602128</v>
      </c>
      <c r="FU424" s="2002">
        <v>95.810092291977753</v>
      </c>
      <c r="FV424" s="2002">
        <v>96.622707378052155</v>
      </c>
      <c r="FW424" s="2004">
        <v>92.95325361957029</v>
      </c>
      <c r="FX424" s="2004">
        <v>93.288841649780821</v>
      </c>
      <c r="FY424" s="2004">
        <v>93.596464010807125</v>
      </c>
      <c r="FZ424" s="2004">
        <v>93.932052041017641</v>
      </c>
      <c r="GA424" s="2004">
        <v>94.743056447359692</v>
      </c>
      <c r="GB424" s="2002">
        <v>5.7270816921936234</v>
      </c>
      <c r="GC424" s="2002">
        <v>5.7847829820850531</v>
      </c>
      <c r="GD424" s="2002">
        <v>5.8424842719764829</v>
      </c>
      <c r="GE424" s="2002">
        <v>5.9001855618679135</v>
      </c>
      <c r="GF424" s="2002">
        <v>5.9578868517593415</v>
      </c>
      <c r="GG424" s="2004">
        <v>5.6988859098020379</v>
      </c>
      <c r="GH424" s="2004">
        <v>5.7851191254634715</v>
      </c>
      <c r="GI424" s="2004">
        <v>5.8713523411249042</v>
      </c>
      <c r="GJ424" s="2004">
        <v>5.9575855567863361</v>
      </c>
      <c r="GK424" s="2024">
        <v>6.0438187724477679</v>
      </c>
    </row>
    <row r="425" spans="1:193">
      <c r="A425" s="2020"/>
      <c r="B425" s="2">
        <v>2</v>
      </c>
      <c r="C425" s="2" t="s">
        <v>4328</v>
      </c>
      <c r="D425" s="1979">
        <f>IF(Construction!$F$31=Construction!$R$22,Oeko!BQ425,Oeko!ED425)</f>
        <v>6.787206454825724</v>
      </c>
      <c r="E425" s="1979">
        <f>IF(Construction!$F$31=Construction!$R$22,Oeko!BR425,Oeko!EE425)</f>
        <v>6.9145868172538227</v>
      </c>
      <c r="F425" s="1979">
        <f>IF(Construction!$F$31=Construction!$R$22,Oeko!BS425,Oeko!EF425)</f>
        <v>7.6135088597730283</v>
      </c>
      <c r="G425" s="1979">
        <f>IF(Construction!$F$31=Construction!$R$22,Oeko!BT425,Oeko!EG425)</f>
        <v>8.3136155415207291</v>
      </c>
      <c r="H425" s="1979">
        <f>IF(Construction!$F$31=Construction!$R$22,Oeko!BU425,Oeko!EH425)</f>
        <v>9.0137222232684309</v>
      </c>
      <c r="I425" s="1998">
        <f>IF(Construction!$F$31=Construction!$R$22,Oeko!BV425,Oeko!EI425)</f>
        <v>11.915360785779239</v>
      </c>
      <c r="J425" s="1998">
        <f>IF(Construction!$F$31=Construction!$R$22,Oeko!BW425,Oeko!EJ425)</f>
        <v>12.384458264543023</v>
      </c>
      <c r="K425" s="1998">
        <f>IF(Construction!$F$31=Construction!$R$22,Oeko!BX425,Oeko!EK425)</f>
        <v>13.705539876787718</v>
      </c>
      <c r="L425" s="1998">
        <f>IF(Construction!$F$31=Construction!$R$22,Oeko!BY425,Oeko!EL425)</f>
        <v>15.031495433286802</v>
      </c>
      <c r="M425" s="1998">
        <f>IF(Construction!$F$31=Construction!$R$22,Oeko!BZ425,Oeko!EM425)</f>
        <v>16.357450989785889</v>
      </c>
      <c r="N425" s="1979">
        <f>IF(Construction!$F$31=Construction!$R$22,Oeko!CA425,Oeko!EN425)</f>
        <v>7.9472597510412646</v>
      </c>
      <c r="O425" s="1979">
        <f>IF(Construction!$F$31=Construction!$R$22,Oeko!CB425,Oeko!EO425)</f>
        <v>8.5112568574995962</v>
      </c>
      <c r="P425" s="1979">
        <f>IF(Construction!$F$31=Construction!$R$22,Oeko!CC425,Oeko!EP425)</f>
        <v>6.8496485672428609</v>
      </c>
      <c r="Q425" s="1979">
        <f>IF(Construction!$F$31=Construction!$R$22,Oeko!CD425,Oeko!EQ425)</f>
        <v>6.8572443245224282</v>
      </c>
      <c r="R425" s="1979">
        <f>IF(Construction!$F$31=Construction!$R$22,Oeko!CE425,Oeko!ER425)</f>
        <v>6.8711698795349649</v>
      </c>
      <c r="S425" s="1998">
        <f>IF(Construction!$F$31=Construction!$R$22,Oeko!CF425,Oeko!ES425)</f>
        <v>10.080286791061837</v>
      </c>
      <c r="T425" s="1998">
        <f>IF(Construction!$F$31=Construction!$R$22,Oeko!CG425,Oeko!ET425)</f>
        <v>10.80652004981056</v>
      </c>
      <c r="U425" s="1998">
        <f>IF(Construction!$F$31=Construction!$R$22,Oeko!CH425,Oeko!EU425)</f>
        <v>8.6765597161082759</v>
      </c>
      <c r="V425" s="1998">
        <f>IF(Construction!$F$31=Construction!$R$22,Oeko!CI425,Oeko!EV425)</f>
        <v>8.6887445767442468</v>
      </c>
      <c r="W425" s="1998">
        <f>IF(Construction!$F$31=Construction!$R$22,Oeko!CJ425,Oeko!EW425)</f>
        <v>8.7110834879101926</v>
      </c>
      <c r="X425" s="1979">
        <f>IF(Construction!$F$31=Construction!$R$22,Oeko!CK425,Oeko!EX425)</f>
        <v>7.9638867239319895</v>
      </c>
      <c r="Y425" s="1979">
        <f>IF(Construction!$F$31=Construction!$R$22,Oeko!CL425,Oeko!EY425)</f>
        <v>8.5272570591302532</v>
      </c>
      <c r="Z425" s="1979">
        <f>IF(Construction!$F$31=Construction!$R$22,Oeko!CM425,Oeko!EZ425)</f>
        <v>6.8872780515805996</v>
      </c>
      <c r="AA425" s="1979">
        <f>IF(Construction!$F$31=Construction!$R$22,Oeko!CN425,Oeko!FA425)</f>
        <v>6.8998110510918824</v>
      </c>
      <c r="AB425" s="1979">
        <f>IF(Construction!$F$31=Construction!$R$22,Oeko!CO425,Oeko!FB425)</f>
        <v>6.9227882168625703</v>
      </c>
      <c r="AC425" s="1998">
        <f>IF(Construction!$F$31=Construction!$R$22,Oeko!CP425,Oeko!FC425)</f>
        <v>6.8938333109881027</v>
      </c>
      <c r="AD425" s="1998">
        <f>IF(Construction!$F$31=Construction!$R$22,Oeko!CQ425,Oeko!FD425)</f>
        <v>7.3522984204445434</v>
      </c>
      <c r="AE425" s="1998">
        <f>IF(Construction!$F$31=Construction!$R$22,Oeko!CR425,Oeko!FE425)</f>
        <v>6.0256425346191049</v>
      </c>
      <c r="AF425" s="1998">
        <f>IF(Construction!$F$31=Construction!$R$22,Oeko!CS425,Oeko!FF425)</f>
        <v>6.0378273952550749</v>
      </c>
      <c r="AG425" s="1998">
        <f>IF(Construction!$F$31=Construction!$R$22,Oeko!CT425,Oeko!FG425)</f>
        <v>6.0601663064210207</v>
      </c>
      <c r="AH425" s="1979">
        <f>IF(Construction!$F$31=Construction!$R$22,Oeko!CU425,Oeko!FH425)</f>
        <v>12.498268211044868</v>
      </c>
      <c r="AI425" s="1979">
        <f>IF(Construction!$F$31=Construction!$R$22,Oeko!CV425,Oeko!FI425)</f>
        <v>12.571377374860688</v>
      </c>
      <c r="AJ425" s="1979">
        <f>IF(Construction!$F$31=Construction!$R$22,Oeko!CW425,Oeko!FJ425)</f>
        <v>12.638394108358526</v>
      </c>
      <c r="AK425" s="1979">
        <f>IF(Construction!$F$31=Construction!$R$22,Oeko!CX425,Oeko!FK425)</f>
        <v>12.711503272174348</v>
      </c>
      <c r="AL425" s="1979">
        <f>IF(Construction!$F$31=Construction!$R$22,Oeko!CY425,Oeko!FL425)</f>
        <v>12.888183751395918</v>
      </c>
      <c r="AM425" s="1998">
        <f>IF(Construction!$F$31=Construction!$R$22,Oeko!CZ425,Oeko!FM425)</f>
        <v>7.4150652865990496</v>
      </c>
      <c r="AN425" s="1998">
        <f>IF(Construction!$F$31=Construction!$R$22,Oeko!DA425,Oeko!FN425)</f>
        <v>7.5367759639319054</v>
      </c>
      <c r="AO425" s="1998">
        <f>IF(Construction!$F$31=Construction!$R$22,Oeko!DB425,Oeko!FO425)</f>
        <v>8.29950555148144</v>
      </c>
      <c r="AP425" s="1998">
        <f>IF(Construction!$F$31=Construction!$R$22,Oeko!DC425,Oeko!FP425)</f>
        <v>9.0638597871157724</v>
      </c>
      <c r="AQ425" s="1998">
        <f>IF(Construction!$F$31=Construction!$R$22,Oeko!DD425,Oeko!FQ425)</f>
        <v>9.8282140227501049</v>
      </c>
      <c r="AR425" s="1979">
        <f>IF(Construction!$F$31=Construction!$R$22,Oeko!DE425,Oeko!FR425)</f>
        <v>91.394990178890737</v>
      </c>
      <c r="AS425" s="1979">
        <f>IF(Construction!$F$31=Construction!$R$22,Oeko!DF425,Oeko!FS425)</f>
        <v>91.787287116995628</v>
      </c>
      <c r="AT425" s="1979">
        <f>IF(Construction!$F$31=Construction!$R$22,Oeko!DG425,Oeko!FT425)</f>
        <v>92.146892643591784</v>
      </c>
      <c r="AU425" s="1979">
        <f>IF(Construction!$F$31=Construction!$R$22,Oeko!DH425,Oeko!FU425)</f>
        <v>92.539189581696661</v>
      </c>
      <c r="AV425" s="1979">
        <f>IF(Construction!$F$31=Construction!$R$22,Oeko!DI425,Oeko!FV425)</f>
        <v>93.487240515450168</v>
      </c>
      <c r="AW425" s="1998">
        <f>IF(Construction!$F$31=Construction!$R$22,Oeko!DJ425,Oeko!FW425)</f>
        <v>87.806889075461271</v>
      </c>
      <c r="AX425" s="1998">
        <f>IF(Construction!$F$31=Construction!$R$22,Oeko!DK425,Oeko!FX425)</f>
        <v>88.276712317755994</v>
      </c>
      <c r="AY425" s="1998">
        <f>IF(Construction!$F$31=Construction!$R$22,Oeko!DL425,Oeko!FY425)</f>
        <v>88.707383623192811</v>
      </c>
      <c r="AZ425" s="1998">
        <f>IF(Construction!$F$31=Construction!$R$22,Oeko!DM425,Oeko!FZ425)</f>
        <v>89.177206865487534</v>
      </c>
      <c r="BA425" s="1998">
        <f>IF(Construction!$F$31=Construction!$R$22,Oeko!DN425,Oeko!GA425)</f>
        <v>90.312613034366436</v>
      </c>
      <c r="BB425" s="1979">
        <f>IF(Construction!$F$31=Construction!$R$22,Oeko!DO425,Oeko!GB425)</f>
        <v>5.5732276464668935</v>
      </c>
      <c r="BC425" s="1979">
        <f>IF(Construction!$F$31=Construction!$R$22,Oeko!DP425,Oeko!GC425)</f>
        <v>5.6424691943366101</v>
      </c>
      <c r="BD425" s="1979">
        <f>IF(Construction!$F$31=Construction!$R$22,Oeko!DQ425,Oeko!GD425)</f>
        <v>5.7117107422063258</v>
      </c>
      <c r="BE425" s="1979">
        <f>IF(Construction!$F$31=Construction!$R$22,Oeko!DR425,Oeko!GE425)</f>
        <v>5.7809522900760424</v>
      </c>
      <c r="BF425" s="1979">
        <f>IF(Construction!$F$31=Construction!$R$22,Oeko!DS425,Oeko!GF425)</f>
        <v>5.8501938379457563</v>
      </c>
      <c r="BG425" s="1998">
        <f>IF(Construction!$F$31=Construction!$R$22,Oeko!DT425,Oeko!GG425)</f>
        <v>5.616083293025766</v>
      </c>
      <c r="BH425" s="1998">
        <f>IF(Construction!$F$31=Construction!$R$22,Oeko!DU425,Oeko!GH425)</f>
        <v>5.7023165086871979</v>
      </c>
      <c r="BI425" s="1998">
        <f>IF(Construction!$F$31=Construction!$R$22,Oeko!DV425,Oeko!GI425)</f>
        <v>5.7885497243486306</v>
      </c>
      <c r="BJ425" s="1998">
        <f>IF(Construction!$F$31=Construction!$R$22,Oeko!DW425,Oeko!GJ425)</f>
        <v>5.8747829400100633</v>
      </c>
      <c r="BK425" s="2026">
        <f>IF(Construction!$F$31=Construction!$R$22,Oeko!DX425,Oeko!GK425)</f>
        <v>5.9610161556714951</v>
      </c>
      <c r="BN425" s="2022"/>
      <c r="BO425" s="2">
        <v>2</v>
      </c>
      <c r="BP425" s="2" t="s">
        <v>4328</v>
      </c>
      <c r="BQ425" s="1979">
        <v>6.787206454825724</v>
      </c>
      <c r="BR425" s="1979">
        <v>6.9145868172538227</v>
      </c>
      <c r="BS425" s="1979">
        <v>7.6135088597730283</v>
      </c>
      <c r="BT425" s="1979">
        <v>8.3136155415207291</v>
      </c>
      <c r="BU425" s="1979">
        <v>9.0137222232684309</v>
      </c>
      <c r="BV425" s="1998">
        <v>11.915360785779239</v>
      </c>
      <c r="BW425" s="1998">
        <v>12.384458264543023</v>
      </c>
      <c r="BX425" s="1998">
        <v>13.705539876787718</v>
      </c>
      <c r="BY425" s="1998">
        <v>15.031495433286802</v>
      </c>
      <c r="BZ425" s="1998">
        <v>16.357450989785889</v>
      </c>
      <c r="CA425" s="1979">
        <v>7.9472597510412646</v>
      </c>
      <c r="CB425" s="1979">
        <v>8.5112568574995962</v>
      </c>
      <c r="CC425" s="1979">
        <v>6.8496485672428609</v>
      </c>
      <c r="CD425" s="1979">
        <v>6.8572443245224282</v>
      </c>
      <c r="CE425" s="1979">
        <v>6.8711698795349649</v>
      </c>
      <c r="CF425" s="1998">
        <v>10.080286791061837</v>
      </c>
      <c r="CG425" s="1998">
        <v>10.80652004981056</v>
      </c>
      <c r="CH425" s="1998">
        <v>8.6765597161082759</v>
      </c>
      <c r="CI425" s="1998">
        <v>8.6887445767442468</v>
      </c>
      <c r="CJ425" s="1998">
        <v>8.7110834879101926</v>
      </c>
      <c r="CK425" s="1979">
        <v>7.9638867239319895</v>
      </c>
      <c r="CL425" s="1979">
        <v>8.5272570591302532</v>
      </c>
      <c r="CM425" s="1979">
        <v>6.8872780515805996</v>
      </c>
      <c r="CN425" s="1979">
        <v>6.8998110510918824</v>
      </c>
      <c r="CO425" s="1979">
        <v>6.9227882168625703</v>
      </c>
      <c r="CP425" s="1998">
        <v>6.8938333109881027</v>
      </c>
      <c r="CQ425" s="1998">
        <v>7.3522984204445434</v>
      </c>
      <c r="CR425" s="1998">
        <v>6.0256425346191049</v>
      </c>
      <c r="CS425" s="1998">
        <v>6.0378273952550749</v>
      </c>
      <c r="CT425" s="1998">
        <v>6.0601663064210207</v>
      </c>
      <c r="CU425" s="1979">
        <v>12.498268211044868</v>
      </c>
      <c r="CV425" s="1979">
        <v>12.571377374860688</v>
      </c>
      <c r="CW425" s="1979">
        <v>12.638394108358526</v>
      </c>
      <c r="CX425" s="1979">
        <v>12.711503272174348</v>
      </c>
      <c r="CY425" s="1979">
        <v>12.888183751395918</v>
      </c>
      <c r="CZ425" s="1998">
        <v>7.4150652865990496</v>
      </c>
      <c r="DA425" s="1998">
        <v>7.5367759639319054</v>
      </c>
      <c r="DB425" s="1998">
        <v>8.29950555148144</v>
      </c>
      <c r="DC425" s="1998">
        <v>9.0638597871157724</v>
      </c>
      <c r="DD425" s="1998">
        <v>9.8282140227501049</v>
      </c>
      <c r="DE425" s="1979">
        <v>91.394990178890737</v>
      </c>
      <c r="DF425" s="1979">
        <v>91.787287116995628</v>
      </c>
      <c r="DG425" s="1979">
        <v>92.146892643591784</v>
      </c>
      <c r="DH425" s="1979">
        <v>92.539189581696661</v>
      </c>
      <c r="DI425" s="1979">
        <v>93.487240515450168</v>
      </c>
      <c r="DJ425" s="1998">
        <v>87.806889075461271</v>
      </c>
      <c r="DK425" s="1998">
        <v>88.276712317755994</v>
      </c>
      <c r="DL425" s="1998">
        <v>88.707383623192811</v>
      </c>
      <c r="DM425" s="1998">
        <v>89.177206865487534</v>
      </c>
      <c r="DN425" s="1998">
        <v>90.312613034366436</v>
      </c>
      <c r="DO425" s="1979">
        <v>5.5732276464668935</v>
      </c>
      <c r="DP425" s="1979">
        <v>5.6424691943366101</v>
      </c>
      <c r="DQ425" s="1979">
        <v>5.7117107422063258</v>
      </c>
      <c r="DR425" s="1979">
        <v>5.7809522900760424</v>
      </c>
      <c r="DS425" s="1979">
        <v>5.8501938379457563</v>
      </c>
      <c r="DT425" s="1998">
        <v>5.616083293025766</v>
      </c>
      <c r="DU425" s="1998">
        <v>5.7023165086871979</v>
      </c>
      <c r="DV425" s="1998">
        <v>5.7885497243486306</v>
      </c>
      <c r="DW425" s="1998">
        <v>5.8747829400100633</v>
      </c>
      <c r="DX425" s="2026">
        <v>5.9610161556714951</v>
      </c>
      <c r="EA425" s="2022"/>
      <c r="EB425" s="2">
        <v>2</v>
      </c>
      <c r="EC425" s="2" t="s">
        <v>4328</v>
      </c>
      <c r="ED425" s="1979">
        <v>6.893654453943217</v>
      </c>
      <c r="EE425" s="1979">
        <v>7.0285952876564952</v>
      </c>
      <c r="EF425" s="1979">
        <v>7.735077801460883</v>
      </c>
      <c r="EG425" s="1979">
        <v>8.4427449544937634</v>
      </c>
      <c r="EH425" s="1979">
        <v>9.1504121075266465</v>
      </c>
      <c r="EI425" s="1998">
        <v>12.263888693232206</v>
      </c>
      <c r="EJ425" s="1998">
        <v>12.744297422542131</v>
      </c>
      <c r="EK425" s="1998">
        <v>14.076690285332971</v>
      </c>
      <c r="EL425" s="1998">
        <v>15.413957092378194</v>
      </c>
      <c r="EM425" s="1998">
        <v>16.751223899423422</v>
      </c>
      <c r="EN425" s="1979">
        <v>8.076714810051481</v>
      </c>
      <c r="EO425" s="1979">
        <v>8.6480568843969188</v>
      </c>
      <c r="EP425" s="1979">
        <v>6.9864485941401826</v>
      </c>
      <c r="EQ425" s="1979">
        <v>6.9940443514197499</v>
      </c>
      <c r="ER425" s="1979">
        <v>7.0079699064322867</v>
      </c>
      <c r="ES425" s="1998">
        <v>10.258792463743124</v>
      </c>
      <c r="ET425" s="1998">
        <v>10.994451764613631</v>
      </c>
      <c r="EU425" s="1998">
        <v>8.8644914309113467</v>
      </c>
      <c r="EV425" s="1998">
        <v>8.8766762915473176</v>
      </c>
      <c r="EW425" s="1998">
        <v>8.8990152027132634</v>
      </c>
      <c r="EX425" s="1979">
        <v>8.1162856263795486</v>
      </c>
      <c r="EY425" s="1979">
        <v>8.6869274797860463</v>
      </c>
      <c r="EZ425" s="1979">
        <v>7.0469484722363926</v>
      </c>
      <c r="FA425" s="1979">
        <v>7.0594814717476755</v>
      </c>
      <c r="FB425" s="1979">
        <v>7.0824586375183625</v>
      </c>
      <c r="FC425" s="1998">
        <v>7.005767561184288</v>
      </c>
      <c r="FD425" s="1998">
        <v>7.4701239469668437</v>
      </c>
      <c r="FE425" s="1998">
        <v>6.1434680611414061</v>
      </c>
      <c r="FF425" s="1998">
        <v>6.155652921777377</v>
      </c>
      <c r="FG425" s="1998">
        <v>6.1779918329433228</v>
      </c>
      <c r="FH425" s="1979">
        <v>12.838047573153554</v>
      </c>
      <c r="FI425" s="1979">
        <v>12.911156736969373</v>
      </c>
      <c r="FJ425" s="1979">
        <v>12.978173470467212</v>
      </c>
      <c r="FK425" s="1979">
        <v>13.051282634283034</v>
      </c>
      <c r="FL425" s="1979">
        <v>13.227963113504604</v>
      </c>
      <c r="FM425" s="1998">
        <v>7.5597550331684351</v>
      </c>
      <c r="FN425" s="1998">
        <v>7.6899491484108964</v>
      </c>
      <c r="FO425" s="1998">
        <v>8.4611621738700382</v>
      </c>
      <c r="FP425" s="1998">
        <v>9.2339998474139744</v>
      </c>
      <c r="FQ425" s="1998">
        <v>10.006837520957912</v>
      </c>
      <c r="FR425" s="1979">
        <v>93.630751566025538</v>
      </c>
      <c r="FS425" s="1979">
        <v>94.023048504130429</v>
      </c>
      <c r="FT425" s="1979">
        <v>94.382654030726584</v>
      </c>
      <c r="FU425" s="1979">
        <v>94.774950968831476</v>
      </c>
      <c r="FV425" s="1979">
        <v>95.723001902584954</v>
      </c>
      <c r="FW425" s="1998">
        <v>90.186343311571306</v>
      </c>
      <c r="FX425" s="1998">
        <v>90.656166553866001</v>
      </c>
      <c r="FY425" s="1998">
        <v>91.086837859302832</v>
      </c>
      <c r="FZ425" s="1998">
        <v>91.556661101597541</v>
      </c>
      <c r="GA425" s="1998">
        <v>92.692067270476443</v>
      </c>
      <c r="GB425" s="1979">
        <v>5.6951326454753373</v>
      </c>
      <c r="GC425" s="1979">
        <v>5.7643741933450521</v>
      </c>
      <c r="GD425" s="1979">
        <v>5.8336157412147678</v>
      </c>
      <c r="GE425" s="1979">
        <v>5.9028572890844844</v>
      </c>
      <c r="GF425" s="1979">
        <v>5.9720988369541983</v>
      </c>
      <c r="GG425" s="1998">
        <v>5.7472006689296009</v>
      </c>
      <c r="GH425" s="1998">
        <v>5.8334338845910327</v>
      </c>
      <c r="GI425" s="1998">
        <v>5.9196671002524655</v>
      </c>
      <c r="GJ425" s="1998">
        <v>6.0059003159138973</v>
      </c>
      <c r="GK425" s="2026">
        <v>6.09213353157533</v>
      </c>
    </row>
    <row r="426" spans="1:193">
      <c r="A426" s="2020"/>
      <c r="B426" s="2">
        <v>3</v>
      </c>
      <c r="C426" s="2" t="s">
        <v>4329</v>
      </c>
      <c r="D426" s="1979">
        <f>IF(Construction!$F$31=Construction!$R$22,Oeko!BQ426,Oeko!ED426)</f>
        <v>6.8190475817155836</v>
      </c>
      <c r="E426" s="1979">
        <f>IF(Construction!$F$31=Construction!$R$22,Oeko!BR426,Oeko!EE426)</f>
        <v>6.9593332941942494</v>
      </c>
      <c r="F426" s="1979">
        <f>IF(Construction!$F$31=Construction!$R$22,Oeko!BS426,Oeko!EF426)</f>
        <v>7.666319716922426</v>
      </c>
      <c r="G426" s="1979">
        <f>IF(Construction!$F$31=Construction!$R$22,Oeko!BT426,Oeko!EG426)</f>
        <v>8.3745984733544159</v>
      </c>
      <c r="H426" s="1979">
        <f>IF(Construction!$F$31=Construction!$R$22,Oeko!BU426,Oeko!EH426)</f>
        <v>9.0828772297864102</v>
      </c>
      <c r="I426" s="1998">
        <f>IF(Construction!$F$31=Construction!$R$22,Oeko!BV426,Oeko!EI426)</f>
        <v>11.454928895214596</v>
      </c>
      <c r="J426" s="1998">
        <f>IF(Construction!$F$31=Construction!$R$22,Oeko!BW426,Oeko!EJ426)</f>
        <v>11.903846427032619</v>
      </c>
      <c r="K426" s="1998">
        <f>IF(Construction!$F$31=Construction!$R$22,Oeko!BX426,Oeko!EK426)</f>
        <v>13.149975976409506</v>
      </c>
      <c r="L426" s="1998">
        <f>IF(Construction!$F$31=Construction!$R$22,Oeko!BY426,Oeko!EL426)</f>
        <v>14.402197956104375</v>
      </c>
      <c r="M426" s="1998">
        <f>IF(Construction!$F$31=Construction!$R$22,Oeko!BZ426,Oeko!EM426)</f>
        <v>15.654419935799243</v>
      </c>
      <c r="N426" s="1979">
        <f>IF(Construction!$F$31=Construction!$R$22,Oeko!CA426,Oeko!EN426)</f>
        <v>8.0020814514210539</v>
      </c>
      <c r="O426" s="1979">
        <f>IF(Construction!$F$31=Construction!$R$22,Oeko!CB426,Oeko!EO426)</f>
        <v>8.5612741201155558</v>
      </c>
      <c r="P426" s="1979">
        <f>IF(Construction!$F$31=Construction!$R$22,Oeko!CC426,Oeko!EP426)</f>
        <v>6.9171174460621403</v>
      </c>
      <c r="Q426" s="1979">
        <f>IF(Construction!$F$31=Construction!$R$22,Oeko!CD426,Oeko!EQ426)</f>
        <v>6.9254727790696631</v>
      </c>
      <c r="R426" s="1979">
        <f>IF(Construction!$F$31=Construction!$R$22,Oeko!CE426,Oeko!ER426)</f>
        <v>6.9407908895834538</v>
      </c>
      <c r="S426" s="1998">
        <f>IF(Construction!$F$31=Construction!$R$22,Oeko!CF426,Oeko!ES426)</f>
        <v>10.503338808462797</v>
      </c>
      <c r="T426" s="1998">
        <f>IF(Construction!$F$31=Construction!$R$22,Oeko!CG426,Oeko!ET426)</f>
        <v>11.219938168570504</v>
      </c>
      <c r="U426" s="1998">
        <f>IF(Construction!$F$31=Construction!$R$22,Oeko!CH426,Oeko!EU426)</f>
        <v>9.1249719611092512</v>
      </c>
      <c r="V426" s="1998">
        <f>IF(Construction!$F$31=Construction!$R$22,Oeko!CI426,Oeko!EV426)</f>
        <v>9.1386799293247183</v>
      </c>
      <c r="W426" s="1998">
        <f>IF(Construction!$F$31=Construction!$R$22,Oeko!CJ426,Oeko!EW426)</f>
        <v>9.1638112043864073</v>
      </c>
      <c r="X426" s="1979">
        <f>IF(Construction!$F$31=Construction!$R$22,Oeko!CK426,Oeko!EX426)</f>
        <v>7.8253267412723861</v>
      </c>
      <c r="Y426" s="1979">
        <f>IF(Construction!$F$31=Construction!$R$22,Oeko!CL426,Oeko!EY426)</f>
        <v>8.375484872620115</v>
      </c>
      <c r="Z426" s="1979">
        <f>IF(Construction!$F$31=Construction!$R$22,Oeko!CM426,Oeko!EZ426)</f>
        <v>6.7834978096295906</v>
      </c>
      <c r="AA426" s="1979">
        <f>IF(Construction!$F$31=Construction!$R$22,Oeko!CN426,Oeko!FA426)</f>
        <v>6.7981196423927548</v>
      </c>
      <c r="AB426" s="1979">
        <f>IF(Construction!$F$31=Construction!$R$22,Oeko!CO426,Oeko!FB426)</f>
        <v>6.8249263357918899</v>
      </c>
      <c r="AC426" s="1998">
        <f>IF(Construction!$F$31=Construction!$R$22,Oeko!CP426,Oeko!FC426)</f>
        <v>7.0782587668681645</v>
      </c>
      <c r="AD426" s="1998">
        <f>IF(Construction!$F$31=Construction!$R$22,Oeko!CQ426,Oeko!FD426)</f>
        <v>7.5367238763246052</v>
      </c>
      <c r="AE426" s="1998">
        <f>IF(Construction!$F$31=Construction!$R$22,Oeko!CR426,Oeko!FE426)</f>
        <v>6.2100679904991667</v>
      </c>
      <c r="AF426" s="1998">
        <f>IF(Construction!$F$31=Construction!$R$22,Oeko!CS426,Oeko!FF426)</f>
        <v>6.2222528511351376</v>
      </c>
      <c r="AG426" s="1998">
        <f>IF(Construction!$F$31=Construction!$R$22,Oeko!CT426,Oeko!FG426)</f>
        <v>6.2445917623010834</v>
      </c>
      <c r="AH426" s="1979">
        <f>IF(Construction!$F$31=Construction!$R$22,Oeko!CU426,Oeko!FH426)</f>
        <v>12.993221039294216</v>
      </c>
      <c r="AI426" s="1979">
        <f>IF(Construction!$F$31=Construction!$R$22,Oeko!CV426,Oeko!FI426)</f>
        <v>13.066330203110038</v>
      </c>
      <c r="AJ426" s="1979">
        <f>IF(Construction!$F$31=Construction!$R$22,Oeko!CW426,Oeko!FJ426)</f>
        <v>13.133346936607877</v>
      </c>
      <c r="AK426" s="1979">
        <f>IF(Construction!$F$31=Construction!$R$22,Oeko!CX426,Oeko!FK426)</f>
        <v>13.206456100423695</v>
      </c>
      <c r="AL426" s="1979">
        <f>IF(Construction!$F$31=Construction!$R$22,Oeko!CY426,Oeko!FL426)</f>
        <v>13.383136579645265</v>
      </c>
      <c r="AM426" s="1998">
        <f>IF(Construction!$F$31=Construction!$R$22,Oeko!CZ426,Oeko!FM426)</f>
        <v>7.1714258718780819</v>
      </c>
      <c r="AN426" s="1998">
        <f>IF(Construction!$F$31=Construction!$R$22,Oeko!DA426,Oeko!FN426)</f>
        <v>7.2853182026264056</v>
      </c>
      <c r="AO426" s="1998">
        <f>IF(Construction!$F$31=Construction!$R$22,Oeko!DB426,Oeko!FO426)</f>
        <v>8.0089310916359491</v>
      </c>
      <c r="AP426" s="1998">
        <f>IF(Construction!$F$31=Construction!$R$22,Oeko!DC426,Oeko!FP426)</f>
        <v>8.7348649064809134</v>
      </c>
      <c r="AQ426" s="1998">
        <f>IF(Construction!$F$31=Construction!$R$22,Oeko!DD426,Oeko!FQ426)</f>
        <v>9.4607987213258831</v>
      </c>
      <c r="AR426" s="1979">
        <f>IF(Construction!$F$31=Construction!$R$22,Oeko!DE426,Oeko!FR426)</f>
        <v>92.14568136824623</v>
      </c>
      <c r="AS426" s="1979">
        <f>IF(Construction!$F$31=Construction!$R$22,Oeko!DF426,Oeko!FS426)</f>
        <v>92.616437693972102</v>
      </c>
      <c r="AT426" s="1979">
        <f>IF(Construction!$F$31=Construction!$R$22,Oeko!DG426,Oeko!FT426)</f>
        <v>93.047964325887477</v>
      </c>
      <c r="AU426" s="1979">
        <f>IF(Construction!$F$31=Construction!$R$22,Oeko!DH426,Oeko!FU426)</f>
        <v>93.518720651613364</v>
      </c>
      <c r="AV426" s="1979">
        <f>IF(Construction!$F$31=Construction!$R$22,Oeko!DI426,Oeko!FV426)</f>
        <v>94.656381772117541</v>
      </c>
      <c r="AW426" s="1998">
        <f>IF(Construction!$F$31=Construction!$R$22,Oeko!DJ426,Oeko!FW426)</f>
        <v>91.119368402034667</v>
      </c>
      <c r="AX426" s="1998">
        <f>IF(Construction!$F$31=Construction!$R$22,Oeko!DK426,Oeko!FX426)</f>
        <v>91.589191644329375</v>
      </c>
      <c r="AY426" s="1998">
        <f>IF(Construction!$F$31=Construction!$R$22,Oeko!DL426,Oeko!FY426)</f>
        <v>92.019862949766207</v>
      </c>
      <c r="AZ426" s="1998">
        <f>IF(Construction!$F$31=Construction!$R$22,Oeko!DM426,Oeko!FZ426)</f>
        <v>92.48968619206093</v>
      </c>
      <c r="BA426" s="1998">
        <f>IF(Construction!$F$31=Construction!$R$22,Oeko!DN426,Oeko!GA426)</f>
        <v>93.625092360939803</v>
      </c>
      <c r="BB426" s="1979">
        <f>IF(Construction!$F$31=Construction!$R$22,Oeko!DO426,Oeko!GB426)</f>
        <v>5.5156070878319747</v>
      </c>
      <c r="BC426" s="1979">
        <f>IF(Construction!$F$31=Construction!$R$22,Oeko!DP426,Oeko!GC426)</f>
        <v>5.6021590226691185</v>
      </c>
      <c r="BD426" s="1979">
        <f>IF(Construction!$F$31=Construction!$R$22,Oeko!DQ426,Oeko!GD426)</f>
        <v>5.6887109575062631</v>
      </c>
      <c r="BE426" s="1979">
        <f>IF(Construction!$F$31=Construction!$R$22,Oeko!DR426,Oeko!GE426)</f>
        <v>5.7752628923434086</v>
      </c>
      <c r="BF426" s="1979">
        <f>IF(Construction!$F$31=Construction!$R$22,Oeko!DS426,Oeko!GF426)</f>
        <v>5.8618148271805524</v>
      </c>
      <c r="BG426" s="1998">
        <f>IF(Construction!$F$31=Construction!$R$22,Oeko!DT426,Oeko!GG426)</f>
        <v>5.5204026655765439</v>
      </c>
      <c r="BH426" s="1998">
        <f>IF(Construction!$F$31=Construction!$R$22,Oeko!DU426,Oeko!GH426)</f>
        <v>5.6353802864584539</v>
      </c>
      <c r="BI426" s="1998">
        <f>IF(Construction!$F$31=Construction!$R$22,Oeko!DV426,Oeko!GI426)</f>
        <v>5.750357907340363</v>
      </c>
      <c r="BJ426" s="1998">
        <f>IF(Construction!$F$31=Construction!$R$22,Oeko!DW426,Oeko!GJ426)</f>
        <v>5.8653355282222739</v>
      </c>
      <c r="BK426" s="2026">
        <f>IF(Construction!$F$31=Construction!$R$22,Oeko!DX426,Oeko!GK426)</f>
        <v>5.980313149104183</v>
      </c>
      <c r="BN426" s="2022"/>
      <c r="BO426" s="2">
        <v>3</v>
      </c>
      <c r="BP426" s="2" t="s">
        <v>4329</v>
      </c>
      <c r="BQ426" s="1979">
        <v>6.8190475817155836</v>
      </c>
      <c r="BR426" s="1979">
        <v>6.9593332941942494</v>
      </c>
      <c r="BS426" s="1979">
        <v>7.666319716922426</v>
      </c>
      <c r="BT426" s="1979">
        <v>8.3745984733544159</v>
      </c>
      <c r="BU426" s="1979">
        <v>9.0828772297864102</v>
      </c>
      <c r="BV426" s="1998">
        <v>11.454928895214596</v>
      </c>
      <c r="BW426" s="1998">
        <v>11.903846427032619</v>
      </c>
      <c r="BX426" s="1998">
        <v>13.149975976409506</v>
      </c>
      <c r="BY426" s="1998">
        <v>14.402197956104375</v>
      </c>
      <c r="BZ426" s="1998">
        <v>15.654419935799243</v>
      </c>
      <c r="CA426" s="1979">
        <v>8.0020814514210539</v>
      </c>
      <c r="CB426" s="1979">
        <v>8.5612741201155558</v>
      </c>
      <c r="CC426" s="1979">
        <v>6.9171174460621403</v>
      </c>
      <c r="CD426" s="1979">
        <v>6.9254727790696631</v>
      </c>
      <c r="CE426" s="1979">
        <v>6.9407908895834538</v>
      </c>
      <c r="CF426" s="1998">
        <v>10.503338808462797</v>
      </c>
      <c r="CG426" s="1998">
        <v>11.219938168570504</v>
      </c>
      <c r="CH426" s="1998">
        <v>9.1249719611092512</v>
      </c>
      <c r="CI426" s="1998">
        <v>9.1386799293247183</v>
      </c>
      <c r="CJ426" s="1998">
        <v>9.1638112043864073</v>
      </c>
      <c r="CK426" s="1979">
        <v>7.8253267412723861</v>
      </c>
      <c r="CL426" s="1979">
        <v>8.375484872620115</v>
      </c>
      <c r="CM426" s="1979">
        <v>6.7834978096295906</v>
      </c>
      <c r="CN426" s="1979">
        <v>6.7981196423927548</v>
      </c>
      <c r="CO426" s="1979">
        <v>6.8249263357918899</v>
      </c>
      <c r="CP426" s="1998">
        <v>7.0782587668681645</v>
      </c>
      <c r="CQ426" s="1998">
        <v>7.5367238763246052</v>
      </c>
      <c r="CR426" s="1998">
        <v>6.2100679904991667</v>
      </c>
      <c r="CS426" s="1998">
        <v>6.2222528511351376</v>
      </c>
      <c r="CT426" s="1998">
        <v>6.2445917623010834</v>
      </c>
      <c r="CU426" s="1979">
        <v>12.993221039294216</v>
      </c>
      <c r="CV426" s="1979">
        <v>13.066330203110038</v>
      </c>
      <c r="CW426" s="1979">
        <v>13.133346936607877</v>
      </c>
      <c r="CX426" s="1979">
        <v>13.206456100423695</v>
      </c>
      <c r="CY426" s="1979">
        <v>13.383136579645265</v>
      </c>
      <c r="CZ426" s="1998">
        <v>7.1714258718780819</v>
      </c>
      <c r="DA426" s="1998">
        <v>7.2853182026264056</v>
      </c>
      <c r="DB426" s="1998">
        <v>8.0089310916359491</v>
      </c>
      <c r="DC426" s="1998">
        <v>8.7348649064809134</v>
      </c>
      <c r="DD426" s="1998">
        <v>9.4607987213258831</v>
      </c>
      <c r="DE426" s="1979">
        <v>92.14568136824623</v>
      </c>
      <c r="DF426" s="1979">
        <v>92.616437693972102</v>
      </c>
      <c r="DG426" s="1979">
        <v>93.047964325887477</v>
      </c>
      <c r="DH426" s="1979">
        <v>93.518720651613364</v>
      </c>
      <c r="DI426" s="1979">
        <v>94.656381772117541</v>
      </c>
      <c r="DJ426" s="1998">
        <v>91.119368402034667</v>
      </c>
      <c r="DK426" s="1998">
        <v>91.589191644329375</v>
      </c>
      <c r="DL426" s="1998">
        <v>92.019862949766207</v>
      </c>
      <c r="DM426" s="1998">
        <v>92.48968619206093</v>
      </c>
      <c r="DN426" s="1998">
        <v>93.625092360939803</v>
      </c>
      <c r="DO426" s="1979">
        <v>5.5156070878319747</v>
      </c>
      <c r="DP426" s="1979">
        <v>5.6021590226691185</v>
      </c>
      <c r="DQ426" s="1979">
        <v>5.6887109575062631</v>
      </c>
      <c r="DR426" s="1979">
        <v>5.7752628923434086</v>
      </c>
      <c r="DS426" s="1979">
        <v>5.8618148271805524</v>
      </c>
      <c r="DT426" s="1998">
        <v>5.5204026655765439</v>
      </c>
      <c r="DU426" s="1998">
        <v>5.6353802864584539</v>
      </c>
      <c r="DV426" s="1998">
        <v>5.750357907340363</v>
      </c>
      <c r="DW426" s="1998">
        <v>5.8653355282222739</v>
      </c>
      <c r="DX426" s="2026">
        <v>5.980313149104183</v>
      </c>
      <c r="EA426" s="2022"/>
      <c r="EB426" s="2">
        <v>3</v>
      </c>
      <c r="EC426" s="2" t="s">
        <v>4329</v>
      </c>
      <c r="ED426" s="1979">
        <v>6.9305801539804452</v>
      </c>
      <c r="EE426" s="1979">
        <v>7.0783638545105294</v>
      </c>
      <c r="EF426" s="1979">
        <v>7.7928482652901252</v>
      </c>
      <c r="EG426" s="1979">
        <v>8.5086250097735334</v>
      </c>
      <c r="EH426" s="1979">
        <v>9.2244017542569452</v>
      </c>
      <c r="EI426" s="1998">
        <v>11.862310653165453</v>
      </c>
      <c r="EJ426" s="1998">
        <v>12.321832482370482</v>
      </c>
      <c r="EK426" s="1998">
        <v>13.578566329134377</v>
      </c>
      <c r="EL426" s="1998">
        <v>14.841392606216251</v>
      </c>
      <c r="EM426" s="1998">
        <v>16.104218883298131</v>
      </c>
      <c r="EN426" s="1979">
        <v>8.1371095048156104</v>
      </c>
      <c r="EO426" s="1979">
        <v>8.703573691718347</v>
      </c>
      <c r="EP426" s="1979">
        <v>7.0594170176649325</v>
      </c>
      <c r="EQ426" s="1979">
        <v>7.0677723506724544</v>
      </c>
      <c r="ER426" s="1979">
        <v>7.0830904611862451</v>
      </c>
      <c r="ES426" s="1998">
        <v>10.68957678132211</v>
      </c>
      <c r="ET426" s="1998">
        <v>11.415454901643448</v>
      </c>
      <c r="EU426" s="1998">
        <v>9.3204886941821972</v>
      </c>
      <c r="EV426" s="1998">
        <v>9.3341966623976642</v>
      </c>
      <c r="EW426" s="1998">
        <v>9.3593279374593514</v>
      </c>
      <c r="EX426" s="1979">
        <v>7.9875724912935953</v>
      </c>
      <c r="EY426" s="1979">
        <v>8.5448001542326626</v>
      </c>
      <c r="EZ426" s="1979">
        <v>6.9528130912421373</v>
      </c>
      <c r="FA426" s="1979">
        <v>6.9674349240053015</v>
      </c>
      <c r="FB426" s="1979">
        <v>6.9942416174044366</v>
      </c>
      <c r="FC426" s="1998">
        <v>7.1901930170643524</v>
      </c>
      <c r="FD426" s="1998">
        <v>7.6545494028469063</v>
      </c>
      <c r="FE426" s="1998">
        <v>6.3278935170214687</v>
      </c>
      <c r="FF426" s="1998">
        <v>6.3400783776574388</v>
      </c>
      <c r="FG426" s="1998">
        <v>6.3624172888233854</v>
      </c>
      <c r="FH426" s="1979">
        <v>13.33962808726978</v>
      </c>
      <c r="FI426" s="1979">
        <v>13.412737251085604</v>
      </c>
      <c r="FJ426" s="1979">
        <v>13.479753984583441</v>
      </c>
      <c r="FK426" s="1979">
        <v>13.552863148399263</v>
      </c>
      <c r="FL426" s="1979">
        <v>13.729543627620833</v>
      </c>
      <c r="FM426" s="1998">
        <v>7.3458076511310884</v>
      </c>
      <c r="FN426" s="1998">
        <v>7.467779446555225</v>
      </c>
      <c r="FO426" s="1998">
        <v>8.1994718002405858</v>
      </c>
      <c r="FP426" s="1998">
        <v>8.9334850797613665</v>
      </c>
      <c r="FQ426" s="1998">
        <v>9.6674983592821491</v>
      </c>
      <c r="FR426" s="1979">
        <v>94.598143275830765</v>
      </c>
      <c r="FS426" s="1979">
        <v>95.068899601556637</v>
      </c>
      <c r="FT426" s="1979">
        <v>95.500426233472027</v>
      </c>
      <c r="FU426" s="1979">
        <v>95.971182559197899</v>
      </c>
      <c r="FV426" s="1979">
        <v>97.108843679702076</v>
      </c>
      <c r="FW426" s="1998">
        <v>93.498822638144674</v>
      </c>
      <c r="FX426" s="1998">
        <v>93.968645880439396</v>
      </c>
      <c r="FY426" s="1998">
        <v>94.399317185876214</v>
      </c>
      <c r="FZ426" s="1998">
        <v>94.869140428170937</v>
      </c>
      <c r="GA426" s="1998">
        <v>96.004546597049838</v>
      </c>
      <c r="GB426" s="1979">
        <v>5.6472090753979058</v>
      </c>
      <c r="GC426" s="1979">
        <v>5.7337610102350496</v>
      </c>
      <c r="GD426" s="1979">
        <v>5.8203129450721951</v>
      </c>
      <c r="GE426" s="1979">
        <v>5.9068648799093397</v>
      </c>
      <c r="GF426" s="1979">
        <v>5.9934168147464835</v>
      </c>
      <c r="GG426" s="1998">
        <v>5.6676221753633067</v>
      </c>
      <c r="GH426" s="1998">
        <v>5.7825997962452167</v>
      </c>
      <c r="GI426" s="1998">
        <v>5.8975774171271258</v>
      </c>
      <c r="GJ426" s="1998">
        <v>6.0125550380090358</v>
      </c>
      <c r="GK426" s="2026">
        <v>6.1275326588909458</v>
      </c>
    </row>
    <row r="427" spans="1:193">
      <c r="A427" s="2020"/>
      <c r="B427" s="2">
        <v>4</v>
      </c>
      <c r="C427" s="2" t="s">
        <v>4330</v>
      </c>
      <c r="D427" s="1979">
        <f>IF(Construction!$F$31=Construction!$R$22,Oeko!BQ427,Oeko!ED427)</f>
        <v>6.9609763373794475</v>
      </c>
      <c r="E427" s="1979">
        <f>IF(Construction!$F$31=Construction!$R$22,Oeko!BR427,Oeko!EE427)</f>
        <v>7.1317443432169405</v>
      </c>
      <c r="F427" s="1979">
        <f>IF(Construction!$F$31=Construction!$R$22,Oeko!BS427,Oeko!EF427)</f>
        <v>7.8692130593039451</v>
      </c>
      <c r="G427" s="1979">
        <f>IF(Construction!$F$31=Construction!$R$22,Oeko!BT427,Oeko!EG427)</f>
        <v>8.6079741090947621</v>
      </c>
      <c r="H427" s="1979">
        <f>IF(Construction!$F$31=Construction!$R$22,Oeko!BU427,Oeko!EH427)</f>
        <v>9.3467351588855827</v>
      </c>
      <c r="I427" s="1998">
        <f>IF(Construction!$F$31=Construction!$R$22,Oeko!BV427,Oeko!EI427)</f>
        <v>11.651445711385461</v>
      </c>
      <c r="J427" s="1998">
        <f>IF(Construction!$F$31=Construction!$R$22,Oeko!BW427,Oeko!EJ427)</f>
        <v>12.137850784104407</v>
      </c>
      <c r="K427" s="1998">
        <f>IF(Construction!$F$31=Construction!$R$22,Oeko!BX427,Oeko!EK427)</f>
        <v>13.421467874382209</v>
      </c>
      <c r="L427" s="1998">
        <f>IF(Construction!$F$31=Construction!$R$22,Oeko!BY427,Oeko!EL427)</f>
        <v>14.711177394978</v>
      </c>
      <c r="M427" s="1998">
        <f>IF(Construction!$F$31=Construction!$R$22,Oeko!BZ427,Oeko!EM427)</f>
        <v>16.000886915573787</v>
      </c>
      <c r="N427" s="1979">
        <f>IF(Construction!$F$31=Construction!$R$22,Oeko!CA427,Oeko!EN427)</f>
        <v>8.1301187274652147</v>
      </c>
      <c r="O427" s="1979">
        <f>IF(Construction!$F$31=Construction!$R$22,Oeko!CB427,Oeko!EO427)</f>
        <v>8.6834393055594816</v>
      </c>
      <c r="P427" s="1979">
        <f>IF(Construction!$F$31=Construction!$R$22,Oeko!CC427,Oeko!EP427)</f>
        <v>7.0606123846434556</v>
      </c>
      <c r="Q427" s="1979">
        <f>IF(Construction!$F$31=Construction!$R$22,Oeko!CD427,Oeko!EQ427)</f>
        <v>7.0698960879851471</v>
      </c>
      <c r="R427" s="1979">
        <f>IF(Construction!$F$31=Construction!$R$22,Oeko!CE427,Oeko!ER427)</f>
        <v>7.0869162107782486</v>
      </c>
      <c r="S427" s="1998">
        <f>IF(Construction!$F$31=Construction!$R$22,Oeko!CF427,Oeko!ES427)</f>
        <v>10.185433581615555</v>
      </c>
      <c r="T427" s="1998">
        <f>IF(Construction!$F$31=Construction!$R$22,Oeko!CG427,Oeko!ET427)</f>
        <v>10.873131245800217</v>
      </c>
      <c r="U427" s="1998">
        <f>IF(Construction!$F$31=Construction!$R$22,Oeko!CH427,Oeko!EU427)</f>
        <v>8.8831474170620588</v>
      </c>
      <c r="V427" s="1998">
        <f>IF(Construction!$F$31=Construction!$R$22,Oeko!CI427,Oeko!EV427)</f>
        <v>8.9014247080160143</v>
      </c>
      <c r="W427" s="1998">
        <f>IF(Construction!$F$31=Construction!$R$22,Oeko!CJ427,Oeko!EW427)</f>
        <v>8.9349330747649329</v>
      </c>
      <c r="X427" s="1979">
        <f>IF(Construction!$F$31=Construction!$R$22,Oeko!CK427,Oeko!EX427)</f>
        <v>8.0783956150164986</v>
      </c>
      <c r="Y427" s="1979">
        <f>IF(Construction!$F$31=Construction!$R$22,Oeko!CL427,Oeko!EY427)</f>
        <v>8.6285537463642257</v>
      </c>
      <c r="Z427" s="1979">
        <f>IF(Construction!$F$31=Construction!$R$22,Oeko!CM427,Oeko!EZ427)</f>
        <v>7.0365666833737013</v>
      </c>
      <c r="AA427" s="1979">
        <f>IF(Construction!$F$31=Construction!$R$22,Oeko!CN427,Oeko!FA427)</f>
        <v>7.0511885161368664</v>
      </c>
      <c r="AB427" s="1979">
        <f>IF(Construction!$F$31=Construction!$R$22,Oeko!CO427,Oeko!FB427)</f>
        <v>7.0779952095360006</v>
      </c>
      <c r="AC427" s="1998">
        <f>IF(Construction!$F$31=Construction!$R$22,Oeko!CP427,Oeko!FC427)</f>
        <v>7.0536769385522007</v>
      </c>
      <c r="AD427" s="1998">
        <f>IF(Construction!$F$31=Construction!$R$22,Oeko!CQ427,Oeko!FD427)</f>
        <v>7.4967278101830166</v>
      </c>
      <c r="AE427" s="1998">
        <f>IF(Construction!$F$31=Construction!$R$22,Oeko!CR427,Oeko!FE427)</f>
        <v>6.2260625263432283</v>
      </c>
      <c r="AF427" s="1998">
        <f>IF(Construction!$F$31=Construction!$R$22,Oeko!CS427,Oeko!FF427)</f>
        <v>6.2406843591063934</v>
      </c>
      <c r="AG427" s="1998">
        <f>IF(Construction!$F$31=Construction!$R$22,Oeko!CT427,Oeko!FG427)</f>
        <v>6.2674910525055276</v>
      </c>
      <c r="AH427" s="1979">
        <f>IF(Construction!$F$31=Construction!$R$22,Oeko!CU427,Oeko!FH427)</f>
        <v>12.207472584015994</v>
      </c>
      <c r="AI427" s="1979">
        <f>IF(Construction!$F$31=Construction!$R$22,Oeko!CV427,Oeko!FI427)</f>
        <v>12.304951469103756</v>
      </c>
      <c r="AJ427" s="1979">
        <f>IF(Construction!$F$31=Construction!$R$22,Oeko!CW427,Oeko!FJ427)</f>
        <v>12.394307113767537</v>
      </c>
      <c r="AK427" s="1979">
        <f>IF(Construction!$F$31=Construction!$R$22,Oeko!CX427,Oeko!FK427)</f>
        <v>12.491785998855303</v>
      </c>
      <c r="AL427" s="1979">
        <f>IF(Construction!$F$31=Construction!$R$22,Oeko!CY427,Oeko!FL427)</f>
        <v>12.727359971150729</v>
      </c>
      <c r="AM427" s="1998">
        <f>IF(Construction!$F$31=Construction!$R$22,Oeko!CZ427,Oeko!FM427)</f>
        <v>7.2712439372347131</v>
      </c>
      <c r="AN427" s="1998">
        <f>IF(Construction!$F$31=Construction!$R$22,Oeko!DA427,Oeko!FN427)</f>
        <v>7.4041775585993745</v>
      </c>
      <c r="AO427" s="1998">
        <f>IF(Construction!$F$31=Construction!$R$22,Oeko!DB427,Oeko!FO427)</f>
        <v>8.1468317382252575</v>
      </c>
      <c r="AP427" s="1998">
        <f>IF(Construction!$F$31=Construction!$R$22,Oeko!DC427,Oeko!FP427)</f>
        <v>8.8918068436865649</v>
      </c>
      <c r="AQ427" s="1998">
        <f>IF(Construction!$F$31=Construction!$R$22,Oeko!DD427,Oeko!FQ427)</f>
        <v>9.6367819491478723</v>
      </c>
      <c r="AR427" s="1979">
        <f>IF(Construction!$F$31=Construction!$R$22,Oeko!DE427,Oeko!FR427)</f>
        <v>89.204916290593289</v>
      </c>
      <c r="AS427" s="1979">
        <f>IF(Construction!$F$31=Construction!$R$22,Oeko!DF427,Oeko!FS427)</f>
        <v>89.793361697750626</v>
      </c>
      <c r="AT427" s="1979">
        <f>IF(Construction!$F$31=Construction!$R$22,Oeko!DG427,Oeko!FT427)</f>
        <v>90.332769987644852</v>
      </c>
      <c r="AU427" s="1979">
        <f>IF(Construction!$F$31=Construction!$R$22,Oeko!DH427,Oeko!FU427)</f>
        <v>90.921215394802189</v>
      </c>
      <c r="AV427" s="1979">
        <f>IF(Construction!$F$31=Construction!$R$22,Oeko!DI427,Oeko!FV427)</f>
        <v>92.343291795432421</v>
      </c>
      <c r="AW427" s="1998">
        <f>IF(Construction!$F$31=Construction!$R$22,Oeko!DJ427,Oeko!FW427)</f>
        <v>89.887446821368769</v>
      </c>
      <c r="AX427" s="1998">
        <f>IF(Construction!$F$31=Construction!$R$22,Oeko!DK427,Oeko!FX427)</f>
        <v>90.474725874237166</v>
      </c>
      <c r="AY427" s="1998">
        <f>IF(Construction!$F$31=Construction!$R$22,Oeko!DL427,Oeko!FY427)</f>
        <v>91.013065006033187</v>
      </c>
      <c r="AZ427" s="1998">
        <f>IF(Construction!$F$31=Construction!$R$22,Oeko!DM427,Oeko!FZ427)</f>
        <v>91.600344058901598</v>
      </c>
      <c r="BA427" s="1998">
        <f>IF(Construction!$F$31=Construction!$R$22,Oeko!DN427,Oeko!GA427)</f>
        <v>93.019601770000193</v>
      </c>
      <c r="BB427" s="1979">
        <f>IF(Construction!$F$31=Construction!$R$22,Oeko!DO427,Oeko!GB427)</f>
        <v>5.6287581938616791</v>
      </c>
      <c r="BC427" s="1979">
        <f>IF(Construction!$F$31=Construction!$R$22,Oeko!DP427,Oeko!GC427)</f>
        <v>5.7153101286988246</v>
      </c>
      <c r="BD427" s="1979">
        <f>IF(Construction!$F$31=Construction!$R$22,Oeko!DQ427,Oeko!GD427)</f>
        <v>5.8018620635359692</v>
      </c>
      <c r="BE427" s="1979">
        <f>IF(Construction!$F$31=Construction!$R$22,Oeko!DR427,Oeko!GE427)</f>
        <v>5.888413998373113</v>
      </c>
      <c r="BF427" s="1979">
        <f>IF(Construction!$F$31=Construction!$R$22,Oeko!DS427,Oeko!GF427)</f>
        <v>5.9749659332102585</v>
      </c>
      <c r="BG427" s="1998">
        <f>IF(Construction!$F$31=Construction!$R$22,Oeko!DT427,Oeko!GG427)</f>
        <v>6.2039319724685198</v>
      </c>
      <c r="BH427" s="1998">
        <f>IF(Construction!$F$31=Construction!$R$22,Oeko!DU427,Oeko!GH427)</f>
        <v>6.2901651881299525</v>
      </c>
      <c r="BI427" s="1998">
        <f>IF(Construction!$F$31=Construction!$R$22,Oeko!DV427,Oeko!GI427)</f>
        <v>6.3763984037913852</v>
      </c>
      <c r="BJ427" s="1998">
        <f>IF(Construction!$F$31=Construction!$R$22,Oeko!DW427,Oeko!GJ427)</f>
        <v>6.4626316194528162</v>
      </c>
      <c r="BK427" s="2026">
        <f>IF(Construction!$F$31=Construction!$R$22,Oeko!DX427,Oeko!GK427)</f>
        <v>6.5488648351142498</v>
      </c>
      <c r="BN427" s="2022"/>
      <c r="BO427" s="2">
        <v>4</v>
      </c>
      <c r="BP427" s="2" t="s">
        <v>4330</v>
      </c>
      <c r="BQ427" s="1979">
        <v>6.9609763373794475</v>
      </c>
      <c r="BR427" s="1979">
        <v>7.1317443432169405</v>
      </c>
      <c r="BS427" s="1979">
        <v>7.8692130593039451</v>
      </c>
      <c r="BT427" s="1979">
        <v>8.6079741090947621</v>
      </c>
      <c r="BU427" s="1979">
        <v>9.3467351588855827</v>
      </c>
      <c r="BV427" s="1998">
        <v>11.651445711385461</v>
      </c>
      <c r="BW427" s="1998">
        <v>12.137850784104407</v>
      </c>
      <c r="BX427" s="1998">
        <v>13.421467874382209</v>
      </c>
      <c r="BY427" s="1998">
        <v>14.711177394978</v>
      </c>
      <c r="BZ427" s="1998">
        <v>16.000886915573787</v>
      </c>
      <c r="CA427" s="1979">
        <v>8.1301187274652147</v>
      </c>
      <c r="CB427" s="1979">
        <v>8.6834393055594816</v>
      </c>
      <c r="CC427" s="1979">
        <v>7.0606123846434556</v>
      </c>
      <c r="CD427" s="1979">
        <v>7.0698960879851471</v>
      </c>
      <c r="CE427" s="1979">
        <v>7.0869162107782486</v>
      </c>
      <c r="CF427" s="1998">
        <v>10.185433581615555</v>
      </c>
      <c r="CG427" s="1998">
        <v>10.873131245800217</v>
      </c>
      <c r="CH427" s="1998">
        <v>8.8831474170620588</v>
      </c>
      <c r="CI427" s="1998">
        <v>8.9014247080160143</v>
      </c>
      <c r="CJ427" s="1998">
        <v>8.9349330747649329</v>
      </c>
      <c r="CK427" s="1979">
        <v>8.0783956150164986</v>
      </c>
      <c r="CL427" s="1979">
        <v>8.6285537463642257</v>
      </c>
      <c r="CM427" s="1979">
        <v>7.0365666833737013</v>
      </c>
      <c r="CN427" s="1979">
        <v>7.0511885161368664</v>
      </c>
      <c r="CO427" s="1979">
        <v>7.0779952095360006</v>
      </c>
      <c r="CP427" s="1998">
        <v>7.0536769385522007</v>
      </c>
      <c r="CQ427" s="1998">
        <v>7.4967278101830166</v>
      </c>
      <c r="CR427" s="1998">
        <v>6.2260625263432283</v>
      </c>
      <c r="CS427" s="1998">
        <v>6.2406843591063934</v>
      </c>
      <c r="CT427" s="1998">
        <v>6.2674910525055276</v>
      </c>
      <c r="CU427" s="1979">
        <v>12.207472584015994</v>
      </c>
      <c r="CV427" s="1979">
        <v>12.304951469103756</v>
      </c>
      <c r="CW427" s="1979">
        <v>12.394307113767537</v>
      </c>
      <c r="CX427" s="1979">
        <v>12.491785998855303</v>
      </c>
      <c r="CY427" s="1979">
        <v>12.727359971150729</v>
      </c>
      <c r="CZ427" s="1998">
        <v>7.2712439372347131</v>
      </c>
      <c r="DA427" s="1998">
        <v>7.4041775585993745</v>
      </c>
      <c r="DB427" s="1998">
        <v>8.1468317382252575</v>
      </c>
      <c r="DC427" s="1998">
        <v>8.8918068436865649</v>
      </c>
      <c r="DD427" s="1998">
        <v>9.6367819491478723</v>
      </c>
      <c r="DE427" s="1979">
        <v>89.204916290593289</v>
      </c>
      <c r="DF427" s="1979">
        <v>89.793361697750626</v>
      </c>
      <c r="DG427" s="1979">
        <v>90.332769987644852</v>
      </c>
      <c r="DH427" s="1979">
        <v>90.921215394802189</v>
      </c>
      <c r="DI427" s="1979">
        <v>92.343291795432421</v>
      </c>
      <c r="DJ427" s="1998">
        <v>89.887446821368769</v>
      </c>
      <c r="DK427" s="1998">
        <v>90.474725874237166</v>
      </c>
      <c r="DL427" s="1998">
        <v>91.013065006033187</v>
      </c>
      <c r="DM427" s="1998">
        <v>91.600344058901598</v>
      </c>
      <c r="DN427" s="1998">
        <v>93.019601770000193</v>
      </c>
      <c r="DO427" s="1979">
        <v>5.6287581938616791</v>
      </c>
      <c r="DP427" s="1979">
        <v>5.7153101286988246</v>
      </c>
      <c r="DQ427" s="1979">
        <v>5.8018620635359692</v>
      </c>
      <c r="DR427" s="1979">
        <v>5.888413998373113</v>
      </c>
      <c r="DS427" s="1979">
        <v>5.9749659332102585</v>
      </c>
      <c r="DT427" s="1998">
        <v>6.2039319724685198</v>
      </c>
      <c r="DU427" s="1998">
        <v>6.2901651881299525</v>
      </c>
      <c r="DV427" s="1998">
        <v>6.3763984037913852</v>
      </c>
      <c r="DW427" s="1998">
        <v>6.4626316194528162</v>
      </c>
      <c r="DX427" s="2026">
        <v>6.5488648351142498</v>
      </c>
      <c r="EA427" s="2022"/>
      <c r="EB427" s="2">
        <v>4</v>
      </c>
      <c r="EC427" s="2" t="s">
        <v>4330</v>
      </c>
      <c r="ED427" s="1979">
        <v>7.0757424169914795</v>
      </c>
      <c r="EE427" s="1979">
        <v>7.2540084108803935</v>
      </c>
      <c r="EF427" s="1979">
        <v>7.9989751150188182</v>
      </c>
      <c r="EG427" s="1979">
        <v>8.7452341528610553</v>
      </c>
      <c r="EH427" s="1979">
        <v>9.4914931907032969</v>
      </c>
      <c r="EI427" s="1998">
        <v>12.072082841070079</v>
      </c>
      <c r="EJ427" s="1998">
        <v>12.569092211176029</v>
      </c>
      <c r="EK427" s="1998">
        <v>13.86331359884084</v>
      </c>
      <c r="EL427" s="1998">
        <v>15.163627416823635</v>
      </c>
      <c r="EM427" s="1998">
        <v>16.463941234806434</v>
      </c>
      <c r="EN427" s="1979">
        <v>8.2733609032801851</v>
      </c>
      <c r="EO427" s="1979">
        <v>8.8338632277529534</v>
      </c>
      <c r="EP427" s="1979">
        <v>7.2110363068369274</v>
      </c>
      <c r="EQ427" s="1979">
        <v>7.220320010178618</v>
      </c>
      <c r="ER427" s="1979">
        <v>7.2373401329717195</v>
      </c>
      <c r="ES427" s="1998">
        <v>10.394868455008947</v>
      </c>
      <c r="ET427" s="1998">
        <v>11.091403033682781</v>
      </c>
      <c r="EU427" s="1998">
        <v>9.101419204944623</v>
      </c>
      <c r="EV427" s="1998">
        <v>9.1196964958985802</v>
      </c>
      <c r="EW427" s="1998">
        <v>9.1532048626474971</v>
      </c>
      <c r="EX427" s="1979">
        <v>8.2448830839925105</v>
      </c>
      <c r="EY427" s="1979">
        <v>8.8021107469315769</v>
      </c>
      <c r="EZ427" s="1979">
        <v>7.2101236839410507</v>
      </c>
      <c r="FA427" s="1979">
        <v>7.2247455167042158</v>
      </c>
      <c r="FB427" s="1979">
        <v>7.25155221010335</v>
      </c>
      <c r="FC427" s="1998">
        <v>7.1724450692866801</v>
      </c>
      <c r="FD427" s="1998">
        <v>7.6211515661905676</v>
      </c>
      <c r="FE427" s="1998">
        <v>6.3504862823507784</v>
      </c>
      <c r="FF427" s="1998">
        <v>6.3651081151139435</v>
      </c>
      <c r="FG427" s="1998">
        <v>6.3919148085130786</v>
      </c>
      <c r="FH427" s="1979">
        <v>12.612792395252711</v>
      </c>
      <c r="FI427" s="1979">
        <v>12.710271280340473</v>
      </c>
      <c r="FJ427" s="1979">
        <v>12.799626925004254</v>
      </c>
      <c r="FK427" s="1979">
        <v>12.897105810092018</v>
      </c>
      <c r="FL427" s="1979">
        <v>13.132679782387447</v>
      </c>
      <c r="FM427" s="1998">
        <v>7.4537051811635333</v>
      </c>
      <c r="FN427" s="1998">
        <v>7.5947182672040112</v>
      </c>
      <c r="FO427" s="1998">
        <v>8.3454519115057106</v>
      </c>
      <c r="FP427" s="1998">
        <v>9.0985064816428309</v>
      </c>
      <c r="FQ427" s="1998">
        <v>9.8515610517799548</v>
      </c>
      <c r="FR427" s="1979">
        <v>91.929083664737377</v>
      </c>
      <c r="FS427" s="1979">
        <v>92.517529071894714</v>
      </c>
      <c r="FT427" s="1979">
        <v>93.056937361788926</v>
      </c>
      <c r="FU427" s="1979">
        <v>93.645382768946263</v>
      </c>
      <c r="FV427" s="1979">
        <v>95.067459169576509</v>
      </c>
      <c r="FW427" s="1998">
        <v>92.548411667751608</v>
      </c>
      <c r="FX427" s="1998">
        <v>93.135690720620005</v>
      </c>
      <c r="FY427" s="1998">
        <v>93.674029852416012</v>
      </c>
      <c r="FZ427" s="1998">
        <v>94.261308905284423</v>
      </c>
      <c r="GA427" s="1998">
        <v>95.680566616383032</v>
      </c>
      <c r="GB427" s="1979">
        <v>5.7603601814276102</v>
      </c>
      <c r="GC427" s="1979">
        <v>5.8469121162647557</v>
      </c>
      <c r="GD427" s="1979">
        <v>5.9334640511019003</v>
      </c>
      <c r="GE427" s="1979">
        <v>6.020015985939045</v>
      </c>
      <c r="GF427" s="1979">
        <v>6.1065679207761896</v>
      </c>
      <c r="GG427" s="1998">
        <v>6.3350493483723547</v>
      </c>
      <c r="GH427" s="1998">
        <v>6.4212825640337874</v>
      </c>
      <c r="GI427" s="1998">
        <v>6.5075157796952192</v>
      </c>
      <c r="GJ427" s="1998">
        <v>6.5937489953566519</v>
      </c>
      <c r="GK427" s="2026">
        <v>6.6799822110180838</v>
      </c>
    </row>
    <row r="428" spans="1:193">
      <c r="A428" s="2020"/>
      <c r="B428" s="2">
        <v>5</v>
      </c>
      <c r="C428" s="2" t="s">
        <v>4331</v>
      </c>
      <c r="D428" s="1979">
        <f>IF(Construction!$F$31=Construction!$R$22,Oeko!BQ428,Oeko!ED428)</f>
        <v>7.116800221459429</v>
      </c>
      <c r="E428" s="1979">
        <f>IF(Construction!$F$31=Construction!$R$22,Oeko!BR428,Oeko!EE428)</f>
        <v>7.3207011548608687</v>
      </c>
      <c r="F428" s="1979">
        <f>IF(Construction!$F$31=Construction!$R$22,Oeko!BS428,Oeko!EF428)</f>
        <v>8.0913027985118173</v>
      </c>
      <c r="G428" s="1979">
        <f>IF(Construction!$F$31=Construction!$R$22,Oeko!BT428,Oeko!EG428)</f>
        <v>8.8631967758665784</v>
      </c>
      <c r="H428" s="1979">
        <f>IF(Construction!$F$31=Construction!$R$22,Oeko!BU428,Oeko!EH428)</f>
        <v>9.6350907532213448</v>
      </c>
      <c r="I428" s="1998">
        <f>IF(Construction!$F$31=Construction!$R$22,Oeko!BV428,Oeko!EI428)</f>
        <v>11.782456922166039</v>
      </c>
      <c r="J428" s="1998">
        <f>IF(Construction!$F$31=Construction!$R$22,Oeko!BW428,Oeko!EJ428)</f>
        <v>12.293853688818928</v>
      </c>
      <c r="K428" s="1998">
        <f>IF(Construction!$F$31=Construction!$R$22,Oeko!BX428,Oeko!EK428)</f>
        <v>13.602462473030679</v>
      </c>
      <c r="L428" s="1998">
        <f>IF(Construction!$F$31=Construction!$R$22,Oeko!BY428,Oeko!EL428)</f>
        <v>14.917163687560413</v>
      </c>
      <c r="M428" s="1998">
        <f>IF(Construction!$F$31=Construction!$R$22,Oeko!BZ428,Oeko!EM428)</f>
        <v>16.231864902090152</v>
      </c>
      <c r="N428" s="1979">
        <f>IF(Construction!$F$31=Construction!$R$22,Oeko!CA428,Oeko!EN428)</f>
        <v>8.3916886228079672</v>
      </c>
      <c r="O428" s="1979">
        <f>IF(Construction!$F$31=Construction!$R$22,Oeko!CB428,Oeko!EO428)</f>
        <v>8.9450092009022324</v>
      </c>
      <c r="P428" s="1979">
        <f>IF(Construction!$F$31=Construction!$R$22,Oeko!CC428,Oeko!EP428)</f>
        <v>7.3221822799862064</v>
      </c>
      <c r="Q428" s="1979">
        <f>IF(Construction!$F$31=Construction!$R$22,Oeko!CD428,Oeko!EQ428)</f>
        <v>7.3314659833278979</v>
      </c>
      <c r="R428" s="1979">
        <f>IF(Construction!$F$31=Construction!$R$22,Oeko!CE428,Oeko!ER428)</f>
        <v>7.3484861061209985</v>
      </c>
      <c r="S428" s="1998">
        <f>IF(Construction!$F$31=Construction!$R$22,Oeko!CF428,Oeko!ES428)</f>
        <v>10.406133180811</v>
      </c>
      <c r="T428" s="1998">
        <f>IF(Construction!$F$31=Construction!$R$22,Oeko!CG428,Oeko!ET428)</f>
        <v>11.093830844995663</v>
      </c>
      <c r="U428" s="1998">
        <f>IF(Construction!$F$31=Construction!$R$22,Oeko!CH428,Oeko!EU428)</f>
        <v>9.1038470162575056</v>
      </c>
      <c r="V428" s="1998">
        <f>IF(Construction!$F$31=Construction!$R$22,Oeko!CI428,Oeko!EV428)</f>
        <v>9.1221243072114593</v>
      </c>
      <c r="W428" s="1998">
        <f>IF(Construction!$F$31=Construction!$R$22,Oeko!CJ428,Oeko!EW428)</f>
        <v>9.1556326739603797</v>
      </c>
      <c r="X428" s="1979">
        <f>IF(Construction!$F$31=Construction!$R$22,Oeko!CK428,Oeko!EX428)</f>
        <v>8.3043499665737404</v>
      </c>
      <c r="Y428" s="1979">
        <f>IF(Construction!$F$31=Construction!$R$22,Oeko!CL428,Oeko!EY428)</f>
        <v>8.8545080979214692</v>
      </c>
      <c r="Z428" s="1979">
        <f>IF(Construction!$F$31=Construction!$R$22,Oeko!CM428,Oeko!EZ428)</f>
        <v>7.262521034930943</v>
      </c>
      <c r="AA428" s="1979">
        <f>IF(Construction!$F$31=Construction!$R$22,Oeko!CN428,Oeko!FA428)</f>
        <v>7.2771428676941081</v>
      </c>
      <c r="AB428" s="1979">
        <f>IF(Construction!$F$31=Construction!$R$22,Oeko!CO428,Oeko!FB428)</f>
        <v>7.3039495610932423</v>
      </c>
      <c r="AC428" s="1998">
        <f>IF(Construction!$F$31=Construction!$R$22,Oeko!CP428,Oeko!FC428)</f>
        <v>6.945309104550689</v>
      </c>
      <c r="AD428" s="1998">
        <f>IF(Construction!$F$31=Construction!$R$22,Oeko!CQ428,Oeko!FD428)</f>
        <v>7.3652386194430681</v>
      </c>
      <c r="AE428" s="1998">
        <f>IF(Construction!$F$31=Construction!$R$22,Oeko!CR428,Oeko!FE428)</f>
        <v>6.1785592385817552</v>
      </c>
      <c r="AF428" s="1998">
        <f>IF(Construction!$F$31=Construction!$R$22,Oeko!CS428,Oeko!FF428)</f>
        <v>6.1968365295357115</v>
      </c>
      <c r="AG428" s="1998">
        <f>IF(Construction!$F$31=Construction!$R$22,Oeko!CT428,Oeko!FG428)</f>
        <v>6.2303448962846293</v>
      </c>
      <c r="AH428" s="1979">
        <f>IF(Construction!$F$31=Construction!$R$22,Oeko!CU428,Oeko!FH428)</f>
        <v>12.471447425748977</v>
      </c>
      <c r="AI428" s="1979">
        <f>IF(Construction!$F$31=Construction!$R$22,Oeko!CV428,Oeko!FI428)</f>
        <v>12.568926310836742</v>
      </c>
      <c r="AJ428" s="1979">
        <f>IF(Construction!$F$31=Construction!$R$22,Oeko!CW428,Oeko!FJ428)</f>
        <v>12.658281955500524</v>
      </c>
      <c r="AK428" s="1979">
        <f>IF(Construction!$F$31=Construction!$R$22,Oeko!CX428,Oeko!FK428)</f>
        <v>12.755760840588287</v>
      </c>
      <c r="AL428" s="1979">
        <f>IF(Construction!$F$31=Construction!$R$22,Oeko!CY428,Oeko!FL428)</f>
        <v>12.991334812883716</v>
      </c>
      <c r="AM428" s="1998">
        <f>IF(Construction!$F$31=Construction!$R$22,Oeko!CZ428,Oeko!FM428)</f>
        <v>6.9304204938163609</v>
      </c>
      <c r="AN428" s="1998">
        <f>IF(Construction!$F$31=Construction!$R$22,Oeko!DA428,Oeko!FN428)</f>
        <v>7.0498830465696987</v>
      </c>
      <c r="AO428" s="1998">
        <f>IF(Construction!$F$31=Construction!$R$22,Oeko!DB428,Oeko!FO428)</f>
        <v>7.7373350216436467</v>
      </c>
      <c r="AP428" s="1998">
        <f>IF(Construction!$F$31=Construction!$R$22,Oeko!DC428,Oeko!FP428)</f>
        <v>8.4280362928871835</v>
      </c>
      <c r="AQ428" s="1998">
        <f>IF(Construction!$F$31=Construction!$R$22,Oeko!DD428,Oeko!FQ428)</f>
        <v>9.1187375641307238</v>
      </c>
      <c r="AR428" s="1979">
        <f>IF(Construction!$F$31=Construction!$R$22,Oeko!DE428,Oeko!FR428)</f>
        <v>92.133013631007358</v>
      </c>
      <c r="AS428" s="1979">
        <f>IF(Construction!$F$31=Construction!$R$22,Oeko!DF428,Oeko!FS428)</f>
        <v>92.721459038164696</v>
      </c>
      <c r="AT428" s="1979">
        <f>IF(Construction!$F$31=Construction!$R$22,Oeko!DG428,Oeko!FT428)</f>
        <v>93.260867328058922</v>
      </c>
      <c r="AU428" s="1979">
        <f>IF(Construction!$F$31=Construction!$R$22,Oeko!DH428,Oeko!FU428)</f>
        <v>93.849312735216259</v>
      </c>
      <c r="AV428" s="1979">
        <f>IF(Construction!$F$31=Construction!$R$22,Oeko!DI428,Oeko!FV428)</f>
        <v>95.271389135846491</v>
      </c>
      <c r="AW428" s="1998">
        <f>IF(Construction!$F$31=Construction!$R$22,Oeko!DJ428,Oeko!FW428)</f>
        <v>84.971589255962641</v>
      </c>
      <c r="AX428" s="1998">
        <f>IF(Construction!$F$31=Construction!$R$22,Oeko!DK428,Oeko!FX428)</f>
        <v>85.754627993120479</v>
      </c>
      <c r="AY428" s="1998">
        <f>IF(Construction!$F$31=Construction!$R$22,Oeko!DL428,Oeko!FY428)</f>
        <v>86.472413502181865</v>
      </c>
      <c r="AZ428" s="1998">
        <f>IF(Construction!$F$31=Construction!$R$22,Oeko!DM428,Oeko!FZ428)</f>
        <v>87.255452239339718</v>
      </c>
      <c r="BA428" s="1998">
        <f>IF(Construction!$F$31=Construction!$R$22,Oeko!DN428,Oeko!GA428)</f>
        <v>89.147795854137883</v>
      </c>
      <c r="BB428" s="1979">
        <f>IF(Construction!$F$31=Construction!$R$22,Oeko!DO428,Oeko!GB428)</f>
        <v>5.5327239294701451</v>
      </c>
      <c r="BC428" s="1979">
        <f>IF(Construction!$F$31=Construction!$R$22,Oeko!DP428,Oeko!GC428)</f>
        <v>5.6481265092530046</v>
      </c>
      <c r="BD428" s="1979">
        <f>IF(Construction!$F$31=Construction!$R$22,Oeko!DQ428,Oeko!GD428)</f>
        <v>5.7635290890358641</v>
      </c>
      <c r="BE428" s="1979">
        <f>IF(Construction!$F$31=Construction!$R$22,Oeko!DR428,Oeko!GE428)</f>
        <v>5.8789316688187236</v>
      </c>
      <c r="BF428" s="1979">
        <f>IF(Construction!$F$31=Construction!$R$22,Oeko!DS428,Oeko!GF428)</f>
        <v>5.9943342486015823</v>
      </c>
      <c r="BG428" s="1998">
        <f>IF(Construction!$F$31=Construction!$R$22,Oeko!DT428,Oeko!GG428)</f>
        <v>6.9092187281432365</v>
      </c>
      <c r="BH428" s="1998">
        <f>IF(Construction!$F$31=Construction!$R$22,Oeko!DU428,Oeko!GH428)</f>
        <v>6.9954519438046674</v>
      </c>
      <c r="BI428" s="1998">
        <f>IF(Construction!$F$31=Construction!$R$22,Oeko!DV428,Oeko!GI428)</f>
        <v>7.081685159466101</v>
      </c>
      <c r="BJ428" s="1998">
        <f>IF(Construction!$F$31=Construction!$R$22,Oeko!DW428,Oeko!GJ428)</f>
        <v>7.1679183751275328</v>
      </c>
      <c r="BK428" s="2026">
        <f>IF(Construction!$F$31=Construction!$R$22,Oeko!DX428,Oeko!GK428)</f>
        <v>7.2541515907889655</v>
      </c>
      <c r="BN428" s="2022"/>
      <c r="BO428" s="2">
        <v>5</v>
      </c>
      <c r="BP428" s="2" t="s">
        <v>4331</v>
      </c>
      <c r="BQ428" s="1979">
        <v>7.116800221459429</v>
      </c>
      <c r="BR428" s="1979">
        <v>7.3207011548608687</v>
      </c>
      <c r="BS428" s="1979">
        <v>8.0913027985118173</v>
      </c>
      <c r="BT428" s="1979">
        <v>8.8631967758665784</v>
      </c>
      <c r="BU428" s="1979">
        <v>9.6350907532213448</v>
      </c>
      <c r="BV428" s="1998">
        <v>11.782456922166039</v>
      </c>
      <c r="BW428" s="1998">
        <v>12.293853688818928</v>
      </c>
      <c r="BX428" s="1998">
        <v>13.602462473030679</v>
      </c>
      <c r="BY428" s="1998">
        <v>14.917163687560413</v>
      </c>
      <c r="BZ428" s="1998">
        <v>16.231864902090152</v>
      </c>
      <c r="CA428" s="1979">
        <v>8.3916886228079672</v>
      </c>
      <c r="CB428" s="1979">
        <v>8.9450092009022324</v>
      </c>
      <c r="CC428" s="1979">
        <v>7.3221822799862064</v>
      </c>
      <c r="CD428" s="1979">
        <v>7.3314659833278979</v>
      </c>
      <c r="CE428" s="1979">
        <v>7.3484861061209985</v>
      </c>
      <c r="CF428" s="1998">
        <v>10.406133180811</v>
      </c>
      <c r="CG428" s="1998">
        <v>11.093830844995663</v>
      </c>
      <c r="CH428" s="1998">
        <v>9.1038470162575056</v>
      </c>
      <c r="CI428" s="1998">
        <v>9.1221243072114593</v>
      </c>
      <c r="CJ428" s="1998">
        <v>9.1556326739603797</v>
      </c>
      <c r="CK428" s="1979">
        <v>8.3043499665737404</v>
      </c>
      <c r="CL428" s="1979">
        <v>8.8545080979214692</v>
      </c>
      <c r="CM428" s="1979">
        <v>7.262521034930943</v>
      </c>
      <c r="CN428" s="1979">
        <v>7.2771428676941081</v>
      </c>
      <c r="CO428" s="1979">
        <v>7.3039495610932423</v>
      </c>
      <c r="CP428" s="1998">
        <v>6.945309104550689</v>
      </c>
      <c r="CQ428" s="1998">
        <v>7.3652386194430681</v>
      </c>
      <c r="CR428" s="1998">
        <v>6.1785592385817552</v>
      </c>
      <c r="CS428" s="1998">
        <v>6.1968365295357115</v>
      </c>
      <c r="CT428" s="1998">
        <v>6.2303448962846293</v>
      </c>
      <c r="CU428" s="1979">
        <v>12.471447425748977</v>
      </c>
      <c r="CV428" s="1979">
        <v>12.568926310836742</v>
      </c>
      <c r="CW428" s="1979">
        <v>12.658281955500524</v>
      </c>
      <c r="CX428" s="1979">
        <v>12.755760840588287</v>
      </c>
      <c r="CY428" s="1979">
        <v>12.991334812883716</v>
      </c>
      <c r="CZ428" s="1998">
        <v>6.9304204938163609</v>
      </c>
      <c r="DA428" s="1998">
        <v>7.0498830465696987</v>
      </c>
      <c r="DB428" s="1998">
        <v>7.7373350216436467</v>
      </c>
      <c r="DC428" s="1998">
        <v>8.4280362928871835</v>
      </c>
      <c r="DD428" s="1998">
        <v>9.1187375641307238</v>
      </c>
      <c r="DE428" s="1979">
        <v>92.133013631007358</v>
      </c>
      <c r="DF428" s="1979">
        <v>92.721459038164696</v>
      </c>
      <c r="DG428" s="1979">
        <v>93.260867328058922</v>
      </c>
      <c r="DH428" s="1979">
        <v>93.849312735216259</v>
      </c>
      <c r="DI428" s="1979">
        <v>95.271389135846491</v>
      </c>
      <c r="DJ428" s="1998">
        <v>84.971589255962641</v>
      </c>
      <c r="DK428" s="1998">
        <v>85.754627993120479</v>
      </c>
      <c r="DL428" s="1998">
        <v>86.472413502181865</v>
      </c>
      <c r="DM428" s="1998">
        <v>87.255452239339718</v>
      </c>
      <c r="DN428" s="1998">
        <v>89.147795854137883</v>
      </c>
      <c r="DO428" s="1979">
        <v>5.5327239294701451</v>
      </c>
      <c r="DP428" s="1979">
        <v>5.6481265092530046</v>
      </c>
      <c r="DQ428" s="1979">
        <v>5.7635290890358641</v>
      </c>
      <c r="DR428" s="1979">
        <v>5.8789316688187236</v>
      </c>
      <c r="DS428" s="1979">
        <v>5.9943342486015823</v>
      </c>
      <c r="DT428" s="1998">
        <v>6.9092187281432365</v>
      </c>
      <c r="DU428" s="1998">
        <v>6.9954519438046674</v>
      </c>
      <c r="DV428" s="1998">
        <v>7.081685159466101</v>
      </c>
      <c r="DW428" s="1998">
        <v>7.1679183751275328</v>
      </c>
      <c r="DX428" s="2026">
        <v>7.2541515907889655</v>
      </c>
      <c r="EA428" s="2022"/>
      <c r="EB428" s="2">
        <v>5</v>
      </c>
      <c r="EC428" s="2" t="s">
        <v>4331</v>
      </c>
      <c r="ED428" s="1979">
        <v>7.2350809829705689</v>
      </c>
      <c r="EE428" s="1979">
        <v>7.4464799044234242</v>
      </c>
      <c r="EF428" s="1979">
        <v>8.224579536125793</v>
      </c>
      <c r="EG428" s="1979">
        <v>9.0039715015319732</v>
      </c>
      <c r="EH428" s="1979">
        <v>9.7833634669381588</v>
      </c>
      <c r="EI428" s="1998">
        <v>12.211930966339827</v>
      </c>
      <c r="EJ428" s="1998">
        <v>12.733932030379723</v>
      </c>
      <c r="EK428" s="1998">
        <v>14.053145111978484</v>
      </c>
      <c r="EL428" s="1998">
        <v>15.378450623895226</v>
      </c>
      <c r="EM428" s="1998">
        <v>16.703756135811968</v>
      </c>
      <c r="EN428" s="1979">
        <v>8.5391388531415888</v>
      </c>
      <c r="EO428" s="1979">
        <v>9.0996411776143571</v>
      </c>
      <c r="EP428" s="1979">
        <v>7.476814256698332</v>
      </c>
      <c r="EQ428" s="1979">
        <v>7.4860979600400226</v>
      </c>
      <c r="ER428" s="1979">
        <v>7.5031180828331241</v>
      </c>
      <c r="ES428" s="1998">
        <v>10.619544665724522</v>
      </c>
      <c r="ET428" s="1998">
        <v>11.316079244398354</v>
      </c>
      <c r="EU428" s="1998">
        <v>9.3260954156601965</v>
      </c>
      <c r="EV428" s="1998">
        <v>9.3443727066141538</v>
      </c>
      <c r="EW428" s="1998">
        <v>9.3778810733630706</v>
      </c>
      <c r="EX428" s="1979">
        <v>8.4746246846165398</v>
      </c>
      <c r="EY428" s="1979">
        <v>9.0318523475556063</v>
      </c>
      <c r="EZ428" s="1979">
        <v>7.4398652845650819</v>
      </c>
      <c r="FA428" s="1979">
        <v>7.454487117328247</v>
      </c>
      <c r="FB428" s="1979">
        <v>7.4812938107273812</v>
      </c>
      <c r="FC428" s="1998">
        <v>7.0743280560926092</v>
      </c>
      <c r="FD428" s="1998">
        <v>7.4995597196784916</v>
      </c>
      <c r="FE428" s="1998">
        <v>6.3128803388171786</v>
      </c>
      <c r="FF428" s="1998">
        <v>6.3311576297711349</v>
      </c>
      <c r="FG428" s="1998">
        <v>6.3646659965200518</v>
      </c>
      <c r="FH428" s="1979">
        <v>12.882069385679197</v>
      </c>
      <c r="FI428" s="1979">
        <v>12.979548270766962</v>
      </c>
      <c r="FJ428" s="1979">
        <v>13.068903915430743</v>
      </c>
      <c r="FK428" s="1979">
        <v>13.166382800518507</v>
      </c>
      <c r="FL428" s="1979">
        <v>13.401956772813936</v>
      </c>
      <c r="FM428" s="1998">
        <v>7.1557029005270021</v>
      </c>
      <c r="FN428" s="1998">
        <v>7.2827062869777661</v>
      </c>
      <c r="FO428" s="1998">
        <v>7.9776990957491414</v>
      </c>
      <c r="FP428" s="1998">
        <v>8.6759412006901062</v>
      </c>
      <c r="FQ428" s="1998">
        <v>9.3741833056310728</v>
      </c>
      <c r="FR428" s="1979">
        <v>94.92119538208955</v>
      </c>
      <c r="FS428" s="1979">
        <v>95.509640789246873</v>
      </c>
      <c r="FT428" s="1979">
        <v>96.049049079141099</v>
      </c>
      <c r="FU428" s="1979">
        <v>96.637494486298436</v>
      </c>
      <c r="FV428" s="1979">
        <v>98.059570886928668</v>
      </c>
      <c r="FW428" s="1998">
        <v>88.065231313139407</v>
      </c>
      <c r="FX428" s="1998">
        <v>88.848270050297259</v>
      </c>
      <c r="FY428" s="1998">
        <v>89.566055559358631</v>
      </c>
      <c r="FZ428" s="1998">
        <v>90.349094296516498</v>
      </c>
      <c r="GA428" s="1998">
        <v>92.241437911314648</v>
      </c>
      <c r="GB428" s="1979">
        <v>5.6804875646318926</v>
      </c>
      <c r="GC428" s="1979">
        <v>5.7958901444147521</v>
      </c>
      <c r="GD428" s="1979">
        <v>5.9112927241976116</v>
      </c>
      <c r="GE428" s="1979">
        <v>6.0266953039804712</v>
      </c>
      <c r="GF428" s="1979">
        <v>6.1420978837633298</v>
      </c>
      <c r="GG428" s="1998">
        <v>7.0403361040470713</v>
      </c>
      <c r="GH428" s="1998">
        <v>7.126569319708504</v>
      </c>
      <c r="GI428" s="1998">
        <v>7.2128025353699359</v>
      </c>
      <c r="GJ428" s="1998">
        <v>7.2990357510313686</v>
      </c>
      <c r="GK428" s="2026">
        <v>7.3852689666928004</v>
      </c>
    </row>
    <row r="429" spans="1:193">
      <c r="A429" s="2020"/>
      <c r="B429" s="2">
        <v>6</v>
      </c>
      <c r="C429" s="2" t="s">
        <v>4332</v>
      </c>
      <c r="D429" s="1979">
        <f>IF(Construction!$F$31=Construction!$R$22,Oeko!BQ429,Oeko!ED429)</f>
        <v>6.84846963386296</v>
      </c>
      <c r="E429" s="1979">
        <f>IF(Construction!$F$31=Construction!$R$22,Oeko!BR429,Oeko!EE429)</f>
        <v>7.0455930296101332</v>
      </c>
      <c r="F429" s="1979">
        <f>IF(Construction!$F$31=Construction!$R$22,Oeko!BS429,Oeko!EF429)</f>
        <v>7.7762219138358741</v>
      </c>
      <c r="G429" s="1979">
        <f>IF(Construction!$F$31=Construction!$R$22,Oeko!BT429,Oeko!EG429)</f>
        <v>8.5088816081676093</v>
      </c>
      <c r="H429" s="1979">
        <f>IF(Construction!$F$31=Construction!$R$22,Oeko!BU429,Oeko!EH429)</f>
        <v>9.2415413024993462</v>
      </c>
      <c r="I429" s="1998">
        <f>IF(Construction!$F$31=Construction!$R$22,Oeko!BV429,Oeko!EI429)</f>
        <v>10.883397554329337</v>
      </c>
      <c r="J429" s="1998">
        <f>IF(Construction!$F$31=Construction!$R$22,Oeko!BW429,Oeko!EJ429)</f>
        <v>11.336043161462248</v>
      </c>
      <c r="K429" s="1998">
        <f>IF(Construction!$F$31=Construction!$R$22,Oeko!BX429,Oeko!EK429)</f>
        <v>12.494613926283931</v>
      </c>
      <c r="L429" s="1998">
        <f>IF(Construction!$F$31=Construction!$R$22,Oeko!BY429,Oeko!EL429)</f>
        <v>13.661307931529594</v>
      </c>
      <c r="M429" s="1998">
        <f>IF(Construction!$F$31=Construction!$R$22,Oeko!BZ429,Oeko!EM429)</f>
        <v>14.828001936775257</v>
      </c>
      <c r="N429" s="1979">
        <f>IF(Construction!$F$31=Construction!$R$22,Oeko!CA429,Oeko!EN429)</f>
        <v>8.3637318555855682</v>
      </c>
      <c r="O429" s="1979">
        <f>IF(Construction!$F$31=Construction!$R$22,Oeko!CB429,Oeko!EO429)</f>
        <v>8.9097123204295343</v>
      </c>
      <c r="P429" s="1979">
        <f>IF(Construction!$F$31=Construction!$R$22,Oeko!CC429,Oeko!EP429)</f>
        <v>7.3135475909352481</v>
      </c>
      <c r="Q429" s="1979">
        <f>IF(Construction!$F$31=Construction!$R$22,Oeko!CD429,Oeko!EQ429)</f>
        <v>7.3239917571946513</v>
      </c>
      <c r="R429" s="1979">
        <f>IF(Construction!$F$31=Construction!$R$22,Oeko!CE429,Oeko!ER429)</f>
        <v>7.3431393953368902</v>
      </c>
      <c r="S429" s="1998">
        <f>IF(Construction!$F$31=Construction!$R$22,Oeko!CF429,Oeko!ES429)</f>
        <v>10.366623275883441</v>
      </c>
      <c r="T429" s="1998">
        <f>IF(Construction!$F$31=Construction!$R$22,Oeko!CG429,Oeko!ET429)</f>
        <v>11.031199583329668</v>
      </c>
      <c r="U429" s="1998">
        <f>IF(Construction!$F$31=Construction!$R$22,Oeko!CH429,Oeko!EU429)</f>
        <v>9.1252016575699848</v>
      </c>
      <c r="V429" s="1998">
        <f>IF(Construction!$F$31=Construction!$R$22,Oeko!CI429,Oeko!EV429)</f>
        <v>9.1471344067147342</v>
      </c>
      <c r="W429" s="1998">
        <f>IF(Construction!$F$31=Construction!$R$22,Oeko!CJ429,Oeko!EW429)</f>
        <v>9.1873444468134338</v>
      </c>
      <c r="X429" s="1979">
        <f>IF(Construction!$F$31=Construction!$R$22,Oeko!CK429,Oeko!EX429)</f>
        <v>8.0912050618382434</v>
      </c>
      <c r="Y429" s="1979">
        <f>IF(Construction!$F$31=Construction!$R$22,Oeko!CL429,Oeko!EY429)</f>
        <v>8.6228661077952236</v>
      </c>
      <c r="Z429" s="1979">
        <f>IF(Construction!$F$31=Construction!$R$22,Oeko!CM429,Oeko!EZ429)</f>
        <v>7.0980677671874775</v>
      </c>
      <c r="AA429" s="1979">
        <f>IF(Construction!$F$31=Construction!$R$22,Oeko!CN429,Oeko!FA429)</f>
        <v>7.1156139665032736</v>
      </c>
      <c r="AB429" s="1979">
        <f>IF(Construction!$F$31=Construction!$R$22,Oeko!CO429,Oeko!FB429)</f>
        <v>7.1477819985822366</v>
      </c>
      <c r="AC429" s="1998">
        <f>IF(Construction!$F$31=Construction!$R$22,Oeko!CP429,Oeko!FC429)</f>
        <v>6.8827035403072339</v>
      </c>
      <c r="AD429" s="1998">
        <f>IF(Construction!$F$31=Construction!$R$22,Oeko!CQ429,Oeko!FD429)</f>
        <v>7.2640974606355515</v>
      </c>
      <c r="AE429" s="1998">
        <f>IF(Construction!$F$31=Construction!$R$22,Oeko!CR429,Oeko!FE429)</f>
        <v>6.2173945847383658</v>
      </c>
      <c r="AF429" s="1998">
        <f>IF(Construction!$F$31=Construction!$R$22,Oeko!CS429,Oeko!FF429)</f>
        <v>6.2417643060103059</v>
      </c>
      <c r="AG429" s="1998">
        <f>IF(Construction!$F$31=Construction!$R$22,Oeko!CT429,Oeko!FG429)</f>
        <v>6.2864421283421974</v>
      </c>
      <c r="AH429" s="1979">
        <f>IF(Construction!$F$31=Construction!$R$22,Oeko!CU429,Oeko!FH429)</f>
        <v>12.823413881392961</v>
      </c>
      <c r="AI429" s="1979">
        <f>IF(Construction!$F$31=Construction!$R$22,Oeko!CV429,Oeko!FI429)</f>
        <v>12.920892766480724</v>
      </c>
      <c r="AJ429" s="1979">
        <f>IF(Construction!$F$31=Construction!$R$22,Oeko!CW429,Oeko!FJ429)</f>
        <v>13.010248411144508</v>
      </c>
      <c r="AK429" s="1979">
        <f>IF(Construction!$F$31=Construction!$R$22,Oeko!CX429,Oeko!FK429)</f>
        <v>13.107727296232268</v>
      </c>
      <c r="AL429" s="1979">
        <f>IF(Construction!$F$31=Construction!$R$22,Oeko!CY429,Oeko!FL429)</f>
        <v>13.343301268527696</v>
      </c>
      <c r="AM429" s="1998">
        <f>IF(Construction!$F$31=Construction!$R$22,Oeko!CZ429,Oeko!FM429)</f>
        <v>6.6321999808253036</v>
      </c>
      <c r="AN429" s="1998">
        <f>IF(Construction!$F$31=Construction!$R$22,Oeko!DA429,Oeko!FN429)</f>
        <v>6.7398753485437322</v>
      </c>
      <c r="AO429" s="1998">
        <f>IF(Construction!$F$31=Construction!$R$22,Oeko!DB429,Oeko!FO429)</f>
        <v>7.3790253946347342</v>
      </c>
      <c r="AP429" s="1998">
        <f>IF(Construction!$F$31=Construction!$R$22,Oeko!DC429,Oeko!FP429)</f>
        <v>8.0222370609377247</v>
      </c>
      <c r="AQ429" s="1998">
        <f>IF(Construction!$F$31=Construction!$R$22,Oeko!DD429,Oeko!FQ429)</f>
        <v>8.6654487272407188</v>
      </c>
      <c r="AR429" s="1979">
        <f>IF(Construction!$F$31=Construction!$R$22,Oeko!DE429,Oeko!FR429)</f>
        <v>86.906394352650864</v>
      </c>
      <c r="AS429" s="1979">
        <f>IF(Construction!$F$31=Construction!$R$22,Oeko!DF429,Oeko!FS429)</f>
        <v>87.690988228860661</v>
      </c>
      <c r="AT429" s="1979">
        <f>IF(Construction!$F$31=Construction!$R$22,Oeko!DG429,Oeko!FT429)</f>
        <v>88.410199282052957</v>
      </c>
      <c r="AU429" s="1979">
        <f>IF(Construction!$F$31=Construction!$R$22,Oeko!DH429,Oeko!FU429)</f>
        <v>89.194793158262726</v>
      </c>
      <c r="AV429" s="1979">
        <f>IF(Construction!$F$31=Construction!$R$22,Oeko!DI429,Oeko!FV429)</f>
        <v>91.090895025769726</v>
      </c>
      <c r="AW429" s="1998">
        <f>IF(Construction!$F$31=Construction!$R$22,Oeko!DJ429,Oeko!FW429)</f>
        <v>88.156839474493225</v>
      </c>
      <c r="AX429" s="1998">
        <f>IF(Construction!$F$31=Construction!$R$22,Oeko!DK429,Oeko!FX429)</f>
        <v>88.939878211651077</v>
      </c>
      <c r="AY429" s="1998">
        <f>IF(Construction!$F$31=Construction!$R$22,Oeko!DL429,Oeko!FY429)</f>
        <v>89.657663720712435</v>
      </c>
      <c r="AZ429" s="1998">
        <f>IF(Construction!$F$31=Construction!$R$22,Oeko!DM429,Oeko!FZ429)</f>
        <v>90.440702457870302</v>
      </c>
      <c r="BA429" s="1998">
        <f>IF(Construction!$F$31=Construction!$R$22,Oeko!DN429,Oeko!GA429)</f>
        <v>92.333046072668452</v>
      </c>
      <c r="BB429" s="1979">
        <f>IF(Construction!$F$31=Construction!$R$22,Oeko!DO429,Oeko!GB429)</f>
        <v>5.7496032762565674</v>
      </c>
      <c r="BC429" s="1979">
        <f>IF(Construction!$F$31=Construction!$R$22,Oeko!DP429,Oeko!GC429)</f>
        <v>5.865005856039426</v>
      </c>
      <c r="BD429" s="1979">
        <f>IF(Construction!$F$31=Construction!$R$22,Oeko!DQ429,Oeko!GD429)</f>
        <v>5.9804084358222855</v>
      </c>
      <c r="BE429" s="1979">
        <f>IF(Construction!$F$31=Construction!$R$22,Oeko!DR429,Oeko!GE429)</f>
        <v>6.0958110156051442</v>
      </c>
      <c r="BF429" s="1979">
        <f>IF(Construction!$F$31=Construction!$R$22,Oeko!DS429,Oeko!GF429)</f>
        <v>6.2112135953880037</v>
      </c>
      <c r="BG429" s="1998">
        <f>IF(Construction!$F$31=Construction!$R$22,Oeko!DT429,Oeko!GG429)</f>
        <v>7.3742482847460193</v>
      </c>
      <c r="BH429" s="1998">
        <f>IF(Construction!$F$31=Construction!$R$22,Oeko!DU429,Oeko!GH429)</f>
        <v>7.4604815004074512</v>
      </c>
      <c r="BI429" s="1998">
        <f>IF(Construction!$F$31=Construction!$R$22,Oeko!DV429,Oeko!GI429)</f>
        <v>7.5467147160688857</v>
      </c>
      <c r="BJ429" s="1998">
        <f>IF(Construction!$F$31=Construction!$R$22,Oeko!DW429,Oeko!GJ429)</f>
        <v>7.6329479317303175</v>
      </c>
      <c r="BK429" s="2026">
        <f>IF(Construction!$F$31=Construction!$R$22,Oeko!DX429,Oeko!GK429)</f>
        <v>7.7191811473917484</v>
      </c>
      <c r="BN429" s="2022"/>
      <c r="BO429" s="2">
        <v>6</v>
      </c>
      <c r="BP429" s="2" t="s">
        <v>4332</v>
      </c>
      <c r="BQ429" s="1979">
        <v>6.84846963386296</v>
      </c>
      <c r="BR429" s="1979">
        <v>7.0455930296101332</v>
      </c>
      <c r="BS429" s="1979">
        <v>7.7762219138358741</v>
      </c>
      <c r="BT429" s="1979">
        <v>8.5088816081676093</v>
      </c>
      <c r="BU429" s="1979">
        <v>9.2415413024993462</v>
      </c>
      <c r="BV429" s="1998">
        <v>10.883397554329337</v>
      </c>
      <c r="BW429" s="1998">
        <v>11.336043161462248</v>
      </c>
      <c r="BX429" s="1998">
        <v>12.494613926283931</v>
      </c>
      <c r="BY429" s="1998">
        <v>13.661307931529594</v>
      </c>
      <c r="BZ429" s="1998">
        <v>14.828001936775257</v>
      </c>
      <c r="CA429" s="1979">
        <v>8.3637318555855682</v>
      </c>
      <c r="CB429" s="1979">
        <v>8.9097123204295343</v>
      </c>
      <c r="CC429" s="1979">
        <v>7.3135475909352481</v>
      </c>
      <c r="CD429" s="1979">
        <v>7.3239917571946513</v>
      </c>
      <c r="CE429" s="1979">
        <v>7.3431393953368902</v>
      </c>
      <c r="CF429" s="1998">
        <v>10.366623275883441</v>
      </c>
      <c r="CG429" s="1998">
        <v>11.031199583329668</v>
      </c>
      <c r="CH429" s="1998">
        <v>9.1252016575699848</v>
      </c>
      <c r="CI429" s="1998">
        <v>9.1471344067147342</v>
      </c>
      <c r="CJ429" s="1998">
        <v>9.1873444468134338</v>
      </c>
      <c r="CK429" s="1979">
        <v>8.0912050618382434</v>
      </c>
      <c r="CL429" s="1979">
        <v>8.6228661077952236</v>
      </c>
      <c r="CM429" s="1979">
        <v>7.0980677671874775</v>
      </c>
      <c r="CN429" s="1979">
        <v>7.1156139665032736</v>
      </c>
      <c r="CO429" s="1979">
        <v>7.1477819985822366</v>
      </c>
      <c r="CP429" s="1998">
        <v>6.8827035403072339</v>
      </c>
      <c r="CQ429" s="1998">
        <v>7.2640974606355515</v>
      </c>
      <c r="CR429" s="1998">
        <v>6.2173945847383658</v>
      </c>
      <c r="CS429" s="1998">
        <v>6.2417643060103059</v>
      </c>
      <c r="CT429" s="1998">
        <v>6.2864421283421974</v>
      </c>
      <c r="CU429" s="1979">
        <v>12.823413881392961</v>
      </c>
      <c r="CV429" s="1979">
        <v>12.920892766480724</v>
      </c>
      <c r="CW429" s="1979">
        <v>13.010248411144508</v>
      </c>
      <c r="CX429" s="1979">
        <v>13.107727296232268</v>
      </c>
      <c r="CY429" s="1979">
        <v>13.343301268527696</v>
      </c>
      <c r="CZ429" s="1998">
        <v>6.6321999808253036</v>
      </c>
      <c r="DA429" s="1998">
        <v>6.7398753485437322</v>
      </c>
      <c r="DB429" s="1998">
        <v>7.3790253946347342</v>
      </c>
      <c r="DC429" s="1998">
        <v>8.0222370609377247</v>
      </c>
      <c r="DD429" s="1998">
        <v>8.6654487272407188</v>
      </c>
      <c r="DE429" s="1979">
        <v>86.906394352650864</v>
      </c>
      <c r="DF429" s="1979">
        <v>87.690988228860661</v>
      </c>
      <c r="DG429" s="1979">
        <v>88.410199282052957</v>
      </c>
      <c r="DH429" s="1979">
        <v>89.194793158262726</v>
      </c>
      <c r="DI429" s="1979">
        <v>91.090895025769726</v>
      </c>
      <c r="DJ429" s="1998">
        <v>88.156839474493225</v>
      </c>
      <c r="DK429" s="1998">
        <v>88.939878211651077</v>
      </c>
      <c r="DL429" s="1998">
        <v>89.657663720712435</v>
      </c>
      <c r="DM429" s="1998">
        <v>90.440702457870302</v>
      </c>
      <c r="DN429" s="1998">
        <v>92.333046072668452</v>
      </c>
      <c r="DO429" s="1979">
        <v>5.7496032762565674</v>
      </c>
      <c r="DP429" s="1979">
        <v>5.865005856039426</v>
      </c>
      <c r="DQ429" s="1979">
        <v>5.9804084358222855</v>
      </c>
      <c r="DR429" s="1979">
        <v>6.0958110156051442</v>
      </c>
      <c r="DS429" s="1979">
        <v>6.2112135953880037</v>
      </c>
      <c r="DT429" s="1998">
        <v>7.3742482847460193</v>
      </c>
      <c r="DU429" s="1998">
        <v>7.4604815004074512</v>
      </c>
      <c r="DV429" s="1998">
        <v>7.5467147160688857</v>
      </c>
      <c r="DW429" s="1998">
        <v>7.6329479317303175</v>
      </c>
      <c r="DX429" s="2026">
        <v>7.7191811473917484</v>
      </c>
      <c r="EA429" s="2022"/>
      <c r="EB429" s="2">
        <v>6</v>
      </c>
      <c r="EC429" s="2" t="s">
        <v>4332</v>
      </c>
      <c r="ED429" s="1979">
        <v>6.9966352334647537</v>
      </c>
      <c r="EE429" s="1979">
        <v>7.2008281608032654</v>
      </c>
      <c r="EF429" s="1979">
        <v>7.9385265766203448</v>
      </c>
      <c r="EG429" s="1979">
        <v>8.6782558025434184</v>
      </c>
      <c r="EH429" s="1979">
        <v>9.417985028466493</v>
      </c>
      <c r="EI429" s="1998">
        <v>11.40868517438876</v>
      </c>
      <c r="EJ429" s="1998">
        <v>11.870756823643456</v>
      </c>
      <c r="EK429" s="1998">
        <v>13.038753630586925</v>
      </c>
      <c r="EL429" s="1998">
        <v>14.214873677954371</v>
      </c>
      <c r="EM429" s="1998">
        <v>15.390993725321819</v>
      </c>
      <c r="EN429" s="1979">
        <v>8.5195861719435868</v>
      </c>
      <c r="EO429" s="1979">
        <v>9.0726361683788923</v>
      </c>
      <c r="EP429" s="1979">
        <v>7.4764714388846061</v>
      </c>
      <c r="EQ429" s="1979">
        <v>7.4869156051440102</v>
      </c>
      <c r="ER429" s="1979">
        <v>7.5060632432862491</v>
      </c>
      <c r="ES429" s="1998">
        <v>10.604424644787079</v>
      </c>
      <c r="ET429" s="1998">
        <v>11.277484390142909</v>
      </c>
      <c r="EU429" s="1998">
        <v>9.3714864643832261</v>
      </c>
      <c r="EV429" s="1998">
        <v>9.3934192135279719</v>
      </c>
      <c r="EW429" s="1998">
        <v>9.433629253626675</v>
      </c>
      <c r="EX429" s="1979">
        <v>8.2768711600884703</v>
      </c>
      <c r="EY429" s="1979">
        <v>8.8153189563731349</v>
      </c>
      <c r="EZ429" s="1979">
        <v>7.2905206157653897</v>
      </c>
      <c r="FA429" s="1979">
        <v>7.3080668150811858</v>
      </c>
      <c r="FB429" s="1979">
        <v>7.3402348471601488</v>
      </c>
      <c r="FC429" s="1998">
        <v>7.0288071931948881</v>
      </c>
      <c r="FD429" s="1998">
        <v>7.4149141345840972</v>
      </c>
      <c r="FE429" s="1998">
        <v>6.3682112586869115</v>
      </c>
      <c r="FF429" s="1998">
        <v>6.3925809799588516</v>
      </c>
      <c r="FG429" s="1998">
        <v>6.4372588022907431</v>
      </c>
      <c r="FH429" s="1979">
        <v>13.241105372914518</v>
      </c>
      <c r="FI429" s="1979">
        <v>13.33858425800228</v>
      </c>
      <c r="FJ429" s="1979">
        <v>13.427939902666065</v>
      </c>
      <c r="FK429" s="1979">
        <v>13.525418787753825</v>
      </c>
      <c r="FL429" s="1979">
        <v>13.760992760049255</v>
      </c>
      <c r="FM429" s="1998">
        <v>6.8949509049700364</v>
      </c>
      <c r="FN429" s="1998">
        <v>7.0096958042798017</v>
      </c>
      <c r="FO429" s="1998">
        <v>7.6559153819621431</v>
      </c>
      <c r="FP429" s="1998">
        <v>8.3061965798564721</v>
      </c>
      <c r="FQ429" s="1998">
        <v>8.956477777750802</v>
      </c>
      <c r="FR429" s="1979">
        <v>90.168756673644978</v>
      </c>
      <c r="FS429" s="1979">
        <v>90.95335054985479</v>
      </c>
      <c r="FT429" s="1979">
        <v>91.672561603047086</v>
      </c>
      <c r="FU429" s="1979">
        <v>92.457155479256855</v>
      </c>
      <c r="FV429" s="1979">
        <v>94.35325734676384</v>
      </c>
      <c r="FW429" s="1998">
        <v>91.25048153166999</v>
      </c>
      <c r="FX429" s="1998">
        <v>92.033520268827857</v>
      </c>
      <c r="FY429" s="1998">
        <v>92.751305777889215</v>
      </c>
      <c r="FZ429" s="1998">
        <v>93.534344515047081</v>
      </c>
      <c r="GA429" s="1998">
        <v>95.426688129845232</v>
      </c>
      <c r="GB429" s="1979">
        <v>5.8973669114183149</v>
      </c>
      <c r="GC429" s="1979">
        <v>6.0127694912011735</v>
      </c>
      <c r="GD429" s="1979">
        <v>6.128172070984033</v>
      </c>
      <c r="GE429" s="1979">
        <v>6.2435746507668917</v>
      </c>
      <c r="GF429" s="1979">
        <v>6.3589772305497512</v>
      </c>
      <c r="GG429" s="1998">
        <v>7.5053656606498542</v>
      </c>
      <c r="GH429" s="1998">
        <v>7.591598876311286</v>
      </c>
      <c r="GI429" s="1998">
        <v>7.6778320919727205</v>
      </c>
      <c r="GJ429" s="1998">
        <v>7.7640653076341524</v>
      </c>
      <c r="GK429" s="2026">
        <v>7.8502985232955833</v>
      </c>
    </row>
    <row r="430" spans="1:193">
      <c r="A430" s="2020"/>
      <c r="B430" s="2">
        <v>7</v>
      </c>
      <c r="C430" s="2" t="s">
        <v>4333</v>
      </c>
      <c r="D430" s="1979">
        <f>IF(Construction!$F$31=Construction!$R$22,Oeko!BQ430,Oeko!ED430)</f>
        <v>6.8579458828173667</v>
      </c>
      <c r="E430" s="1979">
        <f>IF(Construction!$F$31=Construction!$R$22,Oeko!BR430,Oeko!EE430)</f>
        <v>7.0602849364290163</v>
      </c>
      <c r="F430" s="1979">
        <f>IF(Construction!$F$31=Construction!$R$22,Oeko!BS430,Oeko!EF430)</f>
        <v>7.7961294785192328</v>
      </c>
      <c r="G430" s="1979">
        <f>IF(Construction!$F$31=Construction!$R$22,Oeko!BT430,Oeko!EG430)</f>
        <v>8.5340048307154461</v>
      </c>
      <c r="H430" s="1979">
        <f>IF(Construction!$F$31=Construction!$R$22,Oeko!BU430,Oeko!EH430)</f>
        <v>9.2718801829116568</v>
      </c>
      <c r="I430" s="1998">
        <f>IF(Construction!$F$31=Construction!$R$22,Oeko!BV430,Oeko!EI430)</f>
        <v>11.124246446875448</v>
      </c>
      <c r="J430" s="1998">
        <f>IF(Construction!$F$31=Construction!$R$22,Oeko!BW430,Oeko!EJ430)</f>
        <v>11.622836380230362</v>
      </c>
      <c r="K430" s="1998">
        <f>IF(Construction!$F$31=Construction!$R$22,Oeko!BX430,Oeko!EK430)</f>
        <v>12.827351471274048</v>
      </c>
      <c r="L430" s="1998">
        <f>IF(Construction!$F$31=Construction!$R$22,Oeko!BY430,Oeko!EL430)</f>
        <v>14.039989802741713</v>
      </c>
      <c r="M430" s="1998">
        <f>IF(Construction!$F$31=Construction!$R$22,Oeko!BZ430,Oeko!EM430)</f>
        <v>15.252628134209379</v>
      </c>
      <c r="N430" s="1979">
        <f>IF(Construction!$F$31=Construction!$R$22,Oeko!CA430,Oeko!EN430)</f>
        <v>8.2966767614761192</v>
      </c>
      <c r="O430" s="1979">
        <f>IF(Construction!$F$31=Construction!$R$22,Oeko!CB430,Oeko!EO430)</f>
        <v>8.8206368865691953</v>
      </c>
      <c r="P430" s="1979">
        <f>IF(Construction!$F$31=Construction!$R$22,Oeko!CC430,Oeko!EP430)</f>
        <v>7.3044587313401221</v>
      </c>
      <c r="Q430" s="1979">
        <f>IF(Construction!$F$31=Construction!$R$22,Oeko!CD430,Oeko!EQ430)</f>
        <v>7.318384286352658</v>
      </c>
      <c r="R430" s="1979">
        <f>IF(Construction!$F$31=Construction!$R$22,Oeko!CE430,Oeko!ER430)</f>
        <v>7.3439144705423107</v>
      </c>
      <c r="S430" s="1998">
        <f>IF(Construction!$F$31=Construction!$R$22,Oeko!CF430,Oeko!ES430)</f>
        <v>10.095854635929802</v>
      </c>
      <c r="T430" s="1998">
        <f>IF(Construction!$F$31=Construction!$R$22,Oeko!CG430,Oeko!ET430)</f>
        <v>10.725748908268372</v>
      </c>
      <c r="U430" s="1998">
        <f>IF(Construction!$F$31=Construction!$R$22,Oeko!CH430,Oeko!EU430)</f>
        <v>8.9457298369764011</v>
      </c>
      <c r="V430" s="1998">
        <f>IF(Construction!$F$31=Construction!$R$22,Oeko!CI430,Oeko!EV430)</f>
        <v>8.973145773407337</v>
      </c>
      <c r="W430" s="1998">
        <f>IF(Construction!$F$31=Construction!$R$22,Oeko!CJ430,Oeko!EW430)</f>
        <v>9.0234083235307132</v>
      </c>
      <c r="X430" s="1979">
        <f>IF(Construction!$F$31=Construction!$R$22,Oeko!CK430,Oeko!EX430)</f>
        <v>8.0236527610728796</v>
      </c>
      <c r="Y430" s="1979">
        <f>IF(Construction!$F$31=Construction!$R$22,Oeko!CL430,Oeko!EY430)</f>
        <v>8.527568178943735</v>
      </c>
      <c r="Z430" s="1979">
        <f>IF(Construction!$F$31=Construction!$R$22,Oeko!CM430,Oeko!EZ430)</f>
        <v>7.1035529219101603</v>
      </c>
      <c r="AA430" s="1979">
        <f>IF(Construction!$F$31=Construction!$R$22,Oeko!CN430,Oeko!FA430)</f>
        <v>7.1254856710549053</v>
      </c>
      <c r="AB430" s="1979">
        <f>IF(Construction!$F$31=Construction!$R$22,Oeko!CO430,Oeko!FB430)</f>
        <v>7.1656957111536084</v>
      </c>
      <c r="AC430" s="1998">
        <f>IF(Construction!$F$31=Construction!$R$22,Oeko!CP430,Oeko!FC430)</f>
        <v>7.1856245588107877</v>
      </c>
      <c r="AD430" s="1998">
        <f>IF(Construction!$F$31=Construction!$R$22,Oeko!CQ430,Oeko!FD430)</f>
        <v>7.5670184791391053</v>
      </c>
      <c r="AE430" s="1998">
        <f>IF(Construction!$F$31=Construction!$R$22,Oeko!CR430,Oeko!FE430)</f>
        <v>6.5203156032419169</v>
      </c>
      <c r="AF430" s="1998">
        <f>IF(Construction!$F$31=Construction!$R$22,Oeko!CS430,Oeko!FF430)</f>
        <v>6.5446853245138596</v>
      </c>
      <c r="AG430" s="1998">
        <f>IF(Construction!$F$31=Construction!$R$22,Oeko!CT430,Oeko!FG430)</f>
        <v>6.5893631468457503</v>
      </c>
      <c r="AH430" s="1979">
        <f>IF(Construction!$F$31=Construction!$R$22,Oeko!CU430,Oeko!FH430)</f>
        <v>13.195602012283567</v>
      </c>
      <c r="AI430" s="1979">
        <f>IF(Construction!$F$31=Construction!$R$22,Oeko!CV430,Oeko!FI430)</f>
        <v>13.293080897371331</v>
      </c>
      <c r="AJ430" s="1979">
        <f>IF(Construction!$F$31=Construction!$R$22,Oeko!CW430,Oeko!FJ430)</f>
        <v>13.382436542035112</v>
      </c>
      <c r="AK430" s="1979">
        <f>IF(Construction!$F$31=Construction!$R$22,Oeko!CX430,Oeko!FK430)</f>
        <v>13.479915427122876</v>
      </c>
      <c r="AL430" s="1979">
        <f>IF(Construction!$F$31=Construction!$R$22,Oeko!CY430,Oeko!FL430)</f>
        <v>13.715489399418303</v>
      </c>
      <c r="AM430" s="1998">
        <f>IF(Construction!$F$31=Construction!$R$22,Oeko!CZ430,Oeko!FM430)</f>
        <v>6.785046393402645</v>
      </c>
      <c r="AN430" s="1998">
        <f>IF(Construction!$F$31=Construction!$R$22,Oeko!DA430,Oeko!FN430)</f>
        <v>6.9218787373773445</v>
      </c>
      <c r="AO430" s="1998">
        <f>IF(Construction!$F$31=Construction!$R$22,Oeko!DB430,Oeko!FO430)</f>
        <v>7.5901857597246147</v>
      </c>
      <c r="AP430" s="1998">
        <f>IF(Construction!$F$31=Construction!$R$22,Oeko!DC430,Oeko!FP430)</f>
        <v>8.2625544022838771</v>
      </c>
      <c r="AQ430" s="1998">
        <f>IF(Construction!$F$31=Construction!$R$22,Oeko!DD430,Oeko!FQ430)</f>
        <v>8.9349230448431403</v>
      </c>
      <c r="AR430" s="1979">
        <f>IF(Construction!$F$31=Construction!$R$22,Oeko!DE430,Oeko!FR430)</f>
        <v>94.714653927088378</v>
      </c>
      <c r="AS430" s="1979">
        <f>IF(Construction!$F$31=Construction!$R$22,Oeko!DF430,Oeko!FS430)</f>
        <v>95.499247803298147</v>
      </c>
      <c r="AT430" s="1979">
        <f>IF(Construction!$F$31=Construction!$R$22,Oeko!DG430,Oeko!FT430)</f>
        <v>96.218458856490457</v>
      </c>
      <c r="AU430" s="1979">
        <f>IF(Construction!$F$31=Construction!$R$22,Oeko!DH430,Oeko!FU430)</f>
        <v>97.00305273270024</v>
      </c>
      <c r="AV430" s="1979">
        <f>IF(Construction!$F$31=Construction!$R$22,Oeko!DI430,Oeko!FV430)</f>
        <v>98.899154600207211</v>
      </c>
      <c r="AW430" s="1998">
        <f>IF(Construction!$F$31=Construction!$R$22,Oeko!DJ430,Oeko!FW430)</f>
        <v>72.590769446833775</v>
      </c>
      <c r="AX430" s="1998">
        <f>IF(Construction!$F$31=Construction!$R$22,Oeko!DK430,Oeko!FX430)</f>
        <v>73.765327552570554</v>
      </c>
      <c r="AY430" s="1998">
        <f>IF(Construction!$F$31=Construction!$R$22,Oeko!DL430,Oeko!FY430)</f>
        <v>74.842005816162597</v>
      </c>
      <c r="AZ430" s="1998">
        <f>IF(Construction!$F$31=Construction!$R$22,Oeko!DM430,Oeko!FZ430)</f>
        <v>76.01656392189939</v>
      </c>
      <c r="BA430" s="1998">
        <f>IF(Construction!$F$31=Construction!$R$22,Oeko!DN430,Oeko!GA430)</f>
        <v>78.855079344096623</v>
      </c>
      <c r="BB430" s="1979">
        <f>IF(Construction!$F$31=Construction!$R$22,Oeko!DO430,Oeko!GB430)</f>
        <v>6.400241316615829</v>
      </c>
      <c r="BC430" s="1979">
        <f>IF(Construction!$F$31=Construction!$R$22,Oeko!DP430,Oeko!GC430)</f>
        <v>6.5156438963986876</v>
      </c>
      <c r="BD430" s="1979">
        <f>IF(Construction!$F$31=Construction!$R$22,Oeko!DQ430,Oeko!GD430)</f>
        <v>6.631046476181548</v>
      </c>
      <c r="BE430" s="1979">
        <f>IF(Construction!$F$31=Construction!$R$22,Oeko!DR430,Oeko!GE430)</f>
        <v>6.7464490559644075</v>
      </c>
      <c r="BF430" s="1979">
        <f>IF(Construction!$F$31=Construction!$R$22,Oeko!DS430,Oeko!GF430)</f>
        <v>6.861851635747267</v>
      </c>
      <c r="BG430" s="1998">
        <f>IF(Construction!$F$31=Construction!$R$22,Oeko!DT430,Oeko!GG430)</f>
        <v>7.4476693142432655</v>
      </c>
      <c r="BH430" s="1998">
        <f>IF(Construction!$F$31=Construction!$R$22,Oeko!DU430,Oeko!GH430)</f>
        <v>7.5626469351251737</v>
      </c>
      <c r="BI430" s="1998">
        <f>IF(Construction!$F$31=Construction!$R$22,Oeko!DV430,Oeko!GI430)</f>
        <v>7.6776245560070846</v>
      </c>
      <c r="BJ430" s="1998">
        <f>IF(Construction!$F$31=Construction!$R$22,Oeko!DW430,Oeko!GJ430)</f>
        <v>7.7926021768889955</v>
      </c>
      <c r="BK430" s="2026">
        <f>IF(Construction!$F$31=Construction!$R$22,Oeko!DX430,Oeko!GK430)</f>
        <v>7.9075797977709046</v>
      </c>
      <c r="BN430" s="2022"/>
      <c r="BO430" s="2">
        <v>7</v>
      </c>
      <c r="BP430" s="2" t="s">
        <v>4333</v>
      </c>
      <c r="BQ430" s="1979">
        <v>6.8579458828173667</v>
      </c>
      <c r="BR430" s="1979">
        <v>7.0602849364290163</v>
      </c>
      <c r="BS430" s="1979">
        <v>7.7961294785192328</v>
      </c>
      <c r="BT430" s="1979">
        <v>8.5340048307154461</v>
      </c>
      <c r="BU430" s="1979">
        <v>9.2718801829116568</v>
      </c>
      <c r="BV430" s="1998">
        <v>11.124246446875448</v>
      </c>
      <c r="BW430" s="1998">
        <v>11.622836380230362</v>
      </c>
      <c r="BX430" s="1998">
        <v>12.827351471274048</v>
      </c>
      <c r="BY430" s="1998">
        <v>14.039989802741713</v>
      </c>
      <c r="BZ430" s="1998">
        <v>15.252628134209379</v>
      </c>
      <c r="CA430" s="1979">
        <v>8.2966767614761192</v>
      </c>
      <c r="CB430" s="1979">
        <v>8.8206368865691953</v>
      </c>
      <c r="CC430" s="1979">
        <v>7.3044587313401221</v>
      </c>
      <c r="CD430" s="1979">
        <v>7.318384286352658</v>
      </c>
      <c r="CE430" s="1979">
        <v>7.3439144705423107</v>
      </c>
      <c r="CF430" s="1998">
        <v>10.095854635929802</v>
      </c>
      <c r="CG430" s="1998">
        <v>10.725748908268372</v>
      </c>
      <c r="CH430" s="1998">
        <v>8.9457298369764011</v>
      </c>
      <c r="CI430" s="1998">
        <v>8.973145773407337</v>
      </c>
      <c r="CJ430" s="1998">
        <v>9.0234083235307132</v>
      </c>
      <c r="CK430" s="1979">
        <v>8.0236527610728796</v>
      </c>
      <c r="CL430" s="1979">
        <v>8.527568178943735</v>
      </c>
      <c r="CM430" s="1979">
        <v>7.1035529219101603</v>
      </c>
      <c r="CN430" s="1979">
        <v>7.1254856710549053</v>
      </c>
      <c r="CO430" s="1979">
        <v>7.1656957111536084</v>
      </c>
      <c r="CP430" s="1998">
        <v>7.1856245588107877</v>
      </c>
      <c r="CQ430" s="1998">
        <v>7.5670184791391053</v>
      </c>
      <c r="CR430" s="1998">
        <v>6.5203156032419169</v>
      </c>
      <c r="CS430" s="1998">
        <v>6.5446853245138596</v>
      </c>
      <c r="CT430" s="1998">
        <v>6.5893631468457503</v>
      </c>
      <c r="CU430" s="1979">
        <v>13.195602012283567</v>
      </c>
      <c r="CV430" s="1979">
        <v>13.293080897371331</v>
      </c>
      <c r="CW430" s="1979">
        <v>13.382436542035112</v>
      </c>
      <c r="CX430" s="1979">
        <v>13.479915427122876</v>
      </c>
      <c r="CY430" s="1979">
        <v>13.715489399418303</v>
      </c>
      <c r="CZ430" s="1998">
        <v>6.785046393402645</v>
      </c>
      <c r="DA430" s="1998">
        <v>6.9218787373773445</v>
      </c>
      <c r="DB430" s="1998">
        <v>7.5901857597246147</v>
      </c>
      <c r="DC430" s="1998">
        <v>8.2625544022838771</v>
      </c>
      <c r="DD430" s="1998">
        <v>8.9349230448431403</v>
      </c>
      <c r="DE430" s="1979">
        <v>94.714653927088378</v>
      </c>
      <c r="DF430" s="1979">
        <v>95.499247803298147</v>
      </c>
      <c r="DG430" s="1979">
        <v>96.218458856490457</v>
      </c>
      <c r="DH430" s="1979">
        <v>97.00305273270024</v>
      </c>
      <c r="DI430" s="1979">
        <v>98.899154600207211</v>
      </c>
      <c r="DJ430" s="1998">
        <v>72.590769446833775</v>
      </c>
      <c r="DK430" s="1998">
        <v>73.765327552570554</v>
      </c>
      <c r="DL430" s="1998">
        <v>74.842005816162597</v>
      </c>
      <c r="DM430" s="1998">
        <v>76.01656392189939</v>
      </c>
      <c r="DN430" s="1998">
        <v>78.855079344096623</v>
      </c>
      <c r="DO430" s="1979">
        <v>6.400241316615829</v>
      </c>
      <c r="DP430" s="1979">
        <v>6.5156438963986876</v>
      </c>
      <c r="DQ430" s="1979">
        <v>6.631046476181548</v>
      </c>
      <c r="DR430" s="1979">
        <v>6.7464490559644075</v>
      </c>
      <c r="DS430" s="1979">
        <v>6.861851635747267</v>
      </c>
      <c r="DT430" s="1998">
        <v>7.4476693142432655</v>
      </c>
      <c r="DU430" s="1998">
        <v>7.5626469351251737</v>
      </c>
      <c r="DV430" s="1998">
        <v>7.6776245560070846</v>
      </c>
      <c r="DW430" s="1998">
        <v>7.7926021768889955</v>
      </c>
      <c r="DX430" s="2026">
        <v>7.9075797977709046</v>
      </c>
      <c r="EA430" s="2022"/>
      <c r="EB430" s="2">
        <v>7</v>
      </c>
      <c r="EC430" s="2" t="s">
        <v>4333</v>
      </c>
      <c r="ED430" s="1979">
        <v>7.0070335952354235</v>
      </c>
      <c r="EE430" s="1979">
        <v>7.2164421804384098</v>
      </c>
      <c r="EF430" s="1979">
        <v>7.9593562541199656</v>
      </c>
      <c r="EG430" s="1979">
        <v>8.7043011379075139</v>
      </c>
      <c r="EH430" s="1979">
        <v>9.4492460216950658</v>
      </c>
      <c r="EI430" s="1998">
        <v>11.673902528101983</v>
      </c>
      <c r="EJ430" s="1998">
        <v>12.181918503578682</v>
      </c>
      <c r="EK430" s="1998">
        <v>13.395859636744152</v>
      </c>
      <c r="EL430" s="1998">
        <v>14.617924010333603</v>
      </c>
      <c r="EM430" s="1998">
        <v>15.839988383923052</v>
      </c>
      <c r="EN430" s="1979">
        <v>8.4799074782312083</v>
      </c>
      <c r="EO430" s="1979">
        <v>9.010600490554129</v>
      </c>
      <c r="EP430" s="1979">
        <v>7.4944223353250567</v>
      </c>
      <c r="EQ430" s="1979">
        <v>7.5083478903375935</v>
      </c>
      <c r="ER430" s="1979">
        <v>7.5338780745272462</v>
      </c>
      <c r="ES430" s="1998">
        <v>10.368086832911876</v>
      </c>
      <c r="ET430" s="1998">
        <v>11.005934328290699</v>
      </c>
      <c r="EU430" s="1998">
        <v>9.2259152569987322</v>
      </c>
      <c r="EV430" s="1998">
        <v>9.2533311934296663</v>
      </c>
      <c r="EW430" s="1998">
        <v>9.3035937435530425</v>
      </c>
      <c r="EX430" s="1979">
        <v>8.2394502128984755</v>
      </c>
      <c r="EY430" s="1979">
        <v>8.7497282092015318</v>
      </c>
      <c r="EZ430" s="1979">
        <v>7.3257129521679589</v>
      </c>
      <c r="FA430" s="1979">
        <v>7.3476457013127048</v>
      </c>
      <c r="FB430" s="1979">
        <v>7.3878557414114079</v>
      </c>
      <c r="FC430" s="1998">
        <v>7.3317282116984419</v>
      </c>
      <c r="FD430" s="1998">
        <v>7.7178351530876492</v>
      </c>
      <c r="FE430" s="1998">
        <v>6.6711322771904635</v>
      </c>
      <c r="FF430" s="1998">
        <v>6.6955019984624045</v>
      </c>
      <c r="FG430" s="1998">
        <v>6.7401798207942969</v>
      </c>
      <c r="FH430" s="1979">
        <v>13.620769204136961</v>
      </c>
      <c r="FI430" s="1979">
        <v>13.718248089224724</v>
      </c>
      <c r="FJ430" s="1979">
        <v>13.807603733888506</v>
      </c>
      <c r="FK430" s="1979">
        <v>13.905082618976268</v>
      </c>
      <c r="FL430" s="1979">
        <v>14.140656591271696</v>
      </c>
      <c r="FM430" s="1998">
        <v>7.0787265182594812</v>
      </c>
      <c r="FN430" s="1998">
        <v>7.2226283938255182</v>
      </c>
      <c r="FO430" s="1998">
        <v>7.8980049477641305</v>
      </c>
      <c r="FP430" s="1998">
        <v>8.5774431219147296</v>
      </c>
      <c r="FQ430" s="1998">
        <v>9.2568812960653286</v>
      </c>
      <c r="FR430" s="1979">
        <v>98.233073755834937</v>
      </c>
      <c r="FS430" s="1979">
        <v>99.01766763204472</v>
      </c>
      <c r="FT430" s="1979">
        <v>99.736878685237016</v>
      </c>
      <c r="FU430" s="1979">
        <v>100.52147256144681</v>
      </c>
      <c r="FV430" s="1979">
        <v>102.41757442895378</v>
      </c>
      <c r="FW430" s="1998">
        <v>76.54976592559845</v>
      </c>
      <c r="FX430" s="1998">
        <v>77.724324031335243</v>
      </c>
      <c r="FY430" s="1998">
        <v>78.801002294927301</v>
      </c>
      <c r="FZ430" s="1998">
        <v>79.975560400664065</v>
      </c>
      <c r="GA430" s="1998">
        <v>82.814075822861312</v>
      </c>
      <c r="GB430" s="1979">
        <v>6.5480049517775765</v>
      </c>
      <c r="GC430" s="1979">
        <v>6.6634075315604351</v>
      </c>
      <c r="GD430" s="1979">
        <v>6.7788101113432946</v>
      </c>
      <c r="GE430" s="1979">
        <v>6.8942126911261541</v>
      </c>
      <c r="GF430" s="1979">
        <v>7.0096152709090136</v>
      </c>
      <c r="GG430" s="1998">
        <v>7.5948888240300256</v>
      </c>
      <c r="GH430" s="1998">
        <v>7.7098664449119383</v>
      </c>
      <c r="GI430" s="1998">
        <v>7.8248440657938492</v>
      </c>
      <c r="GJ430" s="1998">
        <v>7.9398216866757565</v>
      </c>
      <c r="GK430" s="2026">
        <v>8.0547993075576674</v>
      </c>
    </row>
    <row r="431" spans="1:193">
      <c r="A431" s="2020"/>
      <c r="B431" s="2">
        <v>8</v>
      </c>
      <c r="C431" s="2" t="s">
        <v>4334</v>
      </c>
      <c r="D431" s="1979">
        <f>IF(Construction!$F$31=Construction!$R$22,Oeko!BQ431,Oeko!ED431)</f>
        <v>6.9896043261736605</v>
      </c>
      <c r="E431" s="1979">
        <f>IF(Construction!$F$31=Construction!$R$22,Oeko!BR431,Oeko!EE431)</f>
        <v>7.2204665087316613</v>
      </c>
      <c r="F431" s="1979">
        <f>IF(Construction!$F$31=Construction!$R$22,Oeko!BS431,Oeko!EF431)</f>
        <v>7.984834179768229</v>
      </c>
      <c r="G431" s="1979">
        <f>IF(Construction!$F$31=Construction!$R$22,Oeko!BT431,Oeko!EG431)</f>
        <v>8.7512326609107927</v>
      </c>
      <c r="H431" s="1979">
        <f>IF(Construction!$F$31=Construction!$R$22,Oeko!BU431,Oeko!EH431)</f>
        <v>9.5176311420533573</v>
      </c>
      <c r="I431" s="1998">
        <f>IF(Construction!$F$31=Construction!$R$22,Oeko!BV431,Oeko!EI431)</f>
        <v>11.028965566307756</v>
      </c>
      <c r="J431" s="1998">
        <f>IF(Construction!$F$31=Construction!$R$22,Oeko!BW431,Oeko!EJ431)</f>
        <v>11.509379722256162</v>
      </c>
      <c r="K431" s="1998">
        <f>IF(Construction!$F$31=Construction!$R$22,Oeko!BX431,Oeko!EK431)</f>
        <v>12.695719035893344</v>
      </c>
      <c r="L431" s="1998">
        <f>IF(Construction!$F$31=Construction!$R$22,Oeko!BY431,Oeko!EL431)</f>
        <v>13.890181589954501</v>
      </c>
      <c r="M431" s="1998">
        <f>IF(Construction!$F$31=Construction!$R$22,Oeko!BZ431,Oeko!EM431)</f>
        <v>15.084644144015662</v>
      </c>
      <c r="N431" s="1979">
        <f>IF(Construction!$F$31=Construction!$R$22,Oeko!CA431,Oeko!EN431)</f>
        <v>8.2127653125846134</v>
      </c>
      <c r="O431" s="1979">
        <f>IF(Construction!$F$31=Construction!$R$22,Oeko!CB431,Oeko!EO431)</f>
        <v>8.7191091658769739</v>
      </c>
      <c r="P431" s="1979">
        <f>IF(Construction!$F$31=Construction!$R$22,Oeko!CC431,Oeko!EP431)</f>
        <v>7.2669202700600737</v>
      </c>
      <c r="Q431" s="1979">
        <f>IF(Construction!$F$31=Construction!$R$22,Oeko!CD431,Oeko!EQ431)</f>
        <v>7.2836309360751192</v>
      </c>
      <c r="R431" s="1979">
        <f>IF(Construction!$F$31=Construction!$R$22,Oeko!CE431,Oeko!ER431)</f>
        <v>7.3142671571027025</v>
      </c>
      <c r="S431" s="1998">
        <f>IF(Construction!$F$31=Construction!$R$22,Oeko!CF431,Oeko!ES431)</f>
        <v>10.807610843335118</v>
      </c>
      <c r="T431" s="1998">
        <f>IF(Construction!$F$31=Construction!$R$22,Oeko!CG431,Oeko!ET431)</f>
        <v>11.437505115673686</v>
      </c>
      <c r="U431" s="1998">
        <f>IF(Construction!$F$31=Construction!$R$22,Oeko!CH431,Oeko!EU431)</f>
        <v>9.6574860443817148</v>
      </c>
      <c r="V431" s="1998">
        <f>IF(Construction!$F$31=Construction!$R$22,Oeko!CI431,Oeko!EV431)</f>
        <v>9.6849019808126489</v>
      </c>
      <c r="W431" s="1998">
        <f>IF(Construction!$F$31=Construction!$R$22,Oeko!CJ431,Oeko!EW431)</f>
        <v>9.7351645309360268</v>
      </c>
      <c r="X431" s="1979">
        <f>IF(Construction!$F$31=Construction!$R$22,Oeko!CK431,Oeko!EX431)</f>
        <v>8.5930577269971309</v>
      </c>
      <c r="Y431" s="1979">
        <f>IF(Construction!$F$31=Construction!$R$22,Oeko!CL431,Oeko!EY431)</f>
        <v>9.0969731448679845</v>
      </c>
      <c r="Z431" s="1979">
        <f>IF(Construction!$F$31=Construction!$R$22,Oeko!CM431,Oeko!EZ431)</f>
        <v>7.6729578878344107</v>
      </c>
      <c r="AA431" s="1979">
        <f>IF(Construction!$F$31=Construction!$R$22,Oeko!CN431,Oeko!FA431)</f>
        <v>7.6948906369791574</v>
      </c>
      <c r="AB431" s="1979">
        <f>IF(Construction!$F$31=Construction!$R$22,Oeko!CO431,Oeko!FB431)</f>
        <v>7.7351006770778579</v>
      </c>
      <c r="AC431" s="1998">
        <f>IF(Construction!$F$31=Construction!$R$22,Oeko!CP431,Oeko!FC431)</f>
        <v>7.5975971439756211</v>
      </c>
      <c r="AD431" s="1998">
        <f>IF(Construction!$F$31=Construction!$R$22,Oeko!CQ431,Oeko!FD431)</f>
        <v>7.9789910643039379</v>
      </c>
      <c r="AE431" s="1998">
        <f>IF(Construction!$F$31=Construction!$R$22,Oeko!CR431,Oeko!FE431)</f>
        <v>6.9322881884067513</v>
      </c>
      <c r="AF431" s="1998">
        <f>IF(Construction!$F$31=Construction!$R$22,Oeko!CS431,Oeko!FF431)</f>
        <v>6.9566579096786914</v>
      </c>
      <c r="AG431" s="1998">
        <f>IF(Construction!$F$31=Construction!$R$22,Oeko!CT431,Oeko!FG431)</f>
        <v>7.0013357320105829</v>
      </c>
      <c r="AH431" s="1979">
        <f>IF(Construction!$F$31=Construction!$R$22,Oeko!CU431,Oeko!FH431)</f>
        <v>13.539917023239637</v>
      </c>
      <c r="AI431" s="1979">
        <f>IF(Construction!$F$31=Construction!$R$22,Oeko!CV431,Oeko!FI431)</f>
        <v>13.637395908327397</v>
      </c>
      <c r="AJ431" s="1979">
        <f>IF(Construction!$F$31=Construction!$R$22,Oeko!CW431,Oeko!FJ431)</f>
        <v>13.726751552991182</v>
      </c>
      <c r="AK431" s="1979">
        <f>IF(Construction!$F$31=Construction!$R$22,Oeko!CX431,Oeko!FK431)</f>
        <v>13.824230438078942</v>
      </c>
      <c r="AL431" s="1979">
        <f>IF(Construction!$F$31=Construction!$R$22,Oeko!CY431,Oeko!FL431)</f>
        <v>14.059804410374371</v>
      </c>
      <c r="AM431" s="1998">
        <f>IF(Construction!$F$31=Construction!$R$22,Oeko!CZ431,Oeko!FM431)</f>
        <v>6.981563209573511</v>
      </c>
      <c r="AN431" s="1998">
        <f>IF(Construction!$F$31=Construction!$R$22,Oeko!DA431,Oeko!FN431)</f>
        <v>7.1558830944491287</v>
      </c>
      <c r="AO431" s="1998">
        <f>IF(Construction!$F$31=Construction!$R$22,Oeko!DB431,Oeko!FO431)</f>
        <v>7.8616776576973209</v>
      </c>
      <c r="AP431" s="1998">
        <f>IF(Construction!$F$31=Construction!$R$22,Oeko!DC431,Oeko!FP431)</f>
        <v>8.5715338411575033</v>
      </c>
      <c r="AQ431" s="1998">
        <f>IF(Construction!$F$31=Construction!$R$22,Oeko!DD431,Oeko!FQ431)</f>
        <v>9.2813900246176839</v>
      </c>
      <c r="AR431" s="1979">
        <f>IF(Construction!$F$31=Construction!$R$22,Oeko!DE431,Oeko!FR431)</f>
        <v>84.226423955582803</v>
      </c>
      <c r="AS431" s="1979">
        <f>IF(Construction!$F$31=Construction!$R$22,Oeko!DF431,Oeko!FS431)</f>
        <v>85.403314769897491</v>
      </c>
      <c r="AT431" s="1979">
        <f>IF(Construction!$F$31=Construction!$R$22,Oeko!DG431,Oeko!FT431)</f>
        <v>86.482131349685943</v>
      </c>
      <c r="AU431" s="1979">
        <f>IF(Construction!$F$31=Construction!$R$22,Oeko!DH431,Oeko!FU431)</f>
        <v>87.659022164000618</v>
      </c>
      <c r="AV431" s="1979">
        <f>IF(Construction!$F$31=Construction!$R$22,Oeko!DI431,Oeko!FV431)</f>
        <v>90.503174965261081</v>
      </c>
      <c r="AW431" s="1998">
        <f>IF(Construction!$F$31=Construction!$R$22,Oeko!DJ431,Oeko!FW431)</f>
        <v>85.336292838416725</v>
      </c>
      <c r="AX431" s="1998">
        <f>IF(Construction!$F$31=Construction!$R$22,Oeko!DK431,Oeko!FX431)</f>
        <v>86.510850944153503</v>
      </c>
      <c r="AY431" s="1998">
        <f>IF(Construction!$F$31=Construction!$R$22,Oeko!DL431,Oeko!FY431)</f>
        <v>87.587529207745561</v>
      </c>
      <c r="AZ431" s="1998">
        <f>IF(Construction!$F$31=Construction!$R$22,Oeko!DM431,Oeko!FZ431)</f>
        <v>88.762087313482354</v>
      </c>
      <c r="BA431" s="1998">
        <f>IF(Construction!$F$31=Construction!$R$22,Oeko!DN431,Oeko!GA431)</f>
        <v>91.600602735679573</v>
      </c>
      <c r="BB431" s="1979">
        <f>IF(Construction!$F$31=Construction!$R$22,Oeko!DO431,Oeko!GB431)</f>
        <v>6.8851746281717094</v>
      </c>
      <c r="BC431" s="1979">
        <f>IF(Construction!$F$31=Construction!$R$22,Oeko!DP431,Oeko!GC431)</f>
        <v>7.0005772079545689</v>
      </c>
      <c r="BD431" s="1979">
        <f>IF(Construction!$F$31=Construction!$R$22,Oeko!DQ431,Oeko!GD431)</f>
        <v>7.1159797877374276</v>
      </c>
      <c r="BE431" s="1979">
        <f>IF(Construction!$F$31=Construction!$R$22,Oeko!DR431,Oeko!GE431)</f>
        <v>7.2313823675202871</v>
      </c>
      <c r="BF431" s="1979">
        <f>IF(Construction!$F$31=Construction!$R$22,Oeko!DS431,Oeko!GF431)</f>
        <v>7.3467849473031457</v>
      </c>
      <c r="BG431" s="1998">
        <f>IF(Construction!$F$31=Construction!$R$22,Oeko!DT431,Oeko!GG431)</f>
        <v>7.8704234566094327</v>
      </c>
      <c r="BH431" s="1998">
        <f>IF(Construction!$F$31=Construction!$R$22,Oeko!DU431,Oeko!GH431)</f>
        <v>7.9854010774913418</v>
      </c>
      <c r="BI431" s="1998">
        <f>IF(Construction!$F$31=Construction!$R$22,Oeko!DV431,Oeko!GI431)</f>
        <v>8.1003786983732535</v>
      </c>
      <c r="BJ431" s="1998">
        <f>IF(Construction!$F$31=Construction!$R$22,Oeko!DW431,Oeko!GJ431)</f>
        <v>8.2153563192551644</v>
      </c>
      <c r="BK431" s="2026">
        <f>IF(Construction!$F$31=Construction!$R$22,Oeko!DX431,Oeko!GK431)</f>
        <v>8.3303339401370717</v>
      </c>
      <c r="BN431" s="2022"/>
      <c r="BO431" s="2">
        <v>8</v>
      </c>
      <c r="BP431" s="2" t="s">
        <v>4334</v>
      </c>
      <c r="BQ431" s="1979">
        <v>6.9896043261736605</v>
      </c>
      <c r="BR431" s="1979">
        <v>7.2204665087316613</v>
      </c>
      <c r="BS431" s="1979">
        <v>7.984834179768229</v>
      </c>
      <c r="BT431" s="1979">
        <v>8.7512326609107927</v>
      </c>
      <c r="BU431" s="1979">
        <v>9.5176311420533573</v>
      </c>
      <c r="BV431" s="1998">
        <v>11.028965566307756</v>
      </c>
      <c r="BW431" s="1998">
        <v>11.509379722256162</v>
      </c>
      <c r="BX431" s="1998">
        <v>12.695719035893344</v>
      </c>
      <c r="BY431" s="1998">
        <v>13.890181589954501</v>
      </c>
      <c r="BZ431" s="1998">
        <v>15.084644144015662</v>
      </c>
      <c r="CA431" s="1979">
        <v>8.2127653125846134</v>
      </c>
      <c r="CB431" s="1979">
        <v>8.7191091658769739</v>
      </c>
      <c r="CC431" s="1979">
        <v>7.2669202700600737</v>
      </c>
      <c r="CD431" s="1979">
        <v>7.2836309360751192</v>
      </c>
      <c r="CE431" s="1979">
        <v>7.3142671571027025</v>
      </c>
      <c r="CF431" s="1998">
        <v>10.807610843335118</v>
      </c>
      <c r="CG431" s="1998">
        <v>11.437505115673686</v>
      </c>
      <c r="CH431" s="1998">
        <v>9.6574860443817148</v>
      </c>
      <c r="CI431" s="1998">
        <v>9.6849019808126489</v>
      </c>
      <c r="CJ431" s="1998">
        <v>9.7351645309360268</v>
      </c>
      <c r="CK431" s="1979">
        <v>8.5930577269971309</v>
      </c>
      <c r="CL431" s="1979">
        <v>9.0969731448679845</v>
      </c>
      <c r="CM431" s="1979">
        <v>7.6729578878344107</v>
      </c>
      <c r="CN431" s="1979">
        <v>7.6948906369791574</v>
      </c>
      <c r="CO431" s="1979">
        <v>7.7351006770778579</v>
      </c>
      <c r="CP431" s="1998">
        <v>7.5975971439756211</v>
      </c>
      <c r="CQ431" s="1998">
        <v>7.9789910643039379</v>
      </c>
      <c r="CR431" s="1998">
        <v>6.9322881884067513</v>
      </c>
      <c r="CS431" s="1998">
        <v>6.9566579096786914</v>
      </c>
      <c r="CT431" s="1998">
        <v>7.0013357320105829</v>
      </c>
      <c r="CU431" s="1979">
        <v>13.539917023239637</v>
      </c>
      <c r="CV431" s="1979">
        <v>13.637395908327397</v>
      </c>
      <c r="CW431" s="1979">
        <v>13.726751552991182</v>
      </c>
      <c r="CX431" s="1979">
        <v>13.824230438078942</v>
      </c>
      <c r="CY431" s="1979">
        <v>14.059804410374371</v>
      </c>
      <c r="CZ431" s="1998">
        <v>6.981563209573511</v>
      </c>
      <c r="DA431" s="1998">
        <v>7.1558830944491287</v>
      </c>
      <c r="DB431" s="1998">
        <v>7.8616776576973209</v>
      </c>
      <c r="DC431" s="1998">
        <v>8.5715338411575033</v>
      </c>
      <c r="DD431" s="1998">
        <v>9.2813900246176839</v>
      </c>
      <c r="DE431" s="1979">
        <v>84.226423955582803</v>
      </c>
      <c r="DF431" s="1979">
        <v>85.403314769897491</v>
      </c>
      <c r="DG431" s="1979">
        <v>86.482131349685943</v>
      </c>
      <c r="DH431" s="1979">
        <v>87.659022164000618</v>
      </c>
      <c r="DI431" s="1979">
        <v>90.503174965261081</v>
      </c>
      <c r="DJ431" s="1998">
        <v>85.336292838416725</v>
      </c>
      <c r="DK431" s="1998">
        <v>86.510850944153503</v>
      </c>
      <c r="DL431" s="1998">
        <v>87.587529207745561</v>
      </c>
      <c r="DM431" s="1998">
        <v>88.762087313482354</v>
      </c>
      <c r="DN431" s="1998">
        <v>91.600602735679573</v>
      </c>
      <c r="DO431" s="1979">
        <v>6.8851746281717094</v>
      </c>
      <c r="DP431" s="1979">
        <v>7.0005772079545689</v>
      </c>
      <c r="DQ431" s="1979">
        <v>7.1159797877374276</v>
      </c>
      <c r="DR431" s="1979">
        <v>7.2313823675202871</v>
      </c>
      <c r="DS431" s="1979">
        <v>7.3467849473031457</v>
      </c>
      <c r="DT431" s="1998">
        <v>7.8704234566094327</v>
      </c>
      <c r="DU431" s="1998">
        <v>7.9854010774913418</v>
      </c>
      <c r="DV431" s="1998">
        <v>8.1003786983732535</v>
      </c>
      <c r="DW431" s="1998">
        <v>8.2153563192551644</v>
      </c>
      <c r="DX431" s="2026">
        <v>8.3303339401370717</v>
      </c>
      <c r="EA431" s="2022"/>
      <c r="EB431" s="2">
        <v>8</v>
      </c>
      <c r="EC431" s="2" t="s">
        <v>4334</v>
      </c>
      <c r="ED431" s="1979">
        <v>7.1437348430556469</v>
      </c>
      <c r="EE431" s="1979">
        <v>7.3816665572049835</v>
      </c>
      <c r="EF431" s="1979">
        <v>8.1531037598328897</v>
      </c>
      <c r="EG431" s="1979">
        <v>8.9265717725667919</v>
      </c>
      <c r="EH431" s="1979">
        <v>9.7000397853006941</v>
      </c>
      <c r="EI431" s="1998">
        <v>11.568981377182466</v>
      </c>
      <c r="EJ431" s="1998">
        <v>12.058821575252656</v>
      </c>
      <c r="EK431" s="1998">
        <v>13.254586931011621</v>
      </c>
      <c r="EL431" s="1998">
        <v>14.458475527194565</v>
      </c>
      <c r="EM431" s="1998">
        <v>15.662364123377507</v>
      </c>
      <c r="EN431" s="1979">
        <v>8.4191956350516861</v>
      </c>
      <c r="EO431" s="1979">
        <v>8.9320030600846998</v>
      </c>
      <c r="EP431" s="1979">
        <v>7.4798141642677987</v>
      </c>
      <c r="EQ431" s="1979">
        <v>7.4965248302828424</v>
      </c>
      <c r="ER431" s="1979">
        <v>7.5271610513104257</v>
      </c>
      <c r="ES431" s="1998">
        <v>11.101217327237876</v>
      </c>
      <c r="ET431" s="1998">
        <v>11.739064822616701</v>
      </c>
      <c r="EU431" s="1998">
        <v>9.9590457513247319</v>
      </c>
      <c r="EV431" s="1998">
        <v>9.9864616877556642</v>
      </c>
      <c r="EW431" s="1998">
        <v>10.036724237879042</v>
      </c>
      <c r="EX431" s="1979">
        <v>8.8247616249032355</v>
      </c>
      <c r="EY431" s="1979">
        <v>9.3350396212062954</v>
      </c>
      <c r="EZ431" s="1979">
        <v>7.9110243641727198</v>
      </c>
      <c r="FA431" s="1979">
        <v>7.9329571133174648</v>
      </c>
      <c r="FB431" s="1979">
        <v>7.9731671534161697</v>
      </c>
      <c r="FC431" s="1998">
        <v>7.7437007968632745</v>
      </c>
      <c r="FD431" s="1998">
        <v>8.1298077382524827</v>
      </c>
      <c r="FE431" s="1998">
        <v>7.0831048623552961</v>
      </c>
      <c r="FF431" s="1998">
        <v>7.1074745836272379</v>
      </c>
      <c r="FG431" s="1998">
        <v>7.1521524059591286</v>
      </c>
      <c r="FH431" s="1979">
        <v>13.97200006121499</v>
      </c>
      <c r="FI431" s="1979">
        <v>14.069478946302754</v>
      </c>
      <c r="FJ431" s="1979">
        <v>14.158834590966537</v>
      </c>
      <c r="FK431" s="1979">
        <v>14.256313476054299</v>
      </c>
      <c r="FL431" s="1979">
        <v>14.491887448349726</v>
      </c>
      <c r="FM431" s="1998">
        <v>7.3150094496316242</v>
      </c>
      <c r="FN431" s="1998">
        <v>7.4963988660985814</v>
      </c>
      <c r="FO431" s="1998">
        <v>8.209262960938112</v>
      </c>
      <c r="FP431" s="1998">
        <v>8.9261886759896285</v>
      </c>
      <c r="FQ431" s="1998">
        <v>9.6431143910411521</v>
      </c>
      <c r="FR431" s="1979">
        <v>88.2024280342944</v>
      </c>
      <c r="FS431" s="1979">
        <v>89.379318848609074</v>
      </c>
      <c r="FT431" s="1979">
        <v>90.458135428397526</v>
      </c>
      <c r="FU431" s="1979">
        <v>91.6350262427122</v>
      </c>
      <c r="FV431" s="1979">
        <v>94.479179043972664</v>
      </c>
      <c r="FW431" s="1998">
        <v>89.295289317181414</v>
      </c>
      <c r="FX431" s="1998">
        <v>90.469847422918193</v>
      </c>
      <c r="FY431" s="1998">
        <v>91.54652568651025</v>
      </c>
      <c r="FZ431" s="1998">
        <v>92.721083792247043</v>
      </c>
      <c r="GA431" s="1998">
        <v>95.559599214444262</v>
      </c>
      <c r="GB431" s="1979">
        <v>7.032938263333457</v>
      </c>
      <c r="GC431" s="1979">
        <v>7.1483408431163156</v>
      </c>
      <c r="GD431" s="1979">
        <v>7.2637434228991751</v>
      </c>
      <c r="GE431" s="1979">
        <v>7.3791460026820337</v>
      </c>
      <c r="GF431" s="1979">
        <v>7.4945485824648932</v>
      </c>
      <c r="GG431" s="1998">
        <v>8.0176429663961937</v>
      </c>
      <c r="GH431" s="1998">
        <v>8.1326205872781046</v>
      </c>
      <c r="GI431" s="1998">
        <v>8.2475982081600137</v>
      </c>
      <c r="GJ431" s="1998">
        <v>8.3625758290419245</v>
      </c>
      <c r="GK431" s="2026">
        <v>8.4775534499238319</v>
      </c>
    </row>
    <row r="432" spans="1:193">
      <c r="A432" s="2020"/>
      <c r="B432" s="2">
        <v>9</v>
      </c>
      <c r="C432" s="2" t="s">
        <v>4335</v>
      </c>
      <c r="D432" s="1979">
        <f>IF(Construction!$F$31=Construction!$R$22,Oeko!BQ432,Oeko!ED432)</f>
        <v>7.0419236822560016</v>
      </c>
      <c r="E432" s="1979">
        <f>IF(Construction!$F$31=Construction!$R$22,Oeko!BR432,Oeko!EE432)</f>
        <v>7.2861742722786165</v>
      </c>
      <c r="F432" s="1979">
        <f>IF(Construction!$F$31=Construction!$R$22,Oeko!BS432,Oeko!EF432)</f>
        <v>8.063930350779799</v>
      </c>
      <c r="G432" s="1979">
        <f>IF(Construction!$F$31=Construction!$R$22,Oeko!BT432,Oeko!EG432)</f>
        <v>8.8437172393869776</v>
      </c>
      <c r="H432" s="1979">
        <f>IF(Construction!$F$31=Construction!$R$22,Oeko!BU432,Oeko!EH432)</f>
        <v>9.6235041279941562</v>
      </c>
      <c r="I432" s="1998">
        <f>IF(Construction!$F$31=Construction!$R$22,Oeko!BV432,Oeko!EI432)</f>
        <v>11.240700856458185</v>
      </c>
      <c r="J432" s="1998">
        <f>IF(Construction!$F$31=Construction!$R$22,Oeko!BW432,Oeko!EJ432)</f>
        <v>11.761505628865494</v>
      </c>
      <c r="K432" s="1998">
        <f>IF(Construction!$F$31=Construction!$R$22,Oeko!BX432,Oeko!EK432)</f>
        <v>12.988235558961577</v>
      </c>
      <c r="L432" s="1998">
        <f>IF(Construction!$F$31=Construction!$R$22,Oeko!BY432,Oeko!EL432)</f>
        <v>14.22308872948164</v>
      </c>
      <c r="M432" s="1998">
        <f>IF(Construction!$F$31=Construction!$R$22,Oeko!BZ432,Oeko!EM432)</f>
        <v>15.457941900001702</v>
      </c>
      <c r="N432" s="1979">
        <f>IF(Construction!$F$31=Construction!$R$22,Oeko!CA432,Oeko!EN432)</f>
        <v>8.0532677241318602</v>
      </c>
      <c r="O432" s="1979">
        <f>IF(Construction!$F$31=Construction!$R$22,Oeko!CB432,Oeko!EO432)</f>
        <v>8.5331871697231492</v>
      </c>
      <c r="P432" s="1979">
        <f>IF(Construction!$F$31=Construction!$R$22,Oeko!CC432,Oeko!EP432)</f>
        <v>7.1769821630245065</v>
      </c>
      <c r="Q432" s="1979">
        <f>IF(Construction!$F$31=Construction!$R$22,Oeko!CD432,Oeko!EQ432)</f>
        <v>7.1978704955433122</v>
      </c>
      <c r="R432" s="1979">
        <f>IF(Construction!$F$31=Construction!$R$22,Oeko!CE432,Oeko!ER432)</f>
        <v>7.2361657718277899</v>
      </c>
      <c r="S432" s="1998">
        <f>IF(Construction!$F$31=Construction!$R$22,Oeko!CF432,Oeko!ES432)</f>
        <v>11.337289881404187</v>
      </c>
      <c r="T432" s="1998">
        <f>IF(Construction!$F$31=Construction!$R$22,Oeko!CG432,Oeko!ET432)</f>
        <v>11.967184153742755</v>
      </c>
      <c r="U432" s="1998">
        <f>IF(Construction!$F$31=Construction!$R$22,Oeko!CH432,Oeko!EU432)</f>
        <v>10.187165082450786</v>
      </c>
      <c r="V432" s="1998">
        <f>IF(Construction!$F$31=Construction!$R$22,Oeko!CI432,Oeko!EV432)</f>
        <v>10.21458101888172</v>
      </c>
      <c r="W432" s="1998">
        <f>IF(Construction!$F$31=Construction!$R$22,Oeko!CJ432,Oeko!EW432)</f>
        <v>10.264843569005096</v>
      </c>
      <c r="X432" s="1979">
        <f>IF(Construction!$F$31=Construction!$R$22,Oeko!CK432,Oeko!EX432)</f>
        <v>8.8777602099592556</v>
      </c>
      <c r="Y432" s="1979">
        <f>IF(Construction!$F$31=Construction!$R$22,Oeko!CL432,Oeko!EY432)</f>
        <v>9.3816756278301092</v>
      </c>
      <c r="Z432" s="1979">
        <f>IF(Construction!$F$31=Construction!$R$22,Oeko!CM432,Oeko!EZ432)</f>
        <v>7.9576603707965354</v>
      </c>
      <c r="AA432" s="1979">
        <f>IF(Construction!$F$31=Construction!$R$22,Oeko!CN432,Oeko!FA432)</f>
        <v>7.9795931199412831</v>
      </c>
      <c r="AB432" s="1979">
        <f>IF(Construction!$F$31=Construction!$R$22,Oeko!CO432,Oeko!FB432)</f>
        <v>8.0198031600399844</v>
      </c>
      <c r="AC432" s="1998">
        <f>IF(Construction!$F$31=Construction!$R$22,Oeko!CP432,Oeko!FC432)</f>
        <v>7.8035834365580365</v>
      </c>
      <c r="AD432" s="1998">
        <f>IF(Construction!$F$31=Construction!$R$22,Oeko!CQ432,Oeko!FD432)</f>
        <v>8.1849773568863533</v>
      </c>
      <c r="AE432" s="1998">
        <f>IF(Construction!$F$31=Construction!$R$22,Oeko!CR432,Oeko!FE432)</f>
        <v>7.1382744809891667</v>
      </c>
      <c r="AF432" s="1998">
        <f>IF(Construction!$F$31=Construction!$R$22,Oeko!CS432,Oeko!FF432)</f>
        <v>7.1626442022611085</v>
      </c>
      <c r="AG432" s="1998">
        <f>IF(Construction!$F$31=Construction!$R$22,Oeko!CT432,Oeko!FG432)</f>
        <v>7.2073220245929992</v>
      </c>
      <c r="AH432" s="1979">
        <f>IF(Construction!$F$31=Construction!$R$22,Oeko!CU432,Oeko!FH432)</f>
        <v>14.14328809005789</v>
      </c>
      <c r="AI432" s="1979">
        <f>IF(Construction!$F$31=Construction!$R$22,Oeko!CV432,Oeko!FI432)</f>
        <v>14.240766975145652</v>
      </c>
      <c r="AJ432" s="1979">
        <f>IF(Construction!$F$31=Construction!$R$22,Oeko!CW432,Oeko!FJ432)</f>
        <v>14.330122619809435</v>
      </c>
      <c r="AK432" s="1979">
        <f>IF(Construction!$F$31=Construction!$R$22,Oeko!CX432,Oeko!FK432)</f>
        <v>14.427601504897195</v>
      </c>
      <c r="AL432" s="1979">
        <f>IF(Construction!$F$31=Construction!$R$22,Oeko!CY432,Oeko!FL432)</f>
        <v>14.663175477192624</v>
      </c>
      <c r="AM432" s="1998">
        <f>IF(Construction!$F$31=Construction!$R$22,Oeko!CZ432,Oeko!FM432)</f>
        <v>7.1562448239476142</v>
      </c>
      <c r="AN432" s="1998">
        <f>IF(Construction!$F$31=Construction!$R$22,Oeko!DA432,Oeko!FN432)</f>
        <v>7.3638869674018279</v>
      </c>
      <c r="AO432" s="1998">
        <f>IF(Construction!$F$31=Construction!$R$22,Oeko!DB432,Oeko!FO432)</f>
        <v>8.1030037892286142</v>
      </c>
      <c r="AP432" s="1998">
        <f>IF(Construction!$F$31=Construction!$R$22,Oeko!DC432,Oeko!FP432)</f>
        <v>8.8461822312673899</v>
      </c>
      <c r="AQ432" s="1998">
        <f>IF(Construction!$F$31=Construction!$R$22,Oeko!DD432,Oeko!FQ432)</f>
        <v>9.5893606733061674</v>
      </c>
      <c r="AR432" s="1979">
        <f>IF(Construction!$F$31=Construction!$R$22,Oeko!DE432,Oeko!FR432)</f>
        <v>90.919217876529231</v>
      </c>
      <c r="AS432" s="1979">
        <f>IF(Construction!$F$31=Construction!$R$22,Oeko!DF432,Oeko!FS432)</f>
        <v>92.096108690843906</v>
      </c>
      <c r="AT432" s="1979">
        <f>IF(Construction!$F$31=Construction!$R$22,Oeko!DG432,Oeko!FT432)</f>
        <v>93.174925270632372</v>
      </c>
      <c r="AU432" s="1979">
        <f>IF(Construction!$F$31=Construction!$R$22,Oeko!DH432,Oeko!FU432)</f>
        <v>94.351816084947046</v>
      </c>
      <c r="AV432" s="1979">
        <f>IF(Construction!$F$31=Construction!$R$22,Oeko!DI432,Oeko!FV432)</f>
        <v>97.19596888620751</v>
      </c>
      <c r="AW432" s="1998">
        <f>IF(Construction!$F$31=Construction!$R$22,Oeko!DJ432,Oeko!FW432)</f>
        <v>94.348354658114957</v>
      </c>
      <c r="AX432" s="1998">
        <f>IF(Construction!$F$31=Construction!$R$22,Oeko!DK432,Oeko!FX432)</f>
        <v>95.522912763851735</v>
      </c>
      <c r="AY432" s="1998">
        <f>IF(Construction!$F$31=Construction!$R$22,Oeko!DL432,Oeko!FY432)</f>
        <v>96.599591027443807</v>
      </c>
      <c r="AZ432" s="1998">
        <f>IF(Construction!$F$31=Construction!$R$22,Oeko!DM432,Oeko!FZ432)</f>
        <v>97.7741491331806</v>
      </c>
      <c r="BA432" s="1998">
        <f>IF(Construction!$F$31=Construction!$R$22,Oeko!DN432,Oeko!GA432)</f>
        <v>100.61266455537782</v>
      </c>
      <c r="BB432" s="1979">
        <f>IF(Construction!$F$31=Construction!$R$22,Oeko!DO432,Oeko!GB432)</f>
        <v>6.2081727878327619</v>
      </c>
      <c r="BC432" s="1979">
        <f>IF(Construction!$F$31=Construction!$R$22,Oeko!DP432,Oeko!GC432)</f>
        <v>6.3812766575070512</v>
      </c>
      <c r="BD432" s="1979">
        <f>IF(Construction!$F$31=Construction!$R$22,Oeko!DQ432,Oeko!GD432)</f>
        <v>6.5543805271813396</v>
      </c>
      <c r="BE432" s="1979">
        <f>IF(Construction!$F$31=Construction!$R$22,Oeko!DR432,Oeko!GE432)</f>
        <v>6.7274843968556288</v>
      </c>
      <c r="BF432" s="1979">
        <f>IF(Construction!$F$31=Construction!$R$22,Oeko!DS432,Oeko!GF432)</f>
        <v>6.9005882665299172</v>
      </c>
      <c r="BG432" s="1998">
        <f>IF(Construction!$F$31=Construction!$R$22,Oeko!DT432,Oeko!GG432)</f>
        <v>7.4374884060731796</v>
      </c>
      <c r="BH432" s="1998">
        <f>IF(Construction!$F$31=Construction!$R$22,Oeko!DU432,Oeko!GH432)</f>
        <v>7.6099548373960424</v>
      </c>
      <c r="BI432" s="1998">
        <f>IF(Construction!$F$31=Construction!$R$22,Oeko!DV432,Oeko!GI432)</f>
        <v>7.7824212687189087</v>
      </c>
      <c r="BJ432" s="1998">
        <f>IF(Construction!$F$31=Construction!$R$22,Oeko!DW432,Oeko!GJ432)</f>
        <v>7.9548877000417741</v>
      </c>
      <c r="BK432" s="2026">
        <f>IF(Construction!$F$31=Construction!$R$22,Oeko!DX432,Oeko!GK432)</f>
        <v>8.1273541313646387</v>
      </c>
      <c r="BN432" s="2022"/>
      <c r="BO432" s="2">
        <v>9</v>
      </c>
      <c r="BP432" s="2" t="s">
        <v>4335</v>
      </c>
      <c r="BQ432" s="1979">
        <v>7.0419236822560016</v>
      </c>
      <c r="BR432" s="1979">
        <v>7.2861742722786165</v>
      </c>
      <c r="BS432" s="1979">
        <v>8.063930350779799</v>
      </c>
      <c r="BT432" s="1979">
        <v>8.8437172393869776</v>
      </c>
      <c r="BU432" s="1979">
        <v>9.6235041279941562</v>
      </c>
      <c r="BV432" s="1998">
        <v>11.240700856458185</v>
      </c>
      <c r="BW432" s="1998">
        <v>11.761505628865494</v>
      </c>
      <c r="BX432" s="1998">
        <v>12.988235558961577</v>
      </c>
      <c r="BY432" s="1998">
        <v>14.22308872948164</v>
      </c>
      <c r="BZ432" s="1998">
        <v>15.457941900001702</v>
      </c>
      <c r="CA432" s="1979">
        <v>8.0532677241318602</v>
      </c>
      <c r="CB432" s="1979">
        <v>8.5331871697231492</v>
      </c>
      <c r="CC432" s="1979">
        <v>7.1769821630245065</v>
      </c>
      <c r="CD432" s="1979">
        <v>7.1978704955433122</v>
      </c>
      <c r="CE432" s="1979">
        <v>7.2361657718277899</v>
      </c>
      <c r="CF432" s="1998">
        <v>11.337289881404187</v>
      </c>
      <c r="CG432" s="1998">
        <v>11.967184153742755</v>
      </c>
      <c r="CH432" s="1998">
        <v>10.187165082450786</v>
      </c>
      <c r="CI432" s="1998">
        <v>10.21458101888172</v>
      </c>
      <c r="CJ432" s="1998">
        <v>10.264843569005096</v>
      </c>
      <c r="CK432" s="1979">
        <v>8.8777602099592556</v>
      </c>
      <c r="CL432" s="1979">
        <v>9.3816756278301092</v>
      </c>
      <c r="CM432" s="1979">
        <v>7.9576603707965354</v>
      </c>
      <c r="CN432" s="1979">
        <v>7.9795931199412831</v>
      </c>
      <c r="CO432" s="1979">
        <v>8.0198031600399844</v>
      </c>
      <c r="CP432" s="1998">
        <v>7.8035834365580365</v>
      </c>
      <c r="CQ432" s="1998">
        <v>8.1849773568863533</v>
      </c>
      <c r="CR432" s="1998">
        <v>7.1382744809891667</v>
      </c>
      <c r="CS432" s="1998">
        <v>7.1626442022611085</v>
      </c>
      <c r="CT432" s="1998">
        <v>7.2073220245929992</v>
      </c>
      <c r="CU432" s="1979">
        <v>14.14328809005789</v>
      </c>
      <c r="CV432" s="1979">
        <v>14.240766975145652</v>
      </c>
      <c r="CW432" s="1979">
        <v>14.330122619809435</v>
      </c>
      <c r="CX432" s="1979">
        <v>14.427601504897195</v>
      </c>
      <c r="CY432" s="1979">
        <v>14.663175477192624</v>
      </c>
      <c r="CZ432" s="1998">
        <v>7.1562448239476142</v>
      </c>
      <c r="DA432" s="1998">
        <v>7.3638869674018279</v>
      </c>
      <c r="DB432" s="1998">
        <v>8.1030037892286142</v>
      </c>
      <c r="DC432" s="1998">
        <v>8.8461822312673899</v>
      </c>
      <c r="DD432" s="1998">
        <v>9.5893606733061674</v>
      </c>
      <c r="DE432" s="1979">
        <v>90.919217876529231</v>
      </c>
      <c r="DF432" s="1979">
        <v>92.096108690843906</v>
      </c>
      <c r="DG432" s="1979">
        <v>93.174925270632372</v>
      </c>
      <c r="DH432" s="1979">
        <v>94.351816084947046</v>
      </c>
      <c r="DI432" s="1979">
        <v>97.19596888620751</v>
      </c>
      <c r="DJ432" s="1998">
        <v>94.348354658114957</v>
      </c>
      <c r="DK432" s="1998">
        <v>95.522912763851735</v>
      </c>
      <c r="DL432" s="1998">
        <v>96.599591027443807</v>
      </c>
      <c r="DM432" s="1998">
        <v>97.7741491331806</v>
      </c>
      <c r="DN432" s="1998">
        <v>100.61266455537782</v>
      </c>
      <c r="DO432" s="1979">
        <v>6.2081727878327619</v>
      </c>
      <c r="DP432" s="1979">
        <v>6.3812766575070512</v>
      </c>
      <c r="DQ432" s="1979">
        <v>6.5543805271813396</v>
      </c>
      <c r="DR432" s="1979">
        <v>6.7274843968556288</v>
      </c>
      <c r="DS432" s="1979">
        <v>6.9005882665299172</v>
      </c>
      <c r="DT432" s="1998">
        <v>7.4374884060731796</v>
      </c>
      <c r="DU432" s="1998">
        <v>7.6099548373960424</v>
      </c>
      <c r="DV432" s="1998">
        <v>7.7824212687189087</v>
      </c>
      <c r="DW432" s="1998">
        <v>7.9548877000417741</v>
      </c>
      <c r="DX432" s="2026">
        <v>8.1273541313646387</v>
      </c>
      <c r="EA432" s="2022"/>
      <c r="EB432" s="2">
        <v>9</v>
      </c>
      <c r="EC432" s="2" t="s">
        <v>4335</v>
      </c>
      <c r="ED432" s="1979">
        <v>7.1984212298047305</v>
      </c>
      <c r="EE432" s="1979">
        <v>7.4497413514186821</v>
      </c>
      <c r="EF432" s="1979">
        <v>8.234566961511204</v>
      </c>
      <c r="EG432" s="1979">
        <v>9.0214233817097202</v>
      </c>
      <c r="EH432" s="1979">
        <v>9.8082798019082365</v>
      </c>
      <c r="EI432" s="1998">
        <v>11.80213949033695</v>
      </c>
      <c r="EJ432" s="1998">
        <v>12.332370304866043</v>
      </c>
      <c r="EK432" s="1998">
        <v>13.568526277083913</v>
      </c>
      <c r="EL432" s="1998">
        <v>14.812805489725756</v>
      </c>
      <c r="EM432" s="1998">
        <v>16.057084702367607</v>
      </c>
      <c r="EN432" s="1979">
        <v>8.2966615974907825</v>
      </c>
      <c r="EO432" s="1979">
        <v>8.7826406415889338</v>
      </c>
      <c r="EP432" s="1979">
        <v>7.4264356348902929</v>
      </c>
      <c r="EQ432" s="1979">
        <v>7.4473239674090985</v>
      </c>
      <c r="ER432" s="1979">
        <v>7.4856192436935771</v>
      </c>
      <c r="ES432" s="1998">
        <v>11.646802811387454</v>
      </c>
      <c r="ET432" s="1998">
        <v>12.284650306766281</v>
      </c>
      <c r="EU432" s="1998">
        <v>10.504631235474312</v>
      </c>
      <c r="EV432" s="1998">
        <v>10.532047171905244</v>
      </c>
      <c r="EW432" s="1998">
        <v>10.582309722028622</v>
      </c>
      <c r="EX432" s="1979">
        <v>9.1174173309056155</v>
      </c>
      <c r="EY432" s="1979">
        <v>9.6276953272086754</v>
      </c>
      <c r="EZ432" s="1979">
        <v>8.2036800701751016</v>
      </c>
      <c r="FA432" s="1979">
        <v>8.2256128193198474</v>
      </c>
      <c r="FB432" s="1979">
        <v>8.2658228594185488</v>
      </c>
      <c r="FC432" s="1998">
        <v>7.949687089445689</v>
      </c>
      <c r="FD432" s="1998">
        <v>8.335794030834899</v>
      </c>
      <c r="FE432" s="1998">
        <v>7.2890911549377133</v>
      </c>
      <c r="FF432" s="1998">
        <v>7.3134608762096542</v>
      </c>
      <c r="FG432" s="1998">
        <v>7.3581386985415467</v>
      </c>
      <c r="FH432" s="1979">
        <v>14.587490325046964</v>
      </c>
      <c r="FI432" s="1979">
        <v>14.684969210134728</v>
      </c>
      <c r="FJ432" s="1979">
        <v>14.774324854798511</v>
      </c>
      <c r="FK432" s="1979">
        <v>14.871803739886271</v>
      </c>
      <c r="FL432" s="1979">
        <v>15.1073777121817</v>
      </c>
      <c r="FM432" s="1998">
        <v>7.5250387219624182</v>
      </c>
      <c r="FN432" s="1998">
        <v>7.7397503970079677</v>
      </c>
      <c r="FO432" s="1998">
        <v>8.4859367504260934</v>
      </c>
      <c r="FP432" s="1998">
        <v>9.2361847240562085</v>
      </c>
      <c r="FQ432" s="1998">
        <v>9.9864326976863236</v>
      </c>
      <c r="FR432" s="1979">
        <v>95.08726508605514</v>
      </c>
      <c r="FS432" s="1979">
        <v>96.264155900369829</v>
      </c>
      <c r="FT432" s="1979">
        <v>97.342972480158295</v>
      </c>
      <c r="FU432" s="1979">
        <v>98.51986329447297</v>
      </c>
      <c r="FV432" s="1979">
        <v>101.36401609573343</v>
      </c>
      <c r="FW432" s="1998">
        <v>98.550732067951259</v>
      </c>
      <c r="FX432" s="1998">
        <v>99.725290173688023</v>
      </c>
      <c r="FY432" s="1998">
        <v>100.80196843728008</v>
      </c>
      <c r="FZ432" s="1998">
        <v>101.97652654301689</v>
      </c>
      <c r="GA432" s="1998">
        <v>104.81504196521411</v>
      </c>
      <c r="GB432" s="1979">
        <v>6.3882597181861414</v>
      </c>
      <c r="GC432" s="1979">
        <v>6.5613635878604306</v>
      </c>
      <c r="GD432" s="1979">
        <v>6.734467457534719</v>
      </c>
      <c r="GE432" s="1979">
        <v>6.9075713272090091</v>
      </c>
      <c r="GF432" s="1979">
        <v>7.0806751968832966</v>
      </c>
      <c r="GG432" s="1998">
        <v>7.6169121836257938</v>
      </c>
      <c r="GH432" s="1998">
        <v>7.7893786149486601</v>
      </c>
      <c r="GI432" s="1998">
        <v>7.9618450462715247</v>
      </c>
      <c r="GJ432" s="1998">
        <v>8.1343114775943892</v>
      </c>
      <c r="GK432" s="2026">
        <v>8.3067779089172546</v>
      </c>
    </row>
    <row r="433" spans="1:193">
      <c r="A433" s="2020"/>
      <c r="B433" s="2">
        <v>10</v>
      </c>
      <c r="C433" s="2" t="s">
        <v>4336</v>
      </c>
      <c r="D433" s="1979">
        <f>IF(Construction!$F$31=Construction!$R$22,Oeko!BQ433,Oeko!ED433)</f>
        <v>7.1771884477611128</v>
      </c>
      <c r="E433" s="1979">
        <f>IF(Construction!$F$31=Construction!$R$22,Oeko!BR433,Oeko!EE433)</f>
        <v>7.4506501086156121</v>
      </c>
      <c r="F433" s="1979">
        <f>IF(Construction!$F$31=Construction!$R$22,Oeko!BS433,Oeko!EF433)</f>
        <v>8.2576172579486808</v>
      </c>
      <c r="G433" s="1979">
        <f>IF(Construction!$F$31=Construction!$R$22,Oeko!BT433,Oeko!EG433)</f>
        <v>9.0666152173877403</v>
      </c>
      <c r="H433" s="1979">
        <f>IF(Construction!$F$31=Construction!$R$22,Oeko!BU433,Oeko!EH433)</f>
        <v>9.8756131768268052</v>
      </c>
      <c r="I433" s="1998">
        <f>IF(Construction!$F$31=Construction!$R$22,Oeko!BV433,Oeko!EI433)</f>
        <v>9.0217582316108018</v>
      </c>
      <c r="J433" s="1998">
        <f>IF(Construction!$F$31=Construction!$R$22,Oeko!BW433,Oeko!EJ433)</f>
        <v>9.3447843347660875</v>
      </c>
      <c r="K433" s="1998">
        <f>IF(Construction!$F$31=Construction!$R$22,Oeko!BX433,Oeko!EK433)</f>
        <v>10.191161875869966</v>
      </c>
      <c r="L433" s="1998">
        <f>IF(Construction!$F$31=Construction!$R$22,Oeko!BY433,Oeko!EL433)</f>
        <v>11.049724277609814</v>
      </c>
      <c r="M433" s="1998">
        <f>IF(Construction!$F$31=Construction!$R$22,Oeko!BZ433,Oeko!EM433)</f>
        <v>11.908286679349663</v>
      </c>
      <c r="N433" s="1979">
        <f>IF(Construction!$F$31=Construction!$R$22,Oeko!CA433,Oeko!EN433)</f>
        <v>7.4735545356326316</v>
      </c>
      <c r="O433" s="1979">
        <f>IF(Construction!$F$31=Construction!$R$22,Oeko!CB433,Oeko!EO433)</f>
        <v>7.909433301722137</v>
      </c>
      <c r="P433" s="1979">
        <f>IF(Construction!$F$31=Construction!$R$22,Oeko!CC433,Oeko!EP433)</f>
        <v>6.713201443553924</v>
      </c>
      <c r="Q433" s="1979">
        <f>IF(Construction!$F$31=Construction!$R$22,Oeko!CD433,Oeko!EQ433)</f>
        <v>6.7410525535789985</v>
      </c>
      <c r="R433" s="1979">
        <f>IF(Construction!$F$31=Construction!$R$22,Oeko!CE433,Oeko!ER433)</f>
        <v>6.7921129219583039</v>
      </c>
      <c r="S433" s="1998">
        <f>IF(Construction!$F$31=Construction!$R$22,Oeko!CF433,Oeko!ES433)</f>
        <v>11.668339280197355</v>
      </c>
      <c r="T433" s="1998">
        <f>IF(Construction!$F$31=Construction!$R$22,Oeko!CG433,Oeko!ET433)</f>
        <v>12.298233552535923</v>
      </c>
      <c r="U433" s="1998">
        <f>IF(Construction!$F$31=Construction!$R$22,Oeko!CH433,Oeko!EU433)</f>
        <v>10.518214481243955</v>
      </c>
      <c r="V433" s="1998">
        <f>IF(Construction!$F$31=Construction!$R$22,Oeko!CI433,Oeko!EV433)</f>
        <v>10.545630417674889</v>
      </c>
      <c r="W433" s="1998">
        <f>IF(Construction!$F$31=Construction!$R$22,Oeko!CJ433,Oeko!EW433)</f>
        <v>10.595892967798267</v>
      </c>
      <c r="X433" s="1979">
        <f>IF(Construction!$F$31=Construction!$R$22,Oeko!CK433,Oeko!EX433)</f>
        <v>8.4117804361814574</v>
      </c>
      <c r="Y433" s="1979">
        <f>IF(Construction!$F$31=Construction!$R$22,Oeko!CL433,Oeko!EY433)</f>
        <v>8.8694531405754375</v>
      </c>
      <c r="Z433" s="1979">
        <f>IF(Construction!$F$31=Construction!$R$22,Oeko!CM433,Oeko!EZ433)</f>
        <v>7.6134096894988135</v>
      </c>
      <c r="AA433" s="1979">
        <f>IF(Construction!$F$31=Construction!$R$22,Oeko!CN433,Oeko!FA433)</f>
        <v>7.6426533550251436</v>
      </c>
      <c r="AB433" s="1979">
        <f>IF(Construction!$F$31=Construction!$R$22,Oeko!CO433,Oeko!FB433)</f>
        <v>7.6962667418234121</v>
      </c>
      <c r="AC433" s="1998">
        <f>IF(Construction!$F$31=Construction!$R$22,Oeko!CP433,Oeko!FC433)</f>
        <v>8.3185491680140782</v>
      </c>
      <c r="AD433" s="1998">
        <f>IF(Construction!$F$31=Construction!$R$22,Oeko!CQ433,Oeko!FD433)</f>
        <v>8.699943088342394</v>
      </c>
      <c r="AE433" s="1998">
        <f>IF(Construction!$F$31=Construction!$R$22,Oeko!CR433,Oeko!FE433)</f>
        <v>7.6532402124452084</v>
      </c>
      <c r="AF433" s="1998">
        <f>IF(Construction!$F$31=Construction!$R$22,Oeko!CS433,Oeko!FF433)</f>
        <v>7.6776099337171493</v>
      </c>
      <c r="AG433" s="1998">
        <f>IF(Construction!$F$31=Construction!$R$22,Oeko!CT433,Oeko!FG433)</f>
        <v>7.7222877560490408</v>
      </c>
      <c r="AH433" s="1979">
        <f>IF(Construction!$F$31=Construction!$R$22,Oeko!CU433,Oeko!FH433)</f>
        <v>11.635309002877278</v>
      </c>
      <c r="AI433" s="1979">
        <f>IF(Construction!$F$31=Construction!$R$22,Oeko!CV433,Oeko!FI433)</f>
        <v>11.781527330508924</v>
      </c>
      <c r="AJ433" s="1979">
        <f>IF(Construction!$F$31=Construction!$R$22,Oeko!CW433,Oeko!FJ433)</f>
        <v>11.9155607975046</v>
      </c>
      <c r="AK433" s="1979">
        <f>IF(Construction!$F$31=Construction!$R$22,Oeko!CX433,Oeko!FK433)</f>
        <v>12.061779125136244</v>
      </c>
      <c r="AL433" s="1979">
        <f>IF(Construction!$F$31=Construction!$R$22,Oeko!CY433,Oeko!FL433)</f>
        <v>12.415140083579383</v>
      </c>
      <c r="AM433" s="1998">
        <f>IF(Construction!$F$31=Construction!$R$22,Oeko!CZ433,Oeko!FM433)</f>
        <v>6.5427562260464507</v>
      </c>
      <c r="AN433" s="1998">
        <f>IF(Construction!$F$31=Construction!$R$22,Oeko!DA433,Oeko!FN433)</f>
        <v>6.7085382220567515</v>
      </c>
      <c r="AO433" s="1998">
        <f>IF(Construction!$F$31=Construction!$R$22,Oeko!DB433,Oeko!FO433)</f>
        <v>7.3449369898595656</v>
      </c>
      <c r="AP433" s="1998">
        <f>IF(Construction!$F$31=Construction!$R$22,Oeko!DC433,Oeko!FP433)</f>
        <v>7.9867512512783687</v>
      </c>
      <c r="AQ433" s="1998">
        <f>IF(Construction!$F$31=Construction!$R$22,Oeko!DD433,Oeko!FQ433)</f>
        <v>8.6285655126971719</v>
      </c>
      <c r="AR433" s="1979">
        <f>IF(Construction!$F$31=Construction!$R$22,Oeko!DE433,Oeko!FR433)</f>
        <v>101.33023064244593</v>
      </c>
      <c r="AS433" s="1979">
        <f>IF(Construction!$F$31=Construction!$R$22,Oeko!DF433,Oeko!FS433)</f>
        <v>102.50712145676059</v>
      </c>
      <c r="AT433" s="1979">
        <f>IF(Construction!$F$31=Construction!$R$22,Oeko!DG433,Oeko!FT433)</f>
        <v>103.58593803654904</v>
      </c>
      <c r="AU433" s="1979">
        <f>IF(Construction!$F$31=Construction!$R$22,Oeko!DH433,Oeko!FU433)</f>
        <v>104.76282885086371</v>
      </c>
      <c r="AV433" s="1979">
        <f>IF(Construction!$F$31=Construction!$R$22,Oeko!DI433,Oeko!FV433)</f>
        <v>107.6069816521242</v>
      </c>
      <c r="AW433" s="1998">
        <f>IF(Construction!$F$31=Construction!$R$22,Oeko!DJ433,Oeko!FW433)</f>
        <v>102.23390875035093</v>
      </c>
      <c r="AX433" s="1998">
        <f>IF(Construction!$F$31=Construction!$R$22,Oeko!DK433,Oeko!FX433)</f>
        <v>103.40846685608771</v>
      </c>
      <c r="AY433" s="1998">
        <f>IF(Construction!$F$31=Construction!$R$22,Oeko!DL433,Oeko!FY433)</f>
        <v>104.48514511967977</v>
      </c>
      <c r="AZ433" s="1998">
        <f>IF(Construction!$F$31=Construction!$R$22,Oeko!DM433,Oeko!FZ433)</f>
        <v>105.65970322541656</v>
      </c>
      <c r="BA433" s="1998">
        <f>IF(Construction!$F$31=Construction!$R$22,Oeko!DN433,Oeko!GA433)</f>
        <v>108.49821864761378</v>
      </c>
      <c r="BB433" s="1979">
        <f>IF(Construction!$F$31=Construction!$R$22,Oeko!DO433,Oeko!GB433)</f>
        <v>6.6931060993886415</v>
      </c>
      <c r="BC433" s="1979">
        <f>IF(Construction!$F$31=Construction!$R$22,Oeko!DP433,Oeko!GC433)</f>
        <v>6.8662099690629299</v>
      </c>
      <c r="BD433" s="1979">
        <f>IF(Construction!$F$31=Construction!$R$22,Oeko!DQ433,Oeko!GD433)</f>
        <v>7.0393138387372201</v>
      </c>
      <c r="BE433" s="1979">
        <f>IF(Construction!$F$31=Construction!$R$22,Oeko!DR433,Oeko!GE433)</f>
        <v>7.2124177084115093</v>
      </c>
      <c r="BF433" s="1979">
        <f>IF(Construction!$F$31=Construction!$R$22,Oeko!DS433,Oeko!GF433)</f>
        <v>7.3855215780857977</v>
      </c>
      <c r="BG433" s="1998">
        <f>IF(Construction!$F$31=Construction!$R$22,Oeko!DT433,Oeko!GG433)</f>
        <v>7.8723212382212369</v>
      </c>
      <c r="BH433" s="1998">
        <f>IF(Construction!$F$31=Construction!$R$22,Oeko!DU433,Oeko!GH433)</f>
        <v>8.0447876695441014</v>
      </c>
      <c r="BI433" s="1998">
        <f>IF(Construction!$F$31=Construction!$R$22,Oeko!DV433,Oeko!GI433)</f>
        <v>8.2172541008669651</v>
      </c>
      <c r="BJ433" s="1998">
        <f>IF(Construction!$F$31=Construction!$R$22,Oeko!DW433,Oeko!GJ433)</f>
        <v>8.3897205321898305</v>
      </c>
      <c r="BK433" s="2026">
        <f>IF(Construction!$F$31=Construction!$R$22,Oeko!DX433,Oeko!GK433)</f>
        <v>8.5621869635126941</v>
      </c>
      <c r="BN433" s="2022"/>
      <c r="BO433" s="2">
        <v>10</v>
      </c>
      <c r="BP433" s="2" t="s">
        <v>4336</v>
      </c>
      <c r="BQ433" s="1979">
        <v>7.1771884477611128</v>
      </c>
      <c r="BR433" s="1979">
        <v>7.4506501086156121</v>
      </c>
      <c r="BS433" s="1979">
        <v>8.2576172579486808</v>
      </c>
      <c r="BT433" s="1979">
        <v>9.0666152173877403</v>
      </c>
      <c r="BU433" s="1979">
        <v>9.8756131768268052</v>
      </c>
      <c r="BV433" s="1998">
        <v>9.0217582316108018</v>
      </c>
      <c r="BW433" s="1998">
        <v>9.3447843347660875</v>
      </c>
      <c r="BX433" s="1998">
        <v>10.191161875869966</v>
      </c>
      <c r="BY433" s="1998">
        <v>11.049724277609814</v>
      </c>
      <c r="BZ433" s="1998">
        <v>11.908286679349663</v>
      </c>
      <c r="CA433" s="1979">
        <v>7.4735545356326316</v>
      </c>
      <c r="CB433" s="1979">
        <v>7.909433301722137</v>
      </c>
      <c r="CC433" s="1979">
        <v>6.713201443553924</v>
      </c>
      <c r="CD433" s="1979">
        <v>6.7410525535789985</v>
      </c>
      <c r="CE433" s="1979">
        <v>6.7921129219583039</v>
      </c>
      <c r="CF433" s="1998">
        <v>11.668339280197355</v>
      </c>
      <c r="CG433" s="1998">
        <v>12.298233552535923</v>
      </c>
      <c r="CH433" s="1998">
        <v>10.518214481243955</v>
      </c>
      <c r="CI433" s="1998">
        <v>10.545630417674889</v>
      </c>
      <c r="CJ433" s="1998">
        <v>10.595892967798267</v>
      </c>
      <c r="CK433" s="1979">
        <v>8.4117804361814574</v>
      </c>
      <c r="CL433" s="1979">
        <v>8.8694531405754375</v>
      </c>
      <c r="CM433" s="1979">
        <v>7.6134096894988135</v>
      </c>
      <c r="CN433" s="1979">
        <v>7.6426533550251436</v>
      </c>
      <c r="CO433" s="1979">
        <v>7.6962667418234121</v>
      </c>
      <c r="CP433" s="1998">
        <v>8.3185491680140782</v>
      </c>
      <c r="CQ433" s="1998">
        <v>8.699943088342394</v>
      </c>
      <c r="CR433" s="1998">
        <v>7.6532402124452084</v>
      </c>
      <c r="CS433" s="1998">
        <v>7.6776099337171493</v>
      </c>
      <c r="CT433" s="1998">
        <v>7.7222877560490408</v>
      </c>
      <c r="CU433" s="1979">
        <v>11.635309002877278</v>
      </c>
      <c r="CV433" s="1979">
        <v>11.781527330508924</v>
      </c>
      <c r="CW433" s="1979">
        <v>11.9155607975046</v>
      </c>
      <c r="CX433" s="1979">
        <v>12.061779125136244</v>
      </c>
      <c r="CY433" s="1979">
        <v>12.415140083579383</v>
      </c>
      <c r="CZ433" s="1998">
        <v>6.5427562260464507</v>
      </c>
      <c r="DA433" s="1998">
        <v>6.7085382220567515</v>
      </c>
      <c r="DB433" s="1998">
        <v>7.3449369898595656</v>
      </c>
      <c r="DC433" s="1998">
        <v>7.9867512512783687</v>
      </c>
      <c r="DD433" s="1998">
        <v>8.6285655126971719</v>
      </c>
      <c r="DE433" s="1979">
        <v>101.33023064244593</v>
      </c>
      <c r="DF433" s="1979">
        <v>102.50712145676059</v>
      </c>
      <c r="DG433" s="1979">
        <v>103.58593803654904</v>
      </c>
      <c r="DH433" s="1979">
        <v>104.76282885086371</v>
      </c>
      <c r="DI433" s="1979">
        <v>107.6069816521242</v>
      </c>
      <c r="DJ433" s="1998">
        <v>102.23390875035093</v>
      </c>
      <c r="DK433" s="1998">
        <v>103.40846685608771</v>
      </c>
      <c r="DL433" s="1998">
        <v>104.48514511967977</v>
      </c>
      <c r="DM433" s="1998">
        <v>105.65970322541656</v>
      </c>
      <c r="DN433" s="1998">
        <v>108.49821864761378</v>
      </c>
      <c r="DO433" s="1979">
        <v>6.6931060993886415</v>
      </c>
      <c r="DP433" s="1979">
        <v>6.8662099690629299</v>
      </c>
      <c r="DQ433" s="1979">
        <v>7.0393138387372201</v>
      </c>
      <c r="DR433" s="1979">
        <v>7.2124177084115093</v>
      </c>
      <c r="DS433" s="1979">
        <v>7.3855215780857977</v>
      </c>
      <c r="DT433" s="1998">
        <v>7.8723212382212369</v>
      </c>
      <c r="DU433" s="1998">
        <v>8.0447876695441014</v>
      </c>
      <c r="DV433" s="1998">
        <v>8.2172541008669651</v>
      </c>
      <c r="DW433" s="1998">
        <v>8.3897205321898305</v>
      </c>
      <c r="DX433" s="2026">
        <v>8.5621869635126941</v>
      </c>
      <c r="EA433" s="2022"/>
      <c r="EB433" s="2">
        <v>10</v>
      </c>
      <c r="EC433" s="2" t="s">
        <v>4336</v>
      </c>
      <c r="ED433" s="1979">
        <v>7.3388504258554601</v>
      </c>
      <c r="EE433" s="1979">
        <v>7.6193816183012979</v>
      </c>
      <c r="EF433" s="1979">
        <v>8.4334182992257052</v>
      </c>
      <c r="EG433" s="1979">
        <v>9.2494857902561041</v>
      </c>
      <c r="EH433" s="1979">
        <v>10.065553281286508</v>
      </c>
      <c r="EI433" s="1998">
        <v>9.6968984985835913</v>
      </c>
      <c r="EJ433" s="1998">
        <v>10.026994133330213</v>
      </c>
      <c r="EK433" s="1998">
        <v>10.880441206025429</v>
      </c>
      <c r="EL433" s="1998">
        <v>11.746073139356612</v>
      </c>
      <c r="EM433" s="1998">
        <v>12.611705072687801</v>
      </c>
      <c r="EN433" s="1979">
        <v>7.7684549962998775</v>
      </c>
      <c r="EO433" s="1979">
        <v>8.2097200721732584</v>
      </c>
      <c r="EP433" s="1979">
        <v>7.0134882140050463</v>
      </c>
      <c r="EQ433" s="1979">
        <v>7.0413393240301207</v>
      </c>
      <c r="ER433" s="1979">
        <v>7.0923996924094261</v>
      </c>
      <c r="ES433" s="1998">
        <v>11.987793738980947</v>
      </c>
      <c r="ET433" s="1998">
        <v>12.625641234359769</v>
      </c>
      <c r="EU433" s="1998">
        <v>10.845622163067802</v>
      </c>
      <c r="EV433" s="1998">
        <v>10.873038099498734</v>
      </c>
      <c r="EW433" s="1998">
        <v>10.923300649622112</v>
      </c>
      <c r="EX433" s="1979">
        <v>8.7081705481483063</v>
      </c>
      <c r="EY433" s="1979">
        <v>9.1714988778153543</v>
      </c>
      <c r="EZ433" s="1979">
        <v>7.9154554267387329</v>
      </c>
      <c r="FA433" s="1979">
        <v>7.9446990922650622</v>
      </c>
      <c r="FB433" s="1979">
        <v>7.9983124790633324</v>
      </c>
      <c r="FC433" s="1998">
        <v>8.4646528209017315</v>
      </c>
      <c r="FD433" s="1998">
        <v>8.8507597622909415</v>
      </c>
      <c r="FE433" s="1998">
        <v>7.8040568863937541</v>
      </c>
      <c r="FF433" s="1998">
        <v>7.8284266076656941</v>
      </c>
      <c r="FG433" s="1998">
        <v>7.8731044299975865</v>
      </c>
      <c r="FH433" s="1979">
        <v>12.198599180744255</v>
      </c>
      <c r="FI433" s="1979">
        <v>12.344817508375899</v>
      </c>
      <c r="FJ433" s="1979">
        <v>12.478850975371575</v>
      </c>
      <c r="FK433" s="1979">
        <v>12.625069303003217</v>
      </c>
      <c r="FL433" s="1979">
        <v>12.978430261446356</v>
      </c>
      <c r="FM433" s="1998">
        <v>7.0329104163792229</v>
      </c>
      <c r="FN433" s="1998">
        <v>7.2049764404707126</v>
      </c>
      <c r="FO433" s="1998">
        <v>7.8476592363547191</v>
      </c>
      <c r="FP433" s="1998">
        <v>8.4957575258547102</v>
      </c>
      <c r="FQ433" s="1998">
        <v>9.1438558153547014</v>
      </c>
      <c r="FR433" s="1979">
        <v>105.79701161101636</v>
      </c>
      <c r="FS433" s="1979">
        <v>106.97390242533103</v>
      </c>
      <c r="FT433" s="1979">
        <v>108.05271900511947</v>
      </c>
      <c r="FU433" s="1979">
        <v>109.22960981943416</v>
      </c>
      <c r="FV433" s="1979">
        <v>112.07376262069464</v>
      </c>
      <c r="FW433" s="1998">
        <v>106.64924447487486</v>
      </c>
      <c r="FX433" s="1998">
        <v>107.82380258061166</v>
      </c>
      <c r="FY433" s="1998">
        <v>108.90048084420371</v>
      </c>
      <c r="FZ433" s="1998">
        <v>110.07503894994051</v>
      </c>
      <c r="GA433" s="1998">
        <v>112.91355437213774</v>
      </c>
      <c r="GB433" s="1979">
        <v>6.873193029742021</v>
      </c>
      <c r="GC433" s="1979">
        <v>7.0462968994163102</v>
      </c>
      <c r="GD433" s="1979">
        <v>7.2194007690906004</v>
      </c>
      <c r="GE433" s="1979">
        <v>7.3925046387648878</v>
      </c>
      <c r="GF433" s="1979">
        <v>7.565608508439178</v>
      </c>
      <c r="GG433" s="1998">
        <v>8.0517450157738519</v>
      </c>
      <c r="GH433" s="1998">
        <v>8.2242114470967156</v>
      </c>
      <c r="GI433" s="1998">
        <v>8.396677878419581</v>
      </c>
      <c r="GJ433" s="1998">
        <v>8.5691443097424465</v>
      </c>
      <c r="GK433" s="2026">
        <v>8.7416107410653119</v>
      </c>
    </row>
    <row r="434" spans="1:193">
      <c r="A434" s="2020"/>
      <c r="B434" s="2">
        <v>11</v>
      </c>
      <c r="C434" s="2" t="s">
        <v>4337</v>
      </c>
      <c r="D434" s="1979">
        <f>IF(Construction!$F$31=Construction!$R$22,Oeko!BQ434,Oeko!ED434)</f>
        <v>7.0334104976056659</v>
      </c>
      <c r="E434" s="1979">
        <f>IF(Construction!$F$31=Construction!$R$22,Oeko!BR434,Oeko!EE434)</f>
        <v>7.3016452796712015</v>
      </c>
      <c r="F434" s="1979">
        <f>IF(Construction!$F$31=Construction!$R$22,Oeko!BS434,Oeko!EF434)</f>
        <v>8.0881710735702903</v>
      </c>
      <c r="G434" s="1979">
        <f>IF(Construction!$F$31=Construction!$R$22,Oeko!BT434,Oeko!EG434)</f>
        <v>8.8770661459263724</v>
      </c>
      <c r="H434" s="1979">
        <f>IF(Construction!$F$31=Construction!$R$22,Oeko!BU434,Oeko!EH434)</f>
        <v>9.6659612182824564</v>
      </c>
      <c r="I434" s="1998">
        <f>IF(Construction!$F$31=Construction!$R$22,Oeko!BV434,Oeko!EI434)</f>
        <v>9.3833153845439803</v>
      </c>
      <c r="J434" s="1998">
        <f>IF(Construction!$F$31=Construction!$R$22,Oeko!BW434,Oeko!EJ434)</f>
        <v>9.7607065361919396</v>
      </c>
      <c r="K434" s="1998">
        <f>IF(Construction!$F$31=Construction!$R$22,Oeko!BX434,Oeko!EK434)</f>
        <v>10.661449125788494</v>
      </c>
      <c r="L434" s="1998">
        <f>IF(Construction!$F$31=Construction!$R$22,Oeko!BY434,Oeko!EL434)</f>
        <v>11.574376576021018</v>
      </c>
      <c r="M434" s="1998">
        <f>IF(Construction!$F$31=Construction!$R$22,Oeko!BZ434,Oeko!EM434)</f>
        <v>12.487304026253542</v>
      </c>
      <c r="N434" s="1979">
        <f>IF(Construction!$F$31=Construction!$R$22,Oeko!CA434,Oeko!EN434)</f>
        <v>7.6304964728382814</v>
      </c>
      <c r="O434" s="1979">
        <f>IF(Construction!$F$31=Construction!$R$22,Oeko!CB434,Oeko!EO434)</f>
        <v>8.0663752389277885</v>
      </c>
      <c r="P434" s="1979">
        <f>IF(Construction!$F$31=Construction!$R$22,Oeko!CC434,Oeko!EP434)</f>
        <v>6.8701433807595746</v>
      </c>
      <c r="Q434" s="1979">
        <f>IF(Construction!$F$31=Construction!$R$22,Oeko!CD434,Oeko!EQ434)</f>
        <v>6.89799449078465</v>
      </c>
      <c r="R434" s="1979">
        <f>IF(Construction!$F$31=Construction!$R$22,Oeko!CE434,Oeko!ER434)</f>
        <v>6.9490548591639536</v>
      </c>
      <c r="S434" s="1998">
        <f>IF(Construction!$F$31=Construction!$R$22,Oeko!CF434,Oeko!ES434)</f>
        <v>11.091382052954991</v>
      </c>
      <c r="T434" s="1998">
        <f>IF(Construction!$F$31=Construction!$R$22,Oeko!CG434,Oeko!ET434)</f>
        <v>11.663472933447467</v>
      </c>
      <c r="U434" s="1998">
        <f>IF(Construction!$F$31=Construction!$R$22,Oeko!CH434,Oeko!EU434)</f>
        <v>10.093418619601689</v>
      </c>
      <c r="V434" s="1998">
        <f>IF(Construction!$F$31=Construction!$R$22,Oeko!CI434,Oeko!EV434)</f>
        <v>10.1299732015096</v>
      </c>
      <c r="W434" s="1998">
        <f>IF(Construction!$F$31=Construction!$R$22,Oeko!CJ434,Oeko!EW434)</f>
        <v>10.196989935007439</v>
      </c>
      <c r="X434" s="1979">
        <f>IF(Construction!$F$31=Construction!$R$22,Oeko!CK434,Oeko!EX434)</f>
        <v>8.7281165283615945</v>
      </c>
      <c r="Y434" s="1979">
        <f>IF(Construction!$F$31=Construction!$R$22,Oeko!CL434,Oeko!EY434)</f>
        <v>9.1857892327555746</v>
      </c>
      <c r="Z434" s="1979">
        <f>IF(Construction!$F$31=Construction!$R$22,Oeko!CM434,Oeko!EZ434)</f>
        <v>7.9297457816789523</v>
      </c>
      <c r="AA434" s="1979">
        <f>IF(Construction!$F$31=Construction!$R$22,Oeko!CN434,Oeko!FA434)</f>
        <v>7.9589894472052816</v>
      </c>
      <c r="AB434" s="1979">
        <f>IF(Construction!$F$31=Construction!$R$22,Oeko!CO434,Oeko!FB434)</f>
        <v>8.01260283400355</v>
      </c>
      <c r="AC434" s="1998">
        <f>IF(Construction!$F$31=Construction!$R$22,Oeko!CP434,Oeko!FC434)</f>
        <v>7.5050488035708351</v>
      </c>
      <c r="AD434" s="1998">
        <f>IF(Construction!$F$31=Construction!$R$22,Oeko!CQ434,Oeko!FD434)</f>
        <v>7.8093715347710271</v>
      </c>
      <c r="AE434" s="1998">
        <f>IF(Construction!$F$31=Construction!$R$22,Oeko!CR434,Oeko!FE434)</f>
        <v>7.0426216688020942</v>
      </c>
      <c r="AF434" s="1998">
        <f>IF(Construction!$F$31=Construction!$R$22,Oeko!CS434,Oeko!FF434)</f>
        <v>7.079176250710006</v>
      </c>
      <c r="AG434" s="1998">
        <f>IF(Construction!$F$31=Construction!$R$22,Oeko!CT434,Oeko!FG434)</f>
        <v>7.1461929842078424</v>
      </c>
      <c r="AH434" s="1979">
        <f>IF(Construction!$F$31=Construction!$R$22,Oeko!CU434,Oeko!FH434)</f>
        <v>12.087837302990971</v>
      </c>
      <c r="AI434" s="1979">
        <f>IF(Construction!$F$31=Construction!$R$22,Oeko!CV434,Oeko!FI434)</f>
        <v>12.234055630622617</v>
      </c>
      <c r="AJ434" s="1979">
        <f>IF(Construction!$F$31=Construction!$R$22,Oeko!CW434,Oeko!FJ434)</f>
        <v>12.36808909761829</v>
      </c>
      <c r="AK434" s="1979">
        <f>IF(Construction!$F$31=Construction!$R$22,Oeko!CX434,Oeko!FK434)</f>
        <v>12.514307425249934</v>
      </c>
      <c r="AL434" s="1979">
        <f>IF(Construction!$F$31=Construction!$R$22,Oeko!CY434,Oeko!FL434)</f>
        <v>12.867668383693074</v>
      </c>
      <c r="AM434" s="1998">
        <f>IF(Construction!$F$31=Construction!$R$22,Oeko!CZ434,Oeko!FM434)</f>
        <v>6.7684813293392372</v>
      </c>
      <c r="AN434" s="1998">
        <f>IF(Construction!$F$31=Construction!$R$22,Oeko!DA434,Oeko!FN434)</f>
        <v>6.9675855839281322</v>
      </c>
      <c r="AO434" s="1998">
        <f>IF(Construction!$F$31=Construction!$R$22,Oeko!DB434,Oeko!FO434)</f>
        <v>7.6373066103095422</v>
      </c>
      <c r="AP434" s="1998">
        <f>IF(Construction!$F$31=Construction!$R$22,Oeko!DC434,Oeko!FP434)</f>
        <v>8.3124431303069386</v>
      </c>
      <c r="AQ434" s="1998">
        <f>IF(Construction!$F$31=Construction!$R$22,Oeko!DD434,Oeko!FQ434)</f>
        <v>8.9875796503043368</v>
      </c>
      <c r="AR434" s="1979">
        <f>IF(Construction!$F$31=Construction!$R$22,Oeko!DE434,Oeko!FR434)</f>
        <v>108.76666833238637</v>
      </c>
      <c r="AS434" s="1979">
        <f>IF(Construction!$F$31=Construction!$R$22,Oeko!DF434,Oeko!FS434)</f>
        <v>109.94355914670105</v>
      </c>
      <c r="AT434" s="1979">
        <f>IF(Construction!$F$31=Construction!$R$22,Oeko!DG434,Oeko!FT434)</f>
        <v>111.02237572648951</v>
      </c>
      <c r="AU434" s="1979">
        <f>IF(Construction!$F$31=Construction!$R$22,Oeko!DH434,Oeko!FU434)</f>
        <v>112.1992665408042</v>
      </c>
      <c r="AV434" s="1979">
        <f>IF(Construction!$F$31=Construction!$R$22,Oeko!DI434,Oeko!FV434)</f>
        <v>115.04341934206467</v>
      </c>
      <c r="AW434" s="1998">
        <f>IF(Construction!$F$31=Construction!$R$22,Oeko!DJ434,Oeko!FW434)</f>
        <v>108.54235202413969</v>
      </c>
      <c r="AX434" s="1998">
        <f>IF(Construction!$F$31=Construction!$R$22,Oeko!DK434,Oeko!FX434)</f>
        <v>109.71691012987647</v>
      </c>
      <c r="AY434" s="1998">
        <f>IF(Construction!$F$31=Construction!$R$22,Oeko!DL434,Oeko!FY434)</f>
        <v>110.79358839346854</v>
      </c>
      <c r="AZ434" s="1998">
        <f>IF(Construction!$F$31=Construction!$R$22,Oeko!DM434,Oeko!FZ434)</f>
        <v>111.96814649920532</v>
      </c>
      <c r="BA434" s="1998">
        <f>IF(Construction!$F$31=Construction!$R$22,Oeko!DN434,Oeko!GA434)</f>
        <v>114.80666192140256</v>
      </c>
      <c r="BB434" s="1979">
        <f>IF(Construction!$F$31=Construction!$R$22,Oeko!DO434,Oeko!GB434)</f>
        <v>7.2992727388334924</v>
      </c>
      <c r="BC434" s="1979">
        <f>IF(Construction!$F$31=Construction!$R$22,Oeko!DP434,Oeko!GC434)</f>
        <v>7.4723766085077807</v>
      </c>
      <c r="BD434" s="1979">
        <f>IF(Construction!$F$31=Construction!$R$22,Oeko!DQ434,Oeko!GD434)</f>
        <v>7.6454804781820691</v>
      </c>
      <c r="BE434" s="1979">
        <f>IF(Construction!$F$31=Construction!$R$22,Oeko!DR434,Oeko!GE434)</f>
        <v>7.8185843478563601</v>
      </c>
      <c r="BF434" s="1979">
        <f>IF(Construction!$F$31=Construction!$R$22,Oeko!DS434,Oeko!GF434)</f>
        <v>7.9916882175306467</v>
      </c>
      <c r="BG434" s="1998">
        <f>IF(Construction!$F$31=Construction!$R$22,Oeko!DT434,Oeko!GG434)</f>
        <v>8.2709180010236238</v>
      </c>
      <c r="BH434" s="1998">
        <f>IF(Construction!$F$31=Construction!$R$22,Oeko!DU434,Oeko!GH434)</f>
        <v>8.4433844323464875</v>
      </c>
      <c r="BI434" s="1998">
        <f>IF(Construction!$F$31=Construction!$R$22,Oeko!DV434,Oeko!GI434)</f>
        <v>8.6158508636693529</v>
      </c>
      <c r="BJ434" s="1998">
        <f>IF(Construction!$F$31=Construction!$R$22,Oeko!DW434,Oeko!GJ434)</f>
        <v>8.7883172949922166</v>
      </c>
      <c r="BK434" s="2026">
        <f>IF(Construction!$F$31=Construction!$R$22,Oeko!DX434,Oeko!GK434)</f>
        <v>8.960783726315082</v>
      </c>
      <c r="BN434" s="2022"/>
      <c r="BO434" s="2">
        <v>11</v>
      </c>
      <c r="BP434" s="2" t="s">
        <v>4337</v>
      </c>
      <c r="BQ434" s="1979">
        <v>7.0334104976056659</v>
      </c>
      <c r="BR434" s="1979">
        <v>7.3016452796712015</v>
      </c>
      <c r="BS434" s="1979">
        <v>8.0881710735702903</v>
      </c>
      <c r="BT434" s="1979">
        <v>8.8770661459263724</v>
      </c>
      <c r="BU434" s="1979">
        <v>9.6659612182824564</v>
      </c>
      <c r="BV434" s="1998">
        <v>9.3833153845439803</v>
      </c>
      <c r="BW434" s="1998">
        <v>9.7607065361919396</v>
      </c>
      <c r="BX434" s="1998">
        <v>10.661449125788494</v>
      </c>
      <c r="BY434" s="1998">
        <v>11.574376576021018</v>
      </c>
      <c r="BZ434" s="1998">
        <v>12.487304026253542</v>
      </c>
      <c r="CA434" s="1979">
        <v>7.6304964728382814</v>
      </c>
      <c r="CB434" s="1979">
        <v>8.0663752389277885</v>
      </c>
      <c r="CC434" s="1979">
        <v>6.8701433807595746</v>
      </c>
      <c r="CD434" s="1979">
        <v>6.89799449078465</v>
      </c>
      <c r="CE434" s="1979">
        <v>6.9490548591639536</v>
      </c>
      <c r="CF434" s="1998">
        <v>11.091382052954991</v>
      </c>
      <c r="CG434" s="1998">
        <v>11.663472933447467</v>
      </c>
      <c r="CH434" s="1998">
        <v>10.093418619601689</v>
      </c>
      <c r="CI434" s="1998">
        <v>10.1299732015096</v>
      </c>
      <c r="CJ434" s="1998">
        <v>10.196989935007439</v>
      </c>
      <c r="CK434" s="1979">
        <v>8.7281165283615945</v>
      </c>
      <c r="CL434" s="1979">
        <v>9.1857892327555746</v>
      </c>
      <c r="CM434" s="1979">
        <v>7.9297457816789523</v>
      </c>
      <c r="CN434" s="1979">
        <v>7.9589894472052816</v>
      </c>
      <c r="CO434" s="1979">
        <v>8.01260283400355</v>
      </c>
      <c r="CP434" s="1998">
        <v>7.5050488035708351</v>
      </c>
      <c r="CQ434" s="1998">
        <v>7.8093715347710271</v>
      </c>
      <c r="CR434" s="1998">
        <v>7.0426216688020942</v>
      </c>
      <c r="CS434" s="1998">
        <v>7.079176250710006</v>
      </c>
      <c r="CT434" s="1998">
        <v>7.1461929842078424</v>
      </c>
      <c r="CU434" s="1979">
        <v>12.087837302990971</v>
      </c>
      <c r="CV434" s="1979">
        <v>12.234055630622617</v>
      </c>
      <c r="CW434" s="1979">
        <v>12.36808909761829</v>
      </c>
      <c r="CX434" s="1979">
        <v>12.514307425249934</v>
      </c>
      <c r="CY434" s="1979">
        <v>12.867668383693074</v>
      </c>
      <c r="CZ434" s="1998">
        <v>6.7684813293392372</v>
      </c>
      <c r="DA434" s="1998">
        <v>6.9675855839281322</v>
      </c>
      <c r="DB434" s="1998">
        <v>7.6373066103095422</v>
      </c>
      <c r="DC434" s="1998">
        <v>8.3124431303069386</v>
      </c>
      <c r="DD434" s="1998">
        <v>8.9875796503043368</v>
      </c>
      <c r="DE434" s="1979">
        <v>108.76666833238637</v>
      </c>
      <c r="DF434" s="1979">
        <v>109.94355914670105</v>
      </c>
      <c r="DG434" s="1979">
        <v>111.02237572648951</v>
      </c>
      <c r="DH434" s="1979">
        <v>112.1992665408042</v>
      </c>
      <c r="DI434" s="1979">
        <v>115.04341934206467</v>
      </c>
      <c r="DJ434" s="1998">
        <v>108.54235202413969</v>
      </c>
      <c r="DK434" s="1998">
        <v>109.71691012987647</v>
      </c>
      <c r="DL434" s="1998">
        <v>110.79358839346854</v>
      </c>
      <c r="DM434" s="1998">
        <v>111.96814649920532</v>
      </c>
      <c r="DN434" s="1998">
        <v>114.80666192140256</v>
      </c>
      <c r="DO434" s="1979">
        <v>7.2992727388334924</v>
      </c>
      <c r="DP434" s="1979">
        <v>7.4723766085077807</v>
      </c>
      <c r="DQ434" s="1979">
        <v>7.6454804781820691</v>
      </c>
      <c r="DR434" s="1979">
        <v>7.8185843478563601</v>
      </c>
      <c r="DS434" s="1979">
        <v>7.9916882175306467</v>
      </c>
      <c r="DT434" s="1998">
        <v>8.2709180010236238</v>
      </c>
      <c r="DU434" s="1998">
        <v>8.4433844323464875</v>
      </c>
      <c r="DV434" s="1998">
        <v>8.6158508636693529</v>
      </c>
      <c r="DW434" s="1998">
        <v>8.7883172949922166</v>
      </c>
      <c r="DX434" s="2026">
        <v>8.960783726315082</v>
      </c>
      <c r="EA434" s="2022"/>
      <c r="EB434" s="2">
        <v>11</v>
      </c>
      <c r="EC434" s="2" t="s">
        <v>4337</v>
      </c>
      <c r="ED434" s="1979">
        <v>7.2110190895736581</v>
      </c>
      <c r="EE434" s="1979">
        <v>7.4861270273529943</v>
      </c>
      <c r="EF434" s="1979">
        <v>8.2795259769658838</v>
      </c>
      <c r="EG434" s="1979">
        <v>9.0752942050357674</v>
      </c>
      <c r="EH434" s="1979">
        <v>9.8710624331056529</v>
      </c>
      <c r="EI434" s="1998">
        <v>10.051569744122606</v>
      </c>
      <c r="EJ434" s="1998">
        <v>10.436030427361903</v>
      </c>
      <c r="EK434" s="1998">
        <v>11.343842548549796</v>
      </c>
      <c r="EL434" s="1998">
        <v>12.263839530373657</v>
      </c>
      <c r="EM434" s="1998">
        <v>13.183836512197521</v>
      </c>
      <c r="EN434" s="1979">
        <v>7.9354962643502978</v>
      </c>
      <c r="EO434" s="1979">
        <v>8.3767613402236787</v>
      </c>
      <c r="EP434" s="1979">
        <v>7.1805294820554657</v>
      </c>
      <c r="EQ434" s="1979">
        <v>7.2083805920805419</v>
      </c>
      <c r="ER434" s="1979">
        <v>7.2594409604598455</v>
      </c>
      <c r="ES434" s="1998">
        <v>11.49169427931451</v>
      </c>
      <c r="ET434" s="1998">
        <v>12.070854691398326</v>
      </c>
      <c r="EU434" s="1998">
        <v>10.500800377552547</v>
      </c>
      <c r="EV434" s="1998">
        <v>10.537354959460457</v>
      </c>
      <c r="EW434" s="1998">
        <v>10.604371692958296</v>
      </c>
      <c r="EX434" s="1979">
        <v>9.0377620120622026</v>
      </c>
      <c r="EY434" s="1979">
        <v>9.5010903417292525</v>
      </c>
      <c r="EZ434" s="1979">
        <v>8.2450468906526311</v>
      </c>
      <c r="FA434" s="1979">
        <v>8.2742905561789595</v>
      </c>
      <c r="FB434" s="1979">
        <v>8.3279039429772297</v>
      </c>
      <c r="FC434" s="1998">
        <v>7.6853218591499557</v>
      </c>
      <c r="FD434" s="1998">
        <v>7.9931793561458182</v>
      </c>
      <c r="FE434" s="1998">
        <v>7.2264294901768835</v>
      </c>
      <c r="FF434" s="1998">
        <v>7.2629840720847945</v>
      </c>
      <c r="FG434" s="1998">
        <v>7.3300008055826318</v>
      </c>
      <c r="FH434" s="1979">
        <v>12.66930627637853</v>
      </c>
      <c r="FI434" s="1979">
        <v>12.815524604010173</v>
      </c>
      <c r="FJ434" s="1979">
        <v>12.949558071005846</v>
      </c>
      <c r="FK434" s="1979">
        <v>13.09577639863749</v>
      </c>
      <c r="FL434" s="1979">
        <v>13.44913735708063</v>
      </c>
      <c r="FM434" s="1998">
        <v>7.2586355196720111</v>
      </c>
      <c r="FN434" s="1998">
        <v>7.4640238023420951</v>
      </c>
      <c r="FO434" s="1998">
        <v>8.1400288568046939</v>
      </c>
      <c r="FP434" s="1998">
        <v>8.8214494048832819</v>
      </c>
      <c r="FQ434" s="1998">
        <v>9.5028699529618681</v>
      </c>
      <c r="FR434" s="1979">
        <v>113.4468305574172</v>
      </c>
      <c r="FS434" s="1979">
        <v>114.62372137173188</v>
      </c>
      <c r="FT434" s="1979">
        <v>115.70253795152034</v>
      </c>
      <c r="FU434" s="1979">
        <v>116.87942876583502</v>
      </c>
      <c r="FV434" s="1979">
        <v>119.72358156709548</v>
      </c>
      <c r="FW434" s="1998">
        <v>113.12805440041375</v>
      </c>
      <c r="FX434" s="1998">
        <v>114.30261250615052</v>
      </c>
      <c r="FY434" s="1998">
        <v>115.3792907697426</v>
      </c>
      <c r="FZ434" s="1998">
        <v>116.55384887547937</v>
      </c>
      <c r="GA434" s="1998">
        <v>119.39236429767662</v>
      </c>
      <c r="GB434" s="1979">
        <v>7.4793596691868709</v>
      </c>
      <c r="GC434" s="1979">
        <v>7.6524635388611602</v>
      </c>
      <c r="GD434" s="1979">
        <v>7.8255674085354494</v>
      </c>
      <c r="GE434" s="1979">
        <v>7.9986712782097387</v>
      </c>
      <c r="GF434" s="1979">
        <v>8.171775147884027</v>
      </c>
      <c r="GG434" s="1998">
        <v>8.4503417785762398</v>
      </c>
      <c r="GH434" s="1998">
        <v>8.6228082098991052</v>
      </c>
      <c r="GI434" s="1998">
        <v>8.7952746412219689</v>
      </c>
      <c r="GJ434" s="1998">
        <v>8.9677410725448343</v>
      </c>
      <c r="GK434" s="2026">
        <v>9.140207503867698</v>
      </c>
    </row>
    <row r="435" spans="1:193">
      <c r="A435" s="2020"/>
      <c r="B435" s="2">
        <v>12</v>
      </c>
      <c r="C435" s="2" t="s">
        <v>4338</v>
      </c>
      <c r="D435" s="1979">
        <f>IF(Construction!$F$31=Construction!$R$22,Oeko!BQ435,Oeko!ED435)</f>
        <v>7.0282412022959146</v>
      </c>
      <c r="E435" s="1979">
        <f>IF(Construction!$F$31=Construction!$R$22,Oeko!BR435,Oeko!EE435)</f>
        <v>7.3252069792464702</v>
      </c>
      <c r="F435" s="1979">
        <f>IF(Construction!$F$31=Construction!$R$22,Oeko!BS435,Oeko!EF435)</f>
        <v>8.1191635007275593</v>
      </c>
      <c r="G435" s="1979">
        <f>IF(Construction!$F$31=Construction!$R$22,Oeko!BT435,Oeko!EG435)</f>
        <v>8.9159631563570443</v>
      </c>
      <c r="H435" s="1979">
        <f>IF(Construction!$F$31=Construction!$R$22,Oeko!BU435,Oeko!EH435)</f>
        <v>9.7127628119865275</v>
      </c>
      <c r="I435" s="1998">
        <f>IF(Construction!$F$31=Construction!$R$22,Oeko!BV435,Oeko!EI435)</f>
        <v>9.5266293463868692</v>
      </c>
      <c r="J435" s="1998">
        <f>IF(Construction!$F$31=Construction!$R$22,Oeko!BW435,Oeko!EJ435)</f>
        <v>9.9313590643262071</v>
      </c>
      <c r="K435" s="1998">
        <f>IF(Construction!$F$31=Construction!$R$22,Oeko!BX435,Oeko!EK435)</f>
        <v>10.859440220214141</v>
      </c>
      <c r="L435" s="1998">
        <f>IF(Construction!$F$31=Construction!$R$22,Oeko!BY435,Oeko!EL435)</f>
        <v>11.799706236738047</v>
      </c>
      <c r="M435" s="1998">
        <f>IF(Construction!$F$31=Construction!$R$22,Oeko!BZ435,Oeko!EM435)</f>
        <v>12.739972253261948</v>
      </c>
      <c r="N435" s="1979">
        <f>IF(Construction!$F$31=Construction!$R$22,Oeko!CA435,Oeko!EN435)</f>
        <v>6.4318346115384166</v>
      </c>
      <c r="O435" s="1979">
        <f>IF(Construction!$F$31=Construction!$R$22,Oeko!CB435,Oeko!EO435)</f>
        <v>6.7796320186243522</v>
      </c>
      <c r="P435" s="1979">
        <f>IF(Construction!$F$31=Construction!$R$22,Oeko!CC435,Oeko!EP435)</f>
        <v>5.9033464575169994</v>
      </c>
      <c r="Q435" s="1979">
        <f>IF(Construction!$F$31=Construction!$R$22,Oeko!CD435,Oeko!EQ435)</f>
        <v>5.9451231225546124</v>
      </c>
      <c r="R435" s="1979">
        <f>IF(Construction!$F$31=Construction!$R$22,Oeko!CE435,Oeko!ER435)</f>
        <v>6.0217136751235696</v>
      </c>
      <c r="S435" s="1998">
        <f>IF(Construction!$F$31=Construction!$R$22,Oeko!CF435,Oeko!ES435)</f>
        <v>9.8749710697338084</v>
      </c>
      <c r="T435" s="1998">
        <f>IF(Construction!$F$31=Construction!$R$22,Oeko!CG435,Oeko!ET435)</f>
        <v>10.3314551665341</v>
      </c>
      <c r="U435" s="1998">
        <f>IF(Construction!$F$31=Construction!$R$22,Oeko!CH435,Oeko!EU435)</f>
        <v>9.1813303675806974</v>
      </c>
      <c r="V435" s="1998">
        <f>IF(Construction!$F$31=Construction!$R$22,Oeko!CI435,Oeko!EV435)</f>
        <v>9.2361622404425638</v>
      </c>
      <c r="W435" s="1998">
        <f>IF(Construction!$F$31=Construction!$R$22,Oeko!CJ435,Oeko!EW435)</f>
        <v>9.3366873406893198</v>
      </c>
      <c r="X435" s="1979">
        <f>IF(Construction!$F$31=Construction!$R$22,Oeko!CK435,Oeko!EX435)</f>
        <v>7.6696225439339427</v>
      </c>
      <c r="Y435" s="1979">
        <f>IF(Construction!$F$31=Construction!$R$22,Oeko!CL435,Oeko!EY435)</f>
        <v>8.0348098213741732</v>
      </c>
      <c r="Z435" s="1979">
        <f>IF(Construction!$F$31=Construction!$R$22,Oeko!CM435,Oeko!EZ435)</f>
        <v>7.1147099822114539</v>
      </c>
      <c r="AA435" s="1979">
        <f>IF(Construction!$F$31=Construction!$R$22,Oeko!CN435,Oeko!FA435)</f>
        <v>7.1585754805009474</v>
      </c>
      <c r="AB435" s="1979">
        <f>IF(Construction!$F$31=Construction!$R$22,Oeko!CO435,Oeko!FB435)</f>
        <v>7.2389955606983509</v>
      </c>
      <c r="AC435" s="1998">
        <f>IF(Construction!$F$31=Construction!$R$22,Oeko!CP435,Oeko!FC435)</f>
        <v>7.1150476227660659</v>
      </c>
      <c r="AD435" s="1998">
        <f>IF(Construction!$F$31=Construction!$R$22,Oeko!CQ435,Oeko!FD435)</f>
        <v>7.1881567865818878</v>
      </c>
      <c r="AE435" s="1998">
        <f>IF(Construction!$F$31=Construction!$R$22,Oeko!CR435,Oeko!FE435)</f>
        <v>7.2612659503977115</v>
      </c>
      <c r="AF435" s="1998">
        <f>IF(Construction!$F$31=Construction!$R$22,Oeko!CS435,Oeko!FF435)</f>
        <v>7.3343751142135334</v>
      </c>
      <c r="AG435" s="1998">
        <f>IF(Construction!$F$31=Construction!$R$22,Oeko!CT435,Oeko!FG435)</f>
        <v>7.4684085812092063</v>
      </c>
      <c r="AH435" s="1979">
        <f>IF(Construction!$F$31=Construction!$R$22,Oeko!CU435,Oeko!FH435)</f>
        <v>14.067648615988364</v>
      </c>
      <c r="AI435" s="1979">
        <f>IF(Construction!$F$31=Construction!$R$22,Oeko!CV435,Oeko!FI435)</f>
        <v>14.21386694362001</v>
      </c>
      <c r="AJ435" s="1979">
        <f>IF(Construction!$F$31=Construction!$R$22,Oeko!CW435,Oeko!FJ435)</f>
        <v>14.347900410615681</v>
      </c>
      <c r="AK435" s="1979">
        <f>IF(Construction!$F$31=Construction!$R$22,Oeko!CX435,Oeko!FK435)</f>
        <v>14.494118738247325</v>
      </c>
      <c r="AL435" s="1979">
        <f>IF(Construction!$F$31=Construction!$R$22,Oeko!CY435,Oeko!FL435)</f>
        <v>14.847479696690465</v>
      </c>
      <c r="AM435" s="1998">
        <f>IF(Construction!$F$31=Construction!$R$22,Oeko!CZ435,Oeko!FM435)</f>
        <v>7.060562733496381</v>
      </c>
      <c r="AN435" s="1998">
        <f>IF(Construction!$F$31=Construction!$R$22,Oeko!DA435,Oeko!FN435)</f>
        <v>7.3072702146261275</v>
      </c>
      <c r="AO435" s="1998">
        <f>IF(Construction!$F$31=Construction!$R$22,Oeko!DB435,Oeko!FO435)</f>
        <v>8.024594467548388</v>
      </c>
      <c r="AP435" s="1998">
        <f>IF(Construction!$F$31=Construction!$R$22,Oeko!DC435,Oeko!FP435)</f>
        <v>8.7473342140866333</v>
      </c>
      <c r="AQ435" s="1998">
        <f>IF(Construction!$F$31=Construction!$R$22,Oeko!DD435,Oeko!FQ435)</f>
        <v>9.470073960624882</v>
      </c>
      <c r="AR435" s="1979">
        <f>IF(Construction!$F$31=Construction!$R$22,Oeko!DE435,Oeko!FR435)</f>
        <v>128.10140632623163</v>
      </c>
      <c r="AS435" s="1979">
        <f>IF(Construction!$F$31=Construction!$R$22,Oeko!DF435,Oeko!FS435)</f>
        <v>129.27829714054633</v>
      </c>
      <c r="AT435" s="1979">
        <f>IF(Construction!$F$31=Construction!$R$22,Oeko!DG435,Oeko!FT435)</f>
        <v>130.35711372033478</v>
      </c>
      <c r="AU435" s="1979">
        <f>IF(Construction!$F$31=Construction!$R$22,Oeko!DH435,Oeko!FU435)</f>
        <v>131.53400453464943</v>
      </c>
      <c r="AV435" s="1979">
        <f>IF(Construction!$F$31=Construction!$R$22,Oeko!DI435,Oeko!FV435)</f>
        <v>134.37815733590989</v>
      </c>
      <c r="AW435" s="1998">
        <f>IF(Construction!$F$31=Construction!$R$22,Oeko!DJ435,Oeko!FW435)</f>
        <v>132.19901430084758</v>
      </c>
      <c r="AX435" s="1998">
        <f>IF(Construction!$F$31=Construction!$R$22,Oeko!DK435,Oeko!FX435)</f>
        <v>133.37357240658437</v>
      </c>
      <c r="AY435" s="1998">
        <f>IF(Construction!$F$31=Construction!$R$22,Oeko!DL435,Oeko!FY435)</f>
        <v>134.45025067017642</v>
      </c>
      <c r="AZ435" s="1998">
        <f>IF(Construction!$F$31=Construction!$R$22,Oeko!DM435,Oeko!FZ435)</f>
        <v>135.62480877591318</v>
      </c>
      <c r="BA435" s="1998">
        <f>IF(Construction!$F$31=Construction!$R$22,Oeko!DN435,Oeko!GA435)</f>
        <v>138.46332419811046</v>
      </c>
      <c r="BB435" s="1979">
        <f>IF(Construction!$F$31=Construction!$R$22,Oeko!DO435,Oeko!GB435)</f>
        <v>5.2736297914715493</v>
      </c>
      <c r="BC435" s="1979">
        <f>IF(Construction!$F$31=Construction!$R$22,Oeko!DP435,Oeko!GC435)</f>
        <v>5.6198375308201269</v>
      </c>
      <c r="BD435" s="1979">
        <f>IF(Construction!$F$31=Construction!$R$22,Oeko!DQ435,Oeko!GD435)</f>
        <v>5.9660452701687063</v>
      </c>
      <c r="BE435" s="1979">
        <f>IF(Construction!$F$31=Construction!$R$22,Oeko!DR435,Oeko!GE435)</f>
        <v>6.3122530095172849</v>
      </c>
      <c r="BF435" s="1979">
        <f>IF(Construction!$F$31=Construction!$R$22,Oeko!DS435,Oeko!GF435)</f>
        <v>6.6584607488658616</v>
      </c>
      <c r="BG435" s="1998">
        <f>IF(Construction!$F$31=Construction!$R$22,Oeko!DT435,Oeko!GG435)</f>
        <v>6.8634046413778469</v>
      </c>
      <c r="BH435" s="1998">
        <f>IF(Construction!$F$31=Construction!$R$22,Oeko!DU435,Oeko!GH435)</f>
        <v>7.2083375040235769</v>
      </c>
      <c r="BI435" s="1998">
        <f>IF(Construction!$F$31=Construction!$R$22,Oeko!DV435,Oeko!GI435)</f>
        <v>7.5532703666693068</v>
      </c>
      <c r="BJ435" s="1998">
        <f>IF(Construction!$F$31=Construction!$R$22,Oeko!DW435,Oeko!GJ435)</f>
        <v>7.8982032293150359</v>
      </c>
      <c r="BK435" s="2026">
        <f>IF(Construction!$F$31=Construction!$R$22,Oeko!DX435,Oeko!GK435)</f>
        <v>8.2431360919607659</v>
      </c>
      <c r="BN435" s="2022"/>
      <c r="BO435" s="2">
        <v>12</v>
      </c>
      <c r="BP435" s="2" t="s">
        <v>4338</v>
      </c>
      <c r="BQ435" s="1979">
        <v>7.0282412022959146</v>
      </c>
      <c r="BR435" s="1979">
        <v>7.3252069792464702</v>
      </c>
      <c r="BS435" s="1979">
        <v>8.1191635007275593</v>
      </c>
      <c r="BT435" s="1979">
        <v>8.9159631563570443</v>
      </c>
      <c r="BU435" s="1979">
        <v>9.7127628119865275</v>
      </c>
      <c r="BV435" s="1998">
        <v>9.5266293463868692</v>
      </c>
      <c r="BW435" s="1998">
        <v>9.9313590643262071</v>
      </c>
      <c r="BX435" s="1998">
        <v>10.859440220214141</v>
      </c>
      <c r="BY435" s="1998">
        <v>11.799706236738047</v>
      </c>
      <c r="BZ435" s="1998">
        <v>12.739972253261948</v>
      </c>
      <c r="CA435" s="1979">
        <v>6.4318346115384166</v>
      </c>
      <c r="CB435" s="1979">
        <v>6.7796320186243522</v>
      </c>
      <c r="CC435" s="1979">
        <v>5.9033464575169994</v>
      </c>
      <c r="CD435" s="1979">
        <v>5.9451231225546124</v>
      </c>
      <c r="CE435" s="1979">
        <v>6.0217136751235696</v>
      </c>
      <c r="CF435" s="1998">
        <v>9.8749710697338084</v>
      </c>
      <c r="CG435" s="1998">
        <v>10.3314551665341</v>
      </c>
      <c r="CH435" s="1998">
        <v>9.1813303675806974</v>
      </c>
      <c r="CI435" s="1998">
        <v>9.2361622404425638</v>
      </c>
      <c r="CJ435" s="1998">
        <v>9.3366873406893198</v>
      </c>
      <c r="CK435" s="1979">
        <v>7.6696225439339427</v>
      </c>
      <c r="CL435" s="1979">
        <v>8.0348098213741732</v>
      </c>
      <c r="CM435" s="1979">
        <v>7.1147099822114539</v>
      </c>
      <c r="CN435" s="1979">
        <v>7.1585754805009474</v>
      </c>
      <c r="CO435" s="1979">
        <v>7.2389955606983509</v>
      </c>
      <c r="CP435" s="1998">
        <v>7.1150476227660659</v>
      </c>
      <c r="CQ435" s="1998">
        <v>7.1881567865818878</v>
      </c>
      <c r="CR435" s="1998">
        <v>7.2612659503977115</v>
      </c>
      <c r="CS435" s="1998">
        <v>7.3343751142135334</v>
      </c>
      <c r="CT435" s="1998">
        <v>7.4684085812092063</v>
      </c>
      <c r="CU435" s="1979">
        <v>14.067648615988364</v>
      </c>
      <c r="CV435" s="1979">
        <v>14.21386694362001</v>
      </c>
      <c r="CW435" s="1979">
        <v>14.347900410615681</v>
      </c>
      <c r="CX435" s="1979">
        <v>14.494118738247325</v>
      </c>
      <c r="CY435" s="1979">
        <v>14.847479696690465</v>
      </c>
      <c r="CZ435" s="1998">
        <v>7.060562733496381</v>
      </c>
      <c r="DA435" s="1998">
        <v>7.3072702146261275</v>
      </c>
      <c r="DB435" s="1998">
        <v>8.024594467548388</v>
      </c>
      <c r="DC435" s="1998">
        <v>8.7473342140866333</v>
      </c>
      <c r="DD435" s="1998">
        <v>9.470073960624882</v>
      </c>
      <c r="DE435" s="1979">
        <v>128.10140632623163</v>
      </c>
      <c r="DF435" s="1979">
        <v>129.27829714054633</v>
      </c>
      <c r="DG435" s="1979">
        <v>130.35711372033478</v>
      </c>
      <c r="DH435" s="1979">
        <v>131.53400453464943</v>
      </c>
      <c r="DI435" s="1979">
        <v>134.37815733590989</v>
      </c>
      <c r="DJ435" s="1998">
        <v>132.19901430084758</v>
      </c>
      <c r="DK435" s="1998">
        <v>133.37357240658437</v>
      </c>
      <c r="DL435" s="1998">
        <v>134.45025067017642</v>
      </c>
      <c r="DM435" s="1998">
        <v>135.62480877591318</v>
      </c>
      <c r="DN435" s="1998">
        <v>138.46332419811046</v>
      </c>
      <c r="DO435" s="1979">
        <v>5.2736297914715493</v>
      </c>
      <c r="DP435" s="1979">
        <v>5.6198375308201269</v>
      </c>
      <c r="DQ435" s="1979">
        <v>5.9660452701687063</v>
      </c>
      <c r="DR435" s="1979">
        <v>6.3122530095172849</v>
      </c>
      <c r="DS435" s="1979">
        <v>6.6584607488658616</v>
      </c>
      <c r="DT435" s="1998">
        <v>6.8634046413778469</v>
      </c>
      <c r="DU435" s="1998">
        <v>7.2083375040235769</v>
      </c>
      <c r="DV435" s="1998">
        <v>7.5532703666693068</v>
      </c>
      <c r="DW435" s="1998">
        <v>7.8982032293150359</v>
      </c>
      <c r="DX435" s="2026">
        <v>8.2431360919607659</v>
      </c>
      <c r="EA435" s="2022"/>
      <c r="EB435" s="2">
        <v>12</v>
      </c>
      <c r="EC435" s="2" t="s">
        <v>4338</v>
      </c>
      <c r="ED435" s="1979">
        <v>7.2377349884525657</v>
      </c>
      <c r="EE435" s="1979">
        <v>7.5412989948883711</v>
      </c>
      <c r="EF435" s="1979">
        <v>8.34185374585471</v>
      </c>
      <c r="EG435" s="1979">
        <v>9.145251630969442</v>
      </c>
      <c r="EH435" s="1979">
        <v>9.9486495160841759</v>
      </c>
      <c r="EI435" s="1998">
        <v>10.218083917031974</v>
      </c>
      <c r="EJ435" s="1998">
        <v>10.629883166562653</v>
      </c>
      <c r="EK435" s="1998">
        <v>11.565033854041923</v>
      </c>
      <c r="EL435" s="1998">
        <v>12.512369402157164</v>
      </c>
      <c r="EM435" s="1998">
        <v>13.459704950272407</v>
      </c>
      <c r="EN435" s="1979">
        <v>6.8448972430894575</v>
      </c>
      <c r="EO435" s="1979">
        <v>7.1967343825133003</v>
      </c>
      <c r="EP435" s="1979">
        <v>6.3204488214059475</v>
      </c>
      <c r="EQ435" s="1979">
        <v>6.3622254864435597</v>
      </c>
      <c r="ER435" s="1979">
        <v>6.438816039012516</v>
      </c>
      <c r="ES435" s="1998">
        <v>10.436998831245187</v>
      </c>
      <c r="ET435" s="1998">
        <v>10.89878507673898</v>
      </c>
      <c r="EU435" s="1998">
        <v>9.7486602777855786</v>
      </c>
      <c r="EV435" s="1998">
        <v>9.8034921506474451</v>
      </c>
      <c r="EW435" s="1998">
        <v>9.904017250894201</v>
      </c>
      <c r="EX435" s="1979">
        <v>8.1192447531430432</v>
      </c>
      <c r="EY435" s="1979">
        <v>8.4886737495380782</v>
      </c>
      <c r="EZ435" s="1979">
        <v>7.568573910375358</v>
      </c>
      <c r="FA435" s="1979">
        <v>7.6124394086648524</v>
      </c>
      <c r="FB435" s="1979">
        <v>7.6928594888622559</v>
      </c>
      <c r="FC435" s="1998">
        <v>7.3978288864195889</v>
      </c>
      <c r="FD435" s="1998">
        <v>7.4709380502354108</v>
      </c>
      <c r="FE435" s="1998">
        <v>7.5440472140512345</v>
      </c>
      <c r="FF435" s="1998">
        <v>7.6171563778670563</v>
      </c>
      <c r="FG435" s="1998">
        <v>7.7511898448627292</v>
      </c>
      <c r="FH435" s="1979">
        <v>14.728649819778477</v>
      </c>
      <c r="FI435" s="1979">
        <v>14.874868147410121</v>
      </c>
      <c r="FJ435" s="1979">
        <v>15.008901614405792</v>
      </c>
      <c r="FK435" s="1979">
        <v>15.155119942037436</v>
      </c>
      <c r="FL435" s="1979">
        <v>15.508480900480574</v>
      </c>
      <c r="FM435" s="1998">
        <v>7.5860645817858465</v>
      </c>
      <c r="FN435" s="1998">
        <v>7.8390560909967819</v>
      </c>
      <c r="FO435" s="1998">
        <v>8.5626643720002313</v>
      </c>
      <c r="FP435" s="1998">
        <v>9.2916881466196681</v>
      </c>
      <c r="FQ435" s="1998">
        <v>10.020711921239105</v>
      </c>
      <c r="FR435" s="1979">
        <v>133.33635981805941</v>
      </c>
      <c r="FS435" s="1979">
        <v>134.51325063237408</v>
      </c>
      <c r="FT435" s="1979">
        <v>135.59206721216253</v>
      </c>
      <c r="FU435" s="1979">
        <v>136.76895802647724</v>
      </c>
      <c r="FV435" s="1979">
        <v>139.6131108277377</v>
      </c>
      <c r="FW435" s="1998">
        <v>137.42359162118458</v>
      </c>
      <c r="FX435" s="1998">
        <v>138.59814972692138</v>
      </c>
      <c r="FY435" s="1998">
        <v>139.67482799051342</v>
      </c>
      <c r="FZ435" s="1998">
        <v>140.84938609625021</v>
      </c>
      <c r="GA435" s="1998">
        <v>143.68790151844746</v>
      </c>
      <c r="GB435" s="1979">
        <v>5.5506866073998253</v>
      </c>
      <c r="GC435" s="1979">
        <v>5.8968943467484038</v>
      </c>
      <c r="GD435" s="1979">
        <v>6.2431020860969824</v>
      </c>
      <c r="GE435" s="1979">
        <v>6.5893098254455609</v>
      </c>
      <c r="GF435" s="1979">
        <v>6.9355175647941385</v>
      </c>
      <c r="GG435" s="1998">
        <v>7.139441222228025</v>
      </c>
      <c r="GH435" s="1998">
        <v>7.4843740848737541</v>
      </c>
      <c r="GI435" s="1998">
        <v>7.829306947519485</v>
      </c>
      <c r="GJ435" s="1998">
        <v>8.1742398101652149</v>
      </c>
      <c r="GK435" s="2026">
        <v>8.519172672810944</v>
      </c>
    </row>
    <row r="436" spans="1:193">
      <c r="A436" s="2020"/>
      <c r="B436" s="2">
        <v>13</v>
      </c>
      <c r="C436" s="2" t="str">
        <f>CONCATENATE($U$8," ",EI$7)</f>
        <v xml:space="preserve">Proportion de fenêtres </v>
      </c>
      <c r="D436" s="1979">
        <f>IF(Construction!$F$31=Construction!$R$22,Oeko!BQ436,Oeko!ED436)</f>
        <v>0</v>
      </c>
      <c r="E436" s="1979">
        <f>IF(Construction!$F$31=Construction!$R$22,Oeko!BR436,Oeko!EE436)</f>
        <v>0</v>
      </c>
      <c r="F436" s="1979">
        <f>IF(Construction!$F$31=Construction!$R$22,Oeko!BS436,Oeko!EF436)</f>
        <v>0</v>
      </c>
      <c r="G436" s="1979">
        <f>IF(Construction!$F$31=Construction!$R$22,Oeko!BT436,Oeko!EG436)</f>
        <v>0</v>
      </c>
      <c r="H436" s="1979">
        <f>IF(Construction!$F$31=Construction!$R$22,Oeko!BU436,Oeko!EH436)</f>
        <v>0</v>
      </c>
      <c r="I436" s="1998">
        <f>IF(Construction!$F$31=Construction!$R$22,Oeko!BV436,Oeko!EI436)</f>
        <v>0</v>
      </c>
      <c r="J436" s="1998">
        <f>IF(Construction!$F$31=Construction!$R$22,Oeko!BW436,Oeko!EJ436)</f>
        <v>0</v>
      </c>
      <c r="K436" s="1998">
        <f>IF(Construction!$F$31=Construction!$R$22,Oeko!BX436,Oeko!EK436)</f>
        <v>0</v>
      </c>
      <c r="L436" s="1998">
        <f>IF(Construction!$F$31=Construction!$R$22,Oeko!BY436,Oeko!EL436)</f>
        <v>0</v>
      </c>
      <c r="M436" s="1998">
        <f>IF(Construction!$F$31=Construction!$R$22,Oeko!BZ436,Oeko!EM436)</f>
        <v>0</v>
      </c>
      <c r="N436" s="1979">
        <f>IF(Construction!$F$31=Construction!$R$22,Oeko!CA436,Oeko!EN436)</f>
        <v>0</v>
      </c>
      <c r="O436" s="1979">
        <f>IF(Construction!$F$31=Construction!$R$22,Oeko!CB436,Oeko!EO436)</f>
        <v>0</v>
      </c>
      <c r="P436" s="1979">
        <f>IF(Construction!$F$31=Construction!$R$22,Oeko!CC436,Oeko!EP436)</f>
        <v>0</v>
      </c>
      <c r="Q436" s="1979">
        <f>IF(Construction!$F$31=Construction!$R$22,Oeko!CD436,Oeko!EQ436)</f>
        <v>0</v>
      </c>
      <c r="R436" s="1979">
        <f>IF(Construction!$F$31=Construction!$R$22,Oeko!CE436,Oeko!ER436)</f>
        <v>0</v>
      </c>
      <c r="S436" s="1998">
        <f>IF(Construction!$F$31=Construction!$R$22,Oeko!CF436,Oeko!ES436)</f>
        <v>0</v>
      </c>
      <c r="T436" s="1998">
        <f>IF(Construction!$F$31=Construction!$R$22,Oeko!CG436,Oeko!ET436)</f>
        <v>0</v>
      </c>
      <c r="U436" s="1998">
        <f>IF(Construction!$F$31=Construction!$R$22,Oeko!CH436,Oeko!EU436)</f>
        <v>0</v>
      </c>
      <c r="V436" s="1998">
        <f>IF(Construction!$F$31=Construction!$R$22,Oeko!CI436,Oeko!EV436)</f>
        <v>0</v>
      </c>
      <c r="W436" s="1998">
        <f>IF(Construction!$F$31=Construction!$R$22,Oeko!CJ436,Oeko!EW436)</f>
        <v>0</v>
      </c>
      <c r="X436" s="1979">
        <f>IF(Construction!$F$31=Construction!$R$22,Oeko!CK436,Oeko!EX436)</f>
        <v>9.6058470315434565</v>
      </c>
      <c r="Y436" s="1979">
        <f>IF(Construction!$F$31=Construction!$R$22,Oeko!CL436,Oeko!EY436)</f>
        <v>10.156005162891185</v>
      </c>
      <c r="Z436" s="1979">
        <f>IF(Construction!$F$31=Construction!$R$22,Oeko!CM436,Oeko!EZ436)</f>
        <v>8.5640180999006592</v>
      </c>
      <c r="AA436" s="1979">
        <f>IF(Construction!$F$31=Construction!$R$22,Oeko!CN436,Oeko!FA436)</f>
        <v>8.5786399326638243</v>
      </c>
      <c r="AB436" s="1979">
        <f>IF(Construction!$F$31=Construction!$R$22,Oeko!CO436,Oeko!FB436)</f>
        <v>8.6054466260629585</v>
      </c>
      <c r="AC436" s="1998">
        <f>IF(Construction!$F$31=Construction!$R$22,Oeko!CP436,Oeko!FC436)</f>
        <v>0</v>
      </c>
      <c r="AD436" s="1998">
        <f>IF(Construction!$F$31=Construction!$R$22,Oeko!CQ436,Oeko!FD436)</f>
        <v>0</v>
      </c>
      <c r="AE436" s="1998">
        <f>IF(Construction!$F$31=Construction!$R$22,Oeko!CR436,Oeko!FE436)</f>
        <v>0</v>
      </c>
      <c r="AF436" s="1998">
        <f>IF(Construction!$F$31=Construction!$R$22,Oeko!CS436,Oeko!FF436)</f>
        <v>0</v>
      </c>
      <c r="AG436" s="1998">
        <f>IF(Construction!$F$31=Construction!$R$22,Oeko!CT436,Oeko!FG436)</f>
        <v>0</v>
      </c>
      <c r="AH436" s="1979">
        <f>IF(Construction!$F$31=Construction!$R$22,Oeko!CU436,Oeko!FH436)</f>
        <v>14.746441066158898</v>
      </c>
      <c r="AI436" s="1979">
        <f>IF(Construction!$F$31=Construction!$R$22,Oeko!CV436,Oeko!FI436)</f>
        <v>14.892659393790542</v>
      </c>
      <c r="AJ436" s="1979">
        <f>IF(Construction!$F$31=Construction!$R$22,Oeko!CW436,Oeko!FJ436)</f>
        <v>15.026692860786216</v>
      </c>
      <c r="AK436" s="1979">
        <f>IF(Construction!$F$31=Construction!$R$22,Oeko!CX436,Oeko!FK436)</f>
        <v>15.17291118841786</v>
      </c>
      <c r="AL436" s="1979">
        <f>IF(Construction!$F$31=Construction!$R$22,Oeko!CY436,Oeko!FL436)</f>
        <v>15.526272146861002</v>
      </c>
      <c r="AM436" s="1998">
        <f>IF(Construction!$F$31=Construction!$R$22,Oeko!CZ436,Oeko!FM436)</f>
        <v>7.0689040167605617</v>
      </c>
      <c r="AN436" s="1998">
        <f>IF(Construction!$F$31=Construction!$R$22,Oeko!DA436,Oeko!FN436)</f>
        <v>7.2598850309254788</v>
      </c>
      <c r="AO436" s="1998">
        <f>IF(Construction!$F$31=Construction!$R$22,Oeko!DB436,Oeko!FO436)</f>
        <v>7.9823407234629675</v>
      </c>
      <c r="AP436" s="1998">
        <f>IF(Construction!$F$31=Construction!$R$22,Oeko!DC436,Oeko!FP436)</f>
        <v>8.7088580362124457</v>
      </c>
      <c r="AQ436" s="1998">
        <f>IF(Construction!$F$31=Construction!$R$22,Oeko!DD436,Oeko!FQ436)</f>
        <v>9.4353753489619248</v>
      </c>
      <c r="AR436" s="1979">
        <f>IF(Construction!$F$31=Construction!$R$22,Oeko!DE436,Oeko!FR436)</f>
        <v>90.919217876529231</v>
      </c>
      <c r="AS436" s="1979">
        <f>IF(Construction!$F$31=Construction!$R$22,Oeko!DF436,Oeko!FS436)</f>
        <v>92.096108690843906</v>
      </c>
      <c r="AT436" s="1979">
        <f>IF(Construction!$F$31=Construction!$R$22,Oeko!DG436,Oeko!FT436)</f>
        <v>93.174925270632372</v>
      </c>
      <c r="AU436" s="1979">
        <f>IF(Construction!$F$31=Construction!$R$22,Oeko!DH436,Oeko!FU436)</f>
        <v>94.35181608494706</v>
      </c>
      <c r="AV436" s="1979">
        <f>IF(Construction!$F$31=Construction!$R$22,Oeko!DI436,Oeko!FV436)</f>
        <v>97.19596888620751</v>
      </c>
      <c r="AW436" s="1998">
        <f>IF(Construction!$F$31=Construction!$R$22,Oeko!DJ436,Oeko!FW436)</f>
        <v>92.288454813612518</v>
      </c>
      <c r="AX436" s="1998">
        <f>IF(Construction!$F$31=Construction!$R$22,Oeko!DK436,Oeko!FX436)</f>
        <v>93.463012919349296</v>
      </c>
      <c r="AY436" s="1998">
        <f>IF(Construction!$F$31=Construction!$R$22,Oeko!DL436,Oeko!FY436)</f>
        <v>94.53969118294134</v>
      </c>
      <c r="AZ436" s="1998">
        <f>IF(Construction!$F$31=Construction!$R$22,Oeko!DM436,Oeko!FZ436)</f>
        <v>95.714249288678133</v>
      </c>
      <c r="BA436" s="1998">
        <f>IF(Construction!$F$31=Construction!$R$22,Oeko!DN436,Oeko!GA436)</f>
        <v>98.552764710875365</v>
      </c>
      <c r="BB436" s="1979">
        <f>IF(Construction!$F$31=Construction!$R$22,Oeko!DO436,Oeko!GB436)</f>
        <v>6.8722774021937907</v>
      </c>
      <c r="BC436" s="1979">
        <f>IF(Construction!$F$31=Construction!$R$22,Oeko!DP436,Oeko!GC436)</f>
        <v>7.2184851415423692</v>
      </c>
      <c r="BD436" s="1979">
        <f>IF(Construction!$F$31=Construction!$R$22,Oeko!DQ436,Oeko!GD436)</f>
        <v>7.5646928808909486</v>
      </c>
      <c r="BE436" s="1979">
        <f>IF(Construction!$F$31=Construction!$R$22,Oeko!DR436,Oeko!GE436)</f>
        <v>7.9109006202395262</v>
      </c>
      <c r="BF436" s="1979">
        <f>IF(Construction!$F$31=Construction!$R$22,Oeko!DS436,Oeko!GF436)</f>
        <v>8.2571083595881021</v>
      </c>
      <c r="BG436" s="1998">
        <f>IF(Construction!$F$31=Construction!$R$22,Oeko!DT436,Oeko!GG436)</f>
        <v>9.3274573568835066</v>
      </c>
      <c r="BH436" s="1998">
        <f>IF(Construction!$F$31=Construction!$R$22,Oeko!DU436,Oeko!GH436)</f>
        <v>9.6723902195292357</v>
      </c>
      <c r="BI436" s="1998">
        <f>IF(Construction!$F$31=Construction!$R$22,Oeko!DV436,Oeko!GI436)</f>
        <v>10.017323082174968</v>
      </c>
      <c r="BJ436" s="1998">
        <f>IF(Construction!$F$31=Construction!$R$22,Oeko!DW436,Oeko!GJ436)</f>
        <v>10.362255944820697</v>
      </c>
      <c r="BK436" s="2026">
        <f>IF(Construction!$F$31=Construction!$R$22,Oeko!DX436,Oeko!GK436)</f>
        <v>10.707188807466427</v>
      </c>
      <c r="BN436" s="2022"/>
      <c r="BO436" s="2">
        <v>13</v>
      </c>
      <c r="BP436" s="2" t="str">
        <f>CONCATENATE($U$8," ",GV$7)</f>
        <v xml:space="preserve">Proportion de fenêtres </v>
      </c>
      <c r="BQ436" s="1979">
        <v>0</v>
      </c>
      <c r="BR436" s="1979">
        <v>0</v>
      </c>
      <c r="BS436" s="1979">
        <v>0</v>
      </c>
      <c r="BT436" s="1979">
        <v>0</v>
      </c>
      <c r="BU436" s="1979">
        <v>0</v>
      </c>
      <c r="BV436" s="1998">
        <v>0</v>
      </c>
      <c r="BW436" s="1998">
        <v>0</v>
      </c>
      <c r="BX436" s="1998">
        <v>0</v>
      </c>
      <c r="BY436" s="1998">
        <v>0</v>
      </c>
      <c r="BZ436" s="1998">
        <v>0</v>
      </c>
      <c r="CA436" s="1979">
        <v>0</v>
      </c>
      <c r="CB436" s="1979">
        <v>0</v>
      </c>
      <c r="CC436" s="1979">
        <v>0</v>
      </c>
      <c r="CD436" s="1979">
        <v>0</v>
      </c>
      <c r="CE436" s="1979">
        <v>0</v>
      </c>
      <c r="CF436" s="1998">
        <v>0</v>
      </c>
      <c r="CG436" s="1998">
        <v>0</v>
      </c>
      <c r="CH436" s="1998">
        <v>0</v>
      </c>
      <c r="CI436" s="1998">
        <v>0</v>
      </c>
      <c r="CJ436" s="1998">
        <v>0</v>
      </c>
      <c r="CK436" s="1979">
        <v>9.6058470315434565</v>
      </c>
      <c r="CL436" s="1979">
        <v>10.156005162891185</v>
      </c>
      <c r="CM436" s="1979">
        <v>8.5640180999006592</v>
      </c>
      <c r="CN436" s="1979">
        <v>8.5786399326638243</v>
      </c>
      <c r="CO436" s="1979">
        <v>8.6054466260629585</v>
      </c>
      <c r="CP436" s="1998">
        <v>0</v>
      </c>
      <c r="CQ436" s="1998">
        <v>0</v>
      </c>
      <c r="CR436" s="1998">
        <v>0</v>
      </c>
      <c r="CS436" s="1998">
        <v>0</v>
      </c>
      <c r="CT436" s="1998">
        <v>0</v>
      </c>
      <c r="CU436" s="1979">
        <v>14.746441066158898</v>
      </c>
      <c r="CV436" s="1979">
        <v>14.892659393790542</v>
      </c>
      <c r="CW436" s="1979">
        <v>15.026692860786216</v>
      </c>
      <c r="CX436" s="1979">
        <v>15.17291118841786</v>
      </c>
      <c r="CY436" s="1979">
        <v>15.526272146861002</v>
      </c>
      <c r="CZ436" s="1998">
        <v>7.0689040167605617</v>
      </c>
      <c r="DA436" s="1998">
        <v>7.2598850309254788</v>
      </c>
      <c r="DB436" s="1998">
        <v>7.9823407234629675</v>
      </c>
      <c r="DC436" s="1998">
        <v>8.7088580362124457</v>
      </c>
      <c r="DD436" s="1998">
        <v>9.4353753489619248</v>
      </c>
      <c r="DE436" s="1979">
        <v>90.919217876529231</v>
      </c>
      <c r="DF436" s="1979">
        <v>92.096108690843906</v>
      </c>
      <c r="DG436" s="1979">
        <v>93.174925270632372</v>
      </c>
      <c r="DH436" s="1979">
        <v>94.35181608494706</v>
      </c>
      <c r="DI436" s="1979">
        <v>97.19596888620751</v>
      </c>
      <c r="DJ436" s="1998">
        <v>92.288454813612518</v>
      </c>
      <c r="DK436" s="1998">
        <v>93.463012919349296</v>
      </c>
      <c r="DL436" s="1998">
        <v>94.53969118294134</v>
      </c>
      <c r="DM436" s="1998">
        <v>95.714249288678133</v>
      </c>
      <c r="DN436" s="1998">
        <v>98.552764710875365</v>
      </c>
      <c r="DO436" s="1979">
        <v>6.8722774021937907</v>
      </c>
      <c r="DP436" s="1979">
        <v>7.2184851415423692</v>
      </c>
      <c r="DQ436" s="1979">
        <v>7.5646928808909486</v>
      </c>
      <c r="DR436" s="1979">
        <v>7.9109006202395262</v>
      </c>
      <c r="DS436" s="1979">
        <v>8.2571083595881021</v>
      </c>
      <c r="DT436" s="1998">
        <v>9.3274573568835066</v>
      </c>
      <c r="DU436" s="1998">
        <v>9.6723902195292357</v>
      </c>
      <c r="DV436" s="1998">
        <v>10.017323082174968</v>
      </c>
      <c r="DW436" s="1998">
        <v>10.362255944820697</v>
      </c>
      <c r="DX436" s="2026">
        <v>10.707188807466427</v>
      </c>
      <c r="EA436" s="2022"/>
      <c r="EB436" s="2">
        <v>13</v>
      </c>
      <c r="EC436" s="2" t="str">
        <f>CONCATENATE($U$8," ",JI$7)</f>
        <v xml:space="preserve">Proportion de fenêtres </v>
      </c>
      <c r="ED436" s="1979">
        <v>0</v>
      </c>
      <c r="EE436" s="1979">
        <v>0</v>
      </c>
      <c r="EF436" s="1979">
        <v>0</v>
      </c>
      <c r="EG436" s="1979">
        <v>0</v>
      </c>
      <c r="EH436" s="1979">
        <v>0</v>
      </c>
      <c r="EI436" s="1998">
        <v>0</v>
      </c>
      <c r="EJ436" s="1998">
        <v>0</v>
      </c>
      <c r="EK436" s="1998">
        <v>0</v>
      </c>
      <c r="EL436" s="1998">
        <v>0</v>
      </c>
      <c r="EM436" s="1998">
        <v>0</v>
      </c>
      <c r="EN436" s="1979">
        <v>0</v>
      </c>
      <c r="EO436" s="1979">
        <v>0</v>
      </c>
      <c r="EP436" s="1979">
        <v>0</v>
      </c>
      <c r="EQ436" s="1979">
        <v>0</v>
      </c>
      <c r="ER436" s="1979">
        <v>0</v>
      </c>
      <c r="ES436" s="1998">
        <v>0</v>
      </c>
      <c r="ET436" s="1998">
        <v>0</v>
      </c>
      <c r="EU436" s="1998">
        <v>0</v>
      </c>
      <c r="EV436" s="1998">
        <v>0</v>
      </c>
      <c r="EW436" s="1998">
        <v>0</v>
      </c>
      <c r="EX436" s="1979">
        <v>9.7761217495862542</v>
      </c>
      <c r="EY436" s="1979">
        <v>10.333349412525322</v>
      </c>
      <c r="EZ436" s="1979">
        <v>8.7413623495347963</v>
      </c>
      <c r="FA436" s="1979">
        <v>8.7559841822979614</v>
      </c>
      <c r="FB436" s="1979">
        <v>8.7827908756970956</v>
      </c>
      <c r="FC436" s="1998">
        <v>0</v>
      </c>
      <c r="FD436" s="1998">
        <v>0</v>
      </c>
      <c r="FE436" s="1998">
        <v>0</v>
      </c>
      <c r="FF436" s="1998">
        <v>0</v>
      </c>
      <c r="FG436" s="1998">
        <v>0</v>
      </c>
      <c r="FH436" s="1979">
        <v>15.309731244025873</v>
      </c>
      <c r="FI436" s="1979">
        <v>15.455949571657518</v>
      </c>
      <c r="FJ436" s="1979">
        <v>15.589983038653191</v>
      </c>
      <c r="FK436" s="1979">
        <v>15.736201366284837</v>
      </c>
      <c r="FL436" s="1979">
        <v>16.089562324727975</v>
      </c>
      <c r="FM436" s="1998">
        <v>7.3316549409052936</v>
      </c>
      <c r="FN436" s="1998">
        <v>7.5297054866615492</v>
      </c>
      <c r="FO436" s="1998">
        <v>8.2592307107903764</v>
      </c>
      <c r="FP436" s="1998">
        <v>8.9928175551311931</v>
      </c>
      <c r="FQ436" s="1998">
        <v>9.7264043994720115</v>
      </c>
      <c r="FR436" s="1979">
        <v>94.895221955240828</v>
      </c>
      <c r="FS436" s="1979">
        <v>96.072112769555503</v>
      </c>
      <c r="FT436" s="1979">
        <v>97.150929349343969</v>
      </c>
      <c r="FU436" s="1979">
        <v>98.327820163658643</v>
      </c>
      <c r="FV436" s="1979">
        <v>101.17197296491911</v>
      </c>
      <c r="FW436" s="1998">
        <v>96.247451292377193</v>
      </c>
      <c r="FX436" s="1998">
        <v>97.422009398113985</v>
      </c>
      <c r="FY436" s="1998">
        <v>98.498687661706015</v>
      </c>
      <c r="FZ436" s="1998">
        <v>99.673245767442808</v>
      </c>
      <c r="GA436" s="1998">
        <v>102.51176118964004</v>
      </c>
      <c r="GB436" s="1979">
        <v>7.1493342181220667</v>
      </c>
      <c r="GC436" s="1979">
        <v>7.4955419574706452</v>
      </c>
      <c r="GD436" s="1979">
        <v>7.8417496968192228</v>
      </c>
      <c r="GE436" s="1979">
        <v>8.1879574361678031</v>
      </c>
      <c r="GF436" s="1979">
        <v>8.5341651755163799</v>
      </c>
      <c r="GG436" s="1998">
        <v>9.6034939377336848</v>
      </c>
      <c r="GH436" s="1998">
        <v>9.9484268003794156</v>
      </c>
      <c r="GI436" s="1998">
        <v>10.293359663025145</v>
      </c>
      <c r="GJ436" s="1998">
        <v>10.638292525670874</v>
      </c>
      <c r="GK436" s="2026">
        <v>10.983225388316605</v>
      </c>
    </row>
    <row r="437" spans="1:193">
      <c r="A437" s="2020"/>
      <c r="B437" s="2">
        <v>14</v>
      </c>
      <c r="C437" s="2" t="str">
        <f>CONCATENATE($U$8," ",EI$8)</f>
        <v xml:space="preserve">Proportion de fenêtres </v>
      </c>
      <c r="D437" s="1979">
        <f>IF(Construction!$F$31=Construction!$R$22,Oeko!BQ437,Oeko!ED437)</f>
        <v>0</v>
      </c>
      <c r="E437" s="1979">
        <f>IF(Construction!$F$31=Construction!$R$22,Oeko!BR437,Oeko!EE437)</f>
        <v>0</v>
      </c>
      <c r="F437" s="1979">
        <f>IF(Construction!$F$31=Construction!$R$22,Oeko!BS437,Oeko!EF437)</f>
        <v>0</v>
      </c>
      <c r="G437" s="1979">
        <f>IF(Construction!$F$31=Construction!$R$22,Oeko!BT437,Oeko!EG437)</f>
        <v>0</v>
      </c>
      <c r="H437" s="1979">
        <f>IF(Construction!$F$31=Construction!$R$22,Oeko!BU437,Oeko!EH437)</f>
        <v>0</v>
      </c>
      <c r="I437" s="1998">
        <f>IF(Construction!$F$31=Construction!$R$22,Oeko!BV437,Oeko!EI437)</f>
        <v>0</v>
      </c>
      <c r="J437" s="1998">
        <f>IF(Construction!$F$31=Construction!$R$22,Oeko!BW437,Oeko!EJ437)</f>
        <v>0</v>
      </c>
      <c r="K437" s="1998">
        <f>IF(Construction!$F$31=Construction!$R$22,Oeko!BX437,Oeko!EK437)</f>
        <v>0</v>
      </c>
      <c r="L437" s="1998">
        <f>IF(Construction!$F$31=Construction!$R$22,Oeko!BY437,Oeko!EL437)</f>
        <v>0</v>
      </c>
      <c r="M437" s="1998">
        <f>IF(Construction!$F$31=Construction!$R$22,Oeko!BZ437,Oeko!EM437)</f>
        <v>0</v>
      </c>
      <c r="N437" s="1979">
        <f>IF(Construction!$F$31=Construction!$R$22,Oeko!CA437,Oeko!EN437)</f>
        <v>0</v>
      </c>
      <c r="O437" s="1979">
        <f>IF(Construction!$F$31=Construction!$R$22,Oeko!CB437,Oeko!EO437)</f>
        <v>0</v>
      </c>
      <c r="P437" s="1979">
        <f>IF(Construction!$F$31=Construction!$R$22,Oeko!CC437,Oeko!EP437)</f>
        <v>0</v>
      </c>
      <c r="Q437" s="1979">
        <f>IF(Construction!$F$31=Construction!$R$22,Oeko!CD437,Oeko!EQ437)</f>
        <v>0</v>
      </c>
      <c r="R437" s="1979">
        <f>IF(Construction!$F$31=Construction!$R$22,Oeko!CE437,Oeko!ER437)</f>
        <v>0</v>
      </c>
      <c r="S437" s="1998">
        <f>IF(Construction!$F$31=Construction!$R$22,Oeko!CF437,Oeko!ES437)</f>
        <v>0</v>
      </c>
      <c r="T437" s="1998">
        <f>IF(Construction!$F$31=Construction!$R$22,Oeko!CG437,Oeko!ET437)</f>
        <v>0</v>
      </c>
      <c r="U437" s="1998">
        <f>IF(Construction!$F$31=Construction!$R$22,Oeko!CH437,Oeko!EU437)</f>
        <v>0</v>
      </c>
      <c r="V437" s="1998">
        <f>IF(Construction!$F$31=Construction!$R$22,Oeko!CI437,Oeko!EV437)</f>
        <v>0</v>
      </c>
      <c r="W437" s="1998">
        <f>IF(Construction!$F$31=Construction!$R$22,Oeko!CJ437,Oeko!EW437)</f>
        <v>0</v>
      </c>
      <c r="X437" s="1979">
        <f>IF(Construction!$F$31=Construction!$R$22,Oeko!CK437,Oeko!EX437)</f>
        <v>9.3455476185495137</v>
      </c>
      <c r="Y437" s="1979">
        <f>IF(Construction!$F$31=Construction!$R$22,Oeko!CL437,Oeko!EY437)</f>
        <v>9.8957057498972425</v>
      </c>
      <c r="Z437" s="1979">
        <f>IF(Construction!$F$31=Construction!$R$22,Oeko!CM437,Oeko!EZ437)</f>
        <v>8.3037186869067146</v>
      </c>
      <c r="AA437" s="1979">
        <f>IF(Construction!$F$31=Construction!$R$22,Oeko!CN437,Oeko!FA437)</f>
        <v>8.3183405196698796</v>
      </c>
      <c r="AB437" s="1979">
        <f>IF(Construction!$F$31=Construction!$R$22,Oeko!CO437,Oeko!FB437)</f>
        <v>8.3451472130690156</v>
      </c>
      <c r="AC437" s="1998">
        <f>IF(Construction!$F$31=Construction!$R$22,Oeko!CP437,Oeko!FC437)</f>
        <v>0</v>
      </c>
      <c r="AD437" s="1998">
        <f>IF(Construction!$F$31=Construction!$R$22,Oeko!CQ437,Oeko!FD437)</f>
        <v>0</v>
      </c>
      <c r="AE437" s="1998">
        <f>IF(Construction!$F$31=Construction!$R$22,Oeko!CR437,Oeko!FE437)</f>
        <v>0</v>
      </c>
      <c r="AF437" s="1998">
        <f>IF(Construction!$F$31=Construction!$R$22,Oeko!CS437,Oeko!FF437)</f>
        <v>0</v>
      </c>
      <c r="AG437" s="1998">
        <f>IF(Construction!$F$31=Construction!$R$22,Oeko!CT437,Oeko!FG437)</f>
        <v>0</v>
      </c>
      <c r="AH437" s="1979">
        <f>IF(Construction!$F$31=Construction!$R$22,Oeko!CU437,Oeko!FH437)</f>
        <v>14.124214653502573</v>
      </c>
      <c r="AI437" s="1979">
        <f>IF(Construction!$F$31=Construction!$R$22,Oeko!CV437,Oeko!FI437)</f>
        <v>14.270432981134217</v>
      </c>
      <c r="AJ437" s="1979">
        <f>IF(Construction!$F$31=Construction!$R$22,Oeko!CW437,Oeko!FJ437)</f>
        <v>14.404466448129893</v>
      </c>
      <c r="AK437" s="1979">
        <f>IF(Construction!$F$31=Construction!$R$22,Oeko!CX437,Oeko!FK437)</f>
        <v>14.550684775761535</v>
      </c>
      <c r="AL437" s="1979">
        <f>IF(Construction!$F$31=Construction!$R$22,Oeko!CY437,Oeko!FL437)</f>
        <v>14.904045734204677</v>
      </c>
      <c r="AM437" s="1998">
        <f>IF(Construction!$F$31=Construction!$R$22,Oeko!CZ437,Oeko!FM437)</f>
        <v>6.981563209573511</v>
      </c>
      <c r="AN437" s="1998">
        <f>IF(Construction!$F$31=Construction!$R$22,Oeko!DA437,Oeko!FN437)</f>
        <v>7.1558830944491287</v>
      </c>
      <c r="AO437" s="1998">
        <f>IF(Construction!$F$31=Construction!$R$22,Oeko!DB437,Oeko!FO437)</f>
        <v>7.8616776576973209</v>
      </c>
      <c r="AP437" s="1998">
        <f>IF(Construction!$F$31=Construction!$R$22,Oeko!DC437,Oeko!FP437)</f>
        <v>8.5715338411575033</v>
      </c>
      <c r="AQ437" s="1998">
        <f>IF(Construction!$F$31=Construction!$R$22,Oeko!DD437,Oeko!FQ437)</f>
        <v>9.2813900246176857</v>
      </c>
      <c r="AR437" s="1979">
        <f>IF(Construction!$F$31=Construction!$R$22,Oeko!DE437,Oeko!FR437)</f>
        <v>88.688286569547103</v>
      </c>
      <c r="AS437" s="1979">
        <f>IF(Construction!$F$31=Construction!$R$22,Oeko!DF437,Oeko!FS437)</f>
        <v>89.865177383861777</v>
      </c>
      <c r="AT437" s="1979">
        <f>IF(Construction!$F$31=Construction!$R$22,Oeko!DG437,Oeko!FT437)</f>
        <v>90.943993963650243</v>
      </c>
      <c r="AU437" s="1979">
        <f>IF(Construction!$F$31=Construction!$R$22,Oeko!DH437,Oeko!FU437)</f>
        <v>92.120884777964903</v>
      </c>
      <c r="AV437" s="1979">
        <f>IF(Construction!$F$31=Construction!$R$22,Oeko!DI437,Oeko!FV437)</f>
        <v>94.965037579225381</v>
      </c>
      <c r="AW437" s="1998">
        <f>IF(Construction!$F$31=Construction!$R$22,Oeko!DJ437,Oeko!FW437)</f>
        <v>89.971067488547249</v>
      </c>
      <c r="AX437" s="1998">
        <f>IF(Construction!$F$31=Construction!$R$22,Oeko!DK437,Oeko!FX437)</f>
        <v>91.145625594284041</v>
      </c>
      <c r="AY437" s="1998">
        <f>IF(Construction!$F$31=Construction!$R$22,Oeko!DL437,Oeko!FY437)</f>
        <v>92.222303857876071</v>
      </c>
      <c r="AZ437" s="1998">
        <f>IF(Construction!$F$31=Construction!$R$22,Oeko!DM437,Oeko!FZ437)</f>
        <v>93.396861963612864</v>
      </c>
      <c r="BA437" s="1998">
        <f>IF(Construction!$F$31=Construction!$R$22,Oeko!DN437,Oeko!GA437)</f>
        <v>96.235377385810096</v>
      </c>
      <c r="BB437" s="1979">
        <f>IF(Construction!$F$31=Construction!$R$22,Oeko!DO437,Oeko!GB437)</f>
        <v>6.6148897214449009</v>
      </c>
      <c r="BC437" s="1979">
        <f>IF(Construction!$F$31=Construction!$R$22,Oeko!DP437,Oeko!GC437)</f>
        <v>6.9610974607934795</v>
      </c>
      <c r="BD437" s="1979">
        <f>IF(Construction!$F$31=Construction!$R$22,Oeko!DQ437,Oeko!GD437)</f>
        <v>7.307305200142058</v>
      </c>
      <c r="BE437" s="1979">
        <f>IF(Construction!$F$31=Construction!$R$22,Oeko!DR437,Oeko!GE437)</f>
        <v>7.6535129394906365</v>
      </c>
      <c r="BF437" s="1979">
        <f>IF(Construction!$F$31=Construction!$R$22,Oeko!DS437,Oeko!GF437)</f>
        <v>7.9997206788392123</v>
      </c>
      <c r="BG437" s="1998">
        <f>IF(Construction!$F$31=Construction!$R$22,Oeko!DT437,Oeko!GG437)</f>
        <v>8.8346468137823759</v>
      </c>
      <c r="BH437" s="1998">
        <f>IF(Construction!$F$31=Construction!$R$22,Oeko!DU437,Oeko!GH437)</f>
        <v>9.179579676428105</v>
      </c>
      <c r="BI437" s="1998">
        <f>IF(Construction!$F$31=Construction!$R$22,Oeko!DV437,Oeko!GI437)</f>
        <v>9.5245125390738359</v>
      </c>
      <c r="BJ437" s="1998">
        <f>IF(Construction!$F$31=Construction!$R$22,Oeko!DW437,Oeko!GJ437)</f>
        <v>9.869445401719565</v>
      </c>
      <c r="BK437" s="2026">
        <f>IF(Construction!$F$31=Construction!$R$22,Oeko!DX437,Oeko!GK437)</f>
        <v>10.214378264365294</v>
      </c>
      <c r="BN437" s="2022"/>
      <c r="BO437" s="2">
        <v>14</v>
      </c>
      <c r="BP437" s="2" t="str">
        <f>CONCATENATE($U$8," ",GV$8)</f>
        <v xml:space="preserve">Proportion de fenêtres </v>
      </c>
      <c r="BQ437" s="1979">
        <v>0</v>
      </c>
      <c r="BR437" s="1979">
        <v>0</v>
      </c>
      <c r="BS437" s="1979">
        <v>0</v>
      </c>
      <c r="BT437" s="1979">
        <v>0</v>
      </c>
      <c r="BU437" s="1979">
        <v>0</v>
      </c>
      <c r="BV437" s="1998">
        <v>0</v>
      </c>
      <c r="BW437" s="1998">
        <v>0</v>
      </c>
      <c r="BX437" s="1998">
        <v>0</v>
      </c>
      <c r="BY437" s="1998">
        <v>0</v>
      </c>
      <c r="BZ437" s="1998">
        <v>0</v>
      </c>
      <c r="CA437" s="1979">
        <v>0</v>
      </c>
      <c r="CB437" s="1979">
        <v>0</v>
      </c>
      <c r="CC437" s="1979">
        <v>0</v>
      </c>
      <c r="CD437" s="1979">
        <v>0</v>
      </c>
      <c r="CE437" s="1979">
        <v>0</v>
      </c>
      <c r="CF437" s="1998">
        <v>0</v>
      </c>
      <c r="CG437" s="1998">
        <v>0</v>
      </c>
      <c r="CH437" s="1998">
        <v>0</v>
      </c>
      <c r="CI437" s="1998">
        <v>0</v>
      </c>
      <c r="CJ437" s="1998">
        <v>0</v>
      </c>
      <c r="CK437" s="1979">
        <v>9.3455476185495137</v>
      </c>
      <c r="CL437" s="1979">
        <v>9.8957057498972425</v>
      </c>
      <c r="CM437" s="1979">
        <v>8.3037186869067146</v>
      </c>
      <c r="CN437" s="1979">
        <v>8.3183405196698796</v>
      </c>
      <c r="CO437" s="1979">
        <v>8.3451472130690156</v>
      </c>
      <c r="CP437" s="1998">
        <v>0</v>
      </c>
      <c r="CQ437" s="1998">
        <v>0</v>
      </c>
      <c r="CR437" s="1998">
        <v>0</v>
      </c>
      <c r="CS437" s="1998">
        <v>0</v>
      </c>
      <c r="CT437" s="1998">
        <v>0</v>
      </c>
      <c r="CU437" s="1979">
        <v>14.124214653502573</v>
      </c>
      <c r="CV437" s="1979">
        <v>14.270432981134217</v>
      </c>
      <c r="CW437" s="1979">
        <v>14.404466448129893</v>
      </c>
      <c r="CX437" s="1979">
        <v>14.550684775761535</v>
      </c>
      <c r="CY437" s="1979">
        <v>14.904045734204677</v>
      </c>
      <c r="CZ437" s="1998">
        <v>6.981563209573511</v>
      </c>
      <c r="DA437" s="1998">
        <v>7.1558830944491287</v>
      </c>
      <c r="DB437" s="1998">
        <v>7.8616776576973209</v>
      </c>
      <c r="DC437" s="1998">
        <v>8.5715338411575033</v>
      </c>
      <c r="DD437" s="1998">
        <v>9.2813900246176857</v>
      </c>
      <c r="DE437" s="1979">
        <v>88.688286569547103</v>
      </c>
      <c r="DF437" s="1979">
        <v>89.865177383861777</v>
      </c>
      <c r="DG437" s="1979">
        <v>90.943993963650243</v>
      </c>
      <c r="DH437" s="1979">
        <v>92.120884777964903</v>
      </c>
      <c r="DI437" s="1979">
        <v>94.965037579225381</v>
      </c>
      <c r="DJ437" s="1998">
        <v>89.971067488547249</v>
      </c>
      <c r="DK437" s="1998">
        <v>91.145625594284041</v>
      </c>
      <c r="DL437" s="1998">
        <v>92.222303857876071</v>
      </c>
      <c r="DM437" s="1998">
        <v>93.396861963612864</v>
      </c>
      <c r="DN437" s="1998">
        <v>96.235377385810096</v>
      </c>
      <c r="DO437" s="1979">
        <v>6.6148897214449009</v>
      </c>
      <c r="DP437" s="1979">
        <v>6.9610974607934795</v>
      </c>
      <c r="DQ437" s="1979">
        <v>7.307305200142058</v>
      </c>
      <c r="DR437" s="1979">
        <v>7.6535129394906365</v>
      </c>
      <c r="DS437" s="1979">
        <v>7.9997206788392123</v>
      </c>
      <c r="DT437" s="1998">
        <v>8.8346468137823759</v>
      </c>
      <c r="DU437" s="1998">
        <v>9.179579676428105</v>
      </c>
      <c r="DV437" s="1998">
        <v>9.5245125390738359</v>
      </c>
      <c r="DW437" s="1998">
        <v>9.869445401719565</v>
      </c>
      <c r="DX437" s="2026">
        <v>10.214378264365294</v>
      </c>
      <c r="EA437" s="2022"/>
      <c r="EB437" s="2">
        <v>14</v>
      </c>
      <c r="EC437" s="2" t="str">
        <f>CONCATENATE($U$8," ",JI$8)</f>
        <v xml:space="preserve">Proportion de fenêtres </v>
      </c>
      <c r="ED437" s="1979">
        <v>0</v>
      </c>
      <c r="EE437" s="1979">
        <v>0</v>
      </c>
      <c r="EF437" s="1979">
        <v>0</v>
      </c>
      <c r="EG437" s="1979">
        <v>0</v>
      </c>
      <c r="EH437" s="1979">
        <v>0</v>
      </c>
      <c r="EI437" s="1998">
        <v>0</v>
      </c>
      <c r="EJ437" s="1998">
        <v>0</v>
      </c>
      <c r="EK437" s="1998">
        <v>0</v>
      </c>
      <c r="EL437" s="1998">
        <v>0</v>
      </c>
      <c r="EM437" s="1998">
        <v>0</v>
      </c>
      <c r="EN437" s="1979">
        <v>0</v>
      </c>
      <c r="EO437" s="1979">
        <v>0</v>
      </c>
      <c r="EP437" s="1979">
        <v>0</v>
      </c>
      <c r="EQ437" s="1979">
        <v>0</v>
      </c>
      <c r="ER437" s="1979">
        <v>0</v>
      </c>
      <c r="ES437" s="1998">
        <v>0</v>
      </c>
      <c r="ET437" s="1998">
        <v>0</v>
      </c>
      <c r="EU437" s="1998">
        <v>0</v>
      </c>
      <c r="EV437" s="1998">
        <v>0</v>
      </c>
      <c r="EW437" s="1998">
        <v>0</v>
      </c>
      <c r="EX437" s="1979">
        <v>9.5158223365923131</v>
      </c>
      <c r="EY437" s="1979">
        <v>10.07304999953138</v>
      </c>
      <c r="EZ437" s="1979">
        <v>8.4810629365408534</v>
      </c>
      <c r="FA437" s="1979">
        <v>8.4956847693040167</v>
      </c>
      <c r="FB437" s="1979">
        <v>8.5224914627031527</v>
      </c>
      <c r="FC437" s="1998">
        <v>0</v>
      </c>
      <c r="FD437" s="1998">
        <v>0</v>
      </c>
      <c r="FE437" s="1998">
        <v>0</v>
      </c>
      <c r="FF437" s="1998">
        <v>0</v>
      </c>
      <c r="FG437" s="1998">
        <v>0</v>
      </c>
      <c r="FH437" s="1979">
        <v>14.68750483136955</v>
      </c>
      <c r="FI437" s="1979">
        <v>14.833723159001194</v>
      </c>
      <c r="FJ437" s="1979">
        <v>14.967756625996866</v>
      </c>
      <c r="FK437" s="1979">
        <v>15.11397495362851</v>
      </c>
      <c r="FL437" s="1979">
        <v>15.467335912071652</v>
      </c>
      <c r="FM437" s="1998">
        <v>7.2443141337182428</v>
      </c>
      <c r="FN437" s="1998">
        <v>7.4257035501851982</v>
      </c>
      <c r="FO437" s="1998">
        <v>8.1385676450247306</v>
      </c>
      <c r="FP437" s="1998">
        <v>8.8554933600762507</v>
      </c>
      <c r="FQ437" s="1998">
        <v>9.5724190751277689</v>
      </c>
      <c r="FR437" s="1979">
        <v>92.664290648258685</v>
      </c>
      <c r="FS437" s="1979">
        <v>93.84118146257336</v>
      </c>
      <c r="FT437" s="1979">
        <v>94.91999804236184</v>
      </c>
      <c r="FU437" s="1979">
        <v>96.096888856676514</v>
      </c>
      <c r="FV437" s="1979">
        <v>98.941041657936978</v>
      </c>
      <c r="FW437" s="1998">
        <v>93.930063967311938</v>
      </c>
      <c r="FX437" s="1998">
        <v>95.104622073048731</v>
      </c>
      <c r="FY437" s="1998">
        <v>96.18130033664076</v>
      </c>
      <c r="FZ437" s="1998">
        <v>97.355858442377553</v>
      </c>
      <c r="GA437" s="1998">
        <v>100.19437386457479</v>
      </c>
      <c r="GB437" s="1979">
        <v>6.8919465373731779</v>
      </c>
      <c r="GC437" s="1979">
        <v>7.2381542767217546</v>
      </c>
      <c r="GD437" s="1979">
        <v>7.5843620160703331</v>
      </c>
      <c r="GE437" s="1979">
        <v>7.9305697554189125</v>
      </c>
      <c r="GF437" s="1979">
        <v>8.2767774947674884</v>
      </c>
      <c r="GG437" s="1998">
        <v>9.1106833946325541</v>
      </c>
      <c r="GH437" s="1998">
        <v>9.4556162572782831</v>
      </c>
      <c r="GI437" s="1998">
        <v>9.800549119924014</v>
      </c>
      <c r="GJ437" s="1998">
        <v>10.145481982569745</v>
      </c>
      <c r="GK437" s="2026">
        <v>10.490414845215474</v>
      </c>
    </row>
    <row r="438" spans="1:193">
      <c r="A438" s="2020"/>
      <c r="B438" s="2">
        <v>15</v>
      </c>
      <c r="C438" s="2" t="str">
        <f>CONCATENATE($U$8," ",EI$9)</f>
        <v xml:space="preserve">Proportion de fenêtres </v>
      </c>
      <c r="D438" s="1979">
        <f>IF(Construction!$F$31=Construction!$R$22,Oeko!BQ438,Oeko!ED438)</f>
        <v>0</v>
      </c>
      <c r="E438" s="1979">
        <f>IF(Construction!$F$31=Construction!$R$22,Oeko!BR438,Oeko!EE438)</f>
        <v>0</v>
      </c>
      <c r="F438" s="1979">
        <f>IF(Construction!$F$31=Construction!$R$22,Oeko!BS438,Oeko!EF438)</f>
        <v>0</v>
      </c>
      <c r="G438" s="1979">
        <f>IF(Construction!$F$31=Construction!$R$22,Oeko!BT438,Oeko!EG438)</f>
        <v>0</v>
      </c>
      <c r="H438" s="1979">
        <f>IF(Construction!$F$31=Construction!$R$22,Oeko!BU438,Oeko!EH438)</f>
        <v>0</v>
      </c>
      <c r="I438" s="1998">
        <f>IF(Construction!$F$31=Construction!$R$22,Oeko!BV438,Oeko!EI438)</f>
        <v>0</v>
      </c>
      <c r="J438" s="1998">
        <f>IF(Construction!$F$31=Construction!$R$22,Oeko!BW438,Oeko!EJ438)</f>
        <v>0</v>
      </c>
      <c r="K438" s="1998">
        <f>IF(Construction!$F$31=Construction!$R$22,Oeko!BX438,Oeko!EK438)</f>
        <v>0</v>
      </c>
      <c r="L438" s="1998">
        <f>IF(Construction!$F$31=Construction!$R$22,Oeko!BY438,Oeko!EL438)</f>
        <v>0</v>
      </c>
      <c r="M438" s="1998">
        <f>IF(Construction!$F$31=Construction!$R$22,Oeko!BZ438,Oeko!EM438)</f>
        <v>0</v>
      </c>
      <c r="N438" s="1979">
        <f>IF(Construction!$F$31=Construction!$R$22,Oeko!CA438,Oeko!EN438)</f>
        <v>0</v>
      </c>
      <c r="O438" s="1979">
        <f>IF(Construction!$F$31=Construction!$R$22,Oeko!CB438,Oeko!EO438)</f>
        <v>0</v>
      </c>
      <c r="P438" s="1979">
        <f>IF(Construction!$F$31=Construction!$R$22,Oeko!CC438,Oeko!EP438)</f>
        <v>0</v>
      </c>
      <c r="Q438" s="1979">
        <f>IF(Construction!$F$31=Construction!$R$22,Oeko!CD438,Oeko!EQ438)</f>
        <v>0</v>
      </c>
      <c r="R438" s="1979">
        <f>IF(Construction!$F$31=Construction!$R$22,Oeko!CE438,Oeko!ER438)</f>
        <v>0</v>
      </c>
      <c r="S438" s="1998">
        <f>IF(Construction!$F$31=Construction!$R$22,Oeko!CF438,Oeko!ES438)</f>
        <v>0</v>
      </c>
      <c r="T438" s="1998">
        <f>IF(Construction!$F$31=Construction!$R$22,Oeko!CG438,Oeko!ET438)</f>
        <v>0</v>
      </c>
      <c r="U438" s="1998">
        <f>IF(Construction!$F$31=Construction!$R$22,Oeko!CH438,Oeko!EU438)</f>
        <v>0</v>
      </c>
      <c r="V438" s="1998">
        <f>IF(Construction!$F$31=Construction!$R$22,Oeko!CI438,Oeko!EV438)</f>
        <v>0</v>
      </c>
      <c r="W438" s="1998">
        <f>IF(Construction!$F$31=Construction!$R$22,Oeko!CJ438,Oeko!EW438)</f>
        <v>0</v>
      </c>
      <c r="X438" s="1979">
        <f>IF(Construction!$F$31=Construction!$R$22,Oeko!CK438,Oeko!EX438)</f>
        <v>9.085248205555569</v>
      </c>
      <c r="Y438" s="1979">
        <f>IF(Construction!$F$31=Construction!$R$22,Oeko!CL438,Oeko!EY438)</f>
        <v>9.6354063369032978</v>
      </c>
      <c r="Z438" s="1979">
        <f>IF(Construction!$F$31=Construction!$R$22,Oeko!CM438,Oeko!EZ438)</f>
        <v>8.0434192739127734</v>
      </c>
      <c r="AA438" s="1979">
        <f>IF(Construction!$F$31=Construction!$R$22,Oeko!CN438,Oeko!FA438)</f>
        <v>8.0580411066759368</v>
      </c>
      <c r="AB438" s="1979">
        <f>IF(Construction!$F$31=Construction!$R$22,Oeko!CO438,Oeko!FB438)</f>
        <v>8.084847800075071</v>
      </c>
      <c r="AC438" s="1998">
        <f>IF(Construction!$F$31=Construction!$R$22,Oeko!CP438,Oeko!FC438)</f>
        <v>0</v>
      </c>
      <c r="AD438" s="1998">
        <f>IF(Construction!$F$31=Construction!$R$22,Oeko!CQ438,Oeko!FD438)</f>
        <v>0</v>
      </c>
      <c r="AE438" s="1998">
        <f>IF(Construction!$F$31=Construction!$R$22,Oeko!CR438,Oeko!FE438)</f>
        <v>0</v>
      </c>
      <c r="AF438" s="1998">
        <f>IF(Construction!$F$31=Construction!$R$22,Oeko!CS438,Oeko!FF438)</f>
        <v>0</v>
      </c>
      <c r="AG438" s="1998">
        <f>IF(Construction!$F$31=Construction!$R$22,Oeko!CT438,Oeko!FG438)</f>
        <v>0</v>
      </c>
      <c r="AH438" s="1979">
        <f>IF(Construction!$F$31=Construction!$R$22,Oeko!CU438,Oeko!FH438)</f>
        <v>13.50198824084625</v>
      </c>
      <c r="AI438" s="1979">
        <f>IF(Construction!$F$31=Construction!$R$22,Oeko!CV438,Oeko!FI438)</f>
        <v>13.648206568477894</v>
      </c>
      <c r="AJ438" s="1979">
        <f>IF(Construction!$F$31=Construction!$R$22,Oeko!CW438,Oeko!FJ438)</f>
        <v>13.782240035473571</v>
      </c>
      <c r="AK438" s="1979">
        <f>IF(Construction!$F$31=Construction!$R$22,Oeko!CX438,Oeko!FK438)</f>
        <v>13.928458363105213</v>
      </c>
      <c r="AL438" s="1979">
        <f>IF(Construction!$F$31=Construction!$R$22,Oeko!CY438,Oeko!FL438)</f>
        <v>14.281819321548355</v>
      </c>
      <c r="AM438" s="1998">
        <f>IF(Construction!$F$31=Construction!$R$22,Oeko!CZ438,Oeko!FM438)</f>
        <v>6.8942224023864584</v>
      </c>
      <c r="AN438" s="1998">
        <f>IF(Construction!$F$31=Construction!$R$22,Oeko!DA438,Oeko!FN438)</f>
        <v>7.0518811579727805</v>
      </c>
      <c r="AO438" s="1998">
        <f>IF(Construction!$F$31=Construction!$R$22,Oeko!DB438,Oeko!FO438)</f>
        <v>7.7410145919316742</v>
      </c>
      <c r="AP438" s="1998">
        <f>IF(Construction!$F$31=Construction!$R$22,Oeko!DC438,Oeko!FP438)</f>
        <v>8.4342096461025591</v>
      </c>
      <c r="AQ438" s="1998">
        <f>IF(Construction!$F$31=Construction!$R$22,Oeko!DD438,Oeko!FQ438)</f>
        <v>9.1274047002734449</v>
      </c>
      <c r="AR438" s="1979">
        <f>IF(Construction!$F$31=Construction!$R$22,Oeko!DE438,Oeko!FR438)</f>
        <v>86.45735526256496</v>
      </c>
      <c r="AS438" s="1979">
        <f>IF(Construction!$F$31=Construction!$R$22,Oeko!DF438,Oeko!FS438)</f>
        <v>87.634246076879634</v>
      </c>
      <c r="AT438" s="1979">
        <f>IF(Construction!$F$31=Construction!$R$22,Oeko!DG438,Oeko!FT438)</f>
        <v>88.713062656668086</v>
      </c>
      <c r="AU438" s="1979">
        <f>IF(Construction!$F$31=Construction!$R$22,Oeko!DH438,Oeko!FU438)</f>
        <v>89.889953470982761</v>
      </c>
      <c r="AV438" s="1979">
        <f>IF(Construction!$F$31=Construction!$R$22,Oeko!DI438,Oeko!FV438)</f>
        <v>92.734106272243224</v>
      </c>
      <c r="AW438" s="1998">
        <f>IF(Construction!$F$31=Construction!$R$22,Oeko!DJ438,Oeko!FW438)</f>
        <v>87.653680163481994</v>
      </c>
      <c r="AX438" s="1998">
        <f>IF(Construction!$F$31=Construction!$R$22,Oeko!DK438,Oeko!FX438)</f>
        <v>88.828238269218787</v>
      </c>
      <c r="AY438" s="1998">
        <f>IF(Construction!$F$31=Construction!$R$22,Oeko!DL438,Oeko!FY438)</f>
        <v>89.904916532810816</v>
      </c>
      <c r="AZ438" s="1998">
        <f>IF(Construction!$F$31=Construction!$R$22,Oeko!DM438,Oeko!FZ438)</f>
        <v>91.079474638547609</v>
      </c>
      <c r="BA438" s="1998">
        <f>IF(Construction!$F$31=Construction!$R$22,Oeko!DN438,Oeko!GA438)</f>
        <v>93.917990060744842</v>
      </c>
      <c r="BB438" s="1979">
        <f>IF(Construction!$F$31=Construction!$R$22,Oeko!DO438,Oeko!GB438)</f>
        <v>6.3575020406960094</v>
      </c>
      <c r="BC438" s="1979">
        <f>IF(Construction!$F$31=Construction!$R$22,Oeko!DP438,Oeko!GC438)</f>
        <v>6.703709780044588</v>
      </c>
      <c r="BD438" s="1979">
        <f>IF(Construction!$F$31=Construction!$R$22,Oeko!DQ438,Oeko!GD438)</f>
        <v>7.0499175193931674</v>
      </c>
      <c r="BE438" s="1979">
        <f>IF(Construction!$F$31=Construction!$R$22,Oeko!DR438,Oeko!GE438)</f>
        <v>7.3961252587417459</v>
      </c>
      <c r="BF438" s="1979">
        <f>IF(Construction!$F$31=Construction!$R$22,Oeko!DS438,Oeko!GF438)</f>
        <v>7.7423329980903244</v>
      </c>
      <c r="BG438" s="1998">
        <f>IF(Construction!$F$31=Construction!$R$22,Oeko!DT438,Oeko!GG438)</f>
        <v>8.3418362706812434</v>
      </c>
      <c r="BH438" s="1998">
        <f>IF(Construction!$F$31=Construction!$R$22,Oeko!DU438,Oeko!GH438)</f>
        <v>8.6867691333269725</v>
      </c>
      <c r="BI438" s="1998">
        <f>IF(Construction!$F$31=Construction!$R$22,Oeko!DV438,Oeko!GI438)</f>
        <v>9.0317019959727016</v>
      </c>
      <c r="BJ438" s="1998">
        <f>IF(Construction!$F$31=Construction!$R$22,Oeko!DW438,Oeko!GJ438)</f>
        <v>9.3766348586184325</v>
      </c>
      <c r="BK438" s="2026">
        <f>IF(Construction!$F$31=Construction!$R$22,Oeko!DX438,Oeko!GK438)</f>
        <v>9.7215677212641616</v>
      </c>
      <c r="BN438" s="2022"/>
      <c r="BO438" s="2">
        <v>15</v>
      </c>
      <c r="BP438" s="2" t="str">
        <f>CONCATENATE($U$8," ",GV$9)</f>
        <v xml:space="preserve">Proportion de fenêtres </v>
      </c>
      <c r="BQ438" s="1979">
        <v>0</v>
      </c>
      <c r="BR438" s="1979">
        <v>0</v>
      </c>
      <c r="BS438" s="1979">
        <v>0</v>
      </c>
      <c r="BT438" s="1979">
        <v>0</v>
      </c>
      <c r="BU438" s="1979">
        <v>0</v>
      </c>
      <c r="BV438" s="1998">
        <v>0</v>
      </c>
      <c r="BW438" s="1998">
        <v>0</v>
      </c>
      <c r="BX438" s="1998">
        <v>0</v>
      </c>
      <c r="BY438" s="1998">
        <v>0</v>
      </c>
      <c r="BZ438" s="1998">
        <v>0</v>
      </c>
      <c r="CA438" s="1979">
        <v>0</v>
      </c>
      <c r="CB438" s="1979">
        <v>0</v>
      </c>
      <c r="CC438" s="1979">
        <v>0</v>
      </c>
      <c r="CD438" s="1979">
        <v>0</v>
      </c>
      <c r="CE438" s="1979">
        <v>0</v>
      </c>
      <c r="CF438" s="1998">
        <v>0</v>
      </c>
      <c r="CG438" s="1998">
        <v>0</v>
      </c>
      <c r="CH438" s="1998">
        <v>0</v>
      </c>
      <c r="CI438" s="1998">
        <v>0</v>
      </c>
      <c r="CJ438" s="1998">
        <v>0</v>
      </c>
      <c r="CK438" s="1979">
        <v>9.085248205555569</v>
      </c>
      <c r="CL438" s="1979">
        <v>9.6354063369032978</v>
      </c>
      <c r="CM438" s="1979">
        <v>8.0434192739127734</v>
      </c>
      <c r="CN438" s="1979">
        <v>8.0580411066759368</v>
      </c>
      <c r="CO438" s="1979">
        <v>8.084847800075071</v>
      </c>
      <c r="CP438" s="1998">
        <v>0</v>
      </c>
      <c r="CQ438" s="1998">
        <v>0</v>
      </c>
      <c r="CR438" s="1998">
        <v>0</v>
      </c>
      <c r="CS438" s="1998">
        <v>0</v>
      </c>
      <c r="CT438" s="1998">
        <v>0</v>
      </c>
      <c r="CU438" s="1979">
        <v>13.50198824084625</v>
      </c>
      <c r="CV438" s="1979">
        <v>13.648206568477894</v>
      </c>
      <c r="CW438" s="1979">
        <v>13.782240035473571</v>
      </c>
      <c r="CX438" s="1979">
        <v>13.928458363105213</v>
      </c>
      <c r="CY438" s="1979">
        <v>14.281819321548355</v>
      </c>
      <c r="CZ438" s="1998">
        <v>6.8942224023864584</v>
      </c>
      <c r="DA438" s="1998">
        <v>7.0518811579727805</v>
      </c>
      <c r="DB438" s="1998">
        <v>7.7410145919316742</v>
      </c>
      <c r="DC438" s="1998">
        <v>8.4342096461025591</v>
      </c>
      <c r="DD438" s="1998">
        <v>9.1274047002734449</v>
      </c>
      <c r="DE438" s="1979">
        <v>86.45735526256496</v>
      </c>
      <c r="DF438" s="1979">
        <v>87.634246076879634</v>
      </c>
      <c r="DG438" s="1979">
        <v>88.713062656668086</v>
      </c>
      <c r="DH438" s="1979">
        <v>89.889953470982761</v>
      </c>
      <c r="DI438" s="1979">
        <v>92.734106272243224</v>
      </c>
      <c r="DJ438" s="1998">
        <v>87.653680163481994</v>
      </c>
      <c r="DK438" s="1998">
        <v>88.828238269218787</v>
      </c>
      <c r="DL438" s="1998">
        <v>89.904916532810816</v>
      </c>
      <c r="DM438" s="1998">
        <v>91.079474638547609</v>
      </c>
      <c r="DN438" s="1998">
        <v>93.917990060744842</v>
      </c>
      <c r="DO438" s="1979">
        <v>6.3575020406960094</v>
      </c>
      <c r="DP438" s="1979">
        <v>6.703709780044588</v>
      </c>
      <c r="DQ438" s="1979">
        <v>7.0499175193931674</v>
      </c>
      <c r="DR438" s="1979">
        <v>7.3961252587417459</v>
      </c>
      <c r="DS438" s="1979">
        <v>7.7423329980903244</v>
      </c>
      <c r="DT438" s="1998">
        <v>8.3418362706812434</v>
      </c>
      <c r="DU438" s="1998">
        <v>8.6867691333269725</v>
      </c>
      <c r="DV438" s="1998">
        <v>9.0317019959727016</v>
      </c>
      <c r="DW438" s="1998">
        <v>9.3766348586184325</v>
      </c>
      <c r="DX438" s="2026">
        <v>9.7215677212641616</v>
      </c>
      <c r="EA438" s="2022"/>
      <c r="EB438" s="2">
        <v>15</v>
      </c>
      <c r="EC438" s="2" t="str">
        <f>CONCATENATE($U$8," ",JI$9)</f>
        <v xml:space="preserve">Proportion de fenêtres </v>
      </c>
      <c r="ED438" s="1979">
        <v>0</v>
      </c>
      <c r="EE438" s="1979">
        <v>0</v>
      </c>
      <c r="EF438" s="1979">
        <v>0</v>
      </c>
      <c r="EG438" s="1979">
        <v>0</v>
      </c>
      <c r="EH438" s="1979">
        <v>0</v>
      </c>
      <c r="EI438" s="1998">
        <v>0</v>
      </c>
      <c r="EJ438" s="1998">
        <v>0</v>
      </c>
      <c r="EK438" s="1998">
        <v>0</v>
      </c>
      <c r="EL438" s="1998">
        <v>0</v>
      </c>
      <c r="EM438" s="1998">
        <v>0</v>
      </c>
      <c r="EN438" s="1979">
        <v>0</v>
      </c>
      <c r="EO438" s="1979">
        <v>0</v>
      </c>
      <c r="EP438" s="1979">
        <v>0</v>
      </c>
      <c r="EQ438" s="1979">
        <v>0</v>
      </c>
      <c r="ER438" s="1979">
        <v>0</v>
      </c>
      <c r="ES438" s="1998">
        <v>0</v>
      </c>
      <c r="ET438" s="1998">
        <v>0</v>
      </c>
      <c r="EU438" s="1998">
        <v>0</v>
      </c>
      <c r="EV438" s="1998">
        <v>0</v>
      </c>
      <c r="EW438" s="1998">
        <v>0</v>
      </c>
      <c r="EX438" s="1979">
        <v>9.2555229235983685</v>
      </c>
      <c r="EY438" s="1979">
        <v>9.8127505865374349</v>
      </c>
      <c r="EZ438" s="1979">
        <v>8.2207635235469105</v>
      </c>
      <c r="FA438" s="1979">
        <v>8.2353853563100756</v>
      </c>
      <c r="FB438" s="1979">
        <v>8.2621920497092081</v>
      </c>
      <c r="FC438" s="1998">
        <v>0</v>
      </c>
      <c r="FD438" s="1998">
        <v>0</v>
      </c>
      <c r="FE438" s="1998">
        <v>0</v>
      </c>
      <c r="FF438" s="1998">
        <v>0</v>
      </c>
      <c r="FG438" s="1998">
        <v>0</v>
      </c>
      <c r="FH438" s="1979">
        <v>14.065278418713227</v>
      </c>
      <c r="FI438" s="1979">
        <v>14.211496746344872</v>
      </c>
      <c r="FJ438" s="1979">
        <v>14.345530213340544</v>
      </c>
      <c r="FK438" s="1979">
        <v>14.491748540972189</v>
      </c>
      <c r="FL438" s="1979">
        <v>14.845109499415328</v>
      </c>
      <c r="FM438" s="1998">
        <v>7.1569733265311903</v>
      </c>
      <c r="FN438" s="1998">
        <v>7.32170161370885</v>
      </c>
      <c r="FO438" s="1998">
        <v>8.0179045792590831</v>
      </c>
      <c r="FP438" s="1998">
        <v>8.7181691650213047</v>
      </c>
      <c r="FQ438" s="1998">
        <v>9.4184337507835281</v>
      </c>
      <c r="FR438" s="1979">
        <v>90.433359341276557</v>
      </c>
      <c r="FS438" s="1979">
        <v>91.610250155591231</v>
      </c>
      <c r="FT438" s="1979">
        <v>92.689066735379683</v>
      </c>
      <c r="FU438" s="1979">
        <v>93.865957549694357</v>
      </c>
      <c r="FV438" s="1979">
        <v>96.710110350954835</v>
      </c>
      <c r="FW438" s="1998">
        <v>91.612676642246669</v>
      </c>
      <c r="FX438" s="1998">
        <v>92.787234747983462</v>
      </c>
      <c r="FY438" s="1998">
        <v>93.863913011575505</v>
      </c>
      <c r="FZ438" s="1998">
        <v>95.038471117312284</v>
      </c>
      <c r="GA438" s="1998">
        <v>97.876986539509517</v>
      </c>
      <c r="GB438" s="1979">
        <v>6.6345588566242863</v>
      </c>
      <c r="GC438" s="1979">
        <v>6.980766595972864</v>
      </c>
      <c r="GD438" s="1979">
        <v>7.3269743353214434</v>
      </c>
      <c r="GE438" s="1979">
        <v>7.673182074670021</v>
      </c>
      <c r="GF438" s="1979">
        <v>8.0193898140186004</v>
      </c>
      <c r="GG438" s="1998">
        <v>8.6178728515314216</v>
      </c>
      <c r="GH438" s="1998">
        <v>8.9628057141771507</v>
      </c>
      <c r="GI438" s="1998">
        <v>9.3077385768228815</v>
      </c>
      <c r="GJ438" s="1998">
        <v>9.6526714394686106</v>
      </c>
      <c r="GK438" s="2026">
        <v>9.9976043021143415</v>
      </c>
    </row>
    <row r="439" spans="1:193">
      <c r="A439" s="2020"/>
      <c r="B439" s="2">
        <v>16</v>
      </c>
      <c r="C439" s="2" t="str">
        <f>CONCATENATE($U$8," ",EI$10)</f>
        <v xml:space="preserve">Proportion de fenêtres </v>
      </c>
      <c r="D439" s="1979">
        <f>IF(Construction!$F$31=Construction!$R$22,Oeko!BQ439,Oeko!ED439)</f>
        <v>7.2120126019544069</v>
      </c>
      <c r="E439" s="1979">
        <f>IF(Construction!$F$31=Construction!$R$22,Oeko!BR439,Oeko!EE439)</f>
        <v>7.4904133327563276</v>
      </c>
      <c r="F439" s="1979">
        <f>IF(Construction!$F$31=Construction!$R$22,Oeko!BS439,Oeko!EF439)</f>
        <v>8.3023195520368152</v>
      </c>
      <c r="G439" s="1979">
        <f>IF(Construction!$F$31=Construction!$R$22,Oeko!BT439,Oeko!EG439)</f>
        <v>9.1162565814232988</v>
      </c>
      <c r="H439" s="1979">
        <f>IF(Construction!$F$31=Construction!$R$22,Oeko!BU439,Oeko!EH439)</f>
        <v>9.9301936108097824</v>
      </c>
      <c r="I439" s="1998">
        <f>IF(Construction!$F$31=Construction!$R$22,Oeko!BV439,Oeko!EI439)</f>
        <v>10.021356995488349</v>
      </c>
      <c r="J439" s="1998">
        <f>IF(Construction!$F$31=Construction!$R$22,Oeko!BW439,Oeko!EJ439)</f>
        <v>10.520460942269166</v>
      </c>
      <c r="K439" s="1998">
        <f>IF(Construction!$F$31=Construction!$R$22,Oeko!BX439,Oeko!EK439)</f>
        <v>11.542916326998576</v>
      </c>
      <c r="L439" s="1998">
        <f>IF(Construction!$F$31=Construction!$R$22,Oeko!BY439,Oeko!EL439)</f>
        <v>12.577556572363953</v>
      </c>
      <c r="M439" s="1998">
        <f>IF(Construction!$F$31=Construction!$R$22,Oeko!BZ439,Oeko!EM439)</f>
        <v>13.612196817729332</v>
      </c>
      <c r="N439" s="1979">
        <f>IF(Construction!$F$31=Construction!$R$22,Oeko!CA439,Oeko!EN439)</f>
        <v>8.9640347653971819</v>
      </c>
      <c r="O439" s="1979">
        <f>IF(Construction!$F$31=Construction!$R$22,Oeko!CB439,Oeko!EO439)</f>
        <v>9.5100152302411498</v>
      </c>
      <c r="P439" s="1979">
        <f>IF(Construction!$F$31=Construction!$R$22,Oeko!CC439,Oeko!EP439)</f>
        <v>7.91385050074686</v>
      </c>
      <c r="Q439" s="1979">
        <f>IF(Construction!$F$31=Construction!$R$22,Oeko!CD439,Oeko!EQ439)</f>
        <v>7.9242946670062642</v>
      </c>
      <c r="R439" s="1979">
        <f>IF(Construction!$F$31=Construction!$R$22,Oeko!CE439,Oeko!ER439)</f>
        <v>7.9434423051485039</v>
      </c>
      <c r="S439" s="1998">
        <f>IF(Construction!$F$31=Construction!$R$22,Oeko!CF439,Oeko!ES439)</f>
        <v>12.386153034901611</v>
      </c>
      <c r="T439" s="1998">
        <f>IF(Construction!$F$31=Construction!$R$22,Oeko!CG439,Oeko!ET439)</f>
        <v>12.958243915394082</v>
      </c>
      <c r="U439" s="1998">
        <f>IF(Construction!$F$31=Construction!$R$22,Oeko!CH439,Oeko!EU439)</f>
        <v>11.388189601548305</v>
      </c>
      <c r="V439" s="1998">
        <f>IF(Construction!$F$31=Construction!$R$22,Oeko!CI439,Oeko!EV439)</f>
        <v>11.424744183456218</v>
      </c>
      <c r="W439" s="1998">
        <f>IF(Construction!$F$31=Construction!$R$22,Oeko!CJ439,Oeko!EW439)</f>
        <v>11.491760916954055</v>
      </c>
      <c r="X439" s="1979">
        <f>IF(Construction!$F$31=Construction!$R$22,Oeko!CK439,Oeko!EX439)</f>
        <v>8.8249487925616279</v>
      </c>
      <c r="Y439" s="1979">
        <f>IF(Construction!$F$31=Construction!$R$22,Oeko!CL439,Oeko!EY439)</f>
        <v>9.375106923909355</v>
      </c>
      <c r="Z439" s="1979">
        <f>IF(Construction!$F$31=Construction!$R$22,Oeko!CM439,Oeko!EZ439)</f>
        <v>7.7831198609188297</v>
      </c>
      <c r="AA439" s="1979">
        <f>IF(Construction!$F$31=Construction!$R$22,Oeko!CN439,Oeko!FA439)</f>
        <v>7.7977416936819939</v>
      </c>
      <c r="AB439" s="1979">
        <f>IF(Construction!$F$31=Construction!$R$22,Oeko!CO439,Oeko!FB439)</f>
        <v>7.824548387081129</v>
      </c>
      <c r="AC439" s="1998">
        <f>IF(Construction!$F$31=Construction!$R$22,Oeko!CP439,Oeko!FC439)</f>
        <v>5.4662209807768152</v>
      </c>
      <c r="AD439" s="1998">
        <f>IF(Construction!$F$31=Construction!$R$22,Oeko!CQ439,Oeko!FD439)</f>
        <v>5.539330144592638</v>
      </c>
      <c r="AE439" s="1998">
        <f>IF(Construction!$F$31=Construction!$R$22,Oeko!CR439,Oeko!FE439)</f>
        <v>5.6124393084084598</v>
      </c>
      <c r="AF439" s="1998">
        <f>IF(Construction!$F$31=Construction!$R$22,Oeko!CS439,Oeko!FF439)</f>
        <v>5.6855484722242817</v>
      </c>
      <c r="AG439" s="1998">
        <f>IF(Construction!$F$31=Construction!$R$22,Oeko!CT439,Oeko!FG439)</f>
        <v>5.8195819392199581</v>
      </c>
      <c r="AH439" s="1979">
        <f>IF(Construction!$F$31=Construction!$R$22,Oeko!CU439,Oeko!FH439)</f>
        <v>12.879761828189924</v>
      </c>
      <c r="AI439" s="1979">
        <f>IF(Construction!$F$31=Construction!$R$22,Oeko!CV439,Oeko!FI439)</f>
        <v>13.025980155821571</v>
      </c>
      <c r="AJ439" s="1979">
        <f>IF(Construction!$F$31=Construction!$R$22,Oeko!CW439,Oeko!FJ439)</f>
        <v>13.160013622817244</v>
      </c>
      <c r="AK439" s="1979">
        <f>IF(Construction!$F$31=Construction!$R$22,Oeko!CX439,Oeko!FK439)</f>
        <v>13.30623195044889</v>
      </c>
      <c r="AL439" s="1979">
        <f>IF(Construction!$F$31=Construction!$R$22,Oeko!CY439,Oeko!FL439)</f>
        <v>13.659592908892028</v>
      </c>
      <c r="AM439" s="1998">
        <f>IF(Construction!$F$31=Construction!$R$22,Oeko!CZ439,Oeko!FM439)</f>
        <v>6.8068815951994077</v>
      </c>
      <c r="AN439" s="1998">
        <f>IF(Construction!$F$31=Construction!$R$22,Oeko!DA439,Oeko!FN439)</f>
        <v>6.9478792214964304</v>
      </c>
      <c r="AO439" s="1998">
        <f>IF(Construction!$F$31=Construction!$R$22,Oeko!DB439,Oeko!FO439)</f>
        <v>7.6203515261660275</v>
      </c>
      <c r="AP439" s="1998">
        <f>IF(Construction!$F$31=Construction!$R$22,Oeko!DC439,Oeko!FP439)</f>
        <v>8.2968854510476149</v>
      </c>
      <c r="AQ439" s="1998">
        <f>IF(Construction!$F$31=Construction!$R$22,Oeko!DD439,Oeko!FQ439)</f>
        <v>8.9734193759292022</v>
      </c>
      <c r="AR439" s="1979">
        <f>IF(Construction!$F$31=Construction!$R$22,Oeko!DE439,Oeko!FR439)</f>
        <v>84.226423955582803</v>
      </c>
      <c r="AS439" s="1979">
        <f>IF(Construction!$F$31=Construction!$R$22,Oeko!DF439,Oeko!FS439)</f>
        <v>85.403314769897491</v>
      </c>
      <c r="AT439" s="1979">
        <f>IF(Construction!$F$31=Construction!$R$22,Oeko!DG439,Oeko!FT439)</f>
        <v>86.482131349685943</v>
      </c>
      <c r="AU439" s="1979">
        <f>IF(Construction!$F$31=Construction!$R$22,Oeko!DH439,Oeko!FU439)</f>
        <v>87.659022164000618</v>
      </c>
      <c r="AV439" s="1979">
        <f>IF(Construction!$F$31=Construction!$R$22,Oeko!DI439,Oeko!FV439)</f>
        <v>90.503174965261081</v>
      </c>
      <c r="AW439" s="1998">
        <f>IF(Construction!$F$31=Construction!$R$22,Oeko!DJ439,Oeko!FW439)</f>
        <v>85.336292838416725</v>
      </c>
      <c r="AX439" s="1998">
        <f>IF(Construction!$F$31=Construction!$R$22,Oeko!DK439,Oeko!FX439)</f>
        <v>86.510850944153503</v>
      </c>
      <c r="AY439" s="1998">
        <f>IF(Construction!$F$31=Construction!$R$22,Oeko!DL439,Oeko!FY439)</f>
        <v>87.587529207745561</v>
      </c>
      <c r="AZ439" s="1998">
        <f>IF(Construction!$F$31=Construction!$R$22,Oeko!DM439,Oeko!FZ439)</f>
        <v>88.762087313482354</v>
      </c>
      <c r="BA439" s="1998">
        <f>IF(Construction!$F$31=Construction!$R$22,Oeko!DN439,Oeko!GA439)</f>
        <v>91.600602735679573</v>
      </c>
      <c r="BB439" s="1979">
        <f>IF(Construction!$F$31=Construction!$R$22,Oeko!DO439,Oeko!GB439)</f>
        <v>6.1001143599471188</v>
      </c>
      <c r="BC439" s="1979">
        <f>IF(Construction!$F$31=Construction!$R$22,Oeko!DP439,Oeko!GC439)</f>
        <v>6.4463220992956973</v>
      </c>
      <c r="BD439" s="1979">
        <f>IF(Construction!$F$31=Construction!$R$22,Oeko!DQ439,Oeko!GD439)</f>
        <v>6.7925298386442758</v>
      </c>
      <c r="BE439" s="1979">
        <f>IF(Construction!$F$31=Construction!$R$22,Oeko!DR439,Oeko!GE439)</f>
        <v>7.1387375779928544</v>
      </c>
      <c r="BF439" s="1979">
        <f>IF(Construction!$F$31=Construction!$R$22,Oeko!DS439,Oeko!GF439)</f>
        <v>7.4849453173414338</v>
      </c>
      <c r="BG439" s="1998">
        <f>IF(Construction!$F$31=Construction!$R$22,Oeko!DT439,Oeko!GG439)</f>
        <v>7.8490257275801127</v>
      </c>
      <c r="BH439" s="1998">
        <f>IF(Construction!$F$31=Construction!$R$22,Oeko!DU439,Oeko!GH439)</f>
        <v>8.1939585902258401</v>
      </c>
      <c r="BI439" s="1998">
        <f>IF(Construction!$F$31=Construction!$R$22,Oeko!DV439,Oeko!GI439)</f>
        <v>8.5388914528715709</v>
      </c>
      <c r="BJ439" s="1998">
        <f>IF(Construction!$F$31=Construction!$R$22,Oeko!DW439,Oeko!GJ439)</f>
        <v>8.8838243155173</v>
      </c>
      <c r="BK439" s="2026">
        <f>IF(Construction!$F$31=Construction!$R$22,Oeko!DX439,Oeko!GK439)</f>
        <v>9.2287571781630309</v>
      </c>
      <c r="BN439" s="2022"/>
      <c r="BO439" s="2">
        <v>16</v>
      </c>
      <c r="BP439" s="2" t="str">
        <f>CONCATENATE($U$8," ",GV$10)</f>
        <v xml:space="preserve">Proportion de fenêtres </v>
      </c>
      <c r="BQ439" s="1979">
        <v>7.2120126019544069</v>
      </c>
      <c r="BR439" s="1979">
        <v>7.4904133327563276</v>
      </c>
      <c r="BS439" s="1979">
        <v>8.3023195520368152</v>
      </c>
      <c r="BT439" s="1979">
        <v>9.1162565814232988</v>
      </c>
      <c r="BU439" s="1979">
        <v>9.9301936108097824</v>
      </c>
      <c r="BV439" s="1998">
        <v>10.021356995488349</v>
      </c>
      <c r="BW439" s="1998">
        <v>10.520460942269166</v>
      </c>
      <c r="BX439" s="1998">
        <v>11.542916326998576</v>
      </c>
      <c r="BY439" s="1998">
        <v>12.577556572363953</v>
      </c>
      <c r="BZ439" s="1998">
        <v>13.612196817729332</v>
      </c>
      <c r="CA439" s="1979">
        <v>8.9640347653971819</v>
      </c>
      <c r="CB439" s="1979">
        <v>9.5100152302411498</v>
      </c>
      <c r="CC439" s="1979">
        <v>7.91385050074686</v>
      </c>
      <c r="CD439" s="1979">
        <v>7.9242946670062642</v>
      </c>
      <c r="CE439" s="1979">
        <v>7.9434423051485039</v>
      </c>
      <c r="CF439" s="1998">
        <v>12.386153034901611</v>
      </c>
      <c r="CG439" s="1998">
        <v>12.958243915394082</v>
      </c>
      <c r="CH439" s="1998">
        <v>11.388189601548305</v>
      </c>
      <c r="CI439" s="1998">
        <v>11.424744183456218</v>
      </c>
      <c r="CJ439" s="1998">
        <v>11.491760916954055</v>
      </c>
      <c r="CK439" s="1979">
        <v>8.8249487925616279</v>
      </c>
      <c r="CL439" s="1979">
        <v>9.375106923909355</v>
      </c>
      <c r="CM439" s="1979">
        <v>7.7831198609188297</v>
      </c>
      <c r="CN439" s="1979">
        <v>7.7977416936819939</v>
      </c>
      <c r="CO439" s="1979">
        <v>7.824548387081129</v>
      </c>
      <c r="CP439" s="1998">
        <v>5.4662209807768152</v>
      </c>
      <c r="CQ439" s="1998">
        <v>5.539330144592638</v>
      </c>
      <c r="CR439" s="1998">
        <v>5.6124393084084598</v>
      </c>
      <c r="CS439" s="1998">
        <v>5.6855484722242817</v>
      </c>
      <c r="CT439" s="1998">
        <v>5.8195819392199581</v>
      </c>
      <c r="CU439" s="1979">
        <v>12.879761828189924</v>
      </c>
      <c r="CV439" s="1979">
        <v>13.025980155821571</v>
      </c>
      <c r="CW439" s="1979">
        <v>13.160013622817244</v>
      </c>
      <c r="CX439" s="1979">
        <v>13.30623195044889</v>
      </c>
      <c r="CY439" s="1979">
        <v>13.659592908892028</v>
      </c>
      <c r="CZ439" s="1998">
        <v>6.8068815951994077</v>
      </c>
      <c r="DA439" s="1998">
        <v>6.9478792214964304</v>
      </c>
      <c r="DB439" s="1998">
        <v>7.6203515261660275</v>
      </c>
      <c r="DC439" s="1998">
        <v>8.2968854510476149</v>
      </c>
      <c r="DD439" s="1998">
        <v>8.9734193759292022</v>
      </c>
      <c r="DE439" s="1979">
        <v>84.226423955582803</v>
      </c>
      <c r="DF439" s="1979">
        <v>85.403314769897491</v>
      </c>
      <c r="DG439" s="1979">
        <v>86.482131349685943</v>
      </c>
      <c r="DH439" s="1979">
        <v>87.659022164000618</v>
      </c>
      <c r="DI439" s="1979">
        <v>90.503174965261081</v>
      </c>
      <c r="DJ439" s="1998">
        <v>85.336292838416725</v>
      </c>
      <c r="DK439" s="1998">
        <v>86.510850944153503</v>
      </c>
      <c r="DL439" s="1998">
        <v>87.587529207745561</v>
      </c>
      <c r="DM439" s="1998">
        <v>88.762087313482354</v>
      </c>
      <c r="DN439" s="1998">
        <v>91.600602735679573</v>
      </c>
      <c r="DO439" s="1979">
        <v>6.1001143599471188</v>
      </c>
      <c r="DP439" s="1979">
        <v>6.4463220992956973</v>
      </c>
      <c r="DQ439" s="1979">
        <v>6.7925298386442758</v>
      </c>
      <c r="DR439" s="1979">
        <v>7.1387375779928544</v>
      </c>
      <c r="DS439" s="1979">
        <v>7.4849453173414338</v>
      </c>
      <c r="DT439" s="1998">
        <v>7.8490257275801127</v>
      </c>
      <c r="DU439" s="1998">
        <v>8.1939585902258401</v>
      </c>
      <c r="DV439" s="1998">
        <v>8.5388914528715709</v>
      </c>
      <c r="DW439" s="1998">
        <v>8.8838243155173</v>
      </c>
      <c r="DX439" s="2026">
        <v>9.2287571781630309</v>
      </c>
      <c r="EA439" s="2022"/>
      <c r="EB439" s="2">
        <v>16</v>
      </c>
      <c r="EC439" s="2" t="str">
        <f>CONCATENATE($U$8," ",JI$10)</f>
        <v xml:space="preserve">Proportion de fenêtres </v>
      </c>
      <c r="ED439" s="1979">
        <v>7.3611003143724636</v>
      </c>
      <c r="EE439" s="1979">
        <v>7.6465705767657211</v>
      </c>
      <c r="EF439" s="1979">
        <v>8.4655463276375489</v>
      </c>
      <c r="EG439" s="1979">
        <v>9.2865528886153701</v>
      </c>
      <c r="EH439" s="1979">
        <v>10.107559449593188</v>
      </c>
      <c r="EI439" s="1998">
        <v>10.689611355066974</v>
      </c>
      <c r="EJ439" s="1998">
        <v>11.195784833439131</v>
      </c>
      <c r="EK439" s="1998">
        <v>12.225309749759877</v>
      </c>
      <c r="EL439" s="1998">
        <v>13.267019526716593</v>
      </c>
      <c r="EM439" s="1998">
        <v>14.308729303673312</v>
      </c>
      <c r="EN439" s="1979">
        <v>9.1198890817552005</v>
      </c>
      <c r="EO439" s="1979">
        <v>9.672939078190506</v>
      </c>
      <c r="EP439" s="1979">
        <v>8.0767743486962207</v>
      </c>
      <c r="EQ439" s="1979">
        <v>8.087218514955623</v>
      </c>
      <c r="ER439" s="1979">
        <v>8.1063661530978628</v>
      </c>
      <c r="ES439" s="1998">
        <v>12.78646526126113</v>
      </c>
      <c r="ET439" s="1998">
        <v>13.36562567334494</v>
      </c>
      <c r="EU439" s="1998">
        <v>11.795571359499164</v>
      </c>
      <c r="EV439" s="1998">
        <v>11.832125941407073</v>
      </c>
      <c r="EW439" s="1998">
        <v>11.899142674904912</v>
      </c>
      <c r="EX439" s="1979">
        <v>8.9952235106044256</v>
      </c>
      <c r="EY439" s="1979">
        <v>9.552451173543492</v>
      </c>
      <c r="EZ439" s="1979">
        <v>7.9604641105529659</v>
      </c>
      <c r="FA439" s="1979">
        <v>7.9750859433161319</v>
      </c>
      <c r="FB439" s="1979">
        <v>8.001892636715267</v>
      </c>
      <c r="FC439" s="1998">
        <v>5.7490022444303399</v>
      </c>
      <c r="FD439" s="1998">
        <v>5.8221114082461627</v>
      </c>
      <c r="FE439" s="1998">
        <v>5.8952205720619846</v>
      </c>
      <c r="FF439" s="1998">
        <v>5.9683297358778065</v>
      </c>
      <c r="FG439" s="1998">
        <v>6.1023632028734802</v>
      </c>
      <c r="FH439" s="1979">
        <v>13.443052006056901</v>
      </c>
      <c r="FI439" s="1979">
        <v>13.589270333688546</v>
      </c>
      <c r="FJ439" s="1979">
        <v>13.723303800684217</v>
      </c>
      <c r="FK439" s="1979">
        <v>13.869522128315865</v>
      </c>
      <c r="FL439" s="1979">
        <v>14.222883086759003</v>
      </c>
      <c r="FM439" s="1998">
        <v>7.0696325193441396</v>
      </c>
      <c r="FN439" s="1998">
        <v>7.2176996772325008</v>
      </c>
      <c r="FO439" s="1998">
        <v>7.8972415134934364</v>
      </c>
      <c r="FP439" s="1998">
        <v>8.5808449699663605</v>
      </c>
      <c r="FQ439" s="1998">
        <v>9.2644484264392855</v>
      </c>
      <c r="FR439" s="1979">
        <v>88.2024280342944</v>
      </c>
      <c r="FS439" s="1979">
        <v>89.379318848609074</v>
      </c>
      <c r="FT439" s="1979">
        <v>90.458135428397526</v>
      </c>
      <c r="FU439" s="1979">
        <v>91.6350262427122</v>
      </c>
      <c r="FV439" s="1979">
        <v>94.479179043972664</v>
      </c>
      <c r="FW439" s="1998">
        <v>89.295289317181414</v>
      </c>
      <c r="FX439" s="1998">
        <v>90.469847422918193</v>
      </c>
      <c r="FY439" s="1998">
        <v>91.54652568651025</v>
      </c>
      <c r="FZ439" s="1998">
        <v>92.721083792247043</v>
      </c>
      <c r="GA439" s="1998">
        <v>95.559599214444262</v>
      </c>
      <c r="GB439" s="1979">
        <v>6.3771711758753957</v>
      </c>
      <c r="GC439" s="1979">
        <v>6.7233789152239742</v>
      </c>
      <c r="GD439" s="1979">
        <v>7.0695866545725528</v>
      </c>
      <c r="GE439" s="1979">
        <v>7.4157943939211313</v>
      </c>
      <c r="GF439" s="1979">
        <v>7.7620021332697089</v>
      </c>
      <c r="GG439" s="1998">
        <v>8.1250623084302909</v>
      </c>
      <c r="GH439" s="1998">
        <v>8.4699951710760182</v>
      </c>
      <c r="GI439" s="1998">
        <v>8.814928033721749</v>
      </c>
      <c r="GJ439" s="1998">
        <v>9.1598608963674781</v>
      </c>
      <c r="GK439" s="2026">
        <v>9.504793759013209</v>
      </c>
    </row>
    <row r="440" spans="1:193">
      <c r="A440" s="2020"/>
      <c r="B440" s="2">
        <v>17</v>
      </c>
      <c r="C440" s="2" t="str">
        <f>CONCATENATE($U$8," ",EI$11)</f>
        <v xml:space="preserve">Proportion de fenêtres </v>
      </c>
      <c r="D440" s="1979">
        <f>IF(Construction!$F$31=Construction!$R$22,Oeko!BQ440,Oeko!ED440)</f>
        <v>7.012647715983964</v>
      </c>
      <c r="E440" s="1979">
        <f>IF(Construction!$F$31=Construction!$R$22,Oeko!BR440,Oeko!EE440)</f>
        <v>7.2530176081907474</v>
      </c>
      <c r="F440" s="1979">
        <f>IF(Construction!$F$31=Construction!$R$22,Oeko!BS440,Oeko!EF440)</f>
        <v>8.0268929888761011</v>
      </c>
      <c r="G440" s="1979">
        <f>IF(Construction!$F$31=Construction!$R$22,Oeko!BT440,Oeko!EG440)</f>
        <v>8.8027991796674474</v>
      </c>
      <c r="H440" s="1979">
        <f>IF(Construction!$F$31=Construction!$R$22,Oeko!BU440,Oeko!EH440)</f>
        <v>9.5787053704587954</v>
      </c>
      <c r="I440" s="1998">
        <f>IF(Construction!$F$31=Construction!$R$22,Oeko!BV440,Oeko!EI440)</f>
        <v>9.7023361900161653</v>
      </c>
      <c r="J440" s="1998">
        <f>IF(Construction!$F$31=Construction!$R$22,Oeko!BW440,Oeko!EJ440)</f>
        <v>10.140583739230552</v>
      </c>
      <c r="K440" s="1998">
        <f>IF(Construction!$F$31=Construction!$R$22,Oeko!BX440,Oeko!EK440)</f>
        <v>11.102182726393533</v>
      </c>
      <c r="L440" s="1998">
        <f>IF(Construction!$F$31=Construction!$R$22,Oeko!BY440,Oeko!EL440)</f>
        <v>12.075966574192485</v>
      </c>
      <c r="M440" s="1998">
        <f>IF(Construction!$F$31=Construction!$R$22,Oeko!BZ440,Oeko!EM440)</f>
        <v>13.049750421991439</v>
      </c>
      <c r="N440" s="1979">
        <f>IF(Construction!$F$31=Construction!$R$22,Oeko!CA440,Oeko!EN440)</f>
        <v>8.6638833104913733</v>
      </c>
      <c r="O440" s="1979">
        <f>IF(Construction!$F$31=Construction!$R$22,Oeko!CB440,Oeko!EO440)</f>
        <v>9.2098637753353412</v>
      </c>
      <c r="P440" s="1979">
        <f>IF(Construction!$F$31=Construction!$R$22,Oeko!CC440,Oeko!EP440)</f>
        <v>7.6136990458410541</v>
      </c>
      <c r="Q440" s="1979">
        <f>IF(Construction!$F$31=Construction!$R$22,Oeko!CD440,Oeko!EQ440)</f>
        <v>7.6241432121004573</v>
      </c>
      <c r="R440" s="1979">
        <f>IF(Construction!$F$31=Construction!$R$22,Oeko!CE440,Oeko!ER440)</f>
        <v>7.6432908502426971</v>
      </c>
      <c r="S440" s="1998">
        <f>IF(Construction!$F$31=Construction!$R$22,Oeko!CF440,Oeko!ES440)</f>
        <v>11.738767543928299</v>
      </c>
      <c r="T440" s="1998">
        <f>IF(Construction!$F$31=Construction!$R$22,Oeko!CG440,Oeko!ET440)</f>
        <v>12.310858424420775</v>
      </c>
      <c r="U440" s="1998">
        <f>IF(Construction!$F$31=Construction!$R$22,Oeko!CH440,Oeko!EU440)</f>
        <v>10.740804110574995</v>
      </c>
      <c r="V440" s="1998">
        <f>IF(Construction!$F$31=Construction!$R$22,Oeko!CI440,Oeko!EV440)</f>
        <v>10.777358692482908</v>
      </c>
      <c r="W440" s="1998">
        <f>IF(Construction!$F$31=Construction!$R$22,Oeko!CJ440,Oeko!EW440)</f>
        <v>10.844375425980745</v>
      </c>
      <c r="X440" s="1979">
        <f>IF(Construction!$F$31=Construction!$R$22,Oeko!CK440,Oeko!EX440)</f>
        <v>8.5646493795676832</v>
      </c>
      <c r="Y440" s="1979">
        <f>IF(Construction!$F$31=Construction!$R$22,Oeko!CL440,Oeko!EY440)</f>
        <v>9.1148075109154121</v>
      </c>
      <c r="Z440" s="1979">
        <f>IF(Construction!$F$31=Construction!$R$22,Oeko!CM440,Oeko!EZ440)</f>
        <v>7.5228204479248868</v>
      </c>
      <c r="AA440" s="1979">
        <f>IF(Construction!$F$31=Construction!$R$22,Oeko!CN440,Oeko!FA440)</f>
        <v>7.537442280688051</v>
      </c>
      <c r="AB440" s="1979">
        <f>IF(Construction!$F$31=Construction!$R$22,Oeko!CO440,Oeko!FB440)</f>
        <v>7.5642489740871852</v>
      </c>
      <c r="AC440" s="1998">
        <f>IF(Construction!$F$31=Construction!$R$22,Oeko!CP440,Oeko!FC440)</f>
        <v>5.1881394857905541</v>
      </c>
      <c r="AD440" s="1998">
        <f>IF(Construction!$F$31=Construction!$R$22,Oeko!CQ440,Oeko!FD440)</f>
        <v>5.2612486496063759</v>
      </c>
      <c r="AE440" s="1998">
        <f>IF(Construction!$F$31=Construction!$R$22,Oeko!CR440,Oeko!FE440)</f>
        <v>5.3343578134221978</v>
      </c>
      <c r="AF440" s="1998">
        <f>IF(Construction!$F$31=Construction!$R$22,Oeko!CS440,Oeko!FF440)</f>
        <v>5.4074669772380206</v>
      </c>
      <c r="AG440" s="1998">
        <f>IF(Construction!$F$31=Construction!$R$22,Oeko!CT440,Oeko!FG440)</f>
        <v>5.5415004442336944</v>
      </c>
      <c r="AH440" s="1979">
        <f>IF(Construction!$F$31=Construction!$R$22,Oeko!CU440,Oeko!FH440)</f>
        <v>12.257535415533601</v>
      </c>
      <c r="AI440" s="1979">
        <f>IF(Construction!$F$31=Construction!$R$22,Oeko!CV440,Oeko!FI440)</f>
        <v>12.403753743165247</v>
      </c>
      <c r="AJ440" s="1979">
        <f>IF(Construction!$F$31=Construction!$R$22,Oeko!CW440,Oeko!FJ440)</f>
        <v>12.537787210160921</v>
      </c>
      <c r="AK440" s="1979">
        <f>IF(Construction!$F$31=Construction!$R$22,Oeko!CX440,Oeko!FK440)</f>
        <v>12.684005537792567</v>
      </c>
      <c r="AL440" s="1979">
        <f>IF(Construction!$F$31=Construction!$R$22,Oeko!CY440,Oeko!FL440)</f>
        <v>13.037366496235705</v>
      </c>
      <c r="AM440" s="1998">
        <f>IF(Construction!$F$31=Construction!$R$22,Oeko!CZ440,Oeko!FM440)</f>
        <v>6.7195407880123561</v>
      </c>
      <c r="AN440" s="1998">
        <f>IF(Construction!$F$31=Construction!$R$22,Oeko!DA440,Oeko!FN440)</f>
        <v>6.8438772850200822</v>
      </c>
      <c r="AO440" s="1998">
        <f>IF(Construction!$F$31=Construction!$R$22,Oeko!DB440,Oeko!FO440)</f>
        <v>7.4996884604003808</v>
      </c>
      <c r="AP440" s="1998">
        <f>IF(Construction!$F$31=Construction!$R$22,Oeko!DC440,Oeko!FP440)</f>
        <v>8.1595612559926689</v>
      </c>
      <c r="AQ440" s="1998">
        <f>IF(Construction!$F$31=Construction!$R$22,Oeko!DD440,Oeko!FQ440)</f>
        <v>8.8194340515849596</v>
      </c>
      <c r="AR440" s="1979">
        <f>IF(Construction!$F$31=Construction!$R$22,Oeko!DE440,Oeko!FR440)</f>
        <v>81.99549264860066</v>
      </c>
      <c r="AS440" s="1979">
        <f>IF(Construction!$F$31=Construction!$R$22,Oeko!DF440,Oeko!FS440)</f>
        <v>83.172383462915334</v>
      </c>
      <c r="AT440" s="1979">
        <f>IF(Construction!$F$31=Construction!$R$22,Oeko!DG440,Oeko!FT440)</f>
        <v>84.2512000427038</v>
      </c>
      <c r="AU440" s="1979">
        <f>IF(Construction!$F$31=Construction!$R$22,Oeko!DH440,Oeko!FU440)</f>
        <v>85.428090857018475</v>
      </c>
      <c r="AV440" s="1979">
        <f>IF(Construction!$F$31=Construction!$R$22,Oeko!DI440,Oeko!FV440)</f>
        <v>88.272243658278938</v>
      </c>
      <c r="AW440" s="1998">
        <f>IF(Construction!$F$31=Construction!$R$22,Oeko!DJ440,Oeko!FW440)</f>
        <v>83.01890551335147</v>
      </c>
      <c r="AX440" s="1998">
        <f>IF(Construction!$F$31=Construction!$R$22,Oeko!DK440,Oeko!FX440)</f>
        <v>84.193463619088249</v>
      </c>
      <c r="AY440" s="1998">
        <f>IF(Construction!$F$31=Construction!$R$22,Oeko!DL440,Oeko!FY440)</f>
        <v>85.270141882680292</v>
      </c>
      <c r="AZ440" s="1998">
        <f>IF(Construction!$F$31=Construction!$R$22,Oeko!DM440,Oeko!FZ440)</f>
        <v>86.444699988417099</v>
      </c>
      <c r="BA440" s="1998">
        <f>IF(Construction!$F$31=Construction!$R$22,Oeko!DN440,Oeko!GA440)</f>
        <v>89.283215410614304</v>
      </c>
      <c r="BB440" s="1979">
        <f>IF(Construction!$F$31=Construction!$R$22,Oeko!DO440,Oeko!GB440)</f>
        <v>5.8427266791982291</v>
      </c>
      <c r="BC440" s="1979">
        <f>IF(Construction!$F$31=Construction!$R$22,Oeko!DP440,Oeko!GC440)</f>
        <v>6.1889344185468076</v>
      </c>
      <c r="BD440" s="1979">
        <f>IF(Construction!$F$31=Construction!$R$22,Oeko!DQ440,Oeko!GD440)</f>
        <v>6.5351421578953861</v>
      </c>
      <c r="BE440" s="1979">
        <f>IF(Construction!$F$31=Construction!$R$22,Oeko!DR440,Oeko!GE440)</f>
        <v>6.8813498972439646</v>
      </c>
      <c r="BF440" s="1979">
        <f>IF(Construction!$F$31=Construction!$R$22,Oeko!DS440,Oeko!GF440)</f>
        <v>7.2275576365925431</v>
      </c>
      <c r="BG440" s="1998">
        <f>IF(Construction!$F$31=Construction!$R$22,Oeko!DT440,Oeko!GG440)</f>
        <v>7.3562151844789803</v>
      </c>
      <c r="BH440" s="1998">
        <f>IF(Construction!$F$31=Construction!$R$22,Oeko!DU440,Oeko!GH440)</f>
        <v>7.7011480471247094</v>
      </c>
      <c r="BI440" s="1998">
        <f>IF(Construction!$F$31=Construction!$R$22,Oeko!DV440,Oeko!GI440)</f>
        <v>8.0460809097704402</v>
      </c>
      <c r="BJ440" s="1998">
        <f>IF(Construction!$F$31=Construction!$R$22,Oeko!DW440,Oeko!GJ440)</f>
        <v>8.3910137724161693</v>
      </c>
      <c r="BK440" s="2026">
        <f>IF(Construction!$F$31=Construction!$R$22,Oeko!DX440,Oeko!GK440)</f>
        <v>8.7359466350618984</v>
      </c>
      <c r="BN440" s="2022"/>
      <c r="BO440" s="2">
        <v>17</v>
      </c>
      <c r="BP440" s="2" t="str">
        <f>CONCATENATE($U$8," ",GV$11)</f>
        <v xml:space="preserve">Proportion de fenêtres </v>
      </c>
      <c r="BQ440" s="1979">
        <v>7.012647715983964</v>
      </c>
      <c r="BR440" s="1979">
        <v>7.2530176081907474</v>
      </c>
      <c r="BS440" s="1979">
        <v>8.0268929888761011</v>
      </c>
      <c r="BT440" s="1979">
        <v>8.8027991796674474</v>
      </c>
      <c r="BU440" s="1979">
        <v>9.5787053704587954</v>
      </c>
      <c r="BV440" s="1998">
        <v>9.7023361900161653</v>
      </c>
      <c r="BW440" s="1998">
        <v>10.140583739230552</v>
      </c>
      <c r="BX440" s="1998">
        <v>11.102182726393533</v>
      </c>
      <c r="BY440" s="1998">
        <v>12.075966574192485</v>
      </c>
      <c r="BZ440" s="1998">
        <v>13.049750421991439</v>
      </c>
      <c r="CA440" s="1979">
        <v>8.6638833104913733</v>
      </c>
      <c r="CB440" s="1979">
        <v>9.2098637753353412</v>
      </c>
      <c r="CC440" s="1979">
        <v>7.6136990458410541</v>
      </c>
      <c r="CD440" s="1979">
        <v>7.6241432121004573</v>
      </c>
      <c r="CE440" s="1979">
        <v>7.6432908502426971</v>
      </c>
      <c r="CF440" s="1998">
        <v>11.738767543928299</v>
      </c>
      <c r="CG440" s="1998">
        <v>12.310858424420775</v>
      </c>
      <c r="CH440" s="1998">
        <v>10.740804110574995</v>
      </c>
      <c r="CI440" s="1998">
        <v>10.777358692482908</v>
      </c>
      <c r="CJ440" s="1998">
        <v>10.844375425980745</v>
      </c>
      <c r="CK440" s="1979">
        <v>8.5646493795676832</v>
      </c>
      <c r="CL440" s="1979">
        <v>9.1148075109154121</v>
      </c>
      <c r="CM440" s="1979">
        <v>7.5228204479248868</v>
      </c>
      <c r="CN440" s="1979">
        <v>7.537442280688051</v>
      </c>
      <c r="CO440" s="1979">
        <v>7.5642489740871852</v>
      </c>
      <c r="CP440" s="1998">
        <v>5.1881394857905541</v>
      </c>
      <c r="CQ440" s="1998">
        <v>5.2612486496063759</v>
      </c>
      <c r="CR440" s="1998">
        <v>5.3343578134221978</v>
      </c>
      <c r="CS440" s="1998">
        <v>5.4074669772380206</v>
      </c>
      <c r="CT440" s="1998">
        <v>5.5415004442336944</v>
      </c>
      <c r="CU440" s="1979">
        <v>12.257535415533601</v>
      </c>
      <c r="CV440" s="1979">
        <v>12.403753743165247</v>
      </c>
      <c r="CW440" s="1979">
        <v>12.537787210160921</v>
      </c>
      <c r="CX440" s="1979">
        <v>12.684005537792567</v>
      </c>
      <c r="CY440" s="1979">
        <v>13.037366496235705</v>
      </c>
      <c r="CZ440" s="1998">
        <v>6.7195407880123561</v>
      </c>
      <c r="DA440" s="1998">
        <v>6.8438772850200822</v>
      </c>
      <c r="DB440" s="1998">
        <v>7.4996884604003808</v>
      </c>
      <c r="DC440" s="1998">
        <v>8.1595612559926689</v>
      </c>
      <c r="DD440" s="1998">
        <v>8.8194340515849596</v>
      </c>
      <c r="DE440" s="1979">
        <v>81.99549264860066</v>
      </c>
      <c r="DF440" s="1979">
        <v>83.172383462915334</v>
      </c>
      <c r="DG440" s="1979">
        <v>84.2512000427038</v>
      </c>
      <c r="DH440" s="1979">
        <v>85.428090857018475</v>
      </c>
      <c r="DI440" s="1979">
        <v>88.272243658278938</v>
      </c>
      <c r="DJ440" s="1998">
        <v>83.01890551335147</v>
      </c>
      <c r="DK440" s="1998">
        <v>84.193463619088249</v>
      </c>
      <c r="DL440" s="1998">
        <v>85.270141882680292</v>
      </c>
      <c r="DM440" s="1998">
        <v>86.444699988417099</v>
      </c>
      <c r="DN440" s="1998">
        <v>89.283215410614304</v>
      </c>
      <c r="DO440" s="1979">
        <v>5.8427266791982291</v>
      </c>
      <c r="DP440" s="1979">
        <v>6.1889344185468076</v>
      </c>
      <c r="DQ440" s="1979">
        <v>6.5351421578953861</v>
      </c>
      <c r="DR440" s="1979">
        <v>6.8813498972439646</v>
      </c>
      <c r="DS440" s="1979">
        <v>7.2275576365925431</v>
      </c>
      <c r="DT440" s="1998">
        <v>7.3562151844789803</v>
      </c>
      <c r="DU440" s="1998">
        <v>7.7011480471247094</v>
      </c>
      <c r="DV440" s="1998">
        <v>8.0460809097704402</v>
      </c>
      <c r="DW440" s="1998">
        <v>8.3910137724161693</v>
      </c>
      <c r="DX440" s="2026">
        <v>8.7359466350618984</v>
      </c>
      <c r="EA440" s="2022"/>
      <c r="EB440" s="2">
        <v>17</v>
      </c>
      <c r="EC440" s="2" t="str">
        <f>CONCATENATE($U$8," ",JI$11)</f>
        <v xml:space="preserve">Proportion de fenêtres </v>
      </c>
      <c r="ED440" s="1979">
        <v>7.1617354284020189</v>
      </c>
      <c r="EE440" s="1979">
        <v>7.4091748522001408</v>
      </c>
      <c r="EF440" s="1979">
        <v>8.1901197644768331</v>
      </c>
      <c r="EG440" s="1979">
        <v>8.9730954868595152</v>
      </c>
      <c r="EH440" s="1979">
        <v>9.7560712092422026</v>
      </c>
      <c r="EI440" s="1998">
        <v>10.370590549594791</v>
      </c>
      <c r="EJ440" s="1998">
        <v>10.815907630400515</v>
      </c>
      <c r="EK440" s="1998">
        <v>11.784576149154837</v>
      </c>
      <c r="EL440" s="1998">
        <v>12.765429528545125</v>
      </c>
      <c r="EM440" s="1998">
        <v>13.746282907935415</v>
      </c>
      <c r="EN440" s="1979">
        <v>8.8197376268493937</v>
      </c>
      <c r="EO440" s="1979">
        <v>9.3727876232846974</v>
      </c>
      <c r="EP440" s="1979">
        <v>7.7766228937904129</v>
      </c>
      <c r="EQ440" s="1979">
        <v>7.7870670600498162</v>
      </c>
      <c r="ER440" s="1979">
        <v>7.8062146981920542</v>
      </c>
      <c r="ES440" s="1998">
        <v>12.139079770287822</v>
      </c>
      <c r="ET440" s="1998">
        <v>12.718240182371634</v>
      </c>
      <c r="EU440" s="1998">
        <v>11.148185868525854</v>
      </c>
      <c r="EV440" s="1998">
        <v>11.184740450433765</v>
      </c>
      <c r="EW440" s="1998">
        <v>11.251757183931602</v>
      </c>
      <c r="EX440" s="1979">
        <v>8.7349240976104845</v>
      </c>
      <c r="EY440" s="1979">
        <v>9.2921517605495509</v>
      </c>
      <c r="EZ440" s="1979">
        <v>7.7001646975590248</v>
      </c>
      <c r="FA440" s="1979">
        <v>7.7147865303221899</v>
      </c>
      <c r="FB440" s="1979">
        <v>7.7415932237213241</v>
      </c>
      <c r="FC440" s="1998">
        <v>5.4709207494440788</v>
      </c>
      <c r="FD440" s="1998">
        <v>5.5440299132599007</v>
      </c>
      <c r="FE440" s="1998">
        <v>5.6171390770757226</v>
      </c>
      <c r="FF440" s="1998">
        <v>5.6902482408915454</v>
      </c>
      <c r="FG440" s="1998">
        <v>5.8242817078872191</v>
      </c>
      <c r="FH440" s="1979">
        <v>12.820825593400579</v>
      </c>
      <c r="FI440" s="1979">
        <v>12.967043921032223</v>
      </c>
      <c r="FJ440" s="1979">
        <v>13.101077388027898</v>
      </c>
      <c r="FK440" s="1979">
        <v>13.247295715659543</v>
      </c>
      <c r="FL440" s="1979">
        <v>13.600656674102682</v>
      </c>
      <c r="FM440" s="1998">
        <v>6.982291712157088</v>
      </c>
      <c r="FN440" s="1998">
        <v>7.1136977407561526</v>
      </c>
      <c r="FO440" s="1998">
        <v>7.7765784477277897</v>
      </c>
      <c r="FP440" s="1998">
        <v>8.4435207749114163</v>
      </c>
      <c r="FQ440" s="1998">
        <v>9.1104631020950428</v>
      </c>
      <c r="FR440" s="1979">
        <v>85.971496727312257</v>
      </c>
      <c r="FS440" s="1979">
        <v>87.148387541626931</v>
      </c>
      <c r="FT440" s="1979">
        <v>88.227204121415397</v>
      </c>
      <c r="FU440" s="1979">
        <v>89.404094935730072</v>
      </c>
      <c r="FV440" s="1979">
        <v>92.248247736990535</v>
      </c>
      <c r="FW440" s="1998">
        <v>86.977901992116131</v>
      </c>
      <c r="FX440" s="1998">
        <v>88.152460097852938</v>
      </c>
      <c r="FY440" s="1998">
        <v>89.229138361444981</v>
      </c>
      <c r="FZ440" s="1998">
        <v>90.403696467181774</v>
      </c>
      <c r="GA440" s="1998">
        <v>93.242211889378993</v>
      </c>
      <c r="GB440" s="1979">
        <v>6.119783495126506</v>
      </c>
      <c r="GC440" s="1979">
        <v>6.4659912344750845</v>
      </c>
      <c r="GD440" s="1979">
        <v>6.812198973823663</v>
      </c>
      <c r="GE440" s="1979">
        <v>7.1584067131722415</v>
      </c>
      <c r="GF440" s="1979">
        <v>7.5046144525208183</v>
      </c>
      <c r="GG440" s="1998">
        <v>7.6322517653291584</v>
      </c>
      <c r="GH440" s="1998">
        <v>7.9771846279748875</v>
      </c>
      <c r="GI440" s="1998">
        <v>8.3221174906206183</v>
      </c>
      <c r="GJ440" s="1998">
        <v>8.6670503532663474</v>
      </c>
      <c r="GK440" s="2026">
        <v>9.0119832159120765</v>
      </c>
    </row>
    <row r="441" spans="1:193">
      <c r="A441" s="2020"/>
      <c r="B441" s="2">
        <v>18</v>
      </c>
      <c r="C441" s="2" t="str">
        <f>CONCATENATE($U$8," ",EI$12)</f>
        <v xml:space="preserve">Proportion de fenêtres </v>
      </c>
      <c r="D441" s="1979">
        <f>IF(Construction!$F$31=Construction!$R$22,Oeko!BQ441,Oeko!ED441)</f>
        <v>6.8132828300135193</v>
      </c>
      <c r="E441" s="1979">
        <f>IF(Construction!$F$31=Construction!$R$22,Oeko!BR441,Oeko!EE441)</f>
        <v>7.0156218836251671</v>
      </c>
      <c r="F441" s="1979">
        <f>IF(Construction!$F$31=Construction!$R$22,Oeko!BS441,Oeko!EF441)</f>
        <v>7.7514664257153854</v>
      </c>
      <c r="G441" s="1979">
        <f>IF(Construction!$F$31=Construction!$R$22,Oeko!BT441,Oeko!EG441)</f>
        <v>8.4893417779115978</v>
      </c>
      <c r="H441" s="1979">
        <f>IF(Construction!$F$31=Construction!$R$22,Oeko!BU441,Oeko!EH441)</f>
        <v>9.2272171301078085</v>
      </c>
      <c r="I441" s="1998">
        <f>IF(Construction!$F$31=Construction!$R$22,Oeko!BV441,Oeko!EI441)</f>
        <v>9.3833153845439803</v>
      </c>
      <c r="J441" s="1998">
        <f>IF(Construction!$F$31=Construction!$R$22,Oeko!BW441,Oeko!EJ441)</f>
        <v>9.7607065361919396</v>
      </c>
      <c r="K441" s="1998">
        <f>IF(Construction!$F$31=Construction!$R$22,Oeko!BX441,Oeko!EK441)</f>
        <v>10.661449125788494</v>
      </c>
      <c r="L441" s="1998">
        <f>IF(Construction!$F$31=Construction!$R$22,Oeko!BY441,Oeko!EL441)</f>
        <v>11.574376576021018</v>
      </c>
      <c r="M441" s="1998">
        <f>IF(Construction!$F$31=Construction!$R$22,Oeko!BZ441,Oeko!EM441)</f>
        <v>12.487304026253542</v>
      </c>
      <c r="N441" s="1979">
        <f>IF(Construction!$F$31=Construction!$R$22,Oeko!CA441,Oeko!EN441)</f>
        <v>8.3637318555855682</v>
      </c>
      <c r="O441" s="1979">
        <f>IF(Construction!$F$31=Construction!$R$22,Oeko!CB441,Oeko!EO441)</f>
        <v>8.9097123204295343</v>
      </c>
      <c r="P441" s="1979">
        <f>IF(Construction!$F$31=Construction!$R$22,Oeko!CC441,Oeko!EP441)</f>
        <v>7.3135475909352481</v>
      </c>
      <c r="Q441" s="1979">
        <f>IF(Construction!$F$31=Construction!$R$22,Oeko!CD441,Oeko!EQ441)</f>
        <v>7.3239917571946513</v>
      </c>
      <c r="R441" s="1979">
        <f>IF(Construction!$F$31=Construction!$R$22,Oeko!CE441,Oeko!ER441)</f>
        <v>7.3431393953368902</v>
      </c>
      <c r="S441" s="1998">
        <f>IF(Construction!$F$31=Construction!$R$22,Oeko!CF441,Oeko!ES441)</f>
        <v>11.091382052954991</v>
      </c>
      <c r="T441" s="1998">
        <f>IF(Construction!$F$31=Construction!$R$22,Oeko!CG441,Oeko!ET441)</f>
        <v>11.663472933447467</v>
      </c>
      <c r="U441" s="1998">
        <f>IF(Construction!$F$31=Construction!$R$22,Oeko!CH441,Oeko!EU441)</f>
        <v>10.093418619601689</v>
      </c>
      <c r="V441" s="1998">
        <f>IF(Construction!$F$31=Construction!$R$22,Oeko!CI441,Oeko!EV441)</f>
        <v>10.1299732015096</v>
      </c>
      <c r="W441" s="1998">
        <f>IF(Construction!$F$31=Construction!$R$22,Oeko!CJ441,Oeko!EW441)</f>
        <v>10.196989935007439</v>
      </c>
      <c r="X441" s="1979">
        <f>IF(Construction!$F$31=Construction!$R$22,Oeko!CK441,Oeko!EX441)</f>
        <v>8.3043499665737404</v>
      </c>
      <c r="Y441" s="1979">
        <f>IF(Construction!$F$31=Construction!$R$22,Oeko!CL441,Oeko!EY441)</f>
        <v>8.8545080979214692</v>
      </c>
      <c r="Z441" s="1979">
        <f>IF(Construction!$F$31=Construction!$R$22,Oeko!CM441,Oeko!EZ441)</f>
        <v>7.262521034930943</v>
      </c>
      <c r="AA441" s="1979">
        <f>IF(Construction!$F$31=Construction!$R$22,Oeko!CN441,Oeko!FA441)</f>
        <v>7.2771428676941081</v>
      </c>
      <c r="AB441" s="1979">
        <f>IF(Construction!$F$31=Construction!$R$22,Oeko!CO441,Oeko!FB441)</f>
        <v>7.3039495610932423</v>
      </c>
      <c r="AC441" s="1998">
        <f>IF(Construction!$F$31=Construction!$R$22,Oeko!CP441,Oeko!FC441)</f>
        <v>4.9100579908042929</v>
      </c>
      <c r="AD441" s="1998">
        <f>IF(Construction!$F$31=Construction!$R$22,Oeko!CQ441,Oeko!FD441)</f>
        <v>4.9831671546201148</v>
      </c>
      <c r="AE441" s="1998">
        <f>IF(Construction!$F$31=Construction!$R$22,Oeko!CR441,Oeko!FE441)</f>
        <v>5.0562763184359367</v>
      </c>
      <c r="AF441" s="1998">
        <f>IF(Construction!$F$31=Construction!$R$22,Oeko!CS441,Oeko!FF441)</f>
        <v>5.1293854822517595</v>
      </c>
      <c r="AG441" s="1998">
        <f>IF(Construction!$F$31=Construction!$R$22,Oeko!CT441,Oeko!FG441)</f>
        <v>5.2634189492474333</v>
      </c>
      <c r="AH441" s="1979">
        <f>IF(Construction!$F$31=Construction!$R$22,Oeko!CU441,Oeko!FH441)</f>
        <v>11.635309002877278</v>
      </c>
      <c r="AI441" s="1979">
        <f>IF(Construction!$F$31=Construction!$R$22,Oeko!CV441,Oeko!FI441)</f>
        <v>11.781527330508924</v>
      </c>
      <c r="AJ441" s="1979">
        <f>IF(Construction!$F$31=Construction!$R$22,Oeko!CW441,Oeko!FJ441)</f>
        <v>11.9155607975046</v>
      </c>
      <c r="AK441" s="1979">
        <f>IF(Construction!$F$31=Construction!$R$22,Oeko!CX441,Oeko!FK441)</f>
        <v>12.061779125136244</v>
      </c>
      <c r="AL441" s="1979">
        <f>IF(Construction!$F$31=Construction!$R$22,Oeko!CY441,Oeko!FL441)</f>
        <v>12.415140083579383</v>
      </c>
      <c r="AM441" s="1998">
        <f>IF(Construction!$F$31=Construction!$R$22,Oeko!CZ441,Oeko!FM441)</f>
        <v>6.6321999808253036</v>
      </c>
      <c r="AN441" s="1998">
        <f>IF(Construction!$F$31=Construction!$R$22,Oeko!DA441,Oeko!FN441)</f>
        <v>6.7398753485437322</v>
      </c>
      <c r="AO441" s="1998">
        <f>IF(Construction!$F$31=Construction!$R$22,Oeko!DB441,Oeko!FO441)</f>
        <v>7.3790253946347342</v>
      </c>
      <c r="AP441" s="1998">
        <f>IF(Construction!$F$31=Construction!$R$22,Oeko!DC441,Oeko!FP441)</f>
        <v>8.0222370609377247</v>
      </c>
      <c r="AQ441" s="1998">
        <f>IF(Construction!$F$31=Construction!$R$22,Oeko!DD441,Oeko!FQ441)</f>
        <v>8.6654487272407188</v>
      </c>
      <c r="AR441" s="1979">
        <f>IF(Construction!$F$31=Construction!$R$22,Oeko!DE441,Oeko!FR441)</f>
        <v>79.764561341618517</v>
      </c>
      <c r="AS441" s="1979">
        <f>IF(Construction!$F$31=Construction!$R$22,Oeko!DF441,Oeko!FS441)</f>
        <v>80.941452155933192</v>
      </c>
      <c r="AT441" s="1979">
        <f>IF(Construction!$F$31=Construction!$R$22,Oeko!DG441,Oeko!FT441)</f>
        <v>82.020268735721672</v>
      </c>
      <c r="AU441" s="1979">
        <f>IF(Construction!$F$31=Construction!$R$22,Oeko!DH441,Oeko!FU441)</f>
        <v>83.197159550036346</v>
      </c>
      <c r="AV441" s="1979">
        <f>IF(Construction!$F$31=Construction!$R$22,Oeko!DI441,Oeko!FV441)</f>
        <v>86.04131235129681</v>
      </c>
      <c r="AW441" s="1998">
        <f>IF(Construction!$F$31=Construction!$R$22,Oeko!DJ441,Oeko!FW441)</f>
        <v>80.701518188286187</v>
      </c>
      <c r="AX441" s="1998">
        <f>IF(Construction!$F$31=Construction!$R$22,Oeko!DK441,Oeko!FX441)</f>
        <v>81.87607629402298</v>
      </c>
      <c r="AY441" s="1998">
        <f>IF(Construction!$F$31=Construction!$R$22,Oeko!DL441,Oeko!FY441)</f>
        <v>82.952754557615052</v>
      </c>
      <c r="AZ441" s="1998">
        <f>IF(Construction!$F$31=Construction!$R$22,Oeko!DM441,Oeko!FZ441)</f>
        <v>84.127312663351816</v>
      </c>
      <c r="BA441" s="1998">
        <f>IF(Construction!$F$31=Construction!$R$22,Oeko!DN441,Oeko!GA441)</f>
        <v>86.965828085549063</v>
      </c>
      <c r="BB441" s="1979">
        <f>IF(Construction!$F$31=Construction!$R$22,Oeko!DO441,Oeko!GB441)</f>
        <v>5.5853389984493393</v>
      </c>
      <c r="BC441" s="1979">
        <f>IF(Construction!$F$31=Construction!$R$22,Oeko!DP441,Oeko!GC441)</f>
        <v>5.931546737797917</v>
      </c>
      <c r="BD441" s="1979">
        <f>IF(Construction!$F$31=Construction!$R$22,Oeko!DQ441,Oeko!GD441)</f>
        <v>6.2777544771464955</v>
      </c>
      <c r="BE441" s="1979">
        <f>IF(Construction!$F$31=Construction!$R$22,Oeko!DR441,Oeko!GE441)</f>
        <v>6.623962216495074</v>
      </c>
      <c r="BF441" s="1979">
        <f>IF(Construction!$F$31=Construction!$R$22,Oeko!DS441,Oeko!GF441)</f>
        <v>6.9701699558436525</v>
      </c>
      <c r="BG441" s="1998">
        <f>IF(Construction!$F$31=Construction!$R$22,Oeko!DT441,Oeko!GG441)</f>
        <v>6.8634046413778469</v>
      </c>
      <c r="BH441" s="1998">
        <f>IF(Construction!$F$31=Construction!$R$22,Oeko!DU441,Oeko!GH441)</f>
        <v>7.2083375040235769</v>
      </c>
      <c r="BI441" s="1998">
        <f>IF(Construction!$F$31=Construction!$R$22,Oeko!DV441,Oeko!GI441)</f>
        <v>7.5532703666693068</v>
      </c>
      <c r="BJ441" s="1998">
        <f>IF(Construction!$F$31=Construction!$R$22,Oeko!DW441,Oeko!GJ441)</f>
        <v>7.8982032293150359</v>
      </c>
      <c r="BK441" s="2026">
        <f>IF(Construction!$F$31=Construction!$R$22,Oeko!DX441,Oeko!GK441)</f>
        <v>8.2431360919607659</v>
      </c>
      <c r="BN441" s="2022"/>
      <c r="BO441" s="2">
        <v>18</v>
      </c>
      <c r="BP441" s="2" t="str">
        <f>CONCATENATE($U$8," ",GV$12)</f>
        <v xml:space="preserve">Proportion de fenêtres </v>
      </c>
      <c r="BQ441" s="1979">
        <v>6.8132828300135193</v>
      </c>
      <c r="BR441" s="1979">
        <v>7.0156218836251671</v>
      </c>
      <c r="BS441" s="1979">
        <v>7.7514664257153854</v>
      </c>
      <c r="BT441" s="1979">
        <v>8.4893417779115978</v>
      </c>
      <c r="BU441" s="1979">
        <v>9.2272171301078085</v>
      </c>
      <c r="BV441" s="1998">
        <v>9.3833153845439803</v>
      </c>
      <c r="BW441" s="1998">
        <v>9.7607065361919396</v>
      </c>
      <c r="BX441" s="1998">
        <v>10.661449125788494</v>
      </c>
      <c r="BY441" s="1998">
        <v>11.574376576021018</v>
      </c>
      <c r="BZ441" s="1998">
        <v>12.487304026253542</v>
      </c>
      <c r="CA441" s="1979">
        <v>8.3637318555855682</v>
      </c>
      <c r="CB441" s="1979">
        <v>8.9097123204295343</v>
      </c>
      <c r="CC441" s="1979">
        <v>7.3135475909352481</v>
      </c>
      <c r="CD441" s="1979">
        <v>7.3239917571946513</v>
      </c>
      <c r="CE441" s="1979">
        <v>7.3431393953368902</v>
      </c>
      <c r="CF441" s="1998">
        <v>11.091382052954991</v>
      </c>
      <c r="CG441" s="1998">
        <v>11.663472933447467</v>
      </c>
      <c r="CH441" s="1998">
        <v>10.093418619601689</v>
      </c>
      <c r="CI441" s="1998">
        <v>10.1299732015096</v>
      </c>
      <c r="CJ441" s="1998">
        <v>10.196989935007439</v>
      </c>
      <c r="CK441" s="1979">
        <v>8.3043499665737404</v>
      </c>
      <c r="CL441" s="1979">
        <v>8.8545080979214692</v>
      </c>
      <c r="CM441" s="1979">
        <v>7.262521034930943</v>
      </c>
      <c r="CN441" s="1979">
        <v>7.2771428676941081</v>
      </c>
      <c r="CO441" s="1979">
        <v>7.3039495610932423</v>
      </c>
      <c r="CP441" s="1998">
        <v>4.9100579908042929</v>
      </c>
      <c r="CQ441" s="1998">
        <v>4.9831671546201148</v>
      </c>
      <c r="CR441" s="1998">
        <v>5.0562763184359367</v>
      </c>
      <c r="CS441" s="1998">
        <v>5.1293854822517595</v>
      </c>
      <c r="CT441" s="1998">
        <v>5.2634189492474333</v>
      </c>
      <c r="CU441" s="1979">
        <v>11.635309002877278</v>
      </c>
      <c r="CV441" s="1979">
        <v>11.781527330508924</v>
      </c>
      <c r="CW441" s="1979">
        <v>11.9155607975046</v>
      </c>
      <c r="CX441" s="1979">
        <v>12.061779125136244</v>
      </c>
      <c r="CY441" s="1979">
        <v>12.415140083579383</v>
      </c>
      <c r="CZ441" s="1998">
        <v>6.6321999808253036</v>
      </c>
      <c r="DA441" s="1998">
        <v>6.7398753485437322</v>
      </c>
      <c r="DB441" s="1998">
        <v>7.3790253946347342</v>
      </c>
      <c r="DC441" s="1998">
        <v>8.0222370609377247</v>
      </c>
      <c r="DD441" s="1998">
        <v>8.6654487272407188</v>
      </c>
      <c r="DE441" s="1979">
        <v>79.764561341618517</v>
      </c>
      <c r="DF441" s="1979">
        <v>80.941452155933192</v>
      </c>
      <c r="DG441" s="1979">
        <v>82.020268735721672</v>
      </c>
      <c r="DH441" s="1979">
        <v>83.197159550036346</v>
      </c>
      <c r="DI441" s="1979">
        <v>86.04131235129681</v>
      </c>
      <c r="DJ441" s="1998">
        <v>80.701518188286187</v>
      </c>
      <c r="DK441" s="1998">
        <v>81.87607629402298</v>
      </c>
      <c r="DL441" s="1998">
        <v>82.952754557615052</v>
      </c>
      <c r="DM441" s="1998">
        <v>84.127312663351816</v>
      </c>
      <c r="DN441" s="1998">
        <v>86.965828085549063</v>
      </c>
      <c r="DO441" s="1979">
        <v>5.5853389984493393</v>
      </c>
      <c r="DP441" s="1979">
        <v>5.931546737797917</v>
      </c>
      <c r="DQ441" s="1979">
        <v>6.2777544771464955</v>
      </c>
      <c r="DR441" s="1979">
        <v>6.623962216495074</v>
      </c>
      <c r="DS441" s="1979">
        <v>6.9701699558436525</v>
      </c>
      <c r="DT441" s="1998">
        <v>6.8634046413778469</v>
      </c>
      <c r="DU441" s="1998">
        <v>7.2083375040235769</v>
      </c>
      <c r="DV441" s="1998">
        <v>7.5532703666693068</v>
      </c>
      <c r="DW441" s="1998">
        <v>7.8982032293150359</v>
      </c>
      <c r="DX441" s="2026">
        <v>8.2431360919607659</v>
      </c>
      <c r="EA441" s="2022"/>
      <c r="EB441" s="2">
        <v>18</v>
      </c>
      <c r="EC441" s="2" t="str">
        <f>CONCATENATE($U$8," ",JI$12)</f>
        <v xml:space="preserve">Proportion de fenêtres </v>
      </c>
      <c r="ED441" s="1979">
        <v>6.962370542431576</v>
      </c>
      <c r="EE441" s="1979">
        <v>7.1717791276345624</v>
      </c>
      <c r="EF441" s="1979">
        <v>7.9146932013161182</v>
      </c>
      <c r="EG441" s="1979">
        <v>8.6596380851036674</v>
      </c>
      <c r="EH441" s="1979">
        <v>9.4045829688912175</v>
      </c>
      <c r="EI441" s="1998">
        <v>10.051569744122606</v>
      </c>
      <c r="EJ441" s="1998">
        <v>10.436030427361903</v>
      </c>
      <c r="EK441" s="1998">
        <v>11.343842548549796</v>
      </c>
      <c r="EL441" s="1998">
        <v>12.263839530373657</v>
      </c>
      <c r="EM441" s="1998">
        <v>13.183836512197521</v>
      </c>
      <c r="EN441" s="1979">
        <v>8.5195861719435868</v>
      </c>
      <c r="EO441" s="1979">
        <v>9.0726361683788923</v>
      </c>
      <c r="EP441" s="1979">
        <v>7.4764714388846061</v>
      </c>
      <c r="EQ441" s="1979">
        <v>7.4869156051440102</v>
      </c>
      <c r="ER441" s="1979">
        <v>7.5060632432862491</v>
      </c>
      <c r="ES441" s="1998">
        <v>11.49169427931451</v>
      </c>
      <c r="ET441" s="1998">
        <v>12.070854691398326</v>
      </c>
      <c r="EU441" s="1998">
        <v>10.500800377552547</v>
      </c>
      <c r="EV441" s="1998">
        <v>10.537354959460457</v>
      </c>
      <c r="EW441" s="1998">
        <v>10.604371692958296</v>
      </c>
      <c r="EX441" s="1979">
        <v>8.4746246846165398</v>
      </c>
      <c r="EY441" s="1979">
        <v>9.0318523475556063</v>
      </c>
      <c r="EZ441" s="1979">
        <v>7.4398652845650819</v>
      </c>
      <c r="FA441" s="1979">
        <v>7.454487117328247</v>
      </c>
      <c r="FB441" s="1979">
        <v>7.4812938107273812</v>
      </c>
      <c r="FC441" s="1998">
        <v>5.1928392544578168</v>
      </c>
      <c r="FD441" s="1998">
        <v>5.2659484182736387</v>
      </c>
      <c r="FE441" s="1998">
        <v>5.3390575820894615</v>
      </c>
      <c r="FF441" s="1998">
        <v>5.4121667459052833</v>
      </c>
      <c r="FG441" s="1998">
        <v>5.5462002129009571</v>
      </c>
      <c r="FH441" s="1979">
        <v>12.198599180744255</v>
      </c>
      <c r="FI441" s="1979">
        <v>12.344817508375899</v>
      </c>
      <c r="FJ441" s="1979">
        <v>12.478850975371575</v>
      </c>
      <c r="FK441" s="1979">
        <v>12.625069303003217</v>
      </c>
      <c r="FL441" s="1979">
        <v>12.978430261446356</v>
      </c>
      <c r="FM441" s="1998">
        <v>6.8949509049700364</v>
      </c>
      <c r="FN441" s="1998">
        <v>7.0096958042798017</v>
      </c>
      <c r="FO441" s="1998">
        <v>7.6559153819621431</v>
      </c>
      <c r="FP441" s="1998">
        <v>8.3061965798564721</v>
      </c>
      <c r="FQ441" s="1998">
        <v>8.956477777750802</v>
      </c>
      <c r="FR441" s="1979">
        <v>83.740565420330128</v>
      </c>
      <c r="FS441" s="1979">
        <v>84.917456234644789</v>
      </c>
      <c r="FT441" s="1979">
        <v>85.996272814433254</v>
      </c>
      <c r="FU441" s="1979">
        <v>87.173163628747929</v>
      </c>
      <c r="FV441" s="1979">
        <v>90.017316430008393</v>
      </c>
      <c r="FW441" s="1998">
        <v>84.660514667050876</v>
      </c>
      <c r="FX441" s="1998">
        <v>85.835072772787669</v>
      </c>
      <c r="FY441" s="1998">
        <v>86.911751036379741</v>
      </c>
      <c r="FZ441" s="1998">
        <v>88.086309142116505</v>
      </c>
      <c r="GA441" s="1998">
        <v>90.924824564313752</v>
      </c>
      <c r="GB441" s="1979">
        <v>5.8623958143776163</v>
      </c>
      <c r="GC441" s="1979">
        <v>6.2086035537261939</v>
      </c>
      <c r="GD441" s="1979">
        <v>6.5548112930747724</v>
      </c>
      <c r="GE441" s="1979">
        <v>6.9010190324233509</v>
      </c>
      <c r="GF441" s="1979">
        <v>7.2472267717719294</v>
      </c>
      <c r="GG441" s="1998">
        <v>7.139441222228025</v>
      </c>
      <c r="GH441" s="1998">
        <v>7.4843740848737541</v>
      </c>
      <c r="GI441" s="1998">
        <v>7.829306947519485</v>
      </c>
      <c r="GJ441" s="1998">
        <v>8.1742398101652149</v>
      </c>
      <c r="GK441" s="2026">
        <v>8.519172672810944</v>
      </c>
    </row>
    <row r="442" spans="1:193">
      <c r="A442" s="2020"/>
      <c r="B442" s="2">
        <v>19</v>
      </c>
      <c r="C442" s="2" t="str">
        <f>CONCATENATE($U$8," ",EI$13)</f>
        <v xml:space="preserve">Proportion de fenêtres </v>
      </c>
      <c r="D442" s="1979">
        <f>IF(Construction!$F$31=Construction!$R$22,Oeko!BQ442,Oeko!ED442)</f>
        <v>6.6139179440430755</v>
      </c>
      <c r="E442" s="1979">
        <f>IF(Construction!$F$31=Construction!$R$22,Oeko!BR442,Oeko!EE442)</f>
        <v>6.7782261590595896</v>
      </c>
      <c r="F442" s="1979">
        <f>IF(Construction!$F$31=Construction!$R$22,Oeko!BS442,Oeko!EF442)</f>
        <v>7.4760398625546705</v>
      </c>
      <c r="G442" s="1979">
        <f>IF(Construction!$F$31=Construction!$R$22,Oeko!BT442,Oeko!EG442)</f>
        <v>8.1758843761557465</v>
      </c>
      <c r="H442" s="1979">
        <f>IF(Construction!$F$31=Construction!$R$22,Oeko!BU442,Oeko!EH442)</f>
        <v>8.8757288897568234</v>
      </c>
      <c r="I442" s="1998">
        <f>IF(Construction!$F$31=Construction!$R$22,Oeko!BV442,Oeko!EI442)</f>
        <v>9.0642945790717953</v>
      </c>
      <c r="J442" s="1998">
        <f>IF(Construction!$F$31=Construction!$R$22,Oeko!BW442,Oeko!EJ442)</f>
        <v>9.3808293331533275</v>
      </c>
      <c r="K442" s="1998">
        <f>IF(Construction!$F$31=Construction!$R$22,Oeko!BX442,Oeko!EK442)</f>
        <v>10.220715525183452</v>
      </c>
      <c r="L442" s="1998">
        <f>IF(Construction!$F$31=Construction!$R$22,Oeko!BY442,Oeko!EL442)</f>
        <v>11.072786577849548</v>
      </c>
      <c r="M442" s="1998">
        <f>IF(Construction!$F$31=Construction!$R$22,Oeko!BZ442,Oeko!EM442)</f>
        <v>11.924857630515648</v>
      </c>
      <c r="N442" s="1979">
        <f>IF(Construction!$F$31=Construction!$R$22,Oeko!CA442,Oeko!EN442)</f>
        <v>8.0635804006797613</v>
      </c>
      <c r="O442" s="1979">
        <f>IF(Construction!$F$31=Construction!$R$22,Oeko!CB442,Oeko!EO442)</f>
        <v>8.6095608655237275</v>
      </c>
      <c r="P442" s="1979">
        <f>IF(Construction!$F$31=Construction!$R$22,Oeko!CC442,Oeko!EP442)</f>
        <v>7.0133961360294412</v>
      </c>
      <c r="Q442" s="1979">
        <f>IF(Construction!$F$31=Construction!$R$22,Oeko!CD442,Oeko!EQ442)</f>
        <v>7.0238403022888454</v>
      </c>
      <c r="R442" s="1979">
        <f>IF(Construction!$F$31=Construction!$R$22,Oeko!CE442,Oeko!ER442)</f>
        <v>7.0429879404310833</v>
      </c>
      <c r="S442" s="1998">
        <f>IF(Construction!$F$31=Construction!$R$22,Oeko!CF442,Oeko!ES442)</f>
        <v>10.443996561981686</v>
      </c>
      <c r="T442" s="1998">
        <f>IF(Construction!$F$31=Construction!$R$22,Oeko!CG442,Oeko!ET442)</f>
        <v>11.016087442474159</v>
      </c>
      <c r="U442" s="1998">
        <f>IF(Construction!$F$31=Construction!$R$22,Oeko!CH442,Oeko!EU442)</f>
        <v>9.4460331286283807</v>
      </c>
      <c r="V442" s="1998">
        <f>IF(Construction!$F$31=Construction!$R$22,Oeko!CI442,Oeko!EV442)</f>
        <v>9.4825877105362935</v>
      </c>
      <c r="W442" s="1998">
        <f>IF(Construction!$F$31=Construction!$R$22,Oeko!CJ442,Oeko!EW442)</f>
        <v>9.5496044440341308</v>
      </c>
      <c r="X442" s="1979">
        <f>IF(Construction!$F$31=Construction!$R$22,Oeko!CK442,Oeko!EX442)</f>
        <v>8.0440505535797975</v>
      </c>
      <c r="Y442" s="1979">
        <f>IF(Construction!$F$31=Construction!$R$22,Oeko!CL442,Oeko!EY442)</f>
        <v>8.5942086849275245</v>
      </c>
      <c r="Z442" s="1979">
        <f>IF(Construction!$F$31=Construction!$R$22,Oeko!CM442,Oeko!EZ442)</f>
        <v>7.0022216219370002</v>
      </c>
      <c r="AA442" s="1979">
        <f>IF(Construction!$F$31=Construction!$R$22,Oeko!CN442,Oeko!FA442)</f>
        <v>7.0168434547001644</v>
      </c>
      <c r="AB442" s="1979">
        <f>IF(Construction!$F$31=Construction!$R$22,Oeko!CO442,Oeko!FB442)</f>
        <v>7.0436501480992995</v>
      </c>
      <c r="AC442" s="1998">
        <f>IF(Construction!$F$31=Construction!$R$22,Oeko!CP442,Oeko!FC442)</f>
        <v>4.6319764958180309</v>
      </c>
      <c r="AD442" s="1998">
        <f>IF(Construction!$F$31=Construction!$R$22,Oeko!CQ442,Oeko!FD442)</f>
        <v>4.7050856596338528</v>
      </c>
      <c r="AE442" s="1998">
        <f>IF(Construction!$F$31=Construction!$R$22,Oeko!CR442,Oeko!FE442)</f>
        <v>4.7781948234496756</v>
      </c>
      <c r="AF442" s="1998">
        <f>IF(Construction!$F$31=Construction!$R$22,Oeko!CS442,Oeko!FF442)</f>
        <v>4.8513039872654975</v>
      </c>
      <c r="AG442" s="1998">
        <f>IF(Construction!$F$31=Construction!$R$22,Oeko!CT442,Oeko!FG442)</f>
        <v>4.9853374542611713</v>
      </c>
      <c r="AH442" s="1979">
        <f>IF(Construction!$F$31=Construction!$R$22,Oeko!CU442,Oeko!FH442)</f>
        <v>11.013082590220957</v>
      </c>
      <c r="AI442" s="1979">
        <f>IF(Construction!$F$31=Construction!$R$22,Oeko!CV442,Oeko!FI442)</f>
        <v>11.159300917852601</v>
      </c>
      <c r="AJ442" s="1979">
        <f>IF(Construction!$F$31=Construction!$R$22,Oeko!CW442,Oeko!FJ442)</f>
        <v>11.293334384848277</v>
      </c>
      <c r="AK442" s="1979">
        <f>IF(Construction!$F$31=Construction!$R$22,Oeko!CX442,Oeko!FK442)</f>
        <v>11.439552712479921</v>
      </c>
      <c r="AL442" s="1979">
        <f>IF(Construction!$F$31=Construction!$R$22,Oeko!CY442,Oeko!FL442)</f>
        <v>11.792913670923062</v>
      </c>
      <c r="AM442" s="1998">
        <f>IF(Construction!$F$31=Construction!$R$22,Oeko!CZ442,Oeko!FM442)</f>
        <v>6.5448591736382529</v>
      </c>
      <c r="AN442" s="1998">
        <f>IF(Construction!$F$31=Construction!$R$22,Oeko!DA442,Oeko!FN442)</f>
        <v>6.635873412067383</v>
      </c>
      <c r="AO442" s="1998">
        <f>IF(Construction!$F$31=Construction!$R$22,Oeko!DB442,Oeko!FO442)</f>
        <v>7.2583623288690875</v>
      </c>
      <c r="AP442" s="1998">
        <f>IF(Construction!$F$31=Construction!$R$22,Oeko!DC442,Oeko!FP442)</f>
        <v>7.8849128658827823</v>
      </c>
      <c r="AQ442" s="1998">
        <f>IF(Construction!$F$31=Construction!$R$22,Oeko!DD442,Oeko!FQ442)</f>
        <v>8.5114634028964762</v>
      </c>
      <c r="AR442" s="1979">
        <f>IF(Construction!$F$31=Construction!$R$22,Oeko!DE442,Oeko!FR442)</f>
        <v>77.533630034636388</v>
      </c>
      <c r="AS442" s="1979">
        <f>IF(Construction!$F$31=Construction!$R$22,Oeko!DF442,Oeko!FS442)</f>
        <v>78.710520848951063</v>
      </c>
      <c r="AT442" s="1979">
        <f>IF(Construction!$F$31=Construction!$R$22,Oeko!DG442,Oeko!FT442)</f>
        <v>79.789337428739515</v>
      </c>
      <c r="AU442" s="1979">
        <f>IF(Construction!$F$31=Construction!$R$22,Oeko!DH442,Oeko!FU442)</f>
        <v>80.966228243054189</v>
      </c>
      <c r="AV442" s="1979">
        <f>IF(Construction!$F$31=Construction!$R$22,Oeko!DI442,Oeko!FV442)</f>
        <v>83.810381044314667</v>
      </c>
      <c r="AW442" s="1998">
        <f>IF(Construction!$F$31=Construction!$R$22,Oeko!DJ442,Oeko!FW442)</f>
        <v>78.384130863220946</v>
      </c>
      <c r="AX442" s="1998">
        <f>IF(Construction!$F$31=Construction!$R$22,Oeko!DK442,Oeko!FX442)</f>
        <v>79.558688968957725</v>
      </c>
      <c r="AY442" s="1998">
        <f>IF(Construction!$F$31=Construction!$R$22,Oeko!DL442,Oeko!FY442)</f>
        <v>80.635367232549783</v>
      </c>
      <c r="AZ442" s="1998">
        <f>IF(Construction!$F$31=Construction!$R$22,Oeko!DM442,Oeko!FZ442)</f>
        <v>81.809925338286561</v>
      </c>
      <c r="BA442" s="1998">
        <f>IF(Construction!$F$31=Construction!$R$22,Oeko!DN442,Oeko!GA442)</f>
        <v>84.648440760483794</v>
      </c>
      <c r="BB442" s="1979">
        <f>IF(Construction!$F$31=Construction!$R$22,Oeko!DO442,Oeko!GB442)</f>
        <v>5.3279513177004487</v>
      </c>
      <c r="BC442" s="1979">
        <f>IF(Construction!$F$31=Construction!$R$22,Oeko!DP442,Oeko!GC442)</f>
        <v>5.6741590570490272</v>
      </c>
      <c r="BD442" s="1979">
        <f>IF(Construction!$F$31=Construction!$R$22,Oeko!DQ442,Oeko!GD442)</f>
        <v>6.0203667963976066</v>
      </c>
      <c r="BE442" s="1979">
        <f>IF(Construction!$F$31=Construction!$R$22,Oeko!DR442,Oeko!GE442)</f>
        <v>6.3665745357461851</v>
      </c>
      <c r="BF442" s="1979">
        <f>IF(Construction!$F$31=Construction!$R$22,Oeko!DS442,Oeko!GF442)</f>
        <v>6.7127822750947619</v>
      </c>
      <c r="BG442" s="1998">
        <f>IF(Construction!$F$31=Construction!$R$22,Oeko!DT442,Oeko!GG442)</f>
        <v>6.3705940982767153</v>
      </c>
      <c r="BH442" s="1998">
        <f>IF(Construction!$F$31=Construction!$R$22,Oeko!DU442,Oeko!GH442)</f>
        <v>6.7155269609224435</v>
      </c>
      <c r="BI442" s="1998">
        <f>IF(Construction!$F$31=Construction!$R$22,Oeko!DV442,Oeko!GI442)</f>
        <v>7.0604598235681744</v>
      </c>
      <c r="BJ442" s="1998">
        <f>IF(Construction!$F$31=Construction!$R$22,Oeko!DW442,Oeko!GJ442)</f>
        <v>7.4053926862139043</v>
      </c>
      <c r="BK442" s="2026">
        <f>IF(Construction!$F$31=Construction!$R$22,Oeko!DX442,Oeko!GK442)</f>
        <v>7.7503255488596343</v>
      </c>
      <c r="BN442" s="2022"/>
      <c r="BO442" s="2">
        <v>19</v>
      </c>
      <c r="BP442" s="2" t="str">
        <f>CONCATENATE($U$8," ",GV$13)</f>
        <v xml:space="preserve">Proportion de fenêtres </v>
      </c>
      <c r="BQ442" s="1979">
        <v>6.6139179440430755</v>
      </c>
      <c r="BR442" s="1979">
        <v>6.7782261590595896</v>
      </c>
      <c r="BS442" s="1979">
        <v>7.4760398625546705</v>
      </c>
      <c r="BT442" s="1979">
        <v>8.1758843761557465</v>
      </c>
      <c r="BU442" s="1979">
        <v>8.8757288897568234</v>
      </c>
      <c r="BV442" s="1998">
        <v>9.0642945790717953</v>
      </c>
      <c r="BW442" s="1998">
        <v>9.3808293331533275</v>
      </c>
      <c r="BX442" s="1998">
        <v>10.220715525183452</v>
      </c>
      <c r="BY442" s="1998">
        <v>11.072786577849548</v>
      </c>
      <c r="BZ442" s="1998">
        <v>11.924857630515648</v>
      </c>
      <c r="CA442" s="1979">
        <v>8.0635804006797613</v>
      </c>
      <c r="CB442" s="1979">
        <v>8.6095608655237275</v>
      </c>
      <c r="CC442" s="1979">
        <v>7.0133961360294412</v>
      </c>
      <c r="CD442" s="1979">
        <v>7.0238403022888454</v>
      </c>
      <c r="CE442" s="1979">
        <v>7.0429879404310833</v>
      </c>
      <c r="CF442" s="1998">
        <v>10.443996561981686</v>
      </c>
      <c r="CG442" s="1998">
        <v>11.016087442474159</v>
      </c>
      <c r="CH442" s="1998">
        <v>9.4460331286283807</v>
      </c>
      <c r="CI442" s="1998">
        <v>9.4825877105362935</v>
      </c>
      <c r="CJ442" s="1998">
        <v>9.5496044440341308</v>
      </c>
      <c r="CK442" s="1979">
        <v>8.0440505535797975</v>
      </c>
      <c r="CL442" s="1979">
        <v>8.5942086849275245</v>
      </c>
      <c r="CM442" s="1979">
        <v>7.0022216219370002</v>
      </c>
      <c r="CN442" s="1979">
        <v>7.0168434547001644</v>
      </c>
      <c r="CO442" s="1979">
        <v>7.0436501480992995</v>
      </c>
      <c r="CP442" s="1998">
        <v>4.6319764958180309</v>
      </c>
      <c r="CQ442" s="1998">
        <v>4.7050856596338528</v>
      </c>
      <c r="CR442" s="1998">
        <v>4.7781948234496756</v>
      </c>
      <c r="CS442" s="1998">
        <v>4.8513039872654975</v>
      </c>
      <c r="CT442" s="1998">
        <v>4.9853374542611713</v>
      </c>
      <c r="CU442" s="1979">
        <v>11.013082590220957</v>
      </c>
      <c r="CV442" s="1979">
        <v>11.159300917852601</v>
      </c>
      <c r="CW442" s="1979">
        <v>11.293334384848277</v>
      </c>
      <c r="CX442" s="1979">
        <v>11.439552712479921</v>
      </c>
      <c r="CY442" s="1979">
        <v>11.792913670923062</v>
      </c>
      <c r="CZ442" s="1998">
        <v>6.5448591736382529</v>
      </c>
      <c r="DA442" s="1998">
        <v>6.635873412067383</v>
      </c>
      <c r="DB442" s="1998">
        <v>7.2583623288690875</v>
      </c>
      <c r="DC442" s="1998">
        <v>7.8849128658827823</v>
      </c>
      <c r="DD442" s="1998">
        <v>8.5114634028964762</v>
      </c>
      <c r="DE442" s="1979">
        <v>77.533630034636388</v>
      </c>
      <c r="DF442" s="1979">
        <v>78.710520848951063</v>
      </c>
      <c r="DG442" s="1979">
        <v>79.789337428739515</v>
      </c>
      <c r="DH442" s="1979">
        <v>80.966228243054189</v>
      </c>
      <c r="DI442" s="1979">
        <v>83.810381044314667</v>
      </c>
      <c r="DJ442" s="1998">
        <v>78.384130863220946</v>
      </c>
      <c r="DK442" s="1998">
        <v>79.558688968957725</v>
      </c>
      <c r="DL442" s="1998">
        <v>80.635367232549783</v>
      </c>
      <c r="DM442" s="1998">
        <v>81.809925338286561</v>
      </c>
      <c r="DN442" s="1998">
        <v>84.648440760483794</v>
      </c>
      <c r="DO442" s="1979">
        <v>5.3279513177004487</v>
      </c>
      <c r="DP442" s="1979">
        <v>5.6741590570490272</v>
      </c>
      <c r="DQ442" s="1979">
        <v>6.0203667963976066</v>
      </c>
      <c r="DR442" s="1979">
        <v>6.3665745357461851</v>
      </c>
      <c r="DS442" s="1979">
        <v>6.7127822750947619</v>
      </c>
      <c r="DT442" s="1998">
        <v>6.3705940982767153</v>
      </c>
      <c r="DU442" s="1998">
        <v>6.7155269609224435</v>
      </c>
      <c r="DV442" s="1998">
        <v>7.0604598235681744</v>
      </c>
      <c r="DW442" s="1998">
        <v>7.4053926862139043</v>
      </c>
      <c r="DX442" s="2026">
        <v>7.7503255488596343</v>
      </c>
      <c r="EA442" s="2022"/>
      <c r="EB442" s="2">
        <v>19</v>
      </c>
      <c r="EC442" s="2" t="str">
        <f>CONCATENATE($U$8," ",JI$13)</f>
        <v xml:space="preserve">Proportion de fenêtres </v>
      </c>
      <c r="ED442" s="1979">
        <v>6.7630056564611323</v>
      </c>
      <c r="EE442" s="1979">
        <v>6.934383403068983</v>
      </c>
      <c r="EF442" s="1979">
        <v>7.6392666381554033</v>
      </c>
      <c r="EG442" s="1979">
        <v>8.346180683347816</v>
      </c>
      <c r="EH442" s="1979">
        <v>9.0530947285402323</v>
      </c>
      <c r="EI442" s="1998">
        <v>9.7325489386504209</v>
      </c>
      <c r="EJ442" s="1998">
        <v>10.056153224323293</v>
      </c>
      <c r="EK442" s="1998">
        <v>10.903108947944757</v>
      </c>
      <c r="EL442" s="1998">
        <v>11.762249532202189</v>
      </c>
      <c r="EM442" s="1998">
        <v>12.621390116459624</v>
      </c>
      <c r="EN442" s="1979">
        <v>8.2194347170377817</v>
      </c>
      <c r="EO442" s="1979">
        <v>8.7724847134730872</v>
      </c>
      <c r="EP442" s="1979">
        <v>7.1763199839788001</v>
      </c>
      <c r="EQ442" s="1979">
        <v>7.1867641502382025</v>
      </c>
      <c r="ER442" s="1979">
        <v>7.2059117883804422</v>
      </c>
      <c r="ES442" s="1998">
        <v>10.844308788341204</v>
      </c>
      <c r="ET442" s="1998">
        <v>11.423469200425018</v>
      </c>
      <c r="EU442" s="1998">
        <v>9.8534148865792375</v>
      </c>
      <c r="EV442" s="1998">
        <v>9.8899694684871502</v>
      </c>
      <c r="EW442" s="1998">
        <v>9.9569862019849857</v>
      </c>
      <c r="EX442" s="1979">
        <v>8.214325271622597</v>
      </c>
      <c r="EY442" s="1979">
        <v>8.7715529345616634</v>
      </c>
      <c r="EZ442" s="1979">
        <v>7.179565871571139</v>
      </c>
      <c r="FA442" s="1979">
        <v>7.1941877043343032</v>
      </c>
      <c r="FB442" s="1979">
        <v>7.2209943977334383</v>
      </c>
      <c r="FC442" s="1998">
        <v>4.9147577594715539</v>
      </c>
      <c r="FD442" s="1998">
        <v>4.9878669232873758</v>
      </c>
      <c r="FE442" s="1998">
        <v>5.0609760871031986</v>
      </c>
      <c r="FF442" s="1998">
        <v>5.1340852509190205</v>
      </c>
      <c r="FG442" s="1998">
        <v>5.268118717914696</v>
      </c>
      <c r="FH442" s="1979">
        <v>11.576372768087932</v>
      </c>
      <c r="FI442" s="1979">
        <v>11.722591095719576</v>
      </c>
      <c r="FJ442" s="1979">
        <v>11.85662456271525</v>
      </c>
      <c r="FK442" s="1979">
        <v>12.002842890346894</v>
      </c>
      <c r="FL442" s="1979">
        <v>12.356203848790035</v>
      </c>
      <c r="FM442" s="1998">
        <v>6.8076100977829848</v>
      </c>
      <c r="FN442" s="1998">
        <v>6.9056938678034534</v>
      </c>
      <c r="FO442" s="1998">
        <v>7.5352523161964973</v>
      </c>
      <c r="FP442" s="1998">
        <v>8.1688723848015279</v>
      </c>
      <c r="FQ442" s="1998">
        <v>8.8024924534065612</v>
      </c>
      <c r="FR442" s="1979">
        <v>81.509634113347971</v>
      </c>
      <c r="FS442" s="1979">
        <v>82.68652492766266</v>
      </c>
      <c r="FT442" s="1979">
        <v>83.765341507451112</v>
      </c>
      <c r="FU442" s="1979">
        <v>84.942232321765786</v>
      </c>
      <c r="FV442" s="1979">
        <v>87.78638512302625</v>
      </c>
      <c r="FW442" s="1998">
        <v>82.343127341985621</v>
      </c>
      <c r="FX442" s="1998">
        <v>83.5176854477224</v>
      </c>
      <c r="FY442" s="1998">
        <v>84.594363711314472</v>
      </c>
      <c r="FZ442" s="1998">
        <v>85.768921817051236</v>
      </c>
      <c r="GA442" s="1998">
        <v>88.607437239248469</v>
      </c>
      <c r="GB442" s="1979">
        <v>5.6050081336287256</v>
      </c>
      <c r="GC442" s="1979">
        <v>5.9512158729773041</v>
      </c>
      <c r="GD442" s="1979">
        <v>6.2974236123258827</v>
      </c>
      <c r="GE442" s="1979">
        <v>6.6436313516744621</v>
      </c>
      <c r="GF442" s="1979">
        <v>6.9898390910230388</v>
      </c>
      <c r="GG442" s="1998">
        <v>6.6466306791268934</v>
      </c>
      <c r="GH442" s="1998">
        <v>6.9915635417726225</v>
      </c>
      <c r="GI442" s="1998">
        <v>7.3364964044183525</v>
      </c>
      <c r="GJ442" s="1998">
        <v>7.6814292670640816</v>
      </c>
      <c r="GK442" s="2026">
        <v>8.0263621297098116</v>
      </c>
    </row>
    <row r="443" spans="1:193">
      <c r="A443" s="2020"/>
      <c r="B443" s="2">
        <v>20</v>
      </c>
      <c r="C443" s="2" t="str">
        <f>CONCATENATE($U$8," ",EI$14)</f>
        <v xml:space="preserve">Proportion de fenêtres </v>
      </c>
      <c r="D443" s="1979">
        <f>IF(Construction!$F$31=Construction!$R$22,Oeko!BQ443,Oeko!ED443)</f>
        <v>6.4145530580726327</v>
      </c>
      <c r="E443" s="1979">
        <f>IF(Construction!$F$31=Construction!$R$22,Oeko!BR443,Oeko!EE443)</f>
        <v>6.5408304344940094</v>
      </c>
      <c r="F443" s="1979">
        <f>IF(Construction!$F$31=Construction!$R$22,Oeko!BS443,Oeko!EF443)</f>
        <v>7.2006132993939556</v>
      </c>
      <c r="G443" s="1979">
        <f>IF(Construction!$F$31=Construction!$R$22,Oeko!BT443,Oeko!EG443)</f>
        <v>7.8624269743998969</v>
      </c>
      <c r="H443" s="1979">
        <f>IF(Construction!$F$31=Construction!$R$22,Oeko!BU443,Oeko!EH443)</f>
        <v>8.5242406494058365</v>
      </c>
      <c r="I443" s="1998">
        <f>IF(Construction!$F$31=Construction!$R$22,Oeko!BV443,Oeko!EI443)</f>
        <v>8.7452737735996102</v>
      </c>
      <c r="J443" s="1998">
        <f>IF(Construction!$F$31=Construction!$R$22,Oeko!BW443,Oeko!EJ443)</f>
        <v>9.0009521301147153</v>
      </c>
      <c r="K443" s="1998">
        <f>IF(Construction!$F$31=Construction!$R$22,Oeko!BX443,Oeko!EK443)</f>
        <v>9.7799819245784132</v>
      </c>
      <c r="L443" s="1998">
        <f>IF(Construction!$F$31=Construction!$R$22,Oeko!BY443,Oeko!EL443)</f>
        <v>10.57119657967808</v>
      </c>
      <c r="M443" s="1998">
        <f>IF(Construction!$F$31=Construction!$R$22,Oeko!BZ443,Oeko!EM443)</f>
        <v>11.362411234777751</v>
      </c>
      <c r="N443" s="1979">
        <f>IF(Construction!$F$31=Construction!$R$22,Oeko!CA443,Oeko!EN443)</f>
        <v>7.7634289457739554</v>
      </c>
      <c r="O443" s="1979">
        <f>IF(Construction!$F$31=Construction!$R$22,Oeko!CB443,Oeko!EO443)</f>
        <v>8.3094094106179224</v>
      </c>
      <c r="P443" s="1979">
        <f>IF(Construction!$F$31=Construction!$R$22,Oeko!CC443,Oeko!EP443)</f>
        <v>6.7132446811236344</v>
      </c>
      <c r="Q443" s="1979">
        <f>IF(Construction!$F$31=Construction!$R$22,Oeko!CD443,Oeko!EQ443)</f>
        <v>6.7236888473830385</v>
      </c>
      <c r="R443" s="1979">
        <f>IF(Construction!$F$31=Construction!$R$22,Oeko!CE443,Oeko!ER443)</f>
        <v>6.7428364855252774</v>
      </c>
      <c r="S443" s="1998">
        <f>IF(Construction!$F$31=Construction!$R$22,Oeko!CF443,Oeko!ES443)</f>
        <v>9.7966110710083765</v>
      </c>
      <c r="T443" s="1998">
        <f>IF(Construction!$F$31=Construction!$R$22,Oeko!CG443,Oeko!ET443)</f>
        <v>10.368701951500851</v>
      </c>
      <c r="U443" s="1998">
        <f>IF(Construction!$F$31=Construction!$R$22,Oeko!CH443,Oeko!EU443)</f>
        <v>8.7986476376550744</v>
      </c>
      <c r="V443" s="1998">
        <f>IF(Construction!$F$31=Construction!$R$22,Oeko!CI443,Oeko!EV443)</f>
        <v>8.8352022195629836</v>
      </c>
      <c r="W443" s="1998">
        <f>IF(Construction!$F$31=Construction!$R$22,Oeko!CJ443,Oeko!EW443)</f>
        <v>8.9022189530608209</v>
      </c>
      <c r="X443" s="1979">
        <f>IF(Construction!$F$31=Construction!$R$22,Oeko!CK443,Oeko!EX443)</f>
        <v>7.7837511405858546</v>
      </c>
      <c r="Y443" s="1979">
        <f>IF(Construction!$F$31=Construction!$R$22,Oeko!CL443,Oeko!EY443)</f>
        <v>8.3339092719335834</v>
      </c>
      <c r="Z443" s="1979">
        <f>IF(Construction!$F$31=Construction!$R$22,Oeko!CM443,Oeko!EZ443)</f>
        <v>6.7419222089430582</v>
      </c>
      <c r="AA443" s="1979">
        <f>IF(Construction!$F$31=Construction!$R$22,Oeko!CN443,Oeko!FA443)</f>
        <v>6.7565440417062224</v>
      </c>
      <c r="AB443" s="1979">
        <f>IF(Construction!$F$31=Construction!$R$22,Oeko!CO443,Oeko!FB443)</f>
        <v>6.7833507351053575</v>
      </c>
      <c r="AC443" s="1998">
        <f>IF(Construction!$F$31=Construction!$R$22,Oeko!CP443,Oeko!FC443)</f>
        <v>4.3538950008317689</v>
      </c>
      <c r="AD443" s="1998">
        <f>IF(Construction!$F$31=Construction!$R$22,Oeko!CQ443,Oeko!FD443)</f>
        <v>4.4270041646475917</v>
      </c>
      <c r="AE443" s="1998">
        <f>IF(Construction!$F$31=Construction!$R$22,Oeko!CR443,Oeko!FE443)</f>
        <v>4.5001133284634136</v>
      </c>
      <c r="AF443" s="1998">
        <f>IF(Construction!$F$31=Construction!$R$22,Oeko!CS443,Oeko!FF443)</f>
        <v>4.5732224922792355</v>
      </c>
      <c r="AG443" s="1998">
        <f>IF(Construction!$F$31=Construction!$R$22,Oeko!CT443,Oeko!FG443)</f>
        <v>4.7072559592749093</v>
      </c>
      <c r="AH443" s="1979">
        <f>IF(Construction!$F$31=Construction!$R$22,Oeko!CU443,Oeko!FH443)</f>
        <v>10.390856177564633</v>
      </c>
      <c r="AI443" s="1979">
        <f>IF(Construction!$F$31=Construction!$R$22,Oeko!CV443,Oeko!FI443)</f>
        <v>10.537074505196278</v>
      </c>
      <c r="AJ443" s="1979">
        <f>IF(Construction!$F$31=Construction!$R$22,Oeko!CW443,Oeko!FJ443)</f>
        <v>10.671107972191953</v>
      </c>
      <c r="AK443" s="1979">
        <f>IF(Construction!$F$31=Construction!$R$22,Oeko!CX443,Oeko!FK443)</f>
        <v>10.817326299823597</v>
      </c>
      <c r="AL443" s="1979">
        <f>IF(Construction!$F$31=Construction!$R$22,Oeko!CY443,Oeko!FL443)</f>
        <v>11.170687258266737</v>
      </c>
      <c r="AM443" s="1998">
        <f>IF(Construction!$F$31=Construction!$R$22,Oeko!CZ443,Oeko!FM443)</f>
        <v>6.4575183664512021</v>
      </c>
      <c r="AN443" s="1998">
        <f>IF(Construction!$F$31=Construction!$R$22,Oeko!DA443,Oeko!FN443)</f>
        <v>6.5318714755910339</v>
      </c>
      <c r="AO443" s="1998">
        <f>IF(Construction!$F$31=Construction!$R$22,Oeko!DB443,Oeko!FO443)</f>
        <v>7.1376992631034417</v>
      </c>
      <c r="AP443" s="1998">
        <f>IF(Construction!$F$31=Construction!$R$22,Oeko!DC443,Oeko!FP443)</f>
        <v>7.747588670827839</v>
      </c>
      <c r="AQ443" s="1998">
        <f>IF(Construction!$F$31=Construction!$R$22,Oeko!DD443,Oeko!FQ443)</f>
        <v>8.3574780785522353</v>
      </c>
      <c r="AR443" s="1979">
        <f>IF(Construction!$F$31=Construction!$R$22,Oeko!DE443,Oeko!FR443)</f>
        <v>75.302698727654231</v>
      </c>
      <c r="AS443" s="1979">
        <f>IF(Construction!$F$31=Construction!$R$22,Oeko!DF443,Oeko!FS443)</f>
        <v>76.479589541968906</v>
      </c>
      <c r="AT443" s="1979">
        <f>IF(Construction!$F$31=Construction!$R$22,Oeko!DG443,Oeko!FT443)</f>
        <v>77.558406121757358</v>
      </c>
      <c r="AU443" s="1979">
        <f>IF(Construction!$F$31=Construction!$R$22,Oeko!DH443,Oeko!FU443)</f>
        <v>78.735296936072032</v>
      </c>
      <c r="AV443" s="1979">
        <f>IF(Construction!$F$31=Construction!$R$22,Oeko!DI443,Oeko!FV443)</f>
        <v>81.579449737332496</v>
      </c>
      <c r="AW443" s="1998">
        <f>IF(Construction!$F$31=Construction!$R$22,Oeko!DJ443,Oeko!FW443)</f>
        <v>76.066743538155677</v>
      </c>
      <c r="AX443" s="1998">
        <f>IF(Construction!$F$31=Construction!$R$22,Oeko!DK443,Oeko!FX443)</f>
        <v>77.241301643892456</v>
      </c>
      <c r="AY443" s="1998">
        <f>IF(Construction!$F$31=Construction!$R$22,Oeko!DL443,Oeko!FY443)</f>
        <v>78.317979907484528</v>
      </c>
      <c r="AZ443" s="1998">
        <f>IF(Construction!$F$31=Construction!$R$22,Oeko!DM443,Oeko!FZ443)</f>
        <v>79.492538013221306</v>
      </c>
      <c r="BA443" s="1998">
        <f>IF(Construction!$F$31=Construction!$R$22,Oeko!DN443,Oeko!GA443)</f>
        <v>82.331053435418525</v>
      </c>
      <c r="BB443" s="1979">
        <f>IF(Construction!$F$31=Construction!$R$22,Oeko!DO443,Oeko!GB443)</f>
        <v>5.0705636369515581</v>
      </c>
      <c r="BC443" s="1979">
        <f>IF(Construction!$F$31=Construction!$R$22,Oeko!DP443,Oeko!GC443)</f>
        <v>5.4167713763001366</v>
      </c>
      <c r="BD443" s="1979">
        <f>IF(Construction!$F$31=Construction!$R$22,Oeko!DQ443,Oeko!GD443)</f>
        <v>5.7629791156487151</v>
      </c>
      <c r="BE443" s="1979">
        <f>IF(Construction!$F$31=Construction!$R$22,Oeko!DR443,Oeko!GE443)</f>
        <v>6.1091868549972936</v>
      </c>
      <c r="BF443" s="1979">
        <f>IF(Construction!$F$31=Construction!$R$22,Oeko!DS443,Oeko!GF443)</f>
        <v>6.4553945943458713</v>
      </c>
      <c r="BG443" s="1998">
        <f>IF(Construction!$F$31=Construction!$R$22,Oeko!DT443,Oeko!GG443)</f>
        <v>5.8777835551755828</v>
      </c>
      <c r="BH443" s="1998">
        <f>IF(Construction!$F$31=Construction!$R$22,Oeko!DU443,Oeko!GH443)</f>
        <v>6.2227164178213128</v>
      </c>
      <c r="BI443" s="1998">
        <f>IF(Construction!$F$31=Construction!$R$22,Oeko!DV443,Oeko!GI443)</f>
        <v>6.5676492804670419</v>
      </c>
      <c r="BJ443" s="1998">
        <f>IF(Construction!$F$31=Construction!$R$22,Oeko!DW443,Oeko!GJ443)</f>
        <v>6.9125821431127719</v>
      </c>
      <c r="BK443" s="2026">
        <f>IF(Construction!$F$31=Construction!$R$22,Oeko!DX443,Oeko!GK443)</f>
        <v>7.2575150057585009</v>
      </c>
      <c r="BN443" s="2022"/>
      <c r="BO443" s="2">
        <v>20</v>
      </c>
      <c r="BP443" s="2" t="str">
        <f>CONCATENATE($U$8," ",GV$14)</f>
        <v xml:space="preserve">Proportion de fenêtres </v>
      </c>
      <c r="BQ443" s="1979">
        <v>6.4145530580726327</v>
      </c>
      <c r="BR443" s="1979">
        <v>6.5408304344940094</v>
      </c>
      <c r="BS443" s="1979">
        <v>7.2006132993939556</v>
      </c>
      <c r="BT443" s="1979">
        <v>7.8624269743998969</v>
      </c>
      <c r="BU443" s="1979">
        <v>8.5242406494058365</v>
      </c>
      <c r="BV443" s="1998">
        <v>8.7452737735996102</v>
      </c>
      <c r="BW443" s="1998">
        <v>9.0009521301147153</v>
      </c>
      <c r="BX443" s="1998">
        <v>9.7799819245784132</v>
      </c>
      <c r="BY443" s="1998">
        <v>10.57119657967808</v>
      </c>
      <c r="BZ443" s="1998">
        <v>11.362411234777751</v>
      </c>
      <c r="CA443" s="1979">
        <v>7.7634289457739554</v>
      </c>
      <c r="CB443" s="1979">
        <v>8.3094094106179224</v>
      </c>
      <c r="CC443" s="1979">
        <v>6.7132446811236344</v>
      </c>
      <c r="CD443" s="1979">
        <v>6.7236888473830385</v>
      </c>
      <c r="CE443" s="1979">
        <v>6.7428364855252774</v>
      </c>
      <c r="CF443" s="1998">
        <v>9.7966110710083765</v>
      </c>
      <c r="CG443" s="1998">
        <v>10.368701951500851</v>
      </c>
      <c r="CH443" s="1998">
        <v>8.7986476376550744</v>
      </c>
      <c r="CI443" s="1998">
        <v>8.8352022195629836</v>
      </c>
      <c r="CJ443" s="1998">
        <v>8.9022189530608209</v>
      </c>
      <c r="CK443" s="1979">
        <v>7.7837511405858546</v>
      </c>
      <c r="CL443" s="1979">
        <v>8.3339092719335834</v>
      </c>
      <c r="CM443" s="1979">
        <v>6.7419222089430582</v>
      </c>
      <c r="CN443" s="1979">
        <v>6.7565440417062224</v>
      </c>
      <c r="CO443" s="1979">
        <v>6.7833507351053575</v>
      </c>
      <c r="CP443" s="1998">
        <v>4.3538950008317689</v>
      </c>
      <c r="CQ443" s="1998">
        <v>4.4270041646475917</v>
      </c>
      <c r="CR443" s="1998">
        <v>4.5001133284634136</v>
      </c>
      <c r="CS443" s="1998">
        <v>4.5732224922792355</v>
      </c>
      <c r="CT443" s="1998">
        <v>4.7072559592749093</v>
      </c>
      <c r="CU443" s="1979">
        <v>10.390856177564633</v>
      </c>
      <c r="CV443" s="1979">
        <v>10.537074505196278</v>
      </c>
      <c r="CW443" s="1979">
        <v>10.671107972191953</v>
      </c>
      <c r="CX443" s="1979">
        <v>10.817326299823597</v>
      </c>
      <c r="CY443" s="1979">
        <v>11.170687258266737</v>
      </c>
      <c r="CZ443" s="1998">
        <v>6.4575183664512021</v>
      </c>
      <c r="DA443" s="1998">
        <v>6.5318714755910339</v>
      </c>
      <c r="DB443" s="1998">
        <v>7.1376992631034417</v>
      </c>
      <c r="DC443" s="1998">
        <v>7.747588670827839</v>
      </c>
      <c r="DD443" s="1998">
        <v>8.3574780785522353</v>
      </c>
      <c r="DE443" s="1979">
        <v>75.302698727654231</v>
      </c>
      <c r="DF443" s="1979">
        <v>76.479589541968906</v>
      </c>
      <c r="DG443" s="1979">
        <v>77.558406121757358</v>
      </c>
      <c r="DH443" s="1979">
        <v>78.735296936072032</v>
      </c>
      <c r="DI443" s="1979">
        <v>81.579449737332496</v>
      </c>
      <c r="DJ443" s="1998">
        <v>76.066743538155677</v>
      </c>
      <c r="DK443" s="1998">
        <v>77.241301643892456</v>
      </c>
      <c r="DL443" s="1998">
        <v>78.317979907484528</v>
      </c>
      <c r="DM443" s="1998">
        <v>79.492538013221306</v>
      </c>
      <c r="DN443" s="1998">
        <v>82.331053435418525</v>
      </c>
      <c r="DO443" s="1979">
        <v>5.0705636369515581</v>
      </c>
      <c r="DP443" s="1979">
        <v>5.4167713763001366</v>
      </c>
      <c r="DQ443" s="1979">
        <v>5.7629791156487151</v>
      </c>
      <c r="DR443" s="1979">
        <v>6.1091868549972936</v>
      </c>
      <c r="DS443" s="1979">
        <v>6.4553945943458713</v>
      </c>
      <c r="DT443" s="1998">
        <v>5.8777835551755828</v>
      </c>
      <c r="DU443" s="1998">
        <v>6.2227164178213128</v>
      </c>
      <c r="DV443" s="1998">
        <v>6.5676492804670419</v>
      </c>
      <c r="DW443" s="1998">
        <v>6.9125821431127719</v>
      </c>
      <c r="DX443" s="2026">
        <v>7.2575150057585009</v>
      </c>
      <c r="EA443" s="2022"/>
      <c r="EB443" s="2">
        <v>20</v>
      </c>
      <c r="EC443" s="2" t="str">
        <f>CONCATENATE($U$8," ",JI$14)</f>
        <v xml:space="preserve">Proportion de fenêtres </v>
      </c>
      <c r="ED443" s="1979">
        <v>6.5636407704906876</v>
      </c>
      <c r="EE443" s="1979">
        <v>6.6969876785034037</v>
      </c>
      <c r="EF443" s="1979">
        <v>7.3638400749946884</v>
      </c>
      <c r="EG443" s="1979">
        <v>8.0327232815919647</v>
      </c>
      <c r="EH443" s="1979">
        <v>8.7016064881892436</v>
      </c>
      <c r="EI443" s="1998">
        <v>9.4135281331782377</v>
      </c>
      <c r="EJ443" s="1998">
        <v>9.6762760212846786</v>
      </c>
      <c r="EK443" s="1998">
        <v>10.462375347339718</v>
      </c>
      <c r="EL443" s="1998">
        <v>11.260659534030721</v>
      </c>
      <c r="EM443" s="1998">
        <v>12.05894372072173</v>
      </c>
      <c r="EN443" s="1979">
        <v>7.9192832621319749</v>
      </c>
      <c r="EO443" s="1979">
        <v>8.4723332585672804</v>
      </c>
      <c r="EP443" s="1979">
        <v>6.8761685290729941</v>
      </c>
      <c r="EQ443" s="1979">
        <v>6.8866126953323974</v>
      </c>
      <c r="ER443" s="1979">
        <v>6.9057603334746362</v>
      </c>
      <c r="ES443" s="1998">
        <v>10.196923297367897</v>
      </c>
      <c r="ET443" s="1998">
        <v>10.77608370945171</v>
      </c>
      <c r="EU443" s="1998">
        <v>9.2060293956059311</v>
      </c>
      <c r="EV443" s="1998">
        <v>9.2425839775138421</v>
      </c>
      <c r="EW443" s="1998">
        <v>9.3096007110116759</v>
      </c>
      <c r="EX443" s="1979">
        <v>7.954025858628655</v>
      </c>
      <c r="EY443" s="1979">
        <v>8.5112535215677223</v>
      </c>
      <c r="EZ443" s="1979">
        <v>6.9192664585771961</v>
      </c>
      <c r="FA443" s="1979">
        <v>6.9338882913403603</v>
      </c>
      <c r="FB443" s="1979">
        <v>6.9606949847394954</v>
      </c>
      <c r="FC443" s="1998">
        <v>4.6366762644852919</v>
      </c>
      <c r="FD443" s="1998">
        <v>4.7097854283011138</v>
      </c>
      <c r="FE443" s="1998">
        <v>4.7828945921169366</v>
      </c>
      <c r="FF443" s="1998">
        <v>4.8560037559327585</v>
      </c>
      <c r="FG443" s="1998">
        <v>4.9900372229284322</v>
      </c>
      <c r="FH443" s="1979">
        <v>10.954146355431609</v>
      </c>
      <c r="FI443" s="1979">
        <v>11.100364683063253</v>
      </c>
      <c r="FJ443" s="1979">
        <v>11.234398150058926</v>
      </c>
      <c r="FK443" s="1979">
        <v>11.38061647769057</v>
      </c>
      <c r="FL443" s="1979">
        <v>11.733977436133712</v>
      </c>
      <c r="FM443" s="1998">
        <v>6.720269290595934</v>
      </c>
      <c r="FN443" s="1998">
        <v>6.8016919313271043</v>
      </c>
      <c r="FO443" s="1998">
        <v>7.4145892504308497</v>
      </c>
      <c r="FP443" s="1998">
        <v>8.0315481897465855</v>
      </c>
      <c r="FQ443" s="1998">
        <v>8.6485071290623186</v>
      </c>
      <c r="FR443" s="1979">
        <v>79.278702806365828</v>
      </c>
      <c r="FS443" s="1979">
        <v>80.455593620680517</v>
      </c>
      <c r="FT443" s="1979">
        <v>81.534410200468969</v>
      </c>
      <c r="FU443" s="1979">
        <v>82.711301014783629</v>
      </c>
      <c r="FV443" s="1979">
        <v>85.555453816044107</v>
      </c>
      <c r="FW443" s="1998">
        <v>80.025740016920366</v>
      </c>
      <c r="FX443" s="1998">
        <v>81.200298122657145</v>
      </c>
      <c r="FY443" s="1998">
        <v>82.276976386249203</v>
      </c>
      <c r="FZ443" s="1998">
        <v>83.451534491985996</v>
      </c>
      <c r="GA443" s="1998">
        <v>86.290049914183214</v>
      </c>
      <c r="GB443" s="1979">
        <v>5.347620452879835</v>
      </c>
      <c r="GC443" s="1979">
        <v>5.6938281922284135</v>
      </c>
      <c r="GD443" s="1979">
        <v>6.040035931576992</v>
      </c>
      <c r="GE443" s="1979">
        <v>6.3862436709255705</v>
      </c>
      <c r="GF443" s="1979">
        <v>6.7324514102741482</v>
      </c>
      <c r="GG443" s="1998">
        <v>6.1538201360257609</v>
      </c>
      <c r="GH443" s="1998">
        <v>6.4987529986714909</v>
      </c>
      <c r="GI443" s="1998">
        <v>6.84368586131722</v>
      </c>
      <c r="GJ443" s="1998">
        <v>7.18861872396295</v>
      </c>
      <c r="GK443" s="2026">
        <v>7.53355158660868</v>
      </c>
    </row>
    <row r="444" spans="1:193">
      <c r="A444" s="2020"/>
      <c r="B444" s="2">
        <v>21</v>
      </c>
      <c r="C444" s="2" t="str">
        <f>CONCATENATE($U$8," ",EI$15)</f>
        <v xml:space="preserve">Proportion de fenêtres </v>
      </c>
      <c r="D444" s="1979">
        <f>IF(Construction!$F$31=Construction!$R$22,Oeko!BQ444,Oeko!ED444)</f>
        <v>6.2151881721021889</v>
      </c>
      <c r="E444" s="1979">
        <f>IF(Construction!$F$31=Construction!$R$22,Oeko!BR444,Oeko!EE444)</f>
        <v>6.30343470992843</v>
      </c>
      <c r="F444" s="1979">
        <f>IF(Construction!$F$31=Construction!$R$22,Oeko!BS444,Oeko!EF444)</f>
        <v>6.9251867362332398</v>
      </c>
      <c r="G444" s="1979">
        <f>IF(Construction!$F$31=Construction!$R$22,Oeko!BT444,Oeko!EG444)</f>
        <v>7.5489695726440456</v>
      </c>
      <c r="H444" s="1979">
        <f>IF(Construction!$F$31=Construction!$R$22,Oeko!BU444,Oeko!EH444)</f>
        <v>8.1727524090548513</v>
      </c>
      <c r="I444" s="1998">
        <f>IF(Construction!$F$31=Construction!$R$22,Oeko!BV444,Oeko!EI444)</f>
        <v>8.4262529681274234</v>
      </c>
      <c r="J444" s="1998">
        <f>IF(Construction!$F$31=Construction!$R$22,Oeko!BW444,Oeko!EJ444)</f>
        <v>8.6210749270761031</v>
      </c>
      <c r="K444" s="1998">
        <f>IF(Construction!$F$31=Construction!$R$22,Oeko!BX444,Oeko!EK444)</f>
        <v>9.3392483239733739</v>
      </c>
      <c r="L444" s="1998">
        <f>IF(Construction!$F$31=Construction!$R$22,Oeko!BY444,Oeko!EL444)</f>
        <v>10.069606581506614</v>
      </c>
      <c r="M444" s="1998">
        <f>IF(Construction!$F$31=Construction!$R$22,Oeko!BZ444,Oeko!EM444)</f>
        <v>10.799964839039854</v>
      </c>
      <c r="N444" s="1979">
        <f>IF(Construction!$F$31=Construction!$R$22,Oeko!CA444,Oeko!EN444)</f>
        <v>7.4632774908681485</v>
      </c>
      <c r="O444" s="1979">
        <f>IF(Construction!$F$31=Construction!$R$22,Oeko!CB444,Oeko!EO444)</f>
        <v>8.0092579557121155</v>
      </c>
      <c r="P444" s="1979">
        <f>IF(Construction!$F$31=Construction!$R$22,Oeko!CC444,Oeko!EP444)</f>
        <v>6.4130932262178284</v>
      </c>
      <c r="Q444" s="1979">
        <f>IF(Construction!$F$31=Construction!$R$22,Oeko!CD444,Oeko!EQ444)</f>
        <v>6.4235373924772308</v>
      </c>
      <c r="R444" s="1979">
        <f>IF(Construction!$F$31=Construction!$R$22,Oeko!CE444,Oeko!ER444)</f>
        <v>6.4426850306194705</v>
      </c>
      <c r="S444" s="1998">
        <f>IF(Construction!$F$31=Construction!$R$22,Oeko!CF444,Oeko!ES444)</f>
        <v>9.1492255800350684</v>
      </c>
      <c r="T444" s="1998">
        <f>IF(Construction!$F$31=Construction!$R$22,Oeko!CG444,Oeko!ET444)</f>
        <v>9.7213164605275448</v>
      </c>
      <c r="U444" s="1998">
        <f>IF(Construction!$F$31=Construction!$R$22,Oeko!CH444,Oeko!EU444)</f>
        <v>8.1512621466817645</v>
      </c>
      <c r="V444" s="1998">
        <f>IF(Construction!$F$31=Construction!$R$22,Oeko!CI444,Oeko!EV444)</f>
        <v>8.1878167285896755</v>
      </c>
      <c r="W444" s="1998">
        <f>IF(Construction!$F$31=Construction!$R$22,Oeko!CJ444,Oeko!EW444)</f>
        <v>8.2548334620875128</v>
      </c>
      <c r="X444" s="1979">
        <f>IF(Construction!$F$31=Construction!$R$22,Oeko!CK444,Oeko!EX444)</f>
        <v>7.5234517275919108</v>
      </c>
      <c r="Y444" s="1979">
        <f>IF(Construction!$F$31=Construction!$R$22,Oeko!CL444,Oeko!EY444)</f>
        <v>8.0736098589396406</v>
      </c>
      <c r="Z444" s="1979">
        <f>IF(Construction!$F$31=Construction!$R$22,Oeko!CM444,Oeko!EZ444)</f>
        <v>6.4816227959491144</v>
      </c>
      <c r="AA444" s="1979">
        <f>IF(Construction!$F$31=Construction!$R$22,Oeko!CN444,Oeko!FA444)</f>
        <v>6.4962446287122795</v>
      </c>
      <c r="AB444" s="1979">
        <f>IF(Construction!$F$31=Construction!$R$22,Oeko!CO444,Oeko!FB444)</f>
        <v>6.5230513221114146</v>
      </c>
      <c r="AC444" s="1998">
        <f>IF(Construction!$F$31=Construction!$R$22,Oeko!CP444,Oeko!FC444)</f>
        <v>4.0758135058455069</v>
      </c>
      <c r="AD444" s="1998">
        <f>IF(Construction!$F$31=Construction!$R$22,Oeko!CQ444,Oeko!FD444)</f>
        <v>4.1489226696613288</v>
      </c>
      <c r="AE444" s="1998">
        <f>IF(Construction!$F$31=Construction!$R$22,Oeko!CR444,Oeko!FE444)</f>
        <v>4.2220318334771516</v>
      </c>
      <c r="AF444" s="1998">
        <f>IF(Construction!$F$31=Construction!$R$22,Oeko!CS444,Oeko!FF444)</f>
        <v>4.2951409972929735</v>
      </c>
      <c r="AG444" s="1998">
        <f>IF(Construction!$F$31=Construction!$R$22,Oeko!CT444,Oeko!FG444)</f>
        <v>4.4291744642886481</v>
      </c>
      <c r="AH444" s="1979">
        <f>IF(Construction!$F$31=Construction!$R$22,Oeko!CU444,Oeko!FH444)</f>
        <v>9.7686297649083098</v>
      </c>
      <c r="AI444" s="1979">
        <f>IF(Construction!$F$31=Construction!$R$22,Oeko!CV444,Oeko!FI444)</f>
        <v>9.9148480925399554</v>
      </c>
      <c r="AJ444" s="1979">
        <f>IF(Construction!$F$31=Construction!$R$22,Oeko!CW444,Oeko!FJ444)</f>
        <v>10.04888155953563</v>
      </c>
      <c r="AK444" s="1979">
        <f>IF(Construction!$F$31=Construction!$R$22,Oeko!CX444,Oeko!FK444)</f>
        <v>10.195099887167274</v>
      </c>
      <c r="AL444" s="1979">
        <f>IF(Construction!$F$31=Construction!$R$22,Oeko!CY444,Oeko!FL444)</f>
        <v>10.548460845610414</v>
      </c>
      <c r="AM444" s="1998">
        <f>IF(Construction!$F$31=Construction!$R$22,Oeko!CZ444,Oeko!FM444)</f>
        <v>6.3701775592641496</v>
      </c>
      <c r="AN444" s="1998">
        <f>IF(Construction!$F$31=Construction!$R$22,Oeko!DA444,Oeko!FN444)</f>
        <v>6.4278695391146856</v>
      </c>
      <c r="AO444" s="1998">
        <f>IF(Construction!$F$31=Construction!$R$22,Oeko!DB444,Oeko!FO444)</f>
        <v>7.0170361973377933</v>
      </c>
      <c r="AP444" s="1998">
        <f>IF(Construction!$F$31=Construction!$R$22,Oeko!DC444,Oeko!FP444)</f>
        <v>7.6102644757728948</v>
      </c>
      <c r="AQ444" s="1998">
        <f>IF(Construction!$F$31=Construction!$R$22,Oeko!DD444,Oeko!FQ444)</f>
        <v>8.2034927542079927</v>
      </c>
      <c r="AR444" s="1979">
        <f>IF(Construction!$F$31=Construction!$R$22,Oeko!DE444,Oeko!FR444)</f>
        <v>73.071767420672103</v>
      </c>
      <c r="AS444" s="1979">
        <f>IF(Construction!$F$31=Construction!$R$22,Oeko!DF444,Oeko!FS444)</f>
        <v>74.248658234986777</v>
      </c>
      <c r="AT444" s="1979">
        <f>IF(Construction!$F$31=Construction!$R$22,Oeko!DG444,Oeko!FT444)</f>
        <v>75.327474814775229</v>
      </c>
      <c r="AU444" s="1979">
        <f>IF(Construction!$F$31=Construction!$R$22,Oeko!DH444,Oeko!FU444)</f>
        <v>76.504365629089904</v>
      </c>
      <c r="AV444" s="1979">
        <f>IF(Construction!$F$31=Construction!$R$22,Oeko!DI444,Oeko!FV444)</f>
        <v>79.348518430350367</v>
      </c>
      <c r="AW444" s="1998">
        <f>IF(Construction!$F$31=Construction!$R$22,Oeko!DJ444,Oeko!FW444)</f>
        <v>73.749356213090422</v>
      </c>
      <c r="AX444" s="1998">
        <f>IF(Construction!$F$31=Construction!$R$22,Oeko!DK444,Oeko!FX444)</f>
        <v>74.923914318827201</v>
      </c>
      <c r="AY444" s="1998">
        <f>IF(Construction!$F$31=Construction!$R$22,Oeko!DL444,Oeko!FY444)</f>
        <v>76.000592582419259</v>
      </c>
      <c r="AZ444" s="1998">
        <f>IF(Construction!$F$31=Construction!$R$22,Oeko!DM444,Oeko!FZ444)</f>
        <v>77.175150688156037</v>
      </c>
      <c r="BA444" s="1998">
        <f>IF(Construction!$F$31=Construction!$R$22,Oeko!DN444,Oeko!GA444)</f>
        <v>80.01366611035327</v>
      </c>
      <c r="BB444" s="1979">
        <f>IF(Construction!$F$31=Construction!$R$22,Oeko!DO444,Oeko!GB444)</f>
        <v>4.8131759562026684</v>
      </c>
      <c r="BC444" s="1979">
        <f>IF(Construction!$F$31=Construction!$R$22,Oeko!DP444,Oeko!GC444)</f>
        <v>5.159383695551246</v>
      </c>
      <c r="BD444" s="1979">
        <f>IF(Construction!$F$31=Construction!$R$22,Oeko!DQ444,Oeko!GD444)</f>
        <v>5.5055914348998245</v>
      </c>
      <c r="BE444" s="1979">
        <f>IF(Construction!$F$31=Construction!$R$22,Oeko!DR444,Oeko!GE444)</f>
        <v>5.8517991742484048</v>
      </c>
      <c r="BF444" s="1979">
        <f>IF(Construction!$F$31=Construction!$R$22,Oeko!DS444,Oeko!GF444)</f>
        <v>6.1980069135969815</v>
      </c>
      <c r="BG444" s="1998">
        <f>IF(Construction!$F$31=Construction!$R$22,Oeko!DT444,Oeko!GG444)</f>
        <v>5.3849730120744512</v>
      </c>
      <c r="BH444" s="1998">
        <f>IF(Construction!$F$31=Construction!$R$22,Oeko!DU444,Oeko!GH444)</f>
        <v>5.7299058747201812</v>
      </c>
      <c r="BI444" s="1998">
        <f>IF(Construction!$F$31=Construction!$R$22,Oeko!DV444,Oeko!GI444)</f>
        <v>6.0748387373659103</v>
      </c>
      <c r="BJ444" s="1998">
        <f>IF(Construction!$F$31=Construction!$R$22,Oeko!DW444,Oeko!GJ444)</f>
        <v>6.4197716000116403</v>
      </c>
      <c r="BK444" s="2026">
        <f>IF(Construction!$F$31=Construction!$R$22,Oeko!DX444,Oeko!GK444)</f>
        <v>6.7647044626573694</v>
      </c>
      <c r="BN444" s="2022"/>
      <c r="BO444" s="2">
        <v>21</v>
      </c>
      <c r="BP444" s="2" t="str">
        <f>CONCATENATE($U$8," ",GV$15)</f>
        <v xml:space="preserve">Proportion de fenêtres </v>
      </c>
      <c r="BQ444" s="1979">
        <v>6.2151881721021889</v>
      </c>
      <c r="BR444" s="1979">
        <v>6.30343470992843</v>
      </c>
      <c r="BS444" s="1979">
        <v>6.9251867362332398</v>
      </c>
      <c r="BT444" s="1979">
        <v>7.5489695726440456</v>
      </c>
      <c r="BU444" s="1979">
        <v>8.1727524090548513</v>
      </c>
      <c r="BV444" s="1998">
        <v>8.4262529681274234</v>
      </c>
      <c r="BW444" s="1998">
        <v>8.6210749270761031</v>
      </c>
      <c r="BX444" s="1998">
        <v>9.3392483239733739</v>
      </c>
      <c r="BY444" s="1998">
        <v>10.069606581506614</v>
      </c>
      <c r="BZ444" s="1998">
        <v>10.799964839039854</v>
      </c>
      <c r="CA444" s="1979">
        <v>7.4632774908681485</v>
      </c>
      <c r="CB444" s="1979">
        <v>8.0092579557121155</v>
      </c>
      <c r="CC444" s="1979">
        <v>6.4130932262178284</v>
      </c>
      <c r="CD444" s="1979">
        <v>6.4235373924772308</v>
      </c>
      <c r="CE444" s="1979">
        <v>6.4426850306194705</v>
      </c>
      <c r="CF444" s="1998">
        <v>9.1492255800350684</v>
      </c>
      <c r="CG444" s="1998">
        <v>9.7213164605275448</v>
      </c>
      <c r="CH444" s="1998">
        <v>8.1512621466817645</v>
      </c>
      <c r="CI444" s="1998">
        <v>8.1878167285896755</v>
      </c>
      <c r="CJ444" s="1998">
        <v>8.2548334620875128</v>
      </c>
      <c r="CK444" s="1979">
        <v>7.5234517275919108</v>
      </c>
      <c r="CL444" s="1979">
        <v>8.0736098589396406</v>
      </c>
      <c r="CM444" s="1979">
        <v>6.4816227959491144</v>
      </c>
      <c r="CN444" s="1979">
        <v>6.4962446287122795</v>
      </c>
      <c r="CO444" s="1979">
        <v>6.5230513221114146</v>
      </c>
      <c r="CP444" s="1998">
        <v>4.0758135058455069</v>
      </c>
      <c r="CQ444" s="1998">
        <v>4.1489226696613288</v>
      </c>
      <c r="CR444" s="1998">
        <v>4.2220318334771516</v>
      </c>
      <c r="CS444" s="1998">
        <v>4.2951409972929735</v>
      </c>
      <c r="CT444" s="1998">
        <v>4.4291744642886481</v>
      </c>
      <c r="CU444" s="1979">
        <v>9.7686297649083098</v>
      </c>
      <c r="CV444" s="1979">
        <v>9.9148480925399554</v>
      </c>
      <c r="CW444" s="1979">
        <v>10.04888155953563</v>
      </c>
      <c r="CX444" s="1979">
        <v>10.195099887167274</v>
      </c>
      <c r="CY444" s="1979">
        <v>10.548460845610414</v>
      </c>
      <c r="CZ444" s="1998">
        <v>6.3701775592641496</v>
      </c>
      <c r="DA444" s="1998">
        <v>6.4278695391146856</v>
      </c>
      <c r="DB444" s="1998">
        <v>7.0170361973377933</v>
      </c>
      <c r="DC444" s="1998">
        <v>7.6102644757728948</v>
      </c>
      <c r="DD444" s="1998">
        <v>8.2034927542079927</v>
      </c>
      <c r="DE444" s="1979">
        <v>73.071767420672103</v>
      </c>
      <c r="DF444" s="1979">
        <v>74.248658234986777</v>
      </c>
      <c r="DG444" s="1979">
        <v>75.327474814775229</v>
      </c>
      <c r="DH444" s="1979">
        <v>76.504365629089904</v>
      </c>
      <c r="DI444" s="1979">
        <v>79.348518430350367</v>
      </c>
      <c r="DJ444" s="1998">
        <v>73.749356213090422</v>
      </c>
      <c r="DK444" s="1998">
        <v>74.923914318827201</v>
      </c>
      <c r="DL444" s="1998">
        <v>76.000592582419259</v>
      </c>
      <c r="DM444" s="1998">
        <v>77.175150688156037</v>
      </c>
      <c r="DN444" s="1998">
        <v>80.01366611035327</v>
      </c>
      <c r="DO444" s="1979">
        <v>4.8131759562026684</v>
      </c>
      <c r="DP444" s="1979">
        <v>5.159383695551246</v>
      </c>
      <c r="DQ444" s="1979">
        <v>5.5055914348998245</v>
      </c>
      <c r="DR444" s="1979">
        <v>5.8517991742484048</v>
      </c>
      <c r="DS444" s="1979">
        <v>6.1980069135969815</v>
      </c>
      <c r="DT444" s="1998">
        <v>5.3849730120744512</v>
      </c>
      <c r="DU444" s="1998">
        <v>5.7299058747201812</v>
      </c>
      <c r="DV444" s="1998">
        <v>6.0748387373659103</v>
      </c>
      <c r="DW444" s="1998">
        <v>6.4197716000116403</v>
      </c>
      <c r="DX444" s="2026">
        <v>6.7647044626573694</v>
      </c>
      <c r="EA444" s="2022"/>
      <c r="EB444" s="2">
        <v>21</v>
      </c>
      <c r="EC444" s="2" t="str">
        <f>CONCATENATE($U$8," ",JI$15)</f>
        <v xml:space="preserve">Proportion de fenêtres </v>
      </c>
      <c r="ED444" s="1979">
        <v>6.3642758845202456</v>
      </c>
      <c r="EE444" s="1979">
        <v>6.4595919539378235</v>
      </c>
      <c r="EF444" s="1979">
        <v>7.0884135118339726</v>
      </c>
      <c r="EG444" s="1979">
        <v>7.7192658798361142</v>
      </c>
      <c r="EH444" s="1979">
        <v>8.3501182478382585</v>
      </c>
      <c r="EI444" s="1998">
        <v>9.0945073277060509</v>
      </c>
      <c r="EJ444" s="1998">
        <v>9.2963988182460646</v>
      </c>
      <c r="EK444" s="1998">
        <v>10.021641746734677</v>
      </c>
      <c r="EL444" s="1998">
        <v>10.759069535859254</v>
      </c>
      <c r="EM444" s="1998">
        <v>11.496497324983832</v>
      </c>
      <c r="EN444" s="1979">
        <v>7.6191318072261689</v>
      </c>
      <c r="EO444" s="1979">
        <v>8.1721818036614735</v>
      </c>
      <c r="EP444" s="1979">
        <v>6.5760170741671873</v>
      </c>
      <c r="EQ444" s="1979">
        <v>6.5864612404265896</v>
      </c>
      <c r="ER444" s="1979">
        <v>6.6056088785688285</v>
      </c>
      <c r="ES444" s="1998">
        <v>9.5495378063945875</v>
      </c>
      <c r="ET444" s="1998">
        <v>10.128698218478402</v>
      </c>
      <c r="EU444" s="1998">
        <v>8.5586439046326213</v>
      </c>
      <c r="EV444" s="1998">
        <v>8.5951984865405322</v>
      </c>
      <c r="EW444" s="1998">
        <v>8.6622152200383695</v>
      </c>
      <c r="EX444" s="1979">
        <v>7.6937264456347112</v>
      </c>
      <c r="EY444" s="1979">
        <v>8.2509541085737776</v>
      </c>
      <c r="EZ444" s="1979">
        <v>6.6589670455832533</v>
      </c>
      <c r="FA444" s="1979">
        <v>6.6735888783464175</v>
      </c>
      <c r="FB444" s="1979">
        <v>6.7003955717455534</v>
      </c>
      <c r="FC444" s="1998">
        <v>4.3585947694990299</v>
      </c>
      <c r="FD444" s="1998">
        <v>4.4317039333148527</v>
      </c>
      <c r="FE444" s="1998">
        <v>4.5048130971306746</v>
      </c>
      <c r="FF444" s="1998">
        <v>4.5779222609464965</v>
      </c>
      <c r="FG444" s="1998">
        <v>4.7119557279421702</v>
      </c>
      <c r="FH444" s="1979">
        <v>10.331919942775285</v>
      </c>
      <c r="FI444" s="1979">
        <v>10.478138270406928</v>
      </c>
      <c r="FJ444" s="1979">
        <v>10.612171737402603</v>
      </c>
      <c r="FK444" s="1979">
        <v>10.758390065034247</v>
      </c>
      <c r="FL444" s="1979">
        <v>11.111751023477389</v>
      </c>
      <c r="FM444" s="1998">
        <v>6.6329284834088815</v>
      </c>
      <c r="FN444" s="1998">
        <v>6.697689994850756</v>
      </c>
      <c r="FO444" s="1998">
        <v>7.2939261846652039</v>
      </c>
      <c r="FP444" s="1998">
        <v>7.8942239946916404</v>
      </c>
      <c r="FQ444" s="1998">
        <v>8.4945218047180777</v>
      </c>
      <c r="FR444" s="1979">
        <v>77.047771499383686</v>
      </c>
      <c r="FS444" s="1979">
        <v>78.22466231369836</v>
      </c>
      <c r="FT444" s="1979">
        <v>79.303478893486812</v>
      </c>
      <c r="FU444" s="1979">
        <v>80.480369707801501</v>
      </c>
      <c r="FV444" s="1979">
        <v>83.324522509061964</v>
      </c>
      <c r="FW444" s="1998">
        <v>77.708352691855112</v>
      </c>
      <c r="FX444" s="1998">
        <v>78.88291079759189</v>
      </c>
      <c r="FY444" s="1998">
        <v>79.959589061183934</v>
      </c>
      <c r="FZ444" s="1998">
        <v>81.134147166920727</v>
      </c>
      <c r="GA444" s="1998">
        <v>83.972662589117959</v>
      </c>
      <c r="GB444" s="1979">
        <v>5.0902327721309453</v>
      </c>
      <c r="GC444" s="1979">
        <v>5.4364405114795229</v>
      </c>
      <c r="GD444" s="1979">
        <v>5.7826482508281014</v>
      </c>
      <c r="GE444" s="1979">
        <v>6.1288559901766799</v>
      </c>
      <c r="GF444" s="1979">
        <v>6.4750637295252584</v>
      </c>
      <c r="GG444" s="1998">
        <v>5.6610095929246294</v>
      </c>
      <c r="GH444" s="1998">
        <v>6.0059424555703593</v>
      </c>
      <c r="GI444" s="1998">
        <v>6.3508753182160884</v>
      </c>
      <c r="GJ444" s="1998">
        <v>6.6958081808618184</v>
      </c>
      <c r="GK444" s="2026">
        <v>7.0407410435075475</v>
      </c>
    </row>
    <row r="445" spans="1:193">
      <c r="A445" s="2020"/>
      <c r="B445" s="2">
        <v>22</v>
      </c>
      <c r="C445" s="2" t="str">
        <f>CONCATENATE($U$8," ",EI$16)</f>
        <v xml:space="preserve">Proportion de fenêtres </v>
      </c>
      <c r="D445" s="1979">
        <f>IF(Construction!$F$31=Construction!$R$22,Oeko!BQ445,Oeko!ED445)</f>
        <v>6.0158232861317442</v>
      </c>
      <c r="E445" s="1979">
        <f>IF(Construction!$F$31=Construction!$R$22,Oeko!BR445,Oeko!EE445)</f>
        <v>6.0660389853628507</v>
      </c>
      <c r="F445" s="1979">
        <f>IF(Construction!$F$31=Construction!$R$22,Oeko!BS445,Oeko!EF445)</f>
        <v>6.6497601730725249</v>
      </c>
      <c r="G445" s="1979">
        <f>IF(Construction!$F$31=Construction!$R$22,Oeko!BT445,Oeko!EG445)</f>
        <v>7.2355121708881942</v>
      </c>
      <c r="H445" s="1979">
        <f>IF(Construction!$F$31=Construction!$R$22,Oeko!BU445,Oeko!EH445)</f>
        <v>7.8212641687038635</v>
      </c>
      <c r="I445" s="1998">
        <f>IF(Construction!$F$31=Construction!$R$22,Oeko!BV445,Oeko!EI445)</f>
        <v>8.1072321626552384</v>
      </c>
      <c r="J445" s="1998">
        <f>IF(Construction!$F$31=Construction!$R$22,Oeko!BW445,Oeko!EJ445)</f>
        <v>8.2411977240374874</v>
      </c>
      <c r="K445" s="1998">
        <f>IF(Construction!$F$31=Construction!$R$22,Oeko!BX445,Oeko!EK445)</f>
        <v>8.8985147233683328</v>
      </c>
      <c r="L445" s="1998">
        <f>IF(Construction!$F$31=Construction!$R$22,Oeko!BY445,Oeko!EL445)</f>
        <v>9.5680165833351438</v>
      </c>
      <c r="M445" s="1998">
        <f>IF(Construction!$F$31=Construction!$R$22,Oeko!BZ445,Oeko!EM445)</f>
        <v>10.237518443301957</v>
      </c>
      <c r="N445" s="1979">
        <f>IF(Construction!$F$31=Construction!$R$22,Oeko!CA445,Oeko!EN445)</f>
        <v>7.1631260359623417</v>
      </c>
      <c r="O445" s="1979">
        <f>IF(Construction!$F$31=Construction!$R$22,Oeko!CB445,Oeko!EO445)</f>
        <v>7.7091065008063087</v>
      </c>
      <c r="P445" s="1979">
        <f>IF(Construction!$F$31=Construction!$R$22,Oeko!CC445,Oeko!EP445)</f>
        <v>6.1129417713120224</v>
      </c>
      <c r="Q445" s="1979">
        <f>IF(Construction!$F$31=Construction!$R$22,Oeko!CD445,Oeko!EQ445)</f>
        <v>6.1233859375714257</v>
      </c>
      <c r="R445" s="1979">
        <f>IF(Construction!$F$31=Construction!$R$22,Oeko!CE445,Oeko!ER445)</f>
        <v>6.1425335757136645</v>
      </c>
      <c r="S445" s="1998">
        <f>IF(Construction!$F$31=Construction!$R$22,Oeko!CF445,Oeko!ES445)</f>
        <v>8.5018400890617603</v>
      </c>
      <c r="T445" s="1998">
        <f>IF(Construction!$F$31=Construction!$R$22,Oeko!CG445,Oeko!ET445)</f>
        <v>9.0739309695542349</v>
      </c>
      <c r="U445" s="1998">
        <f>IF(Construction!$F$31=Construction!$R$22,Oeko!CH445,Oeko!EU445)</f>
        <v>7.5038766557084555</v>
      </c>
      <c r="V445" s="1998">
        <f>IF(Construction!$F$31=Construction!$R$22,Oeko!CI445,Oeko!EV445)</f>
        <v>7.5404312376163674</v>
      </c>
      <c r="W445" s="1998">
        <f>IF(Construction!$F$31=Construction!$R$22,Oeko!CJ445,Oeko!EW445)</f>
        <v>7.6074479711142047</v>
      </c>
      <c r="X445" s="1979">
        <f>IF(Construction!$F$31=Construction!$R$22,Oeko!CK445,Oeko!EX445)</f>
        <v>7.263152314597968</v>
      </c>
      <c r="Y445" s="1979">
        <f>IF(Construction!$F$31=Construction!$R$22,Oeko!CL445,Oeko!EY445)</f>
        <v>7.8133104459456959</v>
      </c>
      <c r="Z445" s="1979">
        <f>IF(Construction!$F$31=Construction!$R$22,Oeko!CM445,Oeko!EZ445)</f>
        <v>6.2213233829551715</v>
      </c>
      <c r="AA445" s="1979">
        <f>IF(Construction!$F$31=Construction!$R$22,Oeko!CN445,Oeko!FA445)</f>
        <v>6.2359452157183357</v>
      </c>
      <c r="AB445" s="1979">
        <f>IF(Construction!$F$31=Construction!$R$22,Oeko!CO445,Oeko!FB445)</f>
        <v>6.2627519091174708</v>
      </c>
      <c r="AC445" s="1998">
        <f>IF(Construction!$F$31=Construction!$R$22,Oeko!CP445,Oeko!FC445)</f>
        <v>3.7977320108592445</v>
      </c>
      <c r="AD445" s="1998">
        <f>IF(Construction!$F$31=Construction!$R$22,Oeko!CQ445,Oeko!FD445)</f>
        <v>3.8708411746750673</v>
      </c>
      <c r="AE445" s="1998">
        <f>IF(Construction!$F$31=Construction!$R$22,Oeko!CR445,Oeko!FE445)</f>
        <v>3.9439503384908892</v>
      </c>
      <c r="AF445" s="1998">
        <f>IF(Construction!$F$31=Construction!$R$22,Oeko!CS445,Oeko!FF445)</f>
        <v>4.0170595023067115</v>
      </c>
      <c r="AG445" s="1998">
        <f>IF(Construction!$F$31=Construction!$R$22,Oeko!CT445,Oeko!FG445)</f>
        <v>4.1510929693023852</v>
      </c>
      <c r="AH445" s="1979">
        <f>IF(Construction!$F$31=Construction!$R$22,Oeko!CU445,Oeko!FH445)</f>
        <v>9.146403352251987</v>
      </c>
      <c r="AI445" s="1979">
        <f>IF(Construction!$F$31=Construction!$R$22,Oeko!CV445,Oeko!FI445)</f>
        <v>9.2926216798836325</v>
      </c>
      <c r="AJ445" s="1979">
        <f>IF(Construction!$F$31=Construction!$R$22,Oeko!CW445,Oeko!FJ445)</f>
        <v>9.4266551468793072</v>
      </c>
      <c r="AK445" s="1979">
        <f>IF(Construction!$F$31=Construction!$R$22,Oeko!CX445,Oeko!FK445)</f>
        <v>9.5728734745109509</v>
      </c>
      <c r="AL445" s="1979">
        <f>IF(Construction!$F$31=Construction!$R$22,Oeko!CY445,Oeko!FL445)</f>
        <v>9.9262344329540895</v>
      </c>
      <c r="AM445" s="1998">
        <f>IF(Construction!$F$31=Construction!$R$22,Oeko!CZ445,Oeko!FM445)</f>
        <v>6.2828367520770989</v>
      </c>
      <c r="AN445" s="1998">
        <f>IF(Construction!$F$31=Construction!$R$22,Oeko!DA445,Oeko!FN445)</f>
        <v>6.3238676026383365</v>
      </c>
      <c r="AO445" s="1998">
        <f>IF(Construction!$F$31=Construction!$R$22,Oeko!DB445,Oeko!FO445)</f>
        <v>6.8963731315721484</v>
      </c>
      <c r="AP445" s="1998">
        <f>IF(Construction!$F$31=Construction!$R$22,Oeko!DC445,Oeko!FP445)</f>
        <v>7.4729402807179497</v>
      </c>
      <c r="AQ445" s="1998">
        <f>IF(Construction!$F$31=Construction!$R$22,Oeko!DD445,Oeko!FQ445)</f>
        <v>8.0495074298637501</v>
      </c>
      <c r="AR445" s="1979">
        <f>IF(Construction!$F$31=Construction!$R$22,Oeko!DE445,Oeko!FR445)</f>
        <v>70.840836113689946</v>
      </c>
      <c r="AS445" s="1979">
        <f>IF(Construction!$F$31=Construction!$R$22,Oeko!DF445,Oeko!FS445)</f>
        <v>72.017726928004635</v>
      </c>
      <c r="AT445" s="1979">
        <f>IF(Construction!$F$31=Construction!$R$22,Oeko!DG445,Oeko!FT445)</f>
        <v>73.096543507793086</v>
      </c>
      <c r="AU445" s="1979">
        <f>IF(Construction!$F$31=Construction!$R$22,Oeko!DH445,Oeko!FU445)</f>
        <v>74.273434322107761</v>
      </c>
      <c r="AV445" s="1979">
        <f>IF(Construction!$F$31=Construction!$R$22,Oeko!DI445,Oeko!FV445)</f>
        <v>77.117587123368224</v>
      </c>
      <c r="AW445" s="1998">
        <f>IF(Construction!$F$31=Construction!$R$22,Oeko!DJ445,Oeko!FW445)</f>
        <v>71.431968888025153</v>
      </c>
      <c r="AX445" s="1998">
        <f>IF(Construction!$F$31=Construction!$R$22,Oeko!DK445,Oeko!FX445)</f>
        <v>72.606526993761932</v>
      </c>
      <c r="AY445" s="1998">
        <f>IF(Construction!$F$31=Construction!$R$22,Oeko!DL445,Oeko!FY445)</f>
        <v>73.68320525735399</v>
      </c>
      <c r="AZ445" s="1998">
        <f>IF(Construction!$F$31=Construction!$R$22,Oeko!DM445,Oeko!FZ445)</f>
        <v>74.857763363090783</v>
      </c>
      <c r="BA445" s="1998">
        <f>IF(Construction!$F$31=Construction!$R$22,Oeko!DN445,Oeko!GA445)</f>
        <v>77.696278785288015</v>
      </c>
      <c r="BB445" s="1979">
        <f>IF(Construction!$F$31=Construction!$R$22,Oeko!DO445,Oeko!GB445)</f>
        <v>4.5557882754537777</v>
      </c>
      <c r="BC445" s="1979">
        <f>IF(Construction!$F$31=Construction!$R$22,Oeko!DP445,Oeko!GC445)</f>
        <v>4.9019960148023562</v>
      </c>
      <c r="BD445" s="1979">
        <f>IF(Construction!$F$31=Construction!$R$22,Oeko!DQ445,Oeko!GD445)</f>
        <v>5.2482037541509348</v>
      </c>
      <c r="BE445" s="1979">
        <f>IF(Construction!$F$31=Construction!$R$22,Oeko!DR445,Oeko!GE445)</f>
        <v>5.5944114934995142</v>
      </c>
      <c r="BF445" s="1979">
        <f>IF(Construction!$F$31=Construction!$R$22,Oeko!DS445,Oeko!GF445)</f>
        <v>5.9406192328480918</v>
      </c>
      <c r="BG445" s="1998">
        <f>IF(Construction!$F$31=Construction!$R$22,Oeko!DT445,Oeko!GG445)</f>
        <v>4.8921624689733196</v>
      </c>
      <c r="BH445" s="1998">
        <f>IF(Construction!$F$31=Construction!$R$22,Oeko!DU445,Oeko!GH445)</f>
        <v>5.2370953316190487</v>
      </c>
      <c r="BI445" s="1998">
        <f>IF(Construction!$F$31=Construction!$R$22,Oeko!DV445,Oeko!GI445)</f>
        <v>5.5820281942647778</v>
      </c>
      <c r="BJ445" s="1998">
        <f>IF(Construction!$F$31=Construction!$R$22,Oeko!DW445,Oeko!GJ445)</f>
        <v>5.9269610569105078</v>
      </c>
      <c r="BK445" s="2026">
        <f>IF(Construction!$F$31=Construction!$R$22,Oeko!DX445,Oeko!GK445)</f>
        <v>6.271893919556236</v>
      </c>
      <c r="BN445" s="2022"/>
      <c r="BO445" s="2">
        <v>22</v>
      </c>
      <c r="BP445" s="2" t="str">
        <f>CONCATENATE($U$8," ",GV$16)</f>
        <v xml:space="preserve">Proportion de fenêtres </v>
      </c>
      <c r="BQ445" s="1979">
        <v>6.0158232861317442</v>
      </c>
      <c r="BR445" s="1979">
        <v>6.0660389853628507</v>
      </c>
      <c r="BS445" s="1979">
        <v>6.6497601730725249</v>
      </c>
      <c r="BT445" s="1979">
        <v>7.2355121708881942</v>
      </c>
      <c r="BU445" s="1979">
        <v>7.8212641687038635</v>
      </c>
      <c r="BV445" s="1998">
        <v>8.1072321626552384</v>
      </c>
      <c r="BW445" s="1998">
        <v>8.2411977240374874</v>
      </c>
      <c r="BX445" s="1998">
        <v>8.8985147233683328</v>
      </c>
      <c r="BY445" s="1998">
        <v>9.5680165833351438</v>
      </c>
      <c r="BZ445" s="1998">
        <v>10.237518443301957</v>
      </c>
      <c r="CA445" s="1979">
        <v>7.1631260359623417</v>
      </c>
      <c r="CB445" s="1979">
        <v>7.7091065008063087</v>
      </c>
      <c r="CC445" s="1979">
        <v>6.1129417713120224</v>
      </c>
      <c r="CD445" s="1979">
        <v>6.1233859375714257</v>
      </c>
      <c r="CE445" s="1979">
        <v>6.1425335757136645</v>
      </c>
      <c r="CF445" s="1998">
        <v>8.5018400890617603</v>
      </c>
      <c r="CG445" s="1998">
        <v>9.0739309695542349</v>
      </c>
      <c r="CH445" s="1998">
        <v>7.5038766557084555</v>
      </c>
      <c r="CI445" s="1998">
        <v>7.5404312376163674</v>
      </c>
      <c r="CJ445" s="1998">
        <v>7.6074479711142047</v>
      </c>
      <c r="CK445" s="1979">
        <v>7.263152314597968</v>
      </c>
      <c r="CL445" s="1979">
        <v>7.8133104459456959</v>
      </c>
      <c r="CM445" s="1979">
        <v>6.2213233829551715</v>
      </c>
      <c r="CN445" s="1979">
        <v>6.2359452157183357</v>
      </c>
      <c r="CO445" s="1979">
        <v>6.2627519091174708</v>
      </c>
      <c r="CP445" s="1998">
        <v>3.7977320108592445</v>
      </c>
      <c r="CQ445" s="1998">
        <v>3.8708411746750673</v>
      </c>
      <c r="CR445" s="1998">
        <v>3.9439503384908892</v>
      </c>
      <c r="CS445" s="1998">
        <v>4.0170595023067115</v>
      </c>
      <c r="CT445" s="1998">
        <v>4.1510929693023852</v>
      </c>
      <c r="CU445" s="1979">
        <v>9.146403352251987</v>
      </c>
      <c r="CV445" s="1979">
        <v>9.2926216798836325</v>
      </c>
      <c r="CW445" s="1979">
        <v>9.4266551468793072</v>
      </c>
      <c r="CX445" s="1979">
        <v>9.5728734745109509</v>
      </c>
      <c r="CY445" s="1979">
        <v>9.9262344329540895</v>
      </c>
      <c r="CZ445" s="1998">
        <v>6.2828367520770989</v>
      </c>
      <c r="DA445" s="1998">
        <v>6.3238676026383365</v>
      </c>
      <c r="DB445" s="1998">
        <v>6.8963731315721484</v>
      </c>
      <c r="DC445" s="1998">
        <v>7.4729402807179497</v>
      </c>
      <c r="DD445" s="1998">
        <v>8.0495074298637501</v>
      </c>
      <c r="DE445" s="1979">
        <v>70.840836113689946</v>
      </c>
      <c r="DF445" s="1979">
        <v>72.017726928004635</v>
      </c>
      <c r="DG445" s="1979">
        <v>73.096543507793086</v>
      </c>
      <c r="DH445" s="1979">
        <v>74.273434322107761</v>
      </c>
      <c r="DI445" s="1979">
        <v>77.117587123368224</v>
      </c>
      <c r="DJ445" s="1998">
        <v>71.431968888025153</v>
      </c>
      <c r="DK445" s="1998">
        <v>72.606526993761932</v>
      </c>
      <c r="DL445" s="1998">
        <v>73.68320525735399</v>
      </c>
      <c r="DM445" s="1998">
        <v>74.857763363090783</v>
      </c>
      <c r="DN445" s="1998">
        <v>77.696278785288015</v>
      </c>
      <c r="DO445" s="1979">
        <v>4.5557882754537777</v>
      </c>
      <c r="DP445" s="1979">
        <v>4.9019960148023562</v>
      </c>
      <c r="DQ445" s="1979">
        <v>5.2482037541509348</v>
      </c>
      <c r="DR445" s="1979">
        <v>5.5944114934995142</v>
      </c>
      <c r="DS445" s="1979">
        <v>5.9406192328480918</v>
      </c>
      <c r="DT445" s="1998">
        <v>4.8921624689733196</v>
      </c>
      <c r="DU445" s="1998">
        <v>5.2370953316190487</v>
      </c>
      <c r="DV445" s="1998">
        <v>5.5820281942647778</v>
      </c>
      <c r="DW445" s="1998">
        <v>5.9269610569105078</v>
      </c>
      <c r="DX445" s="2026">
        <v>6.271893919556236</v>
      </c>
      <c r="EA445" s="2022"/>
      <c r="EB445" s="2">
        <v>22</v>
      </c>
      <c r="EC445" s="2" t="str">
        <f>CONCATENATE($U$8," ",JI$16)</f>
        <v xml:space="preserve">Proportion de fenêtres </v>
      </c>
      <c r="ED445" s="1979">
        <v>6.1649109985498018</v>
      </c>
      <c r="EE445" s="1979">
        <v>6.222196229372245</v>
      </c>
      <c r="EF445" s="1979">
        <v>6.8129869486732577</v>
      </c>
      <c r="EG445" s="1979">
        <v>7.4058084780802629</v>
      </c>
      <c r="EH445" s="1979">
        <v>7.9986300074872716</v>
      </c>
      <c r="EI445" s="1998">
        <v>8.7754865222338658</v>
      </c>
      <c r="EJ445" s="1998">
        <v>8.9165216152074525</v>
      </c>
      <c r="EK445" s="1998">
        <v>9.5809081461296337</v>
      </c>
      <c r="EL445" s="1998">
        <v>10.257479537687786</v>
      </c>
      <c r="EM445" s="1998">
        <v>10.934050929245938</v>
      </c>
      <c r="EN445" s="1979">
        <v>7.3189803523203611</v>
      </c>
      <c r="EO445" s="1979">
        <v>7.8720303487556684</v>
      </c>
      <c r="EP445" s="1979">
        <v>6.2758656192613804</v>
      </c>
      <c r="EQ445" s="1979">
        <v>6.2863097855207837</v>
      </c>
      <c r="ER445" s="1979">
        <v>6.3054574236630234</v>
      </c>
      <c r="ES445" s="1998">
        <v>8.9021523154212794</v>
      </c>
      <c r="ET445" s="1998">
        <v>9.4813127275050917</v>
      </c>
      <c r="EU445" s="1998">
        <v>7.9112584136593131</v>
      </c>
      <c r="EV445" s="1998">
        <v>7.9478129955672241</v>
      </c>
      <c r="EW445" s="1998">
        <v>8.0148297290650614</v>
      </c>
      <c r="EX445" s="1979">
        <v>7.4334270326407683</v>
      </c>
      <c r="EY445" s="1979">
        <v>7.9906546955798339</v>
      </c>
      <c r="EZ445" s="1979">
        <v>6.3986676325893104</v>
      </c>
      <c r="FA445" s="1979">
        <v>6.4132894653524737</v>
      </c>
      <c r="FB445" s="1979">
        <v>6.4400961587516097</v>
      </c>
      <c r="FC445" s="1998">
        <v>4.0805132745127679</v>
      </c>
      <c r="FD445" s="1998">
        <v>4.1536224383285907</v>
      </c>
      <c r="FE445" s="1998">
        <v>4.2267316021444126</v>
      </c>
      <c r="FF445" s="1998">
        <v>4.2998407659602353</v>
      </c>
      <c r="FG445" s="1998">
        <v>4.4338742329559091</v>
      </c>
      <c r="FH445" s="1979">
        <v>9.7096935301189617</v>
      </c>
      <c r="FI445" s="1979">
        <v>9.8559118577506055</v>
      </c>
      <c r="FJ445" s="1979">
        <v>9.9899453247462802</v>
      </c>
      <c r="FK445" s="1979">
        <v>10.136163652377924</v>
      </c>
      <c r="FL445" s="1979">
        <v>10.489524610821064</v>
      </c>
      <c r="FM445" s="1998">
        <v>6.5455876762218308</v>
      </c>
      <c r="FN445" s="1998">
        <v>6.593688058374406</v>
      </c>
      <c r="FO445" s="1998">
        <v>7.1732631188995564</v>
      </c>
      <c r="FP445" s="1998">
        <v>7.7568997996366953</v>
      </c>
      <c r="FQ445" s="1998">
        <v>8.3405364803738369</v>
      </c>
      <c r="FR445" s="1979">
        <v>74.816840192401543</v>
      </c>
      <c r="FS445" s="1979">
        <v>75.993731006716217</v>
      </c>
      <c r="FT445" s="1979">
        <v>77.072547586504683</v>
      </c>
      <c r="FU445" s="1979">
        <v>78.249438400819372</v>
      </c>
      <c r="FV445" s="1979">
        <v>81.093591202079836</v>
      </c>
      <c r="FW445" s="1998">
        <v>75.390965366789843</v>
      </c>
      <c r="FX445" s="1998">
        <v>76.565523472526621</v>
      </c>
      <c r="FY445" s="1998">
        <v>77.642201736118679</v>
      </c>
      <c r="FZ445" s="1998">
        <v>78.816759841855486</v>
      </c>
      <c r="GA445" s="1998">
        <v>81.65527526405269</v>
      </c>
      <c r="GB445" s="1979">
        <v>4.8328450913820546</v>
      </c>
      <c r="GC445" s="1979">
        <v>5.1790528307306323</v>
      </c>
      <c r="GD445" s="1979">
        <v>5.5252605700792117</v>
      </c>
      <c r="GE445" s="1979">
        <v>5.8714683094277902</v>
      </c>
      <c r="GF445" s="1979">
        <v>6.2176760487763687</v>
      </c>
      <c r="GG445" s="1998">
        <v>5.1681990498234978</v>
      </c>
      <c r="GH445" s="1998">
        <v>5.5131319124692268</v>
      </c>
      <c r="GI445" s="1998">
        <v>5.8580647751149568</v>
      </c>
      <c r="GJ445" s="1998">
        <v>6.2029976377606859</v>
      </c>
      <c r="GK445" s="2026">
        <v>6.5479305004064141</v>
      </c>
    </row>
    <row r="446" spans="1:193">
      <c r="A446" s="2020"/>
      <c r="B446" s="2">
        <v>23</v>
      </c>
      <c r="C446" s="2" t="str">
        <f>CONCATENATE($U$8," ",EI$17)</f>
        <v xml:space="preserve">Proportion de fenêtres </v>
      </c>
      <c r="D446" s="1979">
        <f>IF(Construction!$F$31=Construction!$R$22,Oeko!BQ446,Oeko!ED446)</f>
        <v>5.8164584001613013</v>
      </c>
      <c r="E446" s="1979">
        <f>IF(Construction!$F$31=Construction!$R$22,Oeko!BR446,Oeko!EE446)</f>
        <v>5.8286432607972714</v>
      </c>
      <c r="F446" s="1979">
        <f>IF(Construction!$F$31=Construction!$R$22,Oeko!BS446,Oeko!EF446)</f>
        <v>6.37433360991181</v>
      </c>
      <c r="G446" s="1979">
        <f>IF(Construction!$F$31=Construction!$R$22,Oeko!BT446,Oeko!EG446)</f>
        <v>6.9220547691323437</v>
      </c>
      <c r="H446" s="1979">
        <f>IF(Construction!$F$31=Construction!$R$22,Oeko!BU446,Oeko!EH446)</f>
        <v>7.4697759283528784</v>
      </c>
      <c r="I446" s="1998">
        <f>IF(Construction!$F$31=Construction!$R$22,Oeko!BV446,Oeko!EI446)</f>
        <v>7.7882113571830551</v>
      </c>
      <c r="J446" s="1998">
        <f>IF(Construction!$F$31=Construction!$R$22,Oeko!BW446,Oeko!EJ446)</f>
        <v>7.8613205209988761</v>
      </c>
      <c r="K446" s="1998">
        <f>IF(Construction!$F$31=Construction!$R$22,Oeko!BX446,Oeko!EK446)</f>
        <v>8.4577811227632917</v>
      </c>
      <c r="L446" s="1998">
        <f>IF(Construction!$F$31=Construction!$R$22,Oeko!BY446,Oeko!EL446)</f>
        <v>9.0664265851636774</v>
      </c>
      <c r="M446" s="1998">
        <f>IF(Construction!$F$31=Construction!$R$22,Oeko!BZ446,Oeko!EM446)</f>
        <v>9.675072047564063</v>
      </c>
      <c r="N446" s="1979">
        <f>IF(Construction!$F$31=Construction!$R$22,Oeko!CA446,Oeko!EN446)</f>
        <v>6.8629745810565348</v>
      </c>
      <c r="O446" s="1979">
        <f>IF(Construction!$F$31=Construction!$R$22,Oeko!CB446,Oeko!EO446)</f>
        <v>7.4089550459005027</v>
      </c>
      <c r="P446" s="1979">
        <f>IF(Construction!$F$31=Construction!$R$22,Oeko!CC446,Oeko!EP446)</f>
        <v>5.8127903164062156</v>
      </c>
      <c r="Q446" s="1979">
        <f>IF(Construction!$F$31=Construction!$R$22,Oeko!CD446,Oeko!EQ446)</f>
        <v>5.8232344826656179</v>
      </c>
      <c r="R446" s="1979">
        <f>IF(Construction!$F$31=Construction!$R$22,Oeko!CE446,Oeko!ER446)</f>
        <v>5.8423821208078577</v>
      </c>
      <c r="S446" s="1998">
        <f>IF(Construction!$F$31=Construction!$R$22,Oeko!CF446,Oeko!ES446)</f>
        <v>7.8544545980884513</v>
      </c>
      <c r="T446" s="1998">
        <f>IF(Construction!$F$31=Construction!$R$22,Oeko!CG446,Oeko!ET446)</f>
        <v>8.4265454785809268</v>
      </c>
      <c r="U446" s="1998">
        <f>IF(Construction!$F$31=Construction!$R$22,Oeko!CH446,Oeko!EU446)</f>
        <v>6.8564911647351483</v>
      </c>
      <c r="V446" s="1998">
        <f>IF(Construction!$F$31=Construction!$R$22,Oeko!CI446,Oeko!EV446)</f>
        <v>6.8930457466430592</v>
      </c>
      <c r="W446" s="1998">
        <f>IF(Construction!$F$31=Construction!$R$22,Oeko!CJ446,Oeko!EW446)</f>
        <v>6.9600624801408957</v>
      </c>
      <c r="X446" s="1979">
        <f>IF(Construction!$F$31=Construction!$R$22,Oeko!CK446,Oeko!EX446)</f>
        <v>7.0028529016040251</v>
      </c>
      <c r="Y446" s="1979">
        <f>IF(Construction!$F$31=Construction!$R$22,Oeko!CL446,Oeko!EY446)</f>
        <v>7.5530110329517539</v>
      </c>
      <c r="Z446" s="1979">
        <f>IF(Construction!$F$31=Construction!$R$22,Oeko!CM446,Oeko!EZ446)</f>
        <v>5.9610239699612286</v>
      </c>
      <c r="AA446" s="1979">
        <f>IF(Construction!$F$31=Construction!$R$22,Oeko!CN446,Oeko!FA446)</f>
        <v>5.9756458027243928</v>
      </c>
      <c r="AB446" s="1979">
        <f>IF(Construction!$F$31=Construction!$R$22,Oeko!CO446,Oeko!FB446)</f>
        <v>6.0024524961235279</v>
      </c>
      <c r="AC446" s="1998">
        <f>IF(Construction!$F$31=Construction!$R$22,Oeko!CP446,Oeko!FC446)</f>
        <v>3.5196505158729834</v>
      </c>
      <c r="AD446" s="1998">
        <f>IF(Construction!$F$31=Construction!$R$22,Oeko!CQ446,Oeko!FD446)</f>
        <v>3.5927596796888057</v>
      </c>
      <c r="AE446" s="1998">
        <f>IF(Construction!$F$31=Construction!$R$22,Oeko!CR446,Oeko!FE446)</f>
        <v>3.6658688435046276</v>
      </c>
      <c r="AF446" s="1998">
        <f>IF(Construction!$F$31=Construction!$R$22,Oeko!CS446,Oeko!FF446)</f>
        <v>3.7389780073204499</v>
      </c>
      <c r="AG446" s="1998">
        <f>IF(Construction!$F$31=Construction!$R$22,Oeko!CT446,Oeko!FG446)</f>
        <v>3.8730114743161232</v>
      </c>
      <c r="AH446" s="1979">
        <f>IF(Construction!$F$31=Construction!$R$22,Oeko!CU446,Oeko!FH446)</f>
        <v>8.5241769395956624</v>
      </c>
      <c r="AI446" s="1979">
        <f>IF(Construction!$F$31=Construction!$R$22,Oeko!CV446,Oeko!FI446)</f>
        <v>8.6703952672273079</v>
      </c>
      <c r="AJ446" s="1979">
        <f>IF(Construction!$F$31=Construction!$R$22,Oeko!CW446,Oeko!FJ446)</f>
        <v>8.8044287342229826</v>
      </c>
      <c r="AK446" s="1979">
        <f>IF(Construction!$F$31=Construction!$R$22,Oeko!CX446,Oeko!FK446)</f>
        <v>8.9506470618546281</v>
      </c>
      <c r="AL446" s="1979">
        <f>IF(Construction!$F$31=Construction!$R$22,Oeko!CY446,Oeko!FL446)</f>
        <v>9.3040080202977666</v>
      </c>
      <c r="AM446" s="1998">
        <f>IF(Construction!$F$31=Construction!$R$22,Oeko!CZ446,Oeko!FM446)</f>
        <v>6.1954959448900473</v>
      </c>
      <c r="AN446" s="1998">
        <f>IF(Construction!$F$31=Construction!$R$22,Oeko!DA446,Oeko!FN446)</f>
        <v>6.2198656661619873</v>
      </c>
      <c r="AO446" s="1998">
        <f>IF(Construction!$F$31=Construction!$R$22,Oeko!DB446,Oeko!FO446)</f>
        <v>6.7757100658065017</v>
      </c>
      <c r="AP446" s="1998">
        <f>IF(Construction!$F$31=Construction!$R$22,Oeko!DC446,Oeko!FP446)</f>
        <v>7.3356160856630055</v>
      </c>
      <c r="AQ446" s="1998">
        <f>IF(Construction!$F$31=Construction!$R$22,Oeko!DD446,Oeko!FQ446)</f>
        <v>7.8955221055195111</v>
      </c>
      <c r="AR446" s="1979">
        <f>IF(Construction!$F$31=Construction!$R$22,Oeko!DE446,Oeko!FR446)</f>
        <v>68.609904806707803</v>
      </c>
      <c r="AS446" s="1979">
        <f>IF(Construction!$F$31=Construction!$R$22,Oeko!DF446,Oeko!FS446)</f>
        <v>69.786795621022492</v>
      </c>
      <c r="AT446" s="1979">
        <f>IF(Construction!$F$31=Construction!$R$22,Oeko!DG446,Oeko!FT446)</f>
        <v>70.865612200810943</v>
      </c>
      <c r="AU446" s="1979">
        <f>IF(Construction!$F$31=Construction!$R$22,Oeko!DH446,Oeko!FU446)</f>
        <v>72.042503015125618</v>
      </c>
      <c r="AV446" s="1979">
        <f>IF(Construction!$F$31=Construction!$R$22,Oeko!DI446,Oeko!FV446)</f>
        <v>74.886655816386082</v>
      </c>
      <c r="AW446" s="1998">
        <f>IF(Construction!$F$31=Construction!$R$22,Oeko!DJ446,Oeko!FW446)</f>
        <v>69.114581562959884</v>
      </c>
      <c r="AX446" s="1998">
        <f>IF(Construction!$F$31=Construction!$R$22,Oeko!DK446,Oeko!FX446)</f>
        <v>70.289139668696677</v>
      </c>
      <c r="AY446" s="1998">
        <f>IF(Construction!$F$31=Construction!$R$22,Oeko!DL446,Oeko!FY446)</f>
        <v>71.365817932288721</v>
      </c>
      <c r="AZ446" s="1998">
        <f>IF(Construction!$F$31=Construction!$R$22,Oeko!DM446,Oeko!FZ446)</f>
        <v>72.540376038025514</v>
      </c>
      <c r="BA446" s="1998">
        <f>IF(Construction!$F$31=Construction!$R$22,Oeko!DN446,Oeko!GA446)</f>
        <v>75.378891460222746</v>
      </c>
      <c r="BB446" s="1979">
        <f>IF(Construction!$F$31=Construction!$R$22,Oeko!DO446,Oeko!GB446)</f>
        <v>4.2984005947048871</v>
      </c>
      <c r="BC446" s="1979">
        <f>IF(Construction!$F$31=Construction!$R$22,Oeko!DP446,Oeko!GC446)</f>
        <v>4.6446083340534656</v>
      </c>
      <c r="BD446" s="1979">
        <f>IF(Construction!$F$31=Construction!$R$22,Oeko!DQ446,Oeko!GD446)</f>
        <v>4.990816073402045</v>
      </c>
      <c r="BE446" s="1979">
        <f>IF(Construction!$F$31=Construction!$R$22,Oeko!DR446,Oeko!GE446)</f>
        <v>5.3370238127506235</v>
      </c>
      <c r="BF446" s="1979">
        <f>IF(Construction!$F$31=Construction!$R$22,Oeko!DS446,Oeko!GF446)</f>
        <v>5.6832315520992021</v>
      </c>
      <c r="BG446" s="1998">
        <f>IF(Construction!$F$31=Construction!$R$22,Oeko!DT446,Oeko!GG446)</f>
        <v>4.399351925872188</v>
      </c>
      <c r="BH446" s="1998">
        <f>IF(Construction!$F$31=Construction!$R$22,Oeko!DU446,Oeko!GH446)</f>
        <v>4.7442847885179162</v>
      </c>
      <c r="BI446" s="1998">
        <f>IF(Construction!$F$31=Construction!$R$22,Oeko!DV446,Oeko!GI446)</f>
        <v>5.0892176511636453</v>
      </c>
      <c r="BJ446" s="1998">
        <f>IF(Construction!$F$31=Construction!$R$22,Oeko!DW446,Oeko!GJ446)</f>
        <v>5.4341505138093753</v>
      </c>
      <c r="BK446" s="2026">
        <f>IF(Construction!$F$31=Construction!$R$22,Oeko!DX446,Oeko!GK446)</f>
        <v>5.7790833764551044</v>
      </c>
      <c r="BN446" s="2022"/>
      <c r="BO446" s="2">
        <v>23</v>
      </c>
      <c r="BP446" s="2" t="str">
        <f>CONCATENATE($U$8," ",GV$17)</f>
        <v xml:space="preserve">Proportion de fenêtres </v>
      </c>
      <c r="BQ446" s="1979">
        <v>5.8164584001613013</v>
      </c>
      <c r="BR446" s="1979">
        <v>5.8286432607972714</v>
      </c>
      <c r="BS446" s="1979">
        <v>6.37433360991181</v>
      </c>
      <c r="BT446" s="1979">
        <v>6.9220547691323437</v>
      </c>
      <c r="BU446" s="1979">
        <v>7.4697759283528784</v>
      </c>
      <c r="BV446" s="1998">
        <v>7.7882113571830551</v>
      </c>
      <c r="BW446" s="1998">
        <v>7.8613205209988761</v>
      </c>
      <c r="BX446" s="1998">
        <v>8.4577811227632917</v>
      </c>
      <c r="BY446" s="1998">
        <v>9.0664265851636774</v>
      </c>
      <c r="BZ446" s="1998">
        <v>9.675072047564063</v>
      </c>
      <c r="CA446" s="1979">
        <v>6.8629745810565348</v>
      </c>
      <c r="CB446" s="1979">
        <v>7.4089550459005027</v>
      </c>
      <c r="CC446" s="1979">
        <v>5.8127903164062156</v>
      </c>
      <c r="CD446" s="1979">
        <v>5.8232344826656179</v>
      </c>
      <c r="CE446" s="1979">
        <v>5.8423821208078577</v>
      </c>
      <c r="CF446" s="1998">
        <v>7.8544545980884513</v>
      </c>
      <c r="CG446" s="1998">
        <v>8.4265454785809268</v>
      </c>
      <c r="CH446" s="1998">
        <v>6.8564911647351483</v>
      </c>
      <c r="CI446" s="1998">
        <v>6.8930457466430592</v>
      </c>
      <c r="CJ446" s="1998">
        <v>6.9600624801408957</v>
      </c>
      <c r="CK446" s="1979">
        <v>7.0028529016040251</v>
      </c>
      <c r="CL446" s="1979">
        <v>7.5530110329517539</v>
      </c>
      <c r="CM446" s="1979">
        <v>5.9610239699612286</v>
      </c>
      <c r="CN446" s="1979">
        <v>5.9756458027243928</v>
      </c>
      <c r="CO446" s="1979">
        <v>6.0024524961235279</v>
      </c>
      <c r="CP446" s="1998">
        <v>3.5196505158729834</v>
      </c>
      <c r="CQ446" s="1998">
        <v>3.5927596796888057</v>
      </c>
      <c r="CR446" s="1998">
        <v>3.6658688435046276</v>
      </c>
      <c r="CS446" s="1998">
        <v>3.7389780073204499</v>
      </c>
      <c r="CT446" s="1998">
        <v>3.8730114743161232</v>
      </c>
      <c r="CU446" s="1979">
        <v>8.5241769395956624</v>
      </c>
      <c r="CV446" s="1979">
        <v>8.6703952672273079</v>
      </c>
      <c r="CW446" s="1979">
        <v>8.8044287342229826</v>
      </c>
      <c r="CX446" s="1979">
        <v>8.9506470618546281</v>
      </c>
      <c r="CY446" s="1979">
        <v>9.3040080202977666</v>
      </c>
      <c r="CZ446" s="1998">
        <v>6.1954959448900473</v>
      </c>
      <c r="DA446" s="1998">
        <v>6.2198656661619873</v>
      </c>
      <c r="DB446" s="1998">
        <v>6.7757100658065017</v>
      </c>
      <c r="DC446" s="1998">
        <v>7.3356160856630055</v>
      </c>
      <c r="DD446" s="1998">
        <v>7.8955221055195111</v>
      </c>
      <c r="DE446" s="1979">
        <v>68.609904806707803</v>
      </c>
      <c r="DF446" s="1979">
        <v>69.786795621022492</v>
      </c>
      <c r="DG446" s="1979">
        <v>70.865612200810943</v>
      </c>
      <c r="DH446" s="1979">
        <v>72.042503015125618</v>
      </c>
      <c r="DI446" s="1979">
        <v>74.886655816386082</v>
      </c>
      <c r="DJ446" s="1998">
        <v>69.114581562959884</v>
      </c>
      <c r="DK446" s="1998">
        <v>70.289139668696677</v>
      </c>
      <c r="DL446" s="1998">
        <v>71.365817932288721</v>
      </c>
      <c r="DM446" s="1998">
        <v>72.540376038025514</v>
      </c>
      <c r="DN446" s="1998">
        <v>75.378891460222746</v>
      </c>
      <c r="DO446" s="1979">
        <v>4.2984005947048871</v>
      </c>
      <c r="DP446" s="1979">
        <v>4.6446083340534656</v>
      </c>
      <c r="DQ446" s="1979">
        <v>4.990816073402045</v>
      </c>
      <c r="DR446" s="1979">
        <v>5.3370238127506235</v>
      </c>
      <c r="DS446" s="1979">
        <v>5.6832315520992021</v>
      </c>
      <c r="DT446" s="1998">
        <v>4.399351925872188</v>
      </c>
      <c r="DU446" s="1998">
        <v>4.7442847885179162</v>
      </c>
      <c r="DV446" s="1998">
        <v>5.0892176511636453</v>
      </c>
      <c r="DW446" s="1998">
        <v>5.4341505138093753</v>
      </c>
      <c r="DX446" s="2026">
        <v>5.7790833764551044</v>
      </c>
      <c r="EA446" s="2022"/>
      <c r="EB446" s="2">
        <v>23</v>
      </c>
      <c r="EC446" s="2" t="str">
        <f>CONCATENATE($U$8," ",JI$17)</f>
        <v xml:space="preserve">Proportion de fenêtres </v>
      </c>
      <c r="ED446" s="1979">
        <v>5.9655461125793572</v>
      </c>
      <c r="EE446" s="1979">
        <v>5.9848005048066648</v>
      </c>
      <c r="EF446" s="1979">
        <v>6.5375603855125428</v>
      </c>
      <c r="EG446" s="1979">
        <v>7.0923510763244133</v>
      </c>
      <c r="EH446" s="1979">
        <v>7.6471417671362856</v>
      </c>
      <c r="EI446" s="1998">
        <v>8.4564657167616808</v>
      </c>
      <c r="EJ446" s="1998">
        <v>8.5366444121688403</v>
      </c>
      <c r="EK446" s="1998">
        <v>9.1401745455245944</v>
      </c>
      <c r="EL446" s="1998">
        <v>9.7558895395163177</v>
      </c>
      <c r="EM446" s="1998">
        <v>10.371604533508041</v>
      </c>
      <c r="EN446" s="1979">
        <v>7.0188288974145561</v>
      </c>
      <c r="EO446" s="1979">
        <v>7.5718788938498607</v>
      </c>
      <c r="EP446" s="1979">
        <v>5.9757141643555745</v>
      </c>
      <c r="EQ446" s="1979">
        <v>5.9861583306149768</v>
      </c>
      <c r="ER446" s="1979">
        <v>6.0053059687572157</v>
      </c>
      <c r="ES446" s="1998">
        <v>8.2547668244479713</v>
      </c>
      <c r="ET446" s="1998">
        <v>8.8339272365317836</v>
      </c>
      <c r="EU446" s="1998">
        <v>7.2638729226860059</v>
      </c>
      <c r="EV446" s="1998">
        <v>7.3004275045939169</v>
      </c>
      <c r="EW446" s="1998">
        <v>7.3674442380917533</v>
      </c>
      <c r="EX446" s="1979">
        <v>7.1731276196468254</v>
      </c>
      <c r="EY446" s="1979">
        <v>7.7303552825858928</v>
      </c>
      <c r="EZ446" s="1979">
        <v>6.1383682195953675</v>
      </c>
      <c r="FA446" s="1979">
        <v>6.1529900523585308</v>
      </c>
      <c r="FB446" s="1979">
        <v>6.1797967457576659</v>
      </c>
      <c r="FC446" s="1998">
        <v>3.8024317795265064</v>
      </c>
      <c r="FD446" s="1998">
        <v>3.8755409433423282</v>
      </c>
      <c r="FE446" s="1998">
        <v>3.9486501071581506</v>
      </c>
      <c r="FF446" s="1998">
        <v>4.0217592709739733</v>
      </c>
      <c r="FG446" s="1998">
        <v>4.1557927379696471</v>
      </c>
      <c r="FH446" s="1979">
        <v>9.0874671174626371</v>
      </c>
      <c r="FI446" s="1979">
        <v>9.2336854450942809</v>
      </c>
      <c r="FJ446" s="1979">
        <v>9.3677189120899573</v>
      </c>
      <c r="FK446" s="1979">
        <v>9.5139372397216011</v>
      </c>
      <c r="FL446" s="1979">
        <v>9.8672981981647414</v>
      </c>
      <c r="FM446" s="1998">
        <v>6.4582468690347792</v>
      </c>
      <c r="FN446" s="1998">
        <v>6.4896861218980577</v>
      </c>
      <c r="FO446" s="1998">
        <v>7.0526000531339106</v>
      </c>
      <c r="FP446" s="1998">
        <v>7.619575604581752</v>
      </c>
      <c r="FQ446" s="1998">
        <v>8.1865511560295943</v>
      </c>
      <c r="FR446" s="1979">
        <v>72.585908885419414</v>
      </c>
      <c r="FS446" s="1979">
        <v>73.762799699734074</v>
      </c>
      <c r="FT446" s="1979">
        <v>74.841616279522526</v>
      </c>
      <c r="FU446" s="1979">
        <v>76.018507093837201</v>
      </c>
      <c r="FV446" s="1979">
        <v>78.862659895097678</v>
      </c>
      <c r="FW446" s="1998">
        <v>73.073578041724573</v>
      </c>
      <c r="FX446" s="1998">
        <v>74.248136147461366</v>
      </c>
      <c r="FY446" s="1998">
        <v>75.324814411053424</v>
      </c>
      <c r="FZ446" s="1998">
        <v>76.499372516790203</v>
      </c>
      <c r="GA446" s="1998">
        <v>79.33788793898745</v>
      </c>
      <c r="GB446" s="1979">
        <v>4.575457410633164</v>
      </c>
      <c r="GC446" s="1979">
        <v>4.9216651499817425</v>
      </c>
      <c r="GD446" s="1979">
        <v>5.2678728893303211</v>
      </c>
      <c r="GE446" s="1979">
        <v>5.6140806286789005</v>
      </c>
      <c r="GF446" s="1979">
        <v>5.9602883680274781</v>
      </c>
      <c r="GG446" s="1998">
        <v>4.6753885067223653</v>
      </c>
      <c r="GH446" s="1998">
        <v>5.0203213693680944</v>
      </c>
      <c r="GI446" s="1998">
        <v>5.3652542320138235</v>
      </c>
      <c r="GJ446" s="1998">
        <v>5.7101870946595534</v>
      </c>
      <c r="GK446" s="2026">
        <v>6.0551199573052825</v>
      </c>
    </row>
    <row r="447" spans="1:193">
      <c r="A447" s="2020"/>
      <c r="B447" s="2">
        <v>24</v>
      </c>
      <c r="C447" s="2" t="s">
        <v>4211</v>
      </c>
      <c r="D447" s="1979">
        <f>IF(Construction!$F$31=Construction!$R$22,Oeko!BQ447,Oeko!ED447)</f>
        <v>1</v>
      </c>
      <c r="E447" s="1979">
        <f>IF(Construction!$F$31=Construction!$R$22,Oeko!BR447,Oeko!EE447)</f>
        <v>1</v>
      </c>
      <c r="F447" s="1979">
        <f>IF(Construction!$F$31=Construction!$R$22,Oeko!BS447,Oeko!EF447)</f>
        <v>1</v>
      </c>
      <c r="G447" s="1979">
        <f>IF(Construction!$F$31=Construction!$R$22,Oeko!BT447,Oeko!EG447)</f>
        <v>1</v>
      </c>
      <c r="H447" s="1979">
        <f>IF(Construction!$F$31=Construction!$R$22,Oeko!BU447,Oeko!EH447)</f>
        <v>1</v>
      </c>
      <c r="I447" s="1998">
        <f>IF(Construction!$F$31=Construction!$R$22,Oeko!BV447,Oeko!EI447)</f>
        <v>1</v>
      </c>
      <c r="J447" s="1998">
        <f>IF(Construction!$F$31=Construction!$R$22,Oeko!BW447,Oeko!EJ447)</f>
        <v>1</v>
      </c>
      <c r="K447" s="1998">
        <f>IF(Construction!$F$31=Construction!$R$22,Oeko!BX447,Oeko!EK447)</f>
        <v>1</v>
      </c>
      <c r="L447" s="1998">
        <f>IF(Construction!$F$31=Construction!$R$22,Oeko!BY447,Oeko!EL447)</f>
        <v>1</v>
      </c>
      <c r="M447" s="1998">
        <f>IF(Construction!$F$31=Construction!$R$22,Oeko!BZ447,Oeko!EM447)</f>
        <v>1</v>
      </c>
      <c r="N447" s="1979">
        <f>IF(Construction!$F$31=Construction!$R$22,Oeko!CA447,Oeko!EN447)</f>
        <v>1.0000000000000002</v>
      </c>
      <c r="O447" s="1979">
        <f>IF(Construction!$F$31=Construction!$R$22,Oeko!CB447,Oeko!EO447)</f>
        <v>1.0000000000000002</v>
      </c>
      <c r="P447" s="1979">
        <f>IF(Construction!$F$31=Construction!$R$22,Oeko!CC447,Oeko!EP447)</f>
        <v>1.0000000000000002</v>
      </c>
      <c r="Q447" s="1979">
        <f>IF(Construction!$F$31=Construction!$R$22,Oeko!CD447,Oeko!EQ447)</f>
        <v>1.0000000000000002</v>
      </c>
      <c r="R447" s="1979">
        <f>IF(Construction!$F$31=Construction!$R$22,Oeko!CE447,Oeko!ER447)</f>
        <v>1.0000000000000002</v>
      </c>
      <c r="S447" s="1998">
        <f>IF(Construction!$F$31=Construction!$R$22,Oeko!CF447,Oeko!ES447)</f>
        <v>1</v>
      </c>
      <c r="T447" s="1998">
        <f>IF(Construction!$F$31=Construction!$R$22,Oeko!CG447,Oeko!ET447)</f>
        <v>1</v>
      </c>
      <c r="U447" s="1998">
        <f>IF(Construction!$F$31=Construction!$R$22,Oeko!CH447,Oeko!EU447)</f>
        <v>1</v>
      </c>
      <c r="V447" s="1998">
        <f>IF(Construction!$F$31=Construction!$R$22,Oeko!CI447,Oeko!EV447)</f>
        <v>1</v>
      </c>
      <c r="W447" s="1998">
        <f>IF(Construction!$F$31=Construction!$R$22,Oeko!CJ447,Oeko!EW447)</f>
        <v>1</v>
      </c>
      <c r="X447" s="1979">
        <f>IF(Construction!$F$31=Construction!$R$22,Oeko!CK447,Oeko!EX447)</f>
        <v>1</v>
      </c>
      <c r="Y447" s="1979">
        <f>IF(Construction!$F$31=Construction!$R$22,Oeko!CL447,Oeko!EY447)</f>
        <v>1</v>
      </c>
      <c r="Z447" s="1979">
        <f>IF(Construction!$F$31=Construction!$R$22,Oeko!CM447,Oeko!EZ447)</f>
        <v>1</v>
      </c>
      <c r="AA447" s="1979">
        <f>IF(Construction!$F$31=Construction!$R$22,Oeko!CN447,Oeko!FA447)</f>
        <v>1</v>
      </c>
      <c r="AB447" s="1979">
        <f>IF(Construction!$F$31=Construction!$R$22,Oeko!CO447,Oeko!FB447)</f>
        <v>1</v>
      </c>
      <c r="AC447" s="1998">
        <f>IF(Construction!$F$31=Construction!$R$22,Oeko!CP447,Oeko!FC447)</f>
        <v>1</v>
      </c>
      <c r="AD447" s="1998">
        <f>IF(Construction!$F$31=Construction!$R$22,Oeko!CQ447,Oeko!FD447)</f>
        <v>1</v>
      </c>
      <c r="AE447" s="1998">
        <f>IF(Construction!$F$31=Construction!$R$22,Oeko!CR447,Oeko!FE447)</f>
        <v>1</v>
      </c>
      <c r="AF447" s="1998">
        <f>IF(Construction!$F$31=Construction!$R$22,Oeko!CS447,Oeko!FF447)</f>
        <v>1</v>
      </c>
      <c r="AG447" s="1998">
        <f>IF(Construction!$F$31=Construction!$R$22,Oeko!CT447,Oeko!FG447)</f>
        <v>1</v>
      </c>
      <c r="AH447" s="1979">
        <f>IF(Construction!$F$31=Construction!$R$22,Oeko!CU447,Oeko!FH447)</f>
        <v>1</v>
      </c>
      <c r="AI447" s="1979">
        <f>IF(Construction!$F$31=Construction!$R$22,Oeko!CV447,Oeko!FI447)</f>
        <v>1</v>
      </c>
      <c r="AJ447" s="1979">
        <f>IF(Construction!$F$31=Construction!$R$22,Oeko!CW447,Oeko!FJ447)</f>
        <v>1</v>
      </c>
      <c r="AK447" s="1979">
        <f>IF(Construction!$F$31=Construction!$R$22,Oeko!CX447,Oeko!FK447)</f>
        <v>1</v>
      </c>
      <c r="AL447" s="1979">
        <f>IF(Construction!$F$31=Construction!$R$22,Oeko!CY447,Oeko!FL447)</f>
        <v>1</v>
      </c>
      <c r="AM447" s="1998">
        <f>IF(Construction!$F$31=Construction!$R$22,Oeko!CZ447,Oeko!FM447)</f>
        <v>0.66666666666666663</v>
      </c>
      <c r="AN447" s="1998">
        <f>IF(Construction!$F$31=Construction!$R$22,Oeko!DA447,Oeko!FN447)</f>
        <v>0.66666666666666663</v>
      </c>
      <c r="AO447" s="1998">
        <f>IF(Construction!$F$31=Construction!$R$22,Oeko!DB447,Oeko!FO447)</f>
        <v>0.66666666666666663</v>
      </c>
      <c r="AP447" s="1998">
        <f>IF(Construction!$F$31=Construction!$R$22,Oeko!DC447,Oeko!FP447)</f>
        <v>0.66666666666666663</v>
      </c>
      <c r="AQ447" s="1998">
        <f>IF(Construction!$F$31=Construction!$R$22,Oeko!DD447,Oeko!FQ447)</f>
        <v>0.66666666666666663</v>
      </c>
      <c r="AR447" s="1979">
        <f>IF(Construction!$F$31=Construction!$R$22,Oeko!DE447,Oeko!FR447)</f>
        <v>8.1914540462959007</v>
      </c>
      <c r="AS447" s="1979">
        <f>IF(Construction!$F$31=Construction!$R$22,Oeko!DF447,Oeko!FS447)</f>
        <v>8.1914540462959007</v>
      </c>
      <c r="AT447" s="1979">
        <f>IF(Construction!$F$31=Construction!$R$22,Oeko!DG447,Oeko!FT447)</f>
        <v>8.1914540462959007</v>
      </c>
      <c r="AU447" s="1979">
        <f>IF(Construction!$F$31=Construction!$R$22,Oeko!DH447,Oeko!FU447)</f>
        <v>8.1914540462959007</v>
      </c>
      <c r="AV447" s="1979">
        <f>IF(Construction!$F$31=Construction!$R$22,Oeko!DI447,Oeko!FV447)</f>
        <v>8.1914540462959007</v>
      </c>
      <c r="AW447" s="1998">
        <f>IF(Construction!$F$31=Construction!$R$22,Oeko!DJ447,Oeko!FW447)</f>
        <v>8.1771999062029916</v>
      </c>
      <c r="AX447" s="1998">
        <f>IF(Construction!$F$31=Construction!$R$22,Oeko!DK447,Oeko!FX447)</f>
        <v>8.1771999062029916</v>
      </c>
      <c r="AY447" s="1998">
        <f>IF(Construction!$F$31=Construction!$R$22,Oeko!DL447,Oeko!FY447)</f>
        <v>8.1771999062029916</v>
      </c>
      <c r="AZ447" s="1998">
        <f>IF(Construction!$F$31=Construction!$R$22,Oeko!DM447,Oeko!FZ447)</f>
        <v>8.1771999062029916</v>
      </c>
      <c r="BA447" s="1998">
        <f>IF(Construction!$F$31=Construction!$R$22,Oeko!DN447,Oeko!GA447)</f>
        <v>8.1771999062029916</v>
      </c>
      <c r="BB447" s="1979">
        <f>IF(Construction!$F$31=Construction!$R$22,Oeko!DO447,Oeko!GB447)</f>
        <v>1</v>
      </c>
      <c r="BC447" s="1979">
        <f>IF(Construction!$F$31=Construction!$R$22,Oeko!DP447,Oeko!GC447)</f>
        <v>1</v>
      </c>
      <c r="BD447" s="1979">
        <f>IF(Construction!$F$31=Construction!$R$22,Oeko!DQ447,Oeko!GD447)</f>
        <v>1</v>
      </c>
      <c r="BE447" s="1979">
        <f>IF(Construction!$F$31=Construction!$R$22,Oeko!DR447,Oeko!GE447)</f>
        <v>1</v>
      </c>
      <c r="BF447" s="1979">
        <f>IF(Construction!$F$31=Construction!$R$22,Oeko!DS447,Oeko!GF447)</f>
        <v>1</v>
      </c>
      <c r="BG447" s="1998">
        <f>IF(Construction!$F$31=Construction!$R$22,Oeko!DT447,Oeko!GG447)</f>
        <v>1</v>
      </c>
      <c r="BH447" s="1998">
        <f>IF(Construction!$F$31=Construction!$R$22,Oeko!DU447,Oeko!GH447)</f>
        <v>1</v>
      </c>
      <c r="BI447" s="1998">
        <f>IF(Construction!$F$31=Construction!$R$22,Oeko!DV447,Oeko!GI447)</f>
        <v>1</v>
      </c>
      <c r="BJ447" s="1998">
        <f>IF(Construction!$F$31=Construction!$R$22,Oeko!DW447,Oeko!GJ447)</f>
        <v>1</v>
      </c>
      <c r="BK447" s="2026">
        <f>IF(Construction!$F$31=Construction!$R$22,Oeko!DX447,Oeko!GK447)</f>
        <v>1</v>
      </c>
      <c r="BN447" s="2022"/>
      <c r="BO447" s="2">
        <v>24</v>
      </c>
      <c r="BP447" s="2" t="s">
        <v>4211</v>
      </c>
      <c r="BQ447" s="1979">
        <v>1</v>
      </c>
      <c r="BR447" s="1979">
        <v>1</v>
      </c>
      <c r="BS447" s="1979">
        <v>1</v>
      </c>
      <c r="BT447" s="1979">
        <v>1</v>
      </c>
      <c r="BU447" s="1979">
        <v>1</v>
      </c>
      <c r="BV447" s="1998">
        <v>1</v>
      </c>
      <c r="BW447" s="1998">
        <v>1</v>
      </c>
      <c r="BX447" s="1998">
        <v>1</v>
      </c>
      <c r="BY447" s="1998">
        <v>1</v>
      </c>
      <c r="BZ447" s="1998">
        <v>1</v>
      </c>
      <c r="CA447" s="1979">
        <v>1.0000000000000002</v>
      </c>
      <c r="CB447" s="1979">
        <v>1.0000000000000002</v>
      </c>
      <c r="CC447" s="1979">
        <v>1.0000000000000002</v>
      </c>
      <c r="CD447" s="1979">
        <v>1.0000000000000002</v>
      </c>
      <c r="CE447" s="1979">
        <v>1.0000000000000002</v>
      </c>
      <c r="CF447" s="1998">
        <v>1</v>
      </c>
      <c r="CG447" s="1998">
        <v>1</v>
      </c>
      <c r="CH447" s="1998">
        <v>1</v>
      </c>
      <c r="CI447" s="1998">
        <v>1</v>
      </c>
      <c r="CJ447" s="1998">
        <v>1</v>
      </c>
      <c r="CK447" s="1979">
        <v>1</v>
      </c>
      <c r="CL447" s="1979">
        <v>1</v>
      </c>
      <c r="CM447" s="1979">
        <v>1</v>
      </c>
      <c r="CN447" s="1979">
        <v>1</v>
      </c>
      <c r="CO447" s="1979">
        <v>1</v>
      </c>
      <c r="CP447" s="1998">
        <v>1</v>
      </c>
      <c r="CQ447" s="1998">
        <v>1</v>
      </c>
      <c r="CR447" s="1998">
        <v>1</v>
      </c>
      <c r="CS447" s="1998">
        <v>1</v>
      </c>
      <c r="CT447" s="1998">
        <v>1</v>
      </c>
      <c r="CU447" s="1979">
        <v>1</v>
      </c>
      <c r="CV447" s="1979">
        <v>1</v>
      </c>
      <c r="CW447" s="1979">
        <v>1</v>
      </c>
      <c r="CX447" s="1979">
        <v>1</v>
      </c>
      <c r="CY447" s="1979">
        <v>1</v>
      </c>
      <c r="CZ447" s="1998">
        <v>0.66666666666666663</v>
      </c>
      <c r="DA447" s="1998">
        <v>0.66666666666666663</v>
      </c>
      <c r="DB447" s="1998">
        <v>0.66666666666666663</v>
      </c>
      <c r="DC447" s="1998">
        <v>0.66666666666666663</v>
      </c>
      <c r="DD447" s="1998">
        <v>0.66666666666666663</v>
      </c>
      <c r="DE447" s="1979">
        <v>8.1914540462959007</v>
      </c>
      <c r="DF447" s="1979">
        <v>8.1914540462959007</v>
      </c>
      <c r="DG447" s="1979">
        <v>8.1914540462959007</v>
      </c>
      <c r="DH447" s="1979">
        <v>8.1914540462959007</v>
      </c>
      <c r="DI447" s="1979">
        <v>8.1914540462959007</v>
      </c>
      <c r="DJ447" s="1998">
        <v>8.1771999062029916</v>
      </c>
      <c r="DK447" s="1998">
        <v>8.1771999062029916</v>
      </c>
      <c r="DL447" s="1998">
        <v>8.1771999062029916</v>
      </c>
      <c r="DM447" s="1998">
        <v>8.1771999062029916</v>
      </c>
      <c r="DN447" s="1998">
        <v>8.1771999062029916</v>
      </c>
      <c r="DO447" s="1979">
        <v>1</v>
      </c>
      <c r="DP447" s="1979">
        <v>1</v>
      </c>
      <c r="DQ447" s="1979">
        <v>1</v>
      </c>
      <c r="DR447" s="1979">
        <v>1</v>
      </c>
      <c r="DS447" s="1979">
        <v>1</v>
      </c>
      <c r="DT447" s="1998">
        <v>1</v>
      </c>
      <c r="DU447" s="1998">
        <v>1</v>
      </c>
      <c r="DV447" s="1998">
        <v>1</v>
      </c>
      <c r="DW447" s="1998">
        <v>1</v>
      </c>
      <c r="DX447" s="2026">
        <v>1</v>
      </c>
      <c r="EA447" s="2022"/>
      <c r="EB447" s="2">
        <v>24</v>
      </c>
      <c r="EC447" s="2" t="s">
        <v>4211</v>
      </c>
      <c r="ED447" s="1979">
        <v>1.2868815919764993</v>
      </c>
      <c r="EE447" s="1979">
        <v>1.2868815919764993</v>
      </c>
      <c r="EF447" s="1979">
        <v>1.2868815919764993</v>
      </c>
      <c r="EG447" s="1979">
        <v>1.2868815919764993</v>
      </c>
      <c r="EH447" s="1979">
        <v>1.2868815919764993</v>
      </c>
      <c r="EI447" s="1998">
        <v>1.5980823726272015</v>
      </c>
      <c r="EJ447" s="1998">
        <v>1.5980823726272015</v>
      </c>
      <c r="EK447" s="1998">
        <v>1.5980823726272015</v>
      </c>
      <c r="EL447" s="1998">
        <v>1.5980823726272015</v>
      </c>
      <c r="EM447" s="1998">
        <v>1.5980823726272015</v>
      </c>
      <c r="EN447" s="1979">
        <v>1.3606673031283796</v>
      </c>
      <c r="EO447" s="1979">
        <v>1.3606673031283796</v>
      </c>
      <c r="EP447" s="1979">
        <v>1.3606673031283796</v>
      </c>
      <c r="EQ447" s="1979">
        <v>1.3606673031283796</v>
      </c>
      <c r="ER447" s="1979">
        <v>1.3606673031283796</v>
      </c>
      <c r="ES447" s="1998">
        <v>1.5330426819868914</v>
      </c>
      <c r="ET447" s="1998">
        <v>1.5330426819868914</v>
      </c>
      <c r="EU447" s="1998">
        <v>1.5330426819868914</v>
      </c>
      <c r="EV447" s="1998">
        <v>1.5330426819868914</v>
      </c>
      <c r="EW447" s="1998">
        <v>1.5330426819868914</v>
      </c>
      <c r="EX447" s="1979">
        <v>1.3807649715094688</v>
      </c>
      <c r="EY447" s="1979">
        <v>1.3807649715094688</v>
      </c>
      <c r="EZ447" s="1979">
        <v>1.3807649715094688</v>
      </c>
      <c r="FA447" s="1979">
        <v>1.3807649715094688</v>
      </c>
      <c r="FB447" s="1979">
        <v>1.3807649715094688</v>
      </c>
      <c r="FC447" s="1998">
        <v>1.6277744053108218</v>
      </c>
      <c r="FD447" s="1998">
        <v>1.6277744053108218</v>
      </c>
      <c r="FE447" s="1998">
        <v>1.6277744053108218</v>
      </c>
      <c r="FF447" s="1998">
        <v>1.6277744053108218</v>
      </c>
      <c r="FG447" s="1998">
        <v>1.6277744053108218</v>
      </c>
      <c r="FH447" s="1979">
        <v>1.9137369581804469</v>
      </c>
      <c r="FI447" s="1979">
        <v>1.9137369581804469</v>
      </c>
      <c r="FJ447" s="1979">
        <v>1.9137369581804469</v>
      </c>
      <c r="FK447" s="1979">
        <v>1.9137369581804469</v>
      </c>
      <c r="FL447" s="1979">
        <v>1.9137369581804469</v>
      </c>
      <c r="FM447" s="1998">
        <v>0.95312408674768578</v>
      </c>
      <c r="FN447" s="1998">
        <v>0.95312408674768578</v>
      </c>
      <c r="FO447" s="1998">
        <v>0.95312408674768578</v>
      </c>
      <c r="FP447" s="1998">
        <v>0.95312408674768578</v>
      </c>
      <c r="FQ447" s="1998">
        <v>0.95312408674768578</v>
      </c>
      <c r="FR447" s="1979">
        <v>13.156124613273878</v>
      </c>
      <c r="FS447" s="1979">
        <v>13.156124613273878</v>
      </c>
      <c r="FT447" s="1979">
        <v>13.156124613273878</v>
      </c>
      <c r="FU447" s="1979">
        <v>13.156124613273878</v>
      </c>
      <c r="FV447" s="1979">
        <v>13.156124613273878</v>
      </c>
      <c r="FW447" s="1998">
        <v>13.515354994373412</v>
      </c>
      <c r="FX447" s="1998">
        <v>13.515354994373412</v>
      </c>
      <c r="FY447" s="1998">
        <v>13.515354994373412</v>
      </c>
      <c r="FZ447" s="1998">
        <v>13.515354994373412</v>
      </c>
      <c r="GA447" s="1998">
        <v>13.515354994373412</v>
      </c>
      <c r="GB447" s="1979">
        <v>1.3861479372000356</v>
      </c>
      <c r="GC447" s="1979">
        <v>1.3861479372000356</v>
      </c>
      <c r="GD447" s="1979">
        <v>1.3861479372000356</v>
      </c>
      <c r="GE447" s="1979">
        <v>1.3861479372000356</v>
      </c>
      <c r="GF447" s="1979">
        <v>1.3861479372000356</v>
      </c>
      <c r="GG447" s="1998">
        <v>1.4313071575784038</v>
      </c>
      <c r="GH447" s="1998">
        <v>1.4313071575784038</v>
      </c>
      <c r="GI447" s="1998">
        <v>1.4313071575784038</v>
      </c>
      <c r="GJ447" s="1998">
        <v>1.4313071575784038</v>
      </c>
      <c r="GK447" s="2026">
        <v>1.4313071575784038</v>
      </c>
    </row>
    <row r="448" spans="1:193">
      <c r="A448" s="2020"/>
      <c r="B448" s="2">
        <v>25</v>
      </c>
      <c r="C448" s="2" t="s">
        <v>4229</v>
      </c>
      <c r="D448" s="1979">
        <f>IF(Construction!$F$31=Construction!$R$22,Oeko!BQ448,Oeko!ED448)</f>
        <v>1</v>
      </c>
      <c r="E448" s="1979">
        <f>IF(Construction!$F$31=Construction!$R$22,Oeko!BR448,Oeko!EE448)</f>
        <v>1</v>
      </c>
      <c r="F448" s="1979">
        <f>IF(Construction!$F$31=Construction!$R$22,Oeko!BS448,Oeko!EF448)</f>
        <v>1</v>
      </c>
      <c r="G448" s="1979">
        <f>IF(Construction!$F$31=Construction!$R$22,Oeko!BT448,Oeko!EG448)</f>
        <v>1</v>
      </c>
      <c r="H448" s="1979">
        <f>IF(Construction!$F$31=Construction!$R$22,Oeko!BU448,Oeko!EH448)</f>
        <v>1</v>
      </c>
      <c r="I448" s="1998">
        <f>IF(Construction!$F$31=Construction!$R$22,Oeko!BV448,Oeko!EI448)</f>
        <v>1</v>
      </c>
      <c r="J448" s="1998">
        <f>IF(Construction!$F$31=Construction!$R$22,Oeko!BW448,Oeko!EJ448)</f>
        <v>1</v>
      </c>
      <c r="K448" s="1998">
        <f>IF(Construction!$F$31=Construction!$R$22,Oeko!BX448,Oeko!EK448)</f>
        <v>1</v>
      </c>
      <c r="L448" s="1998">
        <f>IF(Construction!$F$31=Construction!$R$22,Oeko!BY448,Oeko!EL448)</f>
        <v>1</v>
      </c>
      <c r="M448" s="1998">
        <f>IF(Construction!$F$31=Construction!$R$22,Oeko!BZ448,Oeko!EM448)</f>
        <v>1</v>
      </c>
      <c r="N448" s="1979">
        <f>IF(Construction!$F$31=Construction!$R$22,Oeko!CA448,Oeko!EN448)</f>
        <v>1</v>
      </c>
      <c r="O448" s="1979">
        <f>IF(Construction!$F$31=Construction!$R$22,Oeko!CB448,Oeko!EO448)</f>
        <v>1</v>
      </c>
      <c r="P448" s="1979">
        <f>IF(Construction!$F$31=Construction!$R$22,Oeko!CC448,Oeko!EP448)</f>
        <v>1</v>
      </c>
      <c r="Q448" s="1979">
        <f>IF(Construction!$F$31=Construction!$R$22,Oeko!CD448,Oeko!EQ448)</f>
        <v>1</v>
      </c>
      <c r="R448" s="1979">
        <f>IF(Construction!$F$31=Construction!$R$22,Oeko!CE448,Oeko!ER448)</f>
        <v>1</v>
      </c>
      <c r="S448" s="1998">
        <f>IF(Construction!$F$31=Construction!$R$22,Oeko!CF448,Oeko!ES448)</f>
        <v>1.0000000000000002</v>
      </c>
      <c r="T448" s="1998">
        <f>IF(Construction!$F$31=Construction!$R$22,Oeko!CG448,Oeko!ET448)</f>
        <v>1.0000000000000002</v>
      </c>
      <c r="U448" s="1998">
        <f>IF(Construction!$F$31=Construction!$R$22,Oeko!CH448,Oeko!EU448)</f>
        <v>1.0000000000000002</v>
      </c>
      <c r="V448" s="1998">
        <f>IF(Construction!$F$31=Construction!$R$22,Oeko!CI448,Oeko!EV448)</f>
        <v>1.0000000000000002</v>
      </c>
      <c r="W448" s="1998">
        <f>IF(Construction!$F$31=Construction!$R$22,Oeko!CJ448,Oeko!EW448)</f>
        <v>1.0000000000000002</v>
      </c>
      <c r="X448" s="1979">
        <f>IF(Construction!$F$31=Construction!$R$22,Oeko!CK448,Oeko!EX448)</f>
        <v>1</v>
      </c>
      <c r="Y448" s="1979">
        <f>IF(Construction!$F$31=Construction!$R$22,Oeko!CL448,Oeko!EY448)</f>
        <v>1</v>
      </c>
      <c r="Z448" s="1979">
        <f>IF(Construction!$F$31=Construction!$R$22,Oeko!CM448,Oeko!EZ448)</f>
        <v>1</v>
      </c>
      <c r="AA448" s="1979">
        <f>IF(Construction!$F$31=Construction!$R$22,Oeko!CN448,Oeko!FA448)</f>
        <v>1</v>
      </c>
      <c r="AB448" s="1979">
        <f>IF(Construction!$F$31=Construction!$R$22,Oeko!CO448,Oeko!FB448)</f>
        <v>1</v>
      </c>
      <c r="AC448" s="1998">
        <f>IF(Construction!$F$31=Construction!$R$22,Oeko!CP448,Oeko!FC448)</f>
        <v>1</v>
      </c>
      <c r="AD448" s="1998">
        <f>IF(Construction!$F$31=Construction!$R$22,Oeko!CQ448,Oeko!FD448)</f>
        <v>1</v>
      </c>
      <c r="AE448" s="1998">
        <f>IF(Construction!$F$31=Construction!$R$22,Oeko!CR448,Oeko!FE448)</f>
        <v>1</v>
      </c>
      <c r="AF448" s="1998">
        <f>IF(Construction!$F$31=Construction!$R$22,Oeko!CS448,Oeko!FF448)</f>
        <v>1</v>
      </c>
      <c r="AG448" s="1998">
        <f>IF(Construction!$F$31=Construction!$R$22,Oeko!CT448,Oeko!FG448)</f>
        <v>1</v>
      </c>
      <c r="AH448" s="1979">
        <f>IF(Construction!$F$31=Construction!$R$22,Oeko!CU448,Oeko!FH448)</f>
        <v>1</v>
      </c>
      <c r="AI448" s="1979">
        <f>IF(Construction!$F$31=Construction!$R$22,Oeko!CV448,Oeko!FI448)</f>
        <v>1</v>
      </c>
      <c r="AJ448" s="1979">
        <f>IF(Construction!$F$31=Construction!$R$22,Oeko!CW448,Oeko!FJ448)</f>
        <v>1</v>
      </c>
      <c r="AK448" s="1979">
        <f>IF(Construction!$F$31=Construction!$R$22,Oeko!CX448,Oeko!FK448)</f>
        <v>1</v>
      </c>
      <c r="AL448" s="1979">
        <f>IF(Construction!$F$31=Construction!$R$22,Oeko!CY448,Oeko!FL448)</f>
        <v>1</v>
      </c>
      <c r="AM448" s="1998">
        <f>IF(Construction!$F$31=Construction!$R$22,Oeko!CZ448,Oeko!FM448)</f>
        <v>0.66666666666666663</v>
      </c>
      <c r="AN448" s="1998">
        <f>IF(Construction!$F$31=Construction!$R$22,Oeko!DA448,Oeko!FN448)</f>
        <v>0.66666666666666663</v>
      </c>
      <c r="AO448" s="1998">
        <f>IF(Construction!$F$31=Construction!$R$22,Oeko!DB448,Oeko!FO448)</f>
        <v>0.66666666666666663</v>
      </c>
      <c r="AP448" s="1998">
        <f>IF(Construction!$F$31=Construction!$R$22,Oeko!DC448,Oeko!FP448)</f>
        <v>0.66666666666666663</v>
      </c>
      <c r="AQ448" s="1998">
        <f>IF(Construction!$F$31=Construction!$R$22,Oeko!DD448,Oeko!FQ448)</f>
        <v>0.66666666666666663</v>
      </c>
      <c r="AR448" s="1979">
        <f>IF(Construction!$F$31=Construction!$R$22,Oeko!DE448,Oeko!FR448)</f>
        <v>6.393590534721926</v>
      </c>
      <c r="AS448" s="1979">
        <f>IF(Construction!$F$31=Construction!$R$22,Oeko!DF448,Oeko!FS448)</f>
        <v>6.393590534721926</v>
      </c>
      <c r="AT448" s="1979">
        <f>IF(Construction!$F$31=Construction!$R$22,Oeko!DG448,Oeko!FT448)</f>
        <v>6.393590534721926</v>
      </c>
      <c r="AU448" s="1979">
        <f>IF(Construction!$F$31=Construction!$R$22,Oeko!DH448,Oeko!FU448)</f>
        <v>6.393590534721926</v>
      </c>
      <c r="AV448" s="1979">
        <f>IF(Construction!$F$31=Construction!$R$22,Oeko!DI448,Oeko!FV448)</f>
        <v>6.393590534721926</v>
      </c>
      <c r="AW448" s="1998">
        <f>IF(Construction!$F$31=Construction!$R$22,Oeko!DJ448,Oeko!FW448)</f>
        <v>6.3828999296522442</v>
      </c>
      <c r="AX448" s="1998">
        <f>IF(Construction!$F$31=Construction!$R$22,Oeko!DK448,Oeko!FX448)</f>
        <v>6.3828999296522442</v>
      </c>
      <c r="AY448" s="1998">
        <f>IF(Construction!$F$31=Construction!$R$22,Oeko!DL448,Oeko!FY448)</f>
        <v>6.3828999296522442</v>
      </c>
      <c r="AZ448" s="1998">
        <f>IF(Construction!$F$31=Construction!$R$22,Oeko!DM448,Oeko!FZ448)</f>
        <v>6.3828999296522442</v>
      </c>
      <c r="BA448" s="1998">
        <f>IF(Construction!$F$31=Construction!$R$22,Oeko!DN448,Oeko!GA448)</f>
        <v>6.3828999296522442</v>
      </c>
      <c r="BB448" s="1979">
        <f>IF(Construction!$F$31=Construction!$R$22,Oeko!DO448,Oeko!GB448)</f>
        <v>0.78115301620803501</v>
      </c>
      <c r="BC448" s="1979">
        <f>IF(Construction!$F$31=Construction!$R$22,Oeko!DP448,Oeko!GC448)</f>
        <v>0.78115301620803501</v>
      </c>
      <c r="BD448" s="1979">
        <f>IF(Construction!$F$31=Construction!$R$22,Oeko!DQ448,Oeko!GD448)</f>
        <v>0.78115301620803501</v>
      </c>
      <c r="BE448" s="1979">
        <f>IF(Construction!$F$31=Construction!$R$22,Oeko!DR448,Oeko!GE448)</f>
        <v>0.78115301620803501</v>
      </c>
      <c r="BF448" s="1979">
        <f>IF(Construction!$F$31=Construction!$R$22,Oeko!DS448,Oeko!GF448)</f>
        <v>0.78115301620803501</v>
      </c>
      <c r="BG448" s="1998">
        <f>IF(Construction!$F$31=Construction!$R$22,Oeko!DT448,Oeko!GG448)</f>
        <v>0.78195889917775152</v>
      </c>
      <c r="BH448" s="1998">
        <f>IF(Construction!$F$31=Construction!$R$22,Oeko!DU448,Oeko!GH448)</f>
        <v>0.78195889917775152</v>
      </c>
      <c r="BI448" s="1998">
        <f>IF(Construction!$F$31=Construction!$R$22,Oeko!DV448,Oeko!GI448)</f>
        <v>0.78195889917775152</v>
      </c>
      <c r="BJ448" s="1998">
        <f>IF(Construction!$F$31=Construction!$R$22,Oeko!DW448,Oeko!GJ448)</f>
        <v>0.78195889917775152</v>
      </c>
      <c r="BK448" s="2026">
        <f>IF(Construction!$F$31=Construction!$R$22,Oeko!DX448,Oeko!GK448)</f>
        <v>0.78195889917775152</v>
      </c>
      <c r="BN448" s="2022"/>
      <c r="BO448" s="2">
        <v>25</v>
      </c>
      <c r="BP448" s="2" t="s">
        <v>4229</v>
      </c>
      <c r="BQ448" s="1979">
        <v>1</v>
      </c>
      <c r="BR448" s="1979">
        <v>1</v>
      </c>
      <c r="BS448" s="1979">
        <v>1</v>
      </c>
      <c r="BT448" s="1979">
        <v>1</v>
      </c>
      <c r="BU448" s="1979">
        <v>1</v>
      </c>
      <c r="BV448" s="1998">
        <v>1</v>
      </c>
      <c r="BW448" s="1998">
        <v>1</v>
      </c>
      <c r="BX448" s="1998">
        <v>1</v>
      </c>
      <c r="BY448" s="1998">
        <v>1</v>
      </c>
      <c r="BZ448" s="1998">
        <v>1</v>
      </c>
      <c r="CA448" s="1979">
        <v>1</v>
      </c>
      <c r="CB448" s="1979">
        <v>1</v>
      </c>
      <c r="CC448" s="1979">
        <v>1</v>
      </c>
      <c r="CD448" s="1979">
        <v>1</v>
      </c>
      <c r="CE448" s="1979">
        <v>1</v>
      </c>
      <c r="CF448" s="1998">
        <v>1.0000000000000002</v>
      </c>
      <c r="CG448" s="1998">
        <v>1.0000000000000002</v>
      </c>
      <c r="CH448" s="1998">
        <v>1.0000000000000002</v>
      </c>
      <c r="CI448" s="1998">
        <v>1.0000000000000002</v>
      </c>
      <c r="CJ448" s="1998">
        <v>1.0000000000000002</v>
      </c>
      <c r="CK448" s="1979">
        <v>1</v>
      </c>
      <c r="CL448" s="1979">
        <v>1</v>
      </c>
      <c r="CM448" s="1979">
        <v>1</v>
      </c>
      <c r="CN448" s="1979">
        <v>1</v>
      </c>
      <c r="CO448" s="1979">
        <v>1</v>
      </c>
      <c r="CP448" s="1998">
        <v>1</v>
      </c>
      <c r="CQ448" s="1998">
        <v>1</v>
      </c>
      <c r="CR448" s="1998">
        <v>1</v>
      </c>
      <c r="CS448" s="1998">
        <v>1</v>
      </c>
      <c r="CT448" s="1998">
        <v>1</v>
      </c>
      <c r="CU448" s="1979">
        <v>1</v>
      </c>
      <c r="CV448" s="1979">
        <v>1</v>
      </c>
      <c r="CW448" s="1979">
        <v>1</v>
      </c>
      <c r="CX448" s="1979">
        <v>1</v>
      </c>
      <c r="CY448" s="1979">
        <v>1</v>
      </c>
      <c r="CZ448" s="1998">
        <v>0.66666666666666663</v>
      </c>
      <c r="DA448" s="1998">
        <v>0.66666666666666663</v>
      </c>
      <c r="DB448" s="1998">
        <v>0.66666666666666663</v>
      </c>
      <c r="DC448" s="1998">
        <v>0.66666666666666663</v>
      </c>
      <c r="DD448" s="1998">
        <v>0.66666666666666663</v>
      </c>
      <c r="DE448" s="1979">
        <v>6.393590534721926</v>
      </c>
      <c r="DF448" s="1979">
        <v>6.393590534721926</v>
      </c>
      <c r="DG448" s="1979">
        <v>6.393590534721926</v>
      </c>
      <c r="DH448" s="1979">
        <v>6.393590534721926</v>
      </c>
      <c r="DI448" s="1979">
        <v>6.393590534721926</v>
      </c>
      <c r="DJ448" s="1998">
        <v>6.3828999296522442</v>
      </c>
      <c r="DK448" s="1998">
        <v>6.3828999296522442</v>
      </c>
      <c r="DL448" s="1998">
        <v>6.3828999296522442</v>
      </c>
      <c r="DM448" s="1998">
        <v>6.3828999296522442</v>
      </c>
      <c r="DN448" s="1998">
        <v>6.3828999296522442</v>
      </c>
      <c r="DO448" s="1979">
        <v>0.78115301620803501</v>
      </c>
      <c r="DP448" s="1979">
        <v>0.78115301620803501</v>
      </c>
      <c r="DQ448" s="1979">
        <v>0.78115301620803501</v>
      </c>
      <c r="DR448" s="1979">
        <v>0.78115301620803501</v>
      </c>
      <c r="DS448" s="1979">
        <v>0.78115301620803501</v>
      </c>
      <c r="DT448" s="1998">
        <v>0.78195889917775152</v>
      </c>
      <c r="DU448" s="1998">
        <v>0.78195889917775152</v>
      </c>
      <c r="DV448" s="1998">
        <v>0.78195889917775152</v>
      </c>
      <c r="DW448" s="1998">
        <v>0.78195889917775152</v>
      </c>
      <c r="DX448" s="2026">
        <v>0.78195889917775152</v>
      </c>
      <c r="EA448" s="2022"/>
      <c r="EB448" s="2">
        <v>25</v>
      </c>
      <c r="EC448" s="2" t="s">
        <v>4229</v>
      </c>
      <c r="ED448" s="1979">
        <v>1.3137061099439951</v>
      </c>
      <c r="EE448" s="1979">
        <v>1.3137061099439951</v>
      </c>
      <c r="EF448" s="1979">
        <v>1.3137061099439951</v>
      </c>
      <c r="EG448" s="1979">
        <v>1.3137061099439951</v>
      </c>
      <c r="EH448" s="1979">
        <v>1.3137061099439951</v>
      </c>
      <c r="EI448" s="1998">
        <v>1.7872841547940841</v>
      </c>
      <c r="EJ448" s="1998">
        <v>1.7872841547940841</v>
      </c>
      <c r="EK448" s="1998">
        <v>1.7872841547940841</v>
      </c>
      <c r="EL448" s="1998">
        <v>1.7872841547940841</v>
      </c>
      <c r="EM448" s="1998">
        <v>1.7872841547940841</v>
      </c>
      <c r="EN448" s="1979">
        <v>1.4053027385583838</v>
      </c>
      <c r="EO448" s="1979">
        <v>1.4053027385583838</v>
      </c>
      <c r="EP448" s="1979">
        <v>1.4053027385583838</v>
      </c>
      <c r="EQ448" s="1979">
        <v>1.4053027385583838</v>
      </c>
      <c r="ER448" s="1979">
        <v>1.4053027385583838</v>
      </c>
      <c r="ES448" s="1998">
        <v>1.7252455721263957</v>
      </c>
      <c r="ET448" s="1998">
        <v>1.7252455721263957</v>
      </c>
      <c r="EU448" s="1998">
        <v>1.7252455721263957</v>
      </c>
      <c r="EV448" s="1998">
        <v>1.7252455721263957</v>
      </c>
      <c r="EW448" s="1998">
        <v>1.7252455721263957</v>
      </c>
      <c r="EX448" s="1979">
        <v>1.4298477194150447</v>
      </c>
      <c r="EY448" s="1979">
        <v>1.4298477194150447</v>
      </c>
      <c r="EZ448" s="1979">
        <v>1.4298477194150447</v>
      </c>
      <c r="FA448" s="1979">
        <v>1.4298477194150447</v>
      </c>
      <c r="FB448" s="1979">
        <v>1.4298477194150447</v>
      </c>
      <c r="FC448" s="1998">
        <v>1.8981839886795036</v>
      </c>
      <c r="FD448" s="1998">
        <v>1.8981839886795036</v>
      </c>
      <c r="FE448" s="1998">
        <v>1.8981839886795036</v>
      </c>
      <c r="FF448" s="1998">
        <v>1.8981839886795036</v>
      </c>
      <c r="FG448" s="1998">
        <v>1.8981839886795036</v>
      </c>
      <c r="FH448" s="1979">
        <v>2.1927309727671824</v>
      </c>
      <c r="FI448" s="1979">
        <v>2.1927309727671824</v>
      </c>
      <c r="FJ448" s="1979">
        <v>2.1927309727671824</v>
      </c>
      <c r="FK448" s="1979">
        <v>2.1927309727671824</v>
      </c>
      <c r="FL448" s="1979">
        <v>2.1927309727671824</v>
      </c>
      <c r="FM448" s="1998">
        <v>1.0285324237219586</v>
      </c>
      <c r="FN448" s="1998">
        <v>1.0285324237219586</v>
      </c>
      <c r="FO448" s="1998">
        <v>1.0285324237219586</v>
      </c>
      <c r="FP448" s="1998">
        <v>1.0285324237219586</v>
      </c>
      <c r="FQ448" s="1998">
        <v>1.0285324237219586</v>
      </c>
      <c r="FR448" s="1979">
        <v>12.009073933904036</v>
      </c>
      <c r="FS448" s="1979">
        <v>12.009073933904036</v>
      </c>
      <c r="FT448" s="1979">
        <v>12.009073933904036</v>
      </c>
      <c r="FU448" s="1979">
        <v>12.009073933904036</v>
      </c>
      <c r="FV448" s="1979">
        <v>12.009073933904036</v>
      </c>
      <c r="FW448" s="1998">
        <v>12.366014485162406</v>
      </c>
      <c r="FX448" s="1998">
        <v>12.366014485162406</v>
      </c>
      <c r="FY448" s="1998">
        <v>12.366014485162406</v>
      </c>
      <c r="FZ448" s="1998">
        <v>12.366014485162406</v>
      </c>
      <c r="GA448" s="1998">
        <v>12.366014485162406</v>
      </c>
      <c r="GB448" s="1979">
        <v>1.2468215875951767</v>
      </c>
      <c r="GC448" s="1979">
        <v>1.2468215875951767</v>
      </c>
      <c r="GD448" s="1979">
        <v>1.2468215875951767</v>
      </c>
      <c r="GE448" s="1979">
        <v>1.2468215875951767</v>
      </c>
      <c r="GF448" s="1979">
        <v>1.2468215875951767</v>
      </c>
      <c r="GG448" s="1998">
        <v>1.3027314842995616</v>
      </c>
      <c r="GH448" s="1998">
        <v>1.3027314842995616</v>
      </c>
      <c r="GI448" s="1998">
        <v>1.3027314842995616</v>
      </c>
      <c r="GJ448" s="1998">
        <v>1.3027314842995616</v>
      </c>
      <c r="GK448" s="2026">
        <v>1.3027314842995616</v>
      </c>
    </row>
    <row r="449" spans="1:193">
      <c r="A449" s="2020"/>
      <c r="B449" s="2">
        <v>26</v>
      </c>
      <c r="C449" s="2" t="s">
        <v>4244</v>
      </c>
      <c r="D449" s="1979">
        <f>IF(Construction!$F$31=Construction!$R$22,Oeko!BQ449,Oeko!ED449)</f>
        <v>1</v>
      </c>
      <c r="E449" s="1979">
        <f>IF(Construction!$F$31=Construction!$R$22,Oeko!BR449,Oeko!EE449)</f>
        <v>1</v>
      </c>
      <c r="F449" s="1979">
        <f>IF(Construction!$F$31=Construction!$R$22,Oeko!BS449,Oeko!EF449)</f>
        <v>1</v>
      </c>
      <c r="G449" s="1979">
        <f>IF(Construction!$F$31=Construction!$R$22,Oeko!BT449,Oeko!EG449)</f>
        <v>1</v>
      </c>
      <c r="H449" s="1979">
        <f>IF(Construction!$F$31=Construction!$R$22,Oeko!BU449,Oeko!EH449)</f>
        <v>1</v>
      </c>
      <c r="I449" s="1998">
        <f>IF(Construction!$F$31=Construction!$R$22,Oeko!BV449,Oeko!EI449)</f>
        <v>1</v>
      </c>
      <c r="J449" s="1998">
        <f>IF(Construction!$F$31=Construction!$R$22,Oeko!BW449,Oeko!EJ449)</f>
        <v>1</v>
      </c>
      <c r="K449" s="1998">
        <f>IF(Construction!$F$31=Construction!$R$22,Oeko!BX449,Oeko!EK449)</f>
        <v>1</v>
      </c>
      <c r="L449" s="1998">
        <f>IF(Construction!$F$31=Construction!$R$22,Oeko!BY449,Oeko!EL449)</f>
        <v>1</v>
      </c>
      <c r="M449" s="1998">
        <f>IF(Construction!$F$31=Construction!$R$22,Oeko!BZ449,Oeko!EM449)</f>
        <v>1</v>
      </c>
      <c r="N449" s="1979">
        <f>IF(Construction!$F$31=Construction!$R$22,Oeko!CA449,Oeko!EN449)</f>
        <v>1</v>
      </c>
      <c r="O449" s="1979">
        <f>IF(Construction!$F$31=Construction!$R$22,Oeko!CB449,Oeko!EO449)</f>
        <v>1</v>
      </c>
      <c r="P449" s="1979">
        <f>IF(Construction!$F$31=Construction!$R$22,Oeko!CC449,Oeko!EP449)</f>
        <v>1</v>
      </c>
      <c r="Q449" s="1979">
        <f>IF(Construction!$F$31=Construction!$R$22,Oeko!CD449,Oeko!EQ449)</f>
        <v>1</v>
      </c>
      <c r="R449" s="1979">
        <f>IF(Construction!$F$31=Construction!$R$22,Oeko!CE449,Oeko!ER449)</f>
        <v>1</v>
      </c>
      <c r="S449" s="1998">
        <f>IF(Construction!$F$31=Construction!$R$22,Oeko!CF449,Oeko!ES449)</f>
        <v>1</v>
      </c>
      <c r="T449" s="1998">
        <f>IF(Construction!$F$31=Construction!$R$22,Oeko!CG449,Oeko!ET449)</f>
        <v>1</v>
      </c>
      <c r="U449" s="1998">
        <f>IF(Construction!$F$31=Construction!$R$22,Oeko!CH449,Oeko!EU449)</f>
        <v>1</v>
      </c>
      <c r="V449" s="1998">
        <f>IF(Construction!$F$31=Construction!$R$22,Oeko!CI449,Oeko!EV449)</f>
        <v>1</v>
      </c>
      <c r="W449" s="1998">
        <f>IF(Construction!$F$31=Construction!$R$22,Oeko!CJ449,Oeko!EW449)</f>
        <v>1</v>
      </c>
      <c r="X449" s="1979">
        <f>IF(Construction!$F$31=Construction!$R$22,Oeko!CK449,Oeko!EX449)</f>
        <v>1</v>
      </c>
      <c r="Y449" s="1979">
        <f>IF(Construction!$F$31=Construction!$R$22,Oeko!CL449,Oeko!EY449)</f>
        <v>1</v>
      </c>
      <c r="Z449" s="1979">
        <f>IF(Construction!$F$31=Construction!$R$22,Oeko!CM449,Oeko!EZ449)</f>
        <v>1</v>
      </c>
      <c r="AA449" s="1979">
        <f>IF(Construction!$F$31=Construction!$R$22,Oeko!CN449,Oeko!FA449)</f>
        <v>1</v>
      </c>
      <c r="AB449" s="1979">
        <f>IF(Construction!$F$31=Construction!$R$22,Oeko!CO449,Oeko!FB449)</f>
        <v>1</v>
      </c>
      <c r="AC449" s="1998">
        <f>IF(Construction!$F$31=Construction!$R$22,Oeko!CP449,Oeko!FC449)</f>
        <v>1</v>
      </c>
      <c r="AD449" s="1998">
        <f>IF(Construction!$F$31=Construction!$R$22,Oeko!CQ449,Oeko!FD449)</f>
        <v>1</v>
      </c>
      <c r="AE449" s="1998">
        <f>IF(Construction!$F$31=Construction!$R$22,Oeko!CR449,Oeko!FE449)</f>
        <v>1</v>
      </c>
      <c r="AF449" s="1998">
        <f>IF(Construction!$F$31=Construction!$R$22,Oeko!CS449,Oeko!FF449)</f>
        <v>1</v>
      </c>
      <c r="AG449" s="1998">
        <f>IF(Construction!$F$31=Construction!$R$22,Oeko!CT449,Oeko!FG449)</f>
        <v>1</v>
      </c>
      <c r="AH449" s="1979">
        <f>IF(Construction!$F$31=Construction!$R$22,Oeko!CU449,Oeko!FH449)</f>
        <v>1</v>
      </c>
      <c r="AI449" s="1979">
        <f>IF(Construction!$F$31=Construction!$R$22,Oeko!CV449,Oeko!FI449)</f>
        <v>1</v>
      </c>
      <c r="AJ449" s="1979">
        <f>IF(Construction!$F$31=Construction!$R$22,Oeko!CW449,Oeko!FJ449)</f>
        <v>1</v>
      </c>
      <c r="AK449" s="1979">
        <f>IF(Construction!$F$31=Construction!$R$22,Oeko!CX449,Oeko!FK449)</f>
        <v>1</v>
      </c>
      <c r="AL449" s="1979">
        <f>IF(Construction!$F$31=Construction!$R$22,Oeko!CY449,Oeko!FL449)</f>
        <v>1</v>
      </c>
      <c r="AM449" s="1998">
        <f>IF(Construction!$F$31=Construction!$R$22,Oeko!CZ449,Oeko!FM449)</f>
        <v>1</v>
      </c>
      <c r="AN449" s="1998">
        <f>IF(Construction!$F$31=Construction!$R$22,Oeko!DA449,Oeko!FN449)</f>
        <v>1</v>
      </c>
      <c r="AO449" s="1998">
        <f>IF(Construction!$F$31=Construction!$R$22,Oeko!DB449,Oeko!FO449)</f>
        <v>1</v>
      </c>
      <c r="AP449" s="1998">
        <f>IF(Construction!$F$31=Construction!$R$22,Oeko!DC449,Oeko!FP449)</f>
        <v>1</v>
      </c>
      <c r="AQ449" s="1998">
        <f>IF(Construction!$F$31=Construction!$R$22,Oeko!DD449,Oeko!FQ449)</f>
        <v>1</v>
      </c>
      <c r="AR449" s="1979">
        <f>IF(Construction!$F$31=Construction!$R$22,Oeko!DE449,Oeko!FR449)</f>
        <v>1</v>
      </c>
      <c r="AS449" s="1979">
        <f>IF(Construction!$F$31=Construction!$R$22,Oeko!DF449,Oeko!FS449)</f>
        <v>1</v>
      </c>
      <c r="AT449" s="1979">
        <f>IF(Construction!$F$31=Construction!$R$22,Oeko!DG449,Oeko!FT449)</f>
        <v>1</v>
      </c>
      <c r="AU449" s="1979">
        <f>IF(Construction!$F$31=Construction!$R$22,Oeko!DH449,Oeko!FU449)</f>
        <v>1</v>
      </c>
      <c r="AV449" s="1979">
        <f>IF(Construction!$F$31=Construction!$R$22,Oeko!DI449,Oeko!FV449)</f>
        <v>1</v>
      </c>
      <c r="AW449" s="1998">
        <f>IF(Construction!$F$31=Construction!$R$22,Oeko!DJ449,Oeko!FW449)</f>
        <v>1</v>
      </c>
      <c r="AX449" s="1998">
        <f>IF(Construction!$F$31=Construction!$R$22,Oeko!DK449,Oeko!FX449)</f>
        <v>1</v>
      </c>
      <c r="AY449" s="1998">
        <f>IF(Construction!$F$31=Construction!$R$22,Oeko!DL449,Oeko!FY449)</f>
        <v>1</v>
      </c>
      <c r="AZ449" s="1998">
        <f>IF(Construction!$F$31=Construction!$R$22,Oeko!DM449,Oeko!FZ449)</f>
        <v>1</v>
      </c>
      <c r="BA449" s="1998">
        <f>IF(Construction!$F$31=Construction!$R$22,Oeko!DN449,Oeko!GA449)</f>
        <v>1</v>
      </c>
      <c r="BB449" s="1979">
        <f>IF(Construction!$F$31=Construction!$R$22,Oeko!DO449,Oeko!GB449)</f>
        <v>0.12461206483213953</v>
      </c>
      <c r="BC449" s="1979">
        <f>IF(Construction!$F$31=Construction!$R$22,Oeko!DP449,Oeko!GC449)</f>
        <v>0.12461206483213953</v>
      </c>
      <c r="BD449" s="1979">
        <f>IF(Construction!$F$31=Construction!$R$22,Oeko!DQ449,Oeko!GD449)</f>
        <v>0.12461206483213953</v>
      </c>
      <c r="BE449" s="1979">
        <f>IF(Construction!$F$31=Construction!$R$22,Oeko!DR449,Oeko!GE449)</f>
        <v>0.12461206483213953</v>
      </c>
      <c r="BF449" s="1979">
        <f>IF(Construction!$F$31=Construction!$R$22,Oeko!DS449,Oeko!GF449)</f>
        <v>0.12461206483213953</v>
      </c>
      <c r="BG449" s="1998">
        <f>IF(Construction!$F$31=Construction!$R$22,Oeko!DT449,Oeko!GG449)</f>
        <v>0.12783559671100567</v>
      </c>
      <c r="BH449" s="1998">
        <f>IF(Construction!$F$31=Construction!$R$22,Oeko!DU449,Oeko!GH449)</f>
        <v>0.12783559671100567</v>
      </c>
      <c r="BI449" s="1998">
        <f>IF(Construction!$F$31=Construction!$R$22,Oeko!DV449,Oeko!GI449)</f>
        <v>0.12783559671100567</v>
      </c>
      <c r="BJ449" s="1998">
        <f>IF(Construction!$F$31=Construction!$R$22,Oeko!DW449,Oeko!GJ449)</f>
        <v>0.12783559671100567</v>
      </c>
      <c r="BK449" s="2026">
        <f>IF(Construction!$F$31=Construction!$R$22,Oeko!DX449,Oeko!GK449)</f>
        <v>0.12783559671100567</v>
      </c>
      <c r="BN449" s="2022"/>
      <c r="BO449" s="2">
        <v>26</v>
      </c>
      <c r="BP449" s="2" t="s">
        <v>4244</v>
      </c>
      <c r="BQ449" s="1979">
        <v>1</v>
      </c>
      <c r="BR449" s="1979">
        <v>1</v>
      </c>
      <c r="BS449" s="1979">
        <v>1</v>
      </c>
      <c r="BT449" s="1979">
        <v>1</v>
      </c>
      <c r="BU449" s="1979">
        <v>1</v>
      </c>
      <c r="BV449" s="1998">
        <v>1</v>
      </c>
      <c r="BW449" s="1998">
        <v>1</v>
      </c>
      <c r="BX449" s="1998">
        <v>1</v>
      </c>
      <c r="BY449" s="1998">
        <v>1</v>
      </c>
      <c r="BZ449" s="1998">
        <v>1</v>
      </c>
      <c r="CA449" s="1979">
        <v>1</v>
      </c>
      <c r="CB449" s="1979">
        <v>1</v>
      </c>
      <c r="CC449" s="1979">
        <v>1</v>
      </c>
      <c r="CD449" s="1979">
        <v>1</v>
      </c>
      <c r="CE449" s="1979">
        <v>1</v>
      </c>
      <c r="CF449" s="1998">
        <v>1</v>
      </c>
      <c r="CG449" s="1998">
        <v>1</v>
      </c>
      <c r="CH449" s="1998">
        <v>1</v>
      </c>
      <c r="CI449" s="1998">
        <v>1</v>
      </c>
      <c r="CJ449" s="1998">
        <v>1</v>
      </c>
      <c r="CK449" s="1979">
        <v>1</v>
      </c>
      <c r="CL449" s="1979">
        <v>1</v>
      </c>
      <c r="CM449" s="1979">
        <v>1</v>
      </c>
      <c r="CN449" s="1979">
        <v>1</v>
      </c>
      <c r="CO449" s="1979">
        <v>1</v>
      </c>
      <c r="CP449" s="1998">
        <v>1</v>
      </c>
      <c r="CQ449" s="1998">
        <v>1</v>
      </c>
      <c r="CR449" s="1998">
        <v>1</v>
      </c>
      <c r="CS449" s="1998">
        <v>1</v>
      </c>
      <c r="CT449" s="1998">
        <v>1</v>
      </c>
      <c r="CU449" s="1979">
        <v>1</v>
      </c>
      <c r="CV449" s="1979">
        <v>1</v>
      </c>
      <c r="CW449" s="1979">
        <v>1</v>
      </c>
      <c r="CX449" s="1979">
        <v>1</v>
      </c>
      <c r="CY449" s="1979">
        <v>1</v>
      </c>
      <c r="CZ449" s="1998">
        <v>1</v>
      </c>
      <c r="DA449" s="1998">
        <v>1</v>
      </c>
      <c r="DB449" s="1998">
        <v>1</v>
      </c>
      <c r="DC449" s="1998">
        <v>1</v>
      </c>
      <c r="DD449" s="1998">
        <v>1</v>
      </c>
      <c r="DE449" s="1979">
        <v>1</v>
      </c>
      <c r="DF449" s="1979">
        <v>1</v>
      </c>
      <c r="DG449" s="1979">
        <v>1</v>
      </c>
      <c r="DH449" s="1979">
        <v>1</v>
      </c>
      <c r="DI449" s="1979">
        <v>1</v>
      </c>
      <c r="DJ449" s="1998">
        <v>1</v>
      </c>
      <c r="DK449" s="1998">
        <v>1</v>
      </c>
      <c r="DL449" s="1998">
        <v>1</v>
      </c>
      <c r="DM449" s="1998">
        <v>1</v>
      </c>
      <c r="DN449" s="1998">
        <v>1</v>
      </c>
      <c r="DO449" s="1979">
        <v>0.12461206483213953</v>
      </c>
      <c r="DP449" s="1979">
        <v>0.12461206483213953</v>
      </c>
      <c r="DQ449" s="1979">
        <v>0.12461206483213953</v>
      </c>
      <c r="DR449" s="1979">
        <v>0.12461206483213953</v>
      </c>
      <c r="DS449" s="1979">
        <v>0.12461206483213953</v>
      </c>
      <c r="DT449" s="1998">
        <v>0.12783559671100567</v>
      </c>
      <c r="DU449" s="1998">
        <v>0.12783559671100567</v>
      </c>
      <c r="DV449" s="1998">
        <v>0.12783559671100567</v>
      </c>
      <c r="DW449" s="1998">
        <v>0.12783559671100567</v>
      </c>
      <c r="DX449" s="2026">
        <v>0.12783559671100567</v>
      </c>
      <c r="EA449" s="2022"/>
      <c r="EB449" s="2">
        <v>26</v>
      </c>
      <c r="EC449" s="2" t="s">
        <v>4244</v>
      </c>
      <c r="ED449" s="1979">
        <v>1.3605609674202821</v>
      </c>
      <c r="EE449" s="1979">
        <v>1.3605609674202821</v>
      </c>
      <c r="EF449" s="1979">
        <v>1.3605609674202821</v>
      </c>
      <c r="EG449" s="1979">
        <v>1.3605609674202821</v>
      </c>
      <c r="EH449" s="1979">
        <v>1.3605609674202821</v>
      </c>
      <c r="EI449" s="1998">
        <v>2.0966679740137137</v>
      </c>
      <c r="EJ449" s="1998">
        <v>2.0966679740137137</v>
      </c>
      <c r="EK449" s="1998">
        <v>2.0966679740137137</v>
      </c>
      <c r="EL449" s="1998">
        <v>2.0966679740137137</v>
      </c>
      <c r="EM449" s="1998">
        <v>2.0966679740137137</v>
      </c>
      <c r="EN449" s="1979">
        <v>1.4337071065592959</v>
      </c>
      <c r="EO449" s="1979">
        <v>1.4337071065592959</v>
      </c>
      <c r="EP449" s="1979">
        <v>1.4337071065592959</v>
      </c>
      <c r="EQ449" s="1979">
        <v>1.4337071065592959</v>
      </c>
      <c r="ER449" s="1979">
        <v>1.4337071065592959</v>
      </c>
      <c r="ES449" s="1998">
        <v>1.8379162318633464</v>
      </c>
      <c r="ET449" s="1998">
        <v>1.8379162318633464</v>
      </c>
      <c r="EU449" s="1998">
        <v>1.8379162318633464</v>
      </c>
      <c r="EV449" s="1998">
        <v>1.8379162318633464</v>
      </c>
      <c r="EW449" s="1998">
        <v>1.8379162318633464</v>
      </c>
      <c r="EX449" s="1979">
        <v>1.4662053104562123</v>
      </c>
      <c r="EY449" s="1979">
        <v>1.4662053104562123</v>
      </c>
      <c r="EZ449" s="1979">
        <v>1.4662053104562123</v>
      </c>
      <c r="FA449" s="1979">
        <v>1.4662053104562123</v>
      </c>
      <c r="FB449" s="1979">
        <v>1.4662053104562123</v>
      </c>
      <c r="FC449" s="1998">
        <v>2.0890613416456318</v>
      </c>
      <c r="FD449" s="1998">
        <v>2.0890613416456318</v>
      </c>
      <c r="FE449" s="1998">
        <v>2.0890613416456318</v>
      </c>
      <c r="FF449" s="1998">
        <v>2.0890613416456318</v>
      </c>
      <c r="FG449" s="1998">
        <v>2.0890613416456318</v>
      </c>
      <c r="FH449" s="1979">
        <v>2.3921927569513635</v>
      </c>
      <c r="FI449" s="1979">
        <v>2.3921927569513635</v>
      </c>
      <c r="FJ449" s="1979">
        <v>2.3921927569513635</v>
      </c>
      <c r="FK449" s="1979">
        <v>2.3921927569513635</v>
      </c>
      <c r="FL449" s="1979">
        <v>2.3921927569513635</v>
      </c>
      <c r="FM449" s="1998">
        <v>1.5115041757386145</v>
      </c>
      <c r="FN449" s="1998">
        <v>1.5115041757386145</v>
      </c>
      <c r="FO449" s="1998">
        <v>1.5115041757386145</v>
      </c>
      <c r="FP449" s="1998">
        <v>1.5115041757386145</v>
      </c>
      <c r="FQ449" s="1998">
        <v>1.5115041757386145</v>
      </c>
      <c r="FR449" s="1979">
        <v>8.1198212572277306</v>
      </c>
      <c r="FS449" s="1979">
        <v>8.1198212572277306</v>
      </c>
      <c r="FT449" s="1979">
        <v>8.1198212572277306</v>
      </c>
      <c r="FU449" s="1979">
        <v>8.1198212572277306</v>
      </c>
      <c r="FV449" s="1979">
        <v>8.1198212572277306</v>
      </c>
      <c r="FW449" s="1998">
        <v>8.4799072816005001</v>
      </c>
      <c r="FX449" s="1998">
        <v>8.4799072816005001</v>
      </c>
      <c r="FY449" s="1998">
        <v>8.4799072816005001</v>
      </c>
      <c r="FZ449" s="1998">
        <v>8.4799072816005001</v>
      </c>
      <c r="GA449" s="1998">
        <v>8.4799072816005001</v>
      </c>
      <c r="GB449" s="1979">
        <v>0.7736975763794911</v>
      </c>
      <c r="GC449" s="1979">
        <v>0.7736975763794911</v>
      </c>
      <c r="GD449" s="1979">
        <v>0.7736975763794911</v>
      </c>
      <c r="GE449" s="1979">
        <v>0.7736975763794911</v>
      </c>
      <c r="GF449" s="1979">
        <v>0.7736975763794911</v>
      </c>
      <c r="GG449" s="1998">
        <v>0.84158732719503859</v>
      </c>
      <c r="GH449" s="1998">
        <v>0.84158732719503859</v>
      </c>
      <c r="GI449" s="1998">
        <v>0.84158732719503859</v>
      </c>
      <c r="GJ449" s="1998">
        <v>0.84158732719503859</v>
      </c>
      <c r="GK449" s="2026">
        <v>0.84158732719503859</v>
      </c>
    </row>
    <row r="450" spans="1:193">
      <c r="A450" s="2020"/>
      <c r="B450" s="2">
        <v>27</v>
      </c>
      <c r="C450" s="2" t="s">
        <v>4259</v>
      </c>
      <c r="D450" s="1979">
        <f>IF(Construction!$F$31=Construction!$R$22,Oeko!BQ450,Oeko!ED450)</f>
        <v>1</v>
      </c>
      <c r="E450" s="1979">
        <f>IF(Construction!$F$31=Construction!$R$22,Oeko!BR450,Oeko!EE450)</f>
        <v>1</v>
      </c>
      <c r="F450" s="1979">
        <f>IF(Construction!$F$31=Construction!$R$22,Oeko!BS450,Oeko!EF450)</f>
        <v>1</v>
      </c>
      <c r="G450" s="1979">
        <f>IF(Construction!$F$31=Construction!$R$22,Oeko!BT450,Oeko!EG450)</f>
        <v>1</v>
      </c>
      <c r="H450" s="1979">
        <f>IF(Construction!$F$31=Construction!$R$22,Oeko!BU450,Oeko!EH450)</f>
        <v>1</v>
      </c>
      <c r="I450" s="1998">
        <f>IF(Construction!$F$31=Construction!$R$22,Oeko!BV450,Oeko!EI450)</f>
        <v>1</v>
      </c>
      <c r="J450" s="1998">
        <f>IF(Construction!$F$31=Construction!$R$22,Oeko!BW450,Oeko!EJ450)</f>
        <v>1</v>
      </c>
      <c r="K450" s="1998">
        <f>IF(Construction!$F$31=Construction!$R$22,Oeko!BX450,Oeko!EK450)</f>
        <v>1</v>
      </c>
      <c r="L450" s="1998">
        <f>IF(Construction!$F$31=Construction!$R$22,Oeko!BY450,Oeko!EL450)</f>
        <v>1</v>
      </c>
      <c r="M450" s="1998">
        <f>IF(Construction!$F$31=Construction!$R$22,Oeko!BZ450,Oeko!EM450)</f>
        <v>1</v>
      </c>
      <c r="N450" s="1979">
        <f>IF(Construction!$F$31=Construction!$R$22,Oeko!CA450,Oeko!EN450)</f>
        <v>1</v>
      </c>
      <c r="O450" s="1979">
        <f>IF(Construction!$F$31=Construction!$R$22,Oeko!CB450,Oeko!EO450)</f>
        <v>1</v>
      </c>
      <c r="P450" s="1979">
        <f>IF(Construction!$F$31=Construction!$R$22,Oeko!CC450,Oeko!EP450)</f>
        <v>1</v>
      </c>
      <c r="Q450" s="1979">
        <f>IF(Construction!$F$31=Construction!$R$22,Oeko!CD450,Oeko!EQ450)</f>
        <v>1</v>
      </c>
      <c r="R450" s="1979">
        <f>IF(Construction!$F$31=Construction!$R$22,Oeko!CE450,Oeko!ER450)</f>
        <v>1</v>
      </c>
      <c r="S450" s="1998">
        <f>IF(Construction!$F$31=Construction!$R$22,Oeko!CF450,Oeko!ES450)</f>
        <v>1</v>
      </c>
      <c r="T450" s="1998">
        <f>IF(Construction!$F$31=Construction!$R$22,Oeko!CG450,Oeko!ET450)</f>
        <v>1</v>
      </c>
      <c r="U450" s="1998">
        <f>IF(Construction!$F$31=Construction!$R$22,Oeko!CH450,Oeko!EU450)</f>
        <v>1</v>
      </c>
      <c r="V450" s="1998">
        <f>IF(Construction!$F$31=Construction!$R$22,Oeko!CI450,Oeko!EV450)</f>
        <v>1</v>
      </c>
      <c r="W450" s="1998">
        <f>IF(Construction!$F$31=Construction!$R$22,Oeko!CJ450,Oeko!EW450)</f>
        <v>1</v>
      </c>
      <c r="X450" s="1979">
        <f>IF(Construction!$F$31=Construction!$R$22,Oeko!CK450,Oeko!EX450)</f>
        <v>1</v>
      </c>
      <c r="Y450" s="1979">
        <f>IF(Construction!$F$31=Construction!$R$22,Oeko!CL450,Oeko!EY450)</f>
        <v>1</v>
      </c>
      <c r="Z450" s="1979">
        <f>IF(Construction!$F$31=Construction!$R$22,Oeko!CM450,Oeko!EZ450)</f>
        <v>1</v>
      </c>
      <c r="AA450" s="1979">
        <f>IF(Construction!$F$31=Construction!$R$22,Oeko!CN450,Oeko!FA450)</f>
        <v>1</v>
      </c>
      <c r="AB450" s="1979">
        <f>IF(Construction!$F$31=Construction!$R$22,Oeko!CO450,Oeko!FB450)</f>
        <v>1</v>
      </c>
      <c r="AC450" s="1998">
        <f>IF(Construction!$F$31=Construction!$R$22,Oeko!CP450,Oeko!FC450)</f>
        <v>1</v>
      </c>
      <c r="AD450" s="1998">
        <f>IF(Construction!$F$31=Construction!$R$22,Oeko!CQ450,Oeko!FD450)</f>
        <v>1</v>
      </c>
      <c r="AE450" s="1998">
        <f>IF(Construction!$F$31=Construction!$R$22,Oeko!CR450,Oeko!FE450)</f>
        <v>1</v>
      </c>
      <c r="AF450" s="1998">
        <f>IF(Construction!$F$31=Construction!$R$22,Oeko!CS450,Oeko!FF450)</f>
        <v>1</v>
      </c>
      <c r="AG450" s="1998">
        <f>IF(Construction!$F$31=Construction!$R$22,Oeko!CT450,Oeko!FG450)</f>
        <v>1</v>
      </c>
      <c r="AH450" s="1979">
        <f>IF(Construction!$F$31=Construction!$R$22,Oeko!CU450,Oeko!FH450)</f>
        <v>1</v>
      </c>
      <c r="AI450" s="1979">
        <f>IF(Construction!$F$31=Construction!$R$22,Oeko!CV450,Oeko!FI450)</f>
        <v>1</v>
      </c>
      <c r="AJ450" s="1979">
        <f>IF(Construction!$F$31=Construction!$R$22,Oeko!CW450,Oeko!FJ450)</f>
        <v>1</v>
      </c>
      <c r="AK450" s="1979">
        <f>IF(Construction!$F$31=Construction!$R$22,Oeko!CX450,Oeko!FK450)</f>
        <v>1</v>
      </c>
      <c r="AL450" s="1979">
        <f>IF(Construction!$F$31=Construction!$R$22,Oeko!CY450,Oeko!FL450)</f>
        <v>1</v>
      </c>
      <c r="AM450" s="1998">
        <f>IF(Construction!$F$31=Construction!$R$22,Oeko!CZ450,Oeko!FM450)</f>
        <v>1.1666666666666665</v>
      </c>
      <c r="AN450" s="1998">
        <f>IF(Construction!$F$31=Construction!$R$22,Oeko!DA450,Oeko!FN450)</f>
        <v>1.1666666666666665</v>
      </c>
      <c r="AO450" s="1998">
        <f>IF(Construction!$F$31=Construction!$R$22,Oeko!DB450,Oeko!FO450)</f>
        <v>1.1666666666666665</v>
      </c>
      <c r="AP450" s="1998">
        <f>IF(Construction!$F$31=Construction!$R$22,Oeko!DC450,Oeko!FP450)</f>
        <v>1.1666666666666665</v>
      </c>
      <c r="AQ450" s="1998">
        <f>IF(Construction!$F$31=Construction!$R$22,Oeko!DD450,Oeko!FQ450)</f>
        <v>1.1666666666666665</v>
      </c>
      <c r="AR450" s="1979">
        <f>IF(Construction!$F$31=Construction!$R$22,Oeko!DE450,Oeko!FR450)</f>
        <v>1</v>
      </c>
      <c r="AS450" s="1979">
        <f>IF(Construction!$F$31=Construction!$R$22,Oeko!DF450,Oeko!FS450)</f>
        <v>1</v>
      </c>
      <c r="AT450" s="1979">
        <f>IF(Construction!$F$31=Construction!$R$22,Oeko!DG450,Oeko!FT450)</f>
        <v>1</v>
      </c>
      <c r="AU450" s="1979">
        <f>IF(Construction!$F$31=Construction!$R$22,Oeko!DH450,Oeko!FU450)</f>
        <v>1</v>
      </c>
      <c r="AV450" s="1979">
        <f>IF(Construction!$F$31=Construction!$R$22,Oeko!DI450,Oeko!FV450)</f>
        <v>1</v>
      </c>
      <c r="AW450" s="1998">
        <f>IF(Construction!$F$31=Construction!$R$22,Oeko!DJ450,Oeko!FW450)</f>
        <v>1</v>
      </c>
      <c r="AX450" s="1998">
        <f>IF(Construction!$F$31=Construction!$R$22,Oeko!DK450,Oeko!FX450)</f>
        <v>1</v>
      </c>
      <c r="AY450" s="1998">
        <f>IF(Construction!$F$31=Construction!$R$22,Oeko!DL450,Oeko!FY450)</f>
        <v>1</v>
      </c>
      <c r="AZ450" s="1998">
        <f>IF(Construction!$F$31=Construction!$R$22,Oeko!DM450,Oeko!FZ450)</f>
        <v>1</v>
      </c>
      <c r="BA450" s="1998">
        <f>IF(Construction!$F$31=Construction!$R$22,Oeko!DN450,Oeko!GA450)</f>
        <v>1</v>
      </c>
      <c r="BB450" s="1979">
        <f>IF(Construction!$F$31=Construction!$R$22,Oeko!DO450,Oeko!GB450)</f>
        <v>0.12461206483213953</v>
      </c>
      <c r="BC450" s="1979">
        <f>IF(Construction!$F$31=Construction!$R$22,Oeko!DP450,Oeko!GC450)</f>
        <v>0.12461206483213953</v>
      </c>
      <c r="BD450" s="1979">
        <f>IF(Construction!$F$31=Construction!$R$22,Oeko!DQ450,Oeko!GD450)</f>
        <v>0.12461206483213953</v>
      </c>
      <c r="BE450" s="1979">
        <f>IF(Construction!$F$31=Construction!$R$22,Oeko!DR450,Oeko!GE450)</f>
        <v>0.12461206483213953</v>
      </c>
      <c r="BF450" s="1979">
        <f>IF(Construction!$F$31=Construction!$R$22,Oeko!DS450,Oeko!GF450)</f>
        <v>0.12461206483213953</v>
      </c>
      <c r="BG450" s="1998">
        <f>IF(Construction!$F$31=Construction!$R$22,Oeko!DT450,Oeko!GG450)</f>
        <v>0.12783559671100567</v>
      </c>
      <c r="BH450" s="1998">
        <f>IF(Construction!$F$31=Construction!$R$22,Oeko!DU450,Oeko!GH450)</f>
        <v>0.12783559671100567</v>
      </c>
      <c r="BI450" s="1998">
        <f>IF(Construction!$F$31=Construction!$R$22,Oeko!DV450,Oeko!GI450)</f>
        <v>0.12783559671100567</v>
      </c>
      <c r="BJ450" s="1998">
        <f>IF(Construction!$F$31=Construction!$R$22,Oeko!DW450,Oeko!GJ450)</f>
        <v>0.12783559671100567</v>
      </c>
      <c r="BK450" s="2026">
        <f>IF(Construction!$F$31=Construction!$R$22,Oeko!DX450,Oeko!GK450)</f>
        <v>0.12783559671100567</v>
      </c>
      <c r="BN450" s="2022"/>
      <c r="BO450" s="2">
        <v>27</v>
      </c>
      <c r="BP450" s="2" t="s">
        <v>4259</v>
      </c>
      <c r="BQ450" s="1979">
        <v>1</v>
      </c>
      <c r="BR450" s="1979">
        <v>1</v>
      </c>
      <c r="BS450" s="1979">
        <v>1</v>
      </c>
      <c r="BT450" s="1979">
        <v>1</v>
      </c>
      <c r="BU450" s="1979">
        <v>1</v>
      </c>
      <c r="BV450" s="1998">
        <v>1</v>
      </c>
      <c r="BW450" s="1998">
        <v>1</v>
      </c>
      <c r="BX450" s="1998">
        <v>1</v>
      </c>
      <c r="BY450" s="1998">
        <v>1</v>
      </c>
      <c r="BZ450" s="1998">
        <v>1</v>
      </c>
      <c r="CA450" s="1979">
        <v>1</v>
      </c>
      <c r="CB450" s="1979">
        <v>1</v>
      </c>
      <c r="CC450" s="1979">
        <v>1</v>
      </c>
      <c r="CD450" s="1979">
        <v>1</v>
      </c>
      <c r="CE450" s="1979">
        <v>1</v>
      </c>
      <c r="CF450" s="1998">
        <v>1</v>
      </c>
      <c r="CG450" s="1998">
        <v>1</v>
      </c>
      <c r="CH450" s="1998">
        <v>1</v>
      </c>
      <c r="CI450" s="1998">
        <v>1</v>
      </c>
      <c r="CJ450" s="1998">
        <v>1</v>
      </c>
      <c r="CK450" s="1979">
        <v>1</v>
      </c>
      <c r="CL450" s="1979">
        <v>1</v>
      </c>
      <c r="CM450" s="1979">
        <v>1</v>
      </c>
      <c r="CN450" s="1979">
        <v>1</v>
      </c>
      <c r="CO450" s="1979">
        <v>1</v>
      </c>
      <c r="CP450" s="1998">
        <v>1</v>
      </c>
      <c r="CQ450" s="1998">
        <v>1</v>
      </c>
      <c r="CR450" s="1998">
        <v>1</v>
      </c>
      <c r="CS450" s="1998">
        <v>1</v>
      </c>
      <c r="CT450" s="1998">
        <v>1</v>
      </c>
      <c r="CU450" s="1979">
        <v>1</v>
      </c>
      <c r="CV450" s="1979">
        <v>1</v>
      </c>
      <c r="CW450" s="1979">
        <v>1</v>
      </c>
      <c r="CX450" s="1979">
        <v>1</v>
      </c>
      <c r="CY450" s="1979">
        <v>1</v>
      </c>
      <c r="CZ450" s="1998">
        <v>1.1666666666666665</v>
      </c>
      <c r="DA450" s="1998">
        <v>1.1666666666666665</v>
      </c>
      <c r="DB450" s="1998">
        <v>1.1666666666666665</v>
      </c>
      <c r="DC450" s="1998">
        <v>1.1666666666666665</v>
      </c>
      <c r="DD450" s="1998">
        <v>1.1666666666666665</v>
      </c>
      <c r="DE450" s="1979">
        <v>1</v>
      </c>
      <c r="DF450" s="1979">
        <v>1</v>
      </c>
      <c r="DG450" s="1979">
        <v>1</v>
      </c>
      <c r="DH450" s="1979">
        <v>1</v>
      </c>
      <c r="DI450" s="1979">
        <v>1</v>
      </c>
      <c r="DJ450" s="1998">
        <v>1</v>
      </c>
      <c r="DK450" s="1998">
        <v>1</v>
      </c>
      <c r="DL450" s="1998">
        <v>1</v>
      </c>
      <c r="DM450" s="1998">
        <v>1</v>
      </c>
      <c r="DN450" s="1998">
        <v>1</v>
      </c>
      <c r="DO450" s="1979">
        <v>0.12461206483213953</v>
      </c>
      <c r="DP450" s="1979">
        <v>0.12461206483213953</v>
      </c>
      <c r="DQ450" s="1979">
        <v>0.12461206483213953</v>
      </c>
      <c r="DR450" s="1979">
        <v>0.12461206483213953</v>
      </c>
      <c r="DS450" s="1979">
        <v>0.12461206483213953</v>
      </c>
      <c r="DT450" s="1998">
        <v>0.12783559671100567</v>
      </c>
      <c r="DU450" s="1998">
        <v>0.12783559671100567</v>
      </c>
      <c r="DV450" s="1998">
        <v>0.12783559671100567</v>
      </c>
      <c r="DW450" s="1998">
        <v>0.12783559671100567</v>
      </c>
      <c r="DX450" s="2026">
        <v>0.12783559671100567</v>
      </c>
      <c r="EA450" s="2022"/>
      <c r="EB450" s="2">
        <v>27</v>
      </c>
      <c r="EC450" s="2" t="s">
        <v>4259</v>
      </c>
      <c r="ED450" s="1979">
        <v>1.419345659456952</v>
      </c>
      <c r="EE450" s="1979">
        <v>1.419345659456952</v>
      </c>
      <c r="EF450" s="1979">
        <v>1.419345659456952</v>
      </c>
      <c r="EG450" s="1979">
        <v>1.419345659456952</v>
      </c>
      <c r="EH450" s="1979">
        <v>1.419345659456952</v>
      </c>
      <c r="EI450" s="1998">
        <v>2.4716056316257515</v>
      </c>
      <c r="EJ450" s="1998">
        <v>2.4716056316257515</v>
      </c>
      <c r="EK450" s="1998">
        <v>2.4716056316257515</v>
      </c>
      <c r="EL450" s="1998">
        <v>2.4716056316257515</v>
      </c>
      <c r="EM450" s="1998">
        <v>2.4716056316257515</v>
      </c>
      <c r="EN450" s="1979">
        <v>1.4848349689609373</v>
      </c>
      <c r="EO450" s="1979">
        <v>1.4848349689609373</v>
      </c>
      <c r="EP450" s="1979">
        <v>1.4848349689609373</v>
      </c>
      <c r="EQ450" s="1979">
        <v>1.4848349689609373</v>
      </c>
      <c r="ER450" s="1979">
        <v>1.4848349689609373</v>
      </c>
      <c r="ES450" s="1998">
        <v>2.0301191220028505</v>
      </c>
      <c r="ET450" s="1998">
        <v>2.0301191220028505</v>
      </c>
      <c r="EU450" s="1998">
        <v>2.0301191220028505</v>
      </c>
      <c r="EV450" s="1998">
        <v>2.0301191220028505</v>
      </c>
      <c r="EW450" s="1998">
        <v>2.0301191220028505</v>
      </c>
      <c r="EX450" s="1979">
        <v>1.5343757936584008</v>
      </c>
      <c r="EY450" s="1979">
        <v>1.5343757936584008</v>
      </c>
      <c r="EZ450" s="1979">
        <v>1.5343757936584008</v>
      </c>
      <c r="FA450" s="1979">
        <v>1.5343757936584008</v>
      </c>
      <c r="FB450" s="1979">
        <v>1.5343757936584008</v>
      </c>
      <c r="FC450" s="1998">
        <v>2.4390031554168674</v>
      </c>
      <c r="FD450" s="1998">
        <v>2.4390031554168674</v>
      </c>
      <c r="FE450" s="1998">
        <v>2.4390031554168674</v>
      </c>
      <c r="FF450" s="1998">
        <v>2.4390031554168674</v>
      </c>
      <c r="FG450" s="1998">
        <v>2.4390031554168674</v>
      </c>
      <c r="FH450" s="1979">
        <v>2.7330451729623064</v>
      </c>
      <c r="FI450" s="1979">
        <v>2.7330451729623064</v>
      </c>
      <c r="FJ450" s="1979">
        <v>2.7330451729623064</v>
      </c>
      <c r="FK450" s="1979">
        <v>2.7330451729623064</v>
      </c>
      <c r="FL450" s="1979">
        <v>2.7330451729623064</v>
      </c>
      <c r="FM450" s="1998">
        <v>1.8301657716190503</v>
      </c>
      <c r="FN450" s="1998">
        <v>1.8301657716190503</v>
      </c>
      <c r="FO450" s="1998">
        <v>1.8301657716190503</v>
      </c>
      <c r="FP450" s="1998">
        <v>1.8301657716190503</v>
      </c>
      <c r="FQ450" s="1998">
        <v>1.8301657716190503</v>
      </c>
      <c r="FR450" s="1979">
        <v>10.7444107116903</v>
      </c>
      <c r="FS450" s="1979">
        <v>10.7444107116903</v>
      </c>
      <c r="FT450" s="1979">
        <v>10.7444107116903</v>
      </c>
      <c r="FU450" s="1979">
        <v>10.7444107116903</v>
      </c>
      <c r="FV450" s="1979">
        <v>10.7444107116903</v>
      </c>
      <c r="FW450" s="1998">
        <v>11.126674907004146</v>
      </c>
      <c r="FX450" s="1998">
        <v>11.126674907004146</v>
      </c>
      <c r="FY450" s="1998">
        <v>11.126674907004146</v>
      </c>
      <c r="FZ450" s="1998">
        <v>11.126674907004146</v>
      </c>
      <c r="GA450" s="1998">
        <v>11.126674907004146</v>
      </c>
      <c r="GB450" s="1979">
        <v>1.0973745296033908</v>
      </c>
      <c r="GC450" s="1979">
        <v>1.0973745296033908</v>
      </c>
      <c r="GD450" s="1979">
        <v>1.0973745296033908</v>
      </c>
      <c r="GE450" s="1979">
        <v>1.0973745296033908</v>
      </c>
      <c r="GF450" s="1979">
        <v>1.0973745296033908</v>
      </c>
      <c r="GG450" s="1998">
        <v>1.1676555383243121</v>
      </c>
      <c r="GH450" s="1998">
        <v>1.1676555383243121</v>
      </c>
      <c r="GI450" s="1998">
        <v>1.1676555383243121</v>
      </c>
      <c r="GJ450" s="1998">
        <v>1.1676555383243121</v>
      </c>
      <c r="GK450" s="2026">
        <v>1.1676555383243121</v>
      </c>
    </row>
    <row r="451" spans="1:193">
      <c r="A451" s="2020"/>
      <c r="B451" s="2">
        <v>28</v>
      </c>
      <c r="C451" s="2" t="s">
        <v>4274</v>
      </c>
      <c r="D451" s="1979">
        <f>IF(Construction!$F$31=Construction!$R$22,Oeko!BQ451,Oeko!ED451)</f>
        <v>1.3333333333333333</v>
      </c>
      <c r="E451" s="1979">
        <f>IF(Construction!$F$31=Construction!$R$22,Oeko!BR451,Oeko!EE451)</f>
        <v>1.3333333333333333</v>
      </c>
      <c r="F451" s="1979">
        <f>IF(Construction!$F$31=Construction!$R$22,Oeko!BS451,Oeko!EF451)</f>
        <v>1.3333333333333333</v>
      </c>
      <c r="G451" s="1979">
        <f>IF(Construction!$F$31=Construction!$R$22,Oeko!BT451,Oeko!EG451)</f>
        <v>1.3333333333333333</v>
      </c>
      <c r="H451" s="1979">
        <f>IF(Construction!$F$31=Construction!$R$22,Oeko!BU451,Oeko!EH451)</f>
        <v>1.3333333333333333</v>
      </c>
      <c r="I451" s="1998">
        <f>IF(Construction!$F$31=Construction!$R$22,Oeko!BV451,Oeko!EI451)</f>
        <v>1</v>
      </c>
      <c r="J451" s="1998">
        <f>IF(Construction!$F$31=Construction!$R$22,Oeko!BW451,Oeko!EJ451)</f>
        <v>1</v>
      </c>
      <c r="K451" s="1998">
        <f>IF(Construction!$F$31=Construction!$R$22,Oeko!BX451,Oeko!EK451)</f>
        <v>1</v>
      </c>
      <c r="L451" s="1998">
        <f>IF(Construction!$F$31=Construction!$R$22,Oeko!BY451,Oeko!EL451)</f>
        <v>1</v>
      </c>
      <c r="M451" s="1998">
        <f>IF(Construction!$F$31=Construction!$R$22,Oeko!BZ451,Oeko!EM451)</f>
        <v>1</v>
      </c>
      <c r="N451" s="1979">
        <f>IF(Construction!$F$31=Construction!$R$22,Oeko!CA451,Oeko!EN451)</f>
        <v>1</v>
      </c>
      <c r="O451" s="1979">
        <f>IF(Construction!$F$31=Construction!$R$22,Oeko!CB451,Oeko!EO451)</f>
        <v>1</v>
      </c>
      <c r="P451" s="1979">
        <f>IF(Construction!$F$31=Construction!$R$22,Oeko!CC451,Oeko!EP451)</f>
        <v>1</v>
      </c>
      <c r="Q451" s="1979">
        <f>IF(Construction!$F$31=Construction!$R$22,Oeko!CD451,Oeko!EQ451)</f>
        <v>1</v>
      </c>
      <c r="R451" s="1979">
        <f>IF(Construction!$F$31=Construction!$R$22,Oeko!CE451,Oeko!ER451)</f>
        <v>1</v>
      </c>
      <c r="S451" s="1998">
        <f>IF(Construction!$F$31=Construction!$R$22,Oeko!CF451,Oeko!ES451)</f>
        <v>1</v>
      </c>
      <c r="T451" s="1998">
        <f>IF(Construction!$F$31=Construction!$R$22,Oeko!CG451,Oeko!ET451)</f>
        <v>1</v>
      </c>
      <c r="U451" s="1998">
        <f>IF(Construction!$F$31=Construction!$R$22,Oeko!CH451,Oeko!EU451)</f>
        <v>1</v>
      </c>
      <c r="V451" s="1998">
        <f>IF(Construction!$F$31=Construction!$R$22,Oeko!CI451,Oeko!EV451)</f>
        <v>1</v>
      </c>
      <c r="W451" s="1998">
        <f>IF(Construction!$F$31=Construction!$R$22,Oeko!CJ451,Oeko!EW451)</f>
        <v>1</v>
      </c>
      <c r="X451" s="1979">
        <f>IF(Construction!$F$31=Construction!$R$22,Oeko!CK451,Oeko!EX451)</f>
        <v>1</v>
      </c>
      <c r="Y451" s="1979">
        <f>IF(Construction!$F$31=Construction!$R$22,Oeko!CL451,Oeko!EY451)</f>
        <v>1</v>
      </c>
      <c r="Z451" s="1979">
        <f>IF(Construction!$F$31=Construction!$R$22,Oeko!CM451,Oeko!EZ451)</f>
        <v>1</v>
      </c>
      <c r="AA451" s="1979">
        <f>IF(Construction!$F$31=Construction!$R$22,Oeko!CN451,Oeko!FA451)</f>
        <v>1</v>
      </c>
      <c r="AB451" s="1979">
        <f>IF(Construction!$F$31=Construction!$R$22,Oeko!CO451,Oeko!FB451)</f>
        <v>1</v>
      </c>
      <c r="AC451" s="1998">
        <f>IF(Construction!$F$31=Construction!$R$22,Oeko!CP451,Oeko!FC451)</f>
        <v>1</v>
      </c>
      <c r="AD451" s="1998">
        <f>IF(Construction!$F$31=Construction!$R$22,Oeko!CQ451,Oeko!FD451)</f>
        <v>1</v>
      </c>
      <c r="AE451" s="1998">
        <f>IF(Construction!$F$31=Construction!$R$22,Oeko!CR451,Oeko!FE451)</f>
        <v>1</v>
      </c>
      <c r="AF451" s="1998">
        <f>IF(Construction!$F$31=Construction!$R$22,Oeko!CS451,Oeko!FF451)</f>
        <v>1</v>
      </c>
      <c r="AG451" s="1998">
        <f>IF(Construction!$F$31=Construction!$R$22,Oeko!CT451,Oeko!FG451)</f>
        <v>1</v>
      </c>
      <c r="AH451" s="1979">
        <f>IF(Construction!$F$31=Construction!$R$22,Oeko!CU451,Oeko!FH451)</f>
        <v>1</v>
      </c>
      <c r="AI451" s="1979">
        <f>IF(Construction!$F$31=Construction!$R$22,Oeko!CV451,Oeko!FI451)</f>
        <v>1</v>
      </c>
      <c r="AJ451" s="1979">
        <f>IF(Construction!$F$31=Construction!$R$22,Oeko!CW451,Oeko!FJ451)</f>
        <v>1</v>
      </c>
      <c r="AK451" s="1979">
        <f>IF(Construction!$F$31=Construction!$R$22,Oeko!CX451,Oeko!FK451)</f>
        <v>1</v>
      </c>
      <c r="AL451" s="1979">
        <f>IF(Construction!$F$31=Construction!$R$22,Oeko!CY451,Oeko!FL451)</f>
        <v>1</v>
      </c>
      <c r="AM451" s="1998">
        <f>IF(Construction!$F$31=Construction!$R$22,Oeko!CZ451,Oeko!FM451)</f>
        <v>1.3333333333333333</v>
      </c>
      <c r="AN451" s="1998">
        <f>IF(Construction!$F$31=Construction!$R$22,Oeko!DA451,Oeko!FN451)</f>
        <v>1.3333333333333333</v>
      </c>
      <c r="AO451" s="1998">
        <f>IF(Construction!$F$31=Construction!$R$22,Oeko!DB451,Oeko!FO451)</f>
        <v>1.3333333333333333</v>
      </c>
      <c r="AP451" s="1998">
        <f>IF(Construction!$F$31=Construction!$R$22,Oeko!DC451,Oeko!FP451)</f>
        <v>1.3333333333333333</v>
      </c>
      <c r="AQ451" s="1998">
        <f>IF(Construction!$F$31=Construction!$R$22,Oeko!DD451,Oeko!FQ451)</f>
        <v>1.3333333333333333</v>
      </c>
      <c r="AR451" s="1979">
        <f>IF(Construction!$F$31=Construction!$R$22,Oeko!DE451,Oeko!FR451)</f>
        <v>1</v>
      </c>
      <c r="AS451" s="1979">
        <f>IF(Construction!$F$31=Construction!$R$22,Oeko!DF451,Oeko!FS451)</f>
        <v>1</v>
      </c>
      <c r="AT451" s="1979">
        <f>IF(Construction!$F$31=Construction!$R$22,Oeko!DG451,Oeko!FT451)</f>
        <v>1</v>
      </c>
      <c r="AU451" s="1979">
        <f>IF(Construction!$F$31=Construction!$R$22,Oeko!DH451,Oeko!FU451)</f>
        <v>1</v>
      </c>
      <c r="AV451" s="1979">
        <f>IF(Construction!$F$31=Construction!$R$22,Oeko!DI451,Oeko!FV451)</f>
        <v>1</v>
      </c>
      <c r="AW451" s="1998">
        <f>IF(Construction!$F$31=Construction!$R$22,Oeko!DJ451,Oeko!FW451)</f>
        <v>1</v>
      </c>
      <c r="AX451" s="1998">
        <f>IF(Construction!$F$31=Construction!$R$22,Oeko!DK451,Oeko!FX451)</f>
        <v>1</v>
      </c>
      <c r="AY451" s="1998">
        <f>IF(Construction!$F$31=Construction!$R$22,Oeko!DL451,Oeko!FY451)</f>
        <v>1</v>
      </c>
      <c r="AZ451" s="1998">
        <f>IF(Construction!$F$31=Construction!$R$22,Oeko!DM451,Oeko!FZ451)</f>
        <v>1</v>
      </c>
      <c r="BA451" s="1998">
        <f>IF(Construction!$F$31=Construction!$R$22,Oeko!DN451,Oeko!GA451)</f>
        <v>1</v>
      </c>
      <c r="BB451" s="1979">
        <f>IF(Construction!$F$31=Construction!$R$22,Oeko!DO451,Oeko!GB451)</f>
        <v>0.12461206483213953</v>
      </c>
      <c r="BC451" s="1979">
        <f>IF(Construction!$F$31=Construction!$R$22,Oeko!DP451,Oeko!GC451)</f>
        <v>0.12461206483213953</v>
      </c>
      <c r="BD451" s="1979">
        <f>IF(Construction!$F$31=Construction!$R$22,Oeko!DQ451,Oeko!GD451)</f>
        <v>0.12461206483213953</v>
      </c>
      <c r="BE451" s="1979">
        <f>IF(Construction!$F$31=Construction!$R$22,Oeko!DR451,Oeko!GE451)</f>
        <v>0.12461206483213953</v>
      </c>
      <c r="BF451" s="1979">
        <f>IF(Construction!$F$31=Construction!$R$22,Oeko!DS451,Oeko!GF451)</f>
        <v>0.12461206483213953</v>
      </c>
      <c r="BG451" s="1998">
        <f>IF(Construction!$F$31=Construction!$R$22,Oeko!DT451,Oeko!GG451)</f>
        <v>0.12783559671100567</v>
      </c>
      <c r="BH451" s="1998">
        <f>IF(Construction!$F$31=Construction!$R$22,Oeko!DU451,Oeko!GH451)</f>
        <v>0.12783559671100567</v>
      </c>
      <c r="BI451" s="1998">
        <f>IF(Construction!$F$31=Construction!$R$22,Oeko!DV451,Oeko!GI451)</f>
        <v>0.12783559671100567</v>
      </c>
      <c r="BJ451" s="1998">
        <f>IF(Construction!$F$31=Construction!$R$22,Oeko!DW451,Oeko!GJ451)</f>
        <v>0.12783559671100567</v>
      </c>
      <c r="BK451" s="2026">
        <f>IF(Construction!$F$31=Construction!$R$22,Oeko!DX451,Oeko!GK451)</f>
        <v>0.12783559671100567</v>
      </c>
      <c r="BN451" s="2022"/>
      <c r="BO451" s="2">
        <v>28</v>
      </c>
      <c r="BP451" s="2" t="s">
        <v>4274</v>
      </c>
      <c r="BQ451" s="1979">
        <v>1.3333333333333333</v>
      </c>
      <c r="BR451" s="1979">
        <v>1.3333333333333333</v>
      </c>
      <c r="BS451" s="1979">
        <v>1.3333333333333333</v>
      </c>
      <c r="BT451" s="1979">
        <v>1.3333333333333333</v>
      </c>
      <c r="BU451" s="1979">
        <v>1.3333333333333333</v>
      </c>
      <c r="BV451" s="1998">
        <v>1</v>
      </c>
      <c r="BW451" s="1998">
        <v>1</v>
      </c>
      <c r="BX451" s="1998">
        <v>1</v>
      </c>
      <c r="BY451" s="1998">
        <v>1</v>
      </c>
      <c r="BZ451" s="1998">
        <v>1</v>
      </c>
      <c r="CA451" s="1979">
        <v>1</v>
      </c>
      <c r="CB451" s="1979">
        <v>1</v>
      </c>
      <c r="CC451" s="1979">
        <v>1</v>
      </c>
      <c r="CD451" s="1979">
        <v>1</v>
      </c>
      <c r="CE451" s="1979">
        <v>1</v>
      </c>
      <c r="CF451" s="1998">
        <v>1</v>
      </c>
      <c r="CG451" s="1998">
        <v>1</v>
      </c>
      <c r="CH451" s="1998">
        <v>1</v>
      </c>
      <c r="CI451" s="1998">
        <v>1</v>
      </c>
      <c r="CJ451" s="1998">
        <v>1</v>
      </c>
      <c r="CK451" s="1979">
        <v>1</v>
      </c>
      <c r="CL451" s="1979">
        <v>1</v>
      </c>
      <c r="CM451" s="1979">
        <v>1</v>
      </c>
      <c r="CN451" s="1979">
        <v>1</v>
      </c>
      <c r="CO451" s="1979">
        <v>1</v>
      </c>
      <c r="CP451" s="1998">
        <v>1</v>
      </c>
      <c r="CQ451" s="1998">
        <v>1</v>
      </c>
      <c r="CR451" s="1998">
        <v>1</v>
      </c>
      <c r="CS451" s="1998">
        <v>1</v>
      </c>
      <c r="CT451" s="1998">
        <v>1</v>
      </c>
      <c r="CU451" s="1979">
        <v>1</v>
      </c>
      <c r="CV451" s="1979">
        <v>1</v>
      </c>
      <c r="CW451" s="1979">
        <v>1</v>
      </c>
      <c r="CX451" s="1979">
        <v>1</v>
      </c>
      <c r="CY451" s="1979">
        <v>1</v>
      </c>
      <c r="CZ451" s="1998">
        <v>1.3333333333333333</v>
      </c>
      <c r="DA451" s="1998">
        <v>1.3333333333333333</v>
      </c>
      <c r="DB451" s="1998">
        <v>1.3333333333333333</v>
      </c>
      <c r="DC451" s="1998">
        <v>1.3333333333333333</v>
      </c>
      <c r="DD451" s="1998">
        <v>1.3333333333333333</v>
      </c>
      <c r="DE451" s="1979">
        <v>1</v>
      </c>
      <c r="DF451" s="1979">
        <v>1</v>
      </c>
      <c r="DG451" s="1979">
        <v>1</v>
      </c>
      <c r="DH451" s="1979">
        <v>1</v>
      </c>
      <c r="DI451" s="1979">
        <v>1</v>
      </c>
      <c r="DJ451" s="1998">
        <v>1</v>
      </c>
      <c r="DK451" s="1998">
        <v>1</v>
      </c>
      <c r="DL451" s="1998">
        <v>1</v>
      </c>
      <c r="DM451" s="1998">
        <v>1</v>
      </c>
      <c r="DN451" s="1998">
        <v>1</v>
      </c>
      <c r="DO451" s="1979">
        <v>0.12461206483213953</v>
      </c>
      <c r="DP451" s="1979">
        <v>0.12461206483213953</v>
      </c>
      <c r="DQ451" s="1979">
        <v>0.12461206483213953</v>
      </c>
      <c r="DR451" s="1979">
        <v>0.12461206483213953</v>
      </c>
      <c r="DS451" s="1979">
        <v>0.12461206483213953</v>
      </c>
      <c r="DT451" s="1998">
        <v>0.12783559671100567</v>
      </c>
      <c r="DU451" s="1998">
        <v>0.12783559671100567</v>
      </c>
      <c r="DV451" s="1998">
        <v>0.12783559671100567</v>
      </c>
      <c r="DW451" s="1998">
        <v>0.12783559671100567</v>
      </c>
      <c r="DX451" s="2026">
        <v>0.12783559671100567</v>
      </c>
      <c r="EA451" s="2022"/>
      <c r="EB451" s="2">
        <v>28</v>
      </c>
      <c r="EC451" s="2" t="s">
        <v>4274</v>
      </c>
      <c r="ED451" s="1979">
        <v>1.9131650441871284</v>
      </c>
      <c r="EE451" s="1979">
        <v>1.9131650441871284</v>
      </c>
      <c r="EF451" s="1979">
        <v>1.9131650441871284</v>
      </c>
      <c r="EG451" s="1979">
        <v>1.9131650441871284</v>
      </c>
      <c r="EH451" s="1979">
        <v>1.9131650441871284</v>
      </c>
      <c r="EI451" s="1998">
        <v>2.8465432892377889</v>
      </c>
      <c r="EJ451" s="1998">
        <v>2.8465432892377889</v>
      </c>
      <c r="EK451" s="1998">
        <v>2.8465432892377889</v>
      </c>
      <c r="EL451" s="1998">
        <v>2.8465432892377889</v>
      </c>
      <c r="EM451" s="1998">
        <v>2.8465432892377889</v>
      </c>
      <c r="EN451" s="1979">
        <v>1.5359628313625786</v>
      </c>
      <c r="EO451" s="1979">
        <v>1.5359628313625786</v>
      </c>
      <c r="EP451" s="1979">
        <v>1.5359628313625786</v>
      </c>
      <c r="EQ451" s="1979">
        <v>1.5359628313625786</v>
      </c>
      <c r="ER451" s="1979">
        <v>1.5359628313625786</v>
      </c>
      <c r="ES451" s="1998">
        <v>2.2223220121423544</v>
      </c>
      <c r="ET451" s="1998">
        <v>2.2223220121423544</v>
      </c>
      <c r="EU451" s="1998">
        <v>2.2223220121423544</v>
      </c>
      <c r="EV451" s="1998">
        <v>2.2223220121423544</v>
      </c>
      <c r="EW451" s="1998">
        <v>2.2223220121423544</v>
      </c>
      <c r="EX451" s="1979">
        <v>1.6025462768605891</v>
      </c>
      <c r="EY451" s="1979">
        <v>1.6025462768605891</v>
      </c>
      <c r="EZ451" s="1979">
        <v>1.6025462768605891</v>
      </c>
      <c r="FA451" s="1979">
        <v>1.6025462768605891</v>
      </c>
      <c r="FB451" s="1979">
        <v>1.6025462768605891</v>
      </c>
      <c r="FC451" s="1998">
        <v>2.7889449691881021</v>
      </c>
      <c r="FD451" s="1998">
        <v>2.7889449691881021</v>
      </c>
      <c r="FE451" s="1998">
        <v>2.7889449691881021</v>
      </c>
      <c r="FF451" s="1998">
        <v>2.7889449691881021</v>
      </c>
      <c r="FG451" s="1998">
        <v>2.7889449691881021</v>
      </c>
      <c r="FH451" s="1979">
        <v>3.0738975889732503</v>
      </c>
      <c r="FI451" s="1979">
        <v>3.0738975889732503</v>
      </c>
      <c r="FJ451" s="1979">
        <v>3.0738975889732503</v>
      </c>
      <c r="FK451" s="1979">
        <v>3.0738975889732503</v>
      </c>
      <c r="FL451" s="1979">
        <v>3.0738975889732503</v>
      </c>
      <c r="FM451" s="1998">
        <v>2.1488273674994858</v>
      </c>
      <c r="FN451" s="1998">
        <v>2.1488273674994858</v>
      </c>
      <c r="FO451" s="1998">
        <v>2.1488273674994858</v>
      </c>
      <c r="FP451" s="1998">
        <v>2.1488273674994858</v>
      </c>
      <c r="FQ451" s="1998">
        <v>2.1488273674994858</v>
      </c>
      <c r="FR451" s="1979">
        <v>13.369000166152871</v>
      </c>
      <c r="FS451" s="1979">
        <v>13.369000166152871</v>
      </c>
      <c r="FT451" s="1979">
        <v>13.369000166152871</v>
      </c>
      <c r="FU451" s="1979">
        <v>13.369000166152871</v>
      </c>
      <c r="FV451" s="1979">
        <v>13.369000166152871</v>
      </c>
      <c r="FW451" s="1998">
        <v>13.773442532407794</v>
      </c>
      <c r="FX451" s="1998">
        <v>13.773442532407794</v>
      </c>
      <c r="FY451" s="1998">
        <v>13.773442532407794</v>
      </c>
      <c r="FZ451" s="1998">
        <v>13.773442532407794</v>
      </c>
      <c r="GA451" s="1998">
        <v>13.773442532407794</v>
      </c>
      <c r="GB451" s="1979">
        <v>1.4210514828272911</v>
      </c>
      <c r="GC451" s="1979">
        <v>1.4210514828272911</v>
      </c>
      <c r="GD451" s="1979">
        <v>1.4210514828272911</v>
      </c>
      <c r="GE451" s="1979">
        <v>1.4210514828272911</v>
      </c>
      <c r="GF451" s="1979">
        <v>1.4210514828272911</v>
      </c>
      <c r="GG451" s="1998">
        <v>1.4937237494535853</v>
      </c>
      <c r="GH451" s="1998">
        <v>1.4937237494535853</v>
      </c>
      <c r="GI451" s="1998">
        <v>1.4937237494535853</v>
      </c>
      <c r="GJ451" s="1998">
        <v>1.4937237494535853</v>
      </c>
      <c r="GK451" s="2026">
        <v>1.4937237494535853</v>
      </c>
    </row>
    <row r="452" spans="1:193">
      <c r="A452" s="2020"/>
      <c r="B452" s="2">
        <v>29</v>
      </c>
      <c r="C452" s="2" t="str">
        <f>$AD$13</f>
        <v>Fondation superficielle</v>
      </c>
      <c r="D452" s="1979">
        <f>IF(Construction!$F$31=Construction!$R$22,Oeko!BQ452,Oeko!ED452)</f>
        <v>1</v>
      </c>
      <c r="E452" s="1979">
        <f>IF(Construction!$F$31=Construction!$R$22,Oeko!BR452,Oeko!EE452)</f>
        <v>1</v>
      </c>
      <c r="F452" s="1979">
        <f>IF(Construction!$F$31=Construction!$R$22,Oeko!BS452,Oeko!EF452)</f>
        <v>1</v>
      </c>
      <c r="G452" s="1979">
        <f>IF(Construction!$F$31=Construction!$R$22,Oeko!BT452,Oeko!EG452)</f>
        <v>1</v>
      </c>
      <c r="H452" s="1979">
        <f>IF(Construction!$F$31=Construction!$R$22,Oeko!BU452,Oeko!EH452)</f>
        <v>1</v>
      </c>
      <c r="I452" s="1998">
        <f>IF(Construction!$F$31=Construction!$R$22,Oeko!BV452,Oeko!EI452)</f>
        <v>1</v>
      </c>
      <c r="J452" s="1998">
        <f>IF(Construction!$F$31=Construction!$R$22,Oeko!BW452,Oeko!EJ452)</f>
        <v>1</v>
      </c>
      <c r="K452" s="1998">
        <f>IF(Construction!$F$31=Construction!$R$22,Oeko!BX452,Oeko!EK452)</f>
        <v>1</v>
      </c>
      <c r="L452" s="1998">
        <f>IF(Construction!$F$31=Construction!$R$22,Oeko!BY452,Oeko!EL452)</f>
        <v>1</v>
      </c>
      <c r="M452" s="1998">
        <f>IF(Construction!$F$31=Construction!$R$22,Oeko!BZ452,Oeko!EM452)</f>
        <v>1</v>
      </c>
      <c r="N452" s="1979">
        <f>IF(Construction!$F$31=Construction!$R$22,Oeko!CA452,Oeko!EN452)</f>
        <v>1</v>
      </c>
      <c r="O452" s="1979">
        <f>IF(Construction!$F$31=Construction!$R$22,Oeko!CB452,Oeko!EO452)</f>
        <v>1</v>
      </c>
      <c r="P452" s="1979">
        <f>IF(Construction!$F$31=Construction!$R$22,Oeko!CC452,Oeko!EP452)</f>
        <v>1</v>
      </c>
      <c r="Q452" s="1979">
        <f>IF(Construction!$F$31=Construction!$R$22,Oeko!CD452,Oeko!EQ452)</f>
        <v>1</v>
      </c>
      <c r="R452" s="1979">
        <f>IF(Construction!$F$31=Construction!$R$22,Oeko!CE452,Oeko!ER452)</f>
        <v>1</v>
      </c>
      <c r="S452" s="1998">
        <f>IF(Construction!$F$31=Construction!$R$22,Oeko!CF452,Oeko!ES452)</f>
        <v>1</v>
      </c>
      <c r="T452" s="1998">
        <f>IF(Construction!$F$31=Construction!$R$22,Oeko!CG452,Oeko!ET452)</f>
        <v>1</v>
      </c>
      <c r="U452" s="1998">
        <f>IF(Construction!$F$31=Construction!$R$22,Oeko!CH452,Oeko!EU452)</f>
        <v>1</v>
      </c>
      <c r="V452" s="1998">
        <f>IF(Construction!$F$31=Construction!$R$22,Oeko!CI452,Oeko!EV452)</f>
        <v>1</v>
      </c>
      <c r="W452" s="1998">
        <f>IF(Construction!$F$31=Construction!$R$22,Oeko!CJ452,Oeko!EW452)</f>
        <v>1</v>
      </c>
      <c r="X452" s="1979">
        <f>IF(Construction!$F$31=Construction!$R$22,Oeko!CK452,Oeko!EX452)</f>
        <v>1</v>
      </c>
      <c r="Y452" s="1979">
        <f>IF(Construction!$F$31=Construction!$R$22,Oeko!CL452,Oeko!EY452)</f>
        <v>1</v>
      </c>
      <c r="Z452" s="1979">
        <f>IF(Construction!$F$31=Construction!$R$22,Oeko!CM452,Oeko!EZ452)</f>
        <v>1</v>
      </c>
      <c r="AA452" s="1979">
        <f>IF(Construction!$F$31=Construction!$R$22,Oeko!CN452,Oeko!FA452)</f>
        <v>1</v>
      </c>
      <c r="AB452" s="1979">
        <f>IF(Construction!$F$31=Construction!$R$22,Oeko!CO452,Oeko!FB452)</f>
        <v>1</v>
      </c>
      <c r="AC452" s="1998">
        <f>IF(Construction!$F$31=Construction!$R$22,Oeko!CP452,Oeko!FC452)</f>
        <v>1</v>
      </c>
      <c r="AD452" s="1998">
        <f>IF(Construction!$F$31=Construction!$R$22,Oeko!CQ452,Oeko!FD452)</f>
        <v>1</v>
      </c>
      <c r="AE452" s="1998">
        <f>IF(Construction!$F$31=Construction!$R$22,Oeko!CR452,Oeko!FE452)</f>
        <v>1</v>
      </c>
      <c r="AF452" s="1998">
        <f>IF(Construction!$F$31=Construction!$R$22,Oeko!CS452,Oeko!FF452)</f>
        <v>1</v>
      </c>
      <c r="AG452" s="1998">
        <f>IF(Construction!$F$31=Construction!$R$22,Oeko!CT452,Oeko!FG452)</f>
        <v>1</v>
      </c>
      <c r="AH452" s="1979">
        <f>IF(Construction!$F$31=Construction!$R$22,Oeko!CU452,Oeko!FH452)</f>
        <v>1</v>
      </c>
      <c r="AI452" s="1979">
        <f>IF(Construction!$F$31=Construction!$R$22,Oeko!CV452,Oeko!FI452)</f>
        <v>1</v>
      </c>
      <c r="AJ452" s="1979">
        <f>IF(Construction!$F$31=Construction!$R$22,Oeko!CW452,Oeko!FJ452)</f>
        <v>1</v>
      </c>
      <c r="AK452" s="1979">
        <f>IF(Construction!$F$31=Construction!$R$22,Oeko!CX452,Oeko!FK452)</f>
        <v>1</v>
      </c>
      <c r="AL452" s="1979">
        <f>IF(Construction!$F$31=Construction!$R$22,Oeko!CY452,Oeko!FL452)</f>
        <v>1</v>
      </c>
      <c r="AM452" s="1998">
        <f>IF(Construction!$F$31=Construction!$R$22,Oeko!CZ452,Oeko!FM452)</f>
        <v>1</v>
      </c>
      <c r="AN452" s="1998">
        <f>IF(Construction!$F$31=Construction!$R$22,Oeko!DA452,Oeko!FN452)</f>
        <v>1</v>
      </c>
      <c r="AO452" s="1998">
        <f>IF(Construction!$F$31=Construction!$R$22,Oeko!DB452,Oeko!FO452)</f>
        <v>1</v>
      </c>
      <c r="AP452" s="1998">
        <f>IF(Construction!$F$31=Construction!$R$22,Oeko!DC452,Oeko!FP452)</f>
        <v>1</v>
      </c>
      <c r="AQ452" s="1998">
        <f>IF(Construction!$F$31=Construction!$R$22,Oeko!DD452,Oeko!FQ452)</f>
        <v>1</v>
      </c>
      <c r="AR452" s="1979">
        <f>IF(Construction!$F$31=Construction!$R$22,Oeko!DE452,Oeko!FR452)</f>
        <v>1</v>
      </c>
      <c r="AS452" s="1979">
        <f>IF(Construction!$F$31=Construction!$R$22,Oeko!DF452,Oeko!FS452)</f>
        <v>1</v>
      </c>
      <c r="AT452" s="1979">
        <f>IF(Construction!$F$31=Construction!$R$22,Oeko!DG452,Oeko!FT452)</f>
        <v>1</v>
      </c>
      <c r="AU452" s="1979">
        <f>IF(Construction!$F$31=Construction!$R$22,Oeko!DH452,Oeko!FU452)</f>
        <v>1</v>
      </c>
      <c r="AV452" s="1979">
        <f>IF(Construction!$F$31=Construction!$R$22,Oeko!DI452,Oeko!FV452)</f>
        <v>1</v>
      </c>
      <c r="AW452" s="1998">
        <f>IF(Construction!$F$31=Construction!$R$22,Oeko!DJ452,Oeko!FW452)</f>
        <v>1</v>
      </c>
      <c r="AX452" s="1998">
        <f>IF(Construction!$F$31=Construction!$R$22,Oeko!DK452,Oeko!FX452)</f>
        <v>1</v>
      </c>
      <c r="AY452" s="1998">
        <f>IF(Construction!$F$31=Construction!$R$22,Oeko!DL452,Oeko!FY452)</f>
        <v>1</v>
      </c>
      <c r="AZ452" s="1998">
        <f>IF(Construction!$F$31=Construction!$R$22,Oeko!DM452,Oeko!FZ452)</f>
        <v>1</v>
      </c>
      <c r="BA452" s="1998">
        <f>IF(Construction!$F$31=Construction!$R$22,Oeko!DN452,Oeko!GA452)</f>
        <v>1</v>
      </c>
      <c r="BB452" s="1979">
        <f>IF(Construction!$F$31=Construction!$R$22,Oeko!DO452,Oeko!GB452)</f>
        <v>1</v>
      </c>
      <c r="BC452" s="1979">
        <f>IF(Construction!$F$31=Construction!$R$22,Oeko!DP452,Oeko!GC452)</f>
        <v>1</v>
      </c>
      <c r="BD452" s="1979">
        <f>IF(Construction!$F$31=Construction!$R$22,Oeko!DQ452,Oeko!GD452)</f>
        <v>1</v>
      </c>
      <c r="BE452" s="1979">
        <f>IF(Construction!$F$31=Construction!$R$22,Oeko!DR452,Oeko!GE452)</f>
        <v>1</v>
      </c>
      <c r="BF452" s="1979">
        <f>IF(Construction!$F$31=Construction!$R$22,Oeko!DS452,Oeko!GF452)</f>
        <v>1</v>
      </c>
      <c r="BG452" s="1998">
        <f>IF(Construction!$F$31=Construction!$R$22,Oeko!DT452,Oeko!GG452)</f>
        <v>1</v>
      </c>
      <c r="BH452" s="1998">
        <f>IF(Construction!$F$31=Construction!$R$22,Oeko!DU452,Oeko!GH452)</f>
        <v>1</v>
      </c>
      <c r="BI452" s="1998">
        <f>IF(Construction!$F$31=Construction!$R$22,Oeko!DV452,Oeko!GI452)</f>
        <v>1</v>
      </c>
      <c r="BJ452" s="1998">
        <f>IF(Construction!$F$31=Construction!$R$22,Oeko!DW452,Oeko!GJ452)</f>
        <v>1</v>
      </c>
      <c r="BK452" s="2026">
        <f>IF(Construction!$F$31=Construction!$R$22,Oeko!DX452,Oeko!GK452)</f>
        <v>1</v>
      </c>
      <c r="BN452" s="2022"/>
      <c r="BO452" s="2">
        <v>29</v>
      </c>
      <c r="BP452" s="2" t="str">
        <f>$AD$13</f>
        <v>Fondation superficielle</v>
      </c>
      <c r="BQ452" s="1979">
        <v>1</v>
      </c>
      <c r="BR452" s="1979">
        <v>1</v>
      </c>
      <c r="BS452" s="1979">
        <v>1</v>
      </c>
      <c r="BT452" s="1979">
        <v>1</v>
      </c>
      <c r="BU452" s="1979">
        <v>1</v>
      </c>
      <c r="BV452" s="1998">
        <v>1</v>
      </c>
      <c r="BW452" s="1998">
        <v>1</v>
      </c>
      <c r="BX452" s="1998">
        <v>1</v>
      </c>
      <c r="BY452" s="1998">
        <v>1</v>
      </c>
      <c r="BZ452" s="1998">
        <v>1</v>
      </c>
      <c r="CA452" s="1979">
        <v>1</v>
      </c>
      <c r="CB452" s="1979">
        <v>1</v>
      </c>
      <c r="CC452" s="1979">
        <v>1</v>
      </c>
      <c r="CD452" s="1979">
        <v>1</v>
      </c>
      <c r="CE452" s="1979">
        <v>1</v>
      </c>
      <c r="CF452" s="1998">
        <v>1</v>
      </c>
      <c r="CG452" s="1998">
        <v>1</v>
      </c>
      <c r="CH452" s="1998">
        <v>1</v>
      </c>
      <c r="CI452" s="1998">
        <v>1</v>
      </c>
      <c r="CJ452" s="1998">
        <v>1</v>
      </c>
      <c r="CK452" s="1979">
        <v>1</v>
      </c>
      <c r="CL452" s="1979">
        <v>1</v>
      </c>
      <c r="CM452" s="1979">
        <v>1</v>
      </c>
      <c r="CN452" s="1979">
        <v>1</v>
      </c>
      <c r="CO452" s="1979">
        <v>1</v>
      </c>
      <c r="CP452" s="1998">
        <v>1</v>
      </c>
      <c r="CQ452" s="1998">
        <v>1</v>
      </c>
      <c r="CR452" s="1998">
        <v>1</v>
      </c>
      <c r="CS452" s="1998">
        <v>1</v>
      </c>
      <c r="CT452" s="1998">
        <v>1</v>
      </c>
      <c r="CU452" s="1979">
        <v>1</v>
      </c>
      <c r="CV452" s="1979">
        <v>1</v>
      </c>
      <c r="CW452" s="1979">
        <v>1</v>
      </c>
      <c r="CX452" s="1979">
        <v>1</v>
      </c>
      <c r="CY452" s="1979">
        <v>1</v>
      </c>
      <c r="CZ452" s="1998">
        <v>1</v>
      </c>
      <c r="DA452" s="1998">
        <v>1</v>
      </c>
      <c r="DB452" s="1998">
        <v>1</v>
      </c>
      <c r="DC452" s="1998">
        <v>1</v>
      </c>
      <c r="DD452" s="1998">
        <v>1</v>
      </c>
      <c r="DE452" s="1979">
        <v>1</v>
      </c>
      <c r="DF452" s="1979">
        <v>1</v>
      </c>
      <c r="DG452" s="1979">
        <v>1</v>
      </c>
      <c r="DH452" s="1979">
        <v>1</v>
      </c>
      <c r="DI452" s="1979">
        <v>1</v>
      </c>
      <c r="DJ452" s="1998">
        <v>1</v>
      </c>
      <c r="DK452" s="1998">
        <v>1</v>
      </c>
      <c r="DL452" s="1998">
        <v>1</v>
      </c>
      <c r="DM452" s="1998">
        <v>1</v>
      </c>
      <c r="DN452" s="1998">
        <v>1</v>
      </c>
      <c r="DO452" s="1979">
        <v>1</v>
      </c>
      <c r="DP452" s="1979">
        <v>1</v>
      </c>
      <c r="DQ452" s="1979">
        <v>1</v>
      </c>
      <c r="DR452" s="1979">
        <v>1</v>
      </c>
      <c r="DS452" s="1979">
        <v>1</v>
      </c>
      <c r="DT452" s="1998">
        <v>1</v>
      </c>
      <c r="DU452" s="1998">
        <v>1</v>
      </c>
      <c r="DV452" s="1998">
        <v>1</v>
      </c>
      <c r="DW452" s="1998">
        <v>1</v>
      </c>
      <c r="DX452" s="2026">
        <v>1</v>
      </c>
      <c r="EA452" s="2022"/>
      <c r="EB452" s="2">
        <v>29</v>
      </c>
      <c r="EC452" s="2" t="str">
        <f>$AD$13</f>
        <v>Fondation superficielle</v>
      </c>
      <c r="ED452" s="1979">
        <v>1.3605609674202821</v>
      </c>
      <c r="EE452" s="1979">
        <v>1.3605609674202821</v>
      </c>
      <c r="EF452" s="1979">
        <v>1.3605609674202821</v>
      </c>
      <c r="EG452" s="1979">
        <v>1.3605609674202821</v>
      </c>
      <c r="EH452" s="1979">
        <v>1.3605609674202821</v>
      </c>
      <c r="EI452" s="1998">
        <v>2.0966679740137137</v>
      </c>
      <c r="EJ452" s="1998">
        <v>2.0966679740137137</v>
      </c>
      <c r="EK452" s="1998">
        <v>2.0966679740137137</v>
      </c>
      <c r="EL452" s="1998">
        <v>2.0966679740137137</v>
      </c>
      <c r="EM452" s="1998">
        <v>2.0966679740137137</v>
      </c>
      <c r="EN452" s="1979">
        <v>1.4337071065592959</v>
      </c>
      <c r="EO452" s="1979">
        <v>1.4337071065592959</v>
      </c>
      <c r="EP452" s="1979">
        <v>1.4337071065592959</v>
      </c>
      <c r="EQ452" s="1979">
        <v>1.4337071065592959</v>
      </c>
      <c r="ER452" s="1979">
        <v>1.4337071065592959</v>
      </c>
      <c r="ES452" s="1998">
        <v>1.8379162318633464</v>
      </c>
      <c r="ET452" s="1998">
        <v>1.8379162318633464</v>
      </c>
      <c r="EU452" s="1998">
        <v>1.8379162318633464</v>
      </c>
      <c r="EV452" s="1998">
        <v>1.8379162318633464</v>
      </c>
      <c r="EW452" s="1998">
        <v>1.8379162318633464</v>
      </c>
      <c r="EX452" s="1979">
        <v>1.4662053104562123</v>
      </c>
      <c r="EY452" s="1979">
        <v>1.4662053104562123</v>
      </c>
      <c r="EZ452" s="1979">
        <v>1.4662053104562123</v>
      </c>
      <c r="FA452" s="1979">
        <v>1.4662053104562123</v>
      </c>
      <c r="FB452" s="1979">
        <v>1.4662053104562123</v>
      </c>
      <c r="FC452" s="1998">
        <v>1.6277744053108218</v>
      </c>
      <c r="FD452" s="1998">
        <v>1.6277744053108218</v>
      </c>
      <c r="FE452" s="1998">
        <v>1.6277744053108218</v>
      </c>
      <c r="FF452" s="1998">
        <v>1.6277744053108218</v>
      </c>
      <c r="FG452" s="1998">
        <v>1.6277744053108218</v>
      </c>
      <c r="FH452" s="1979">
        <v>2.3921927569513635</v>
      </c>
      <c r="FI452" s="1979">
        <v>2.3921927569513635</v>
      </c>
      <c r="FJ452" s="1979">
        <v>2.3921927569513635</v>
      </c>
      <c r="FK452" s="1979">
        <v>2.3921927569513635</v>
      </c>
      <c r="FL452" s="1979">
        <v>2.3921927569513635</v>
      </c>
      <c r="FM452" s="1998">
        <v>1.5115041757386145</v>
      </c>
      <c r="FN452" s="1998">
        <v>1.5115041757386145</v>
      </c>
      <c r="FO452" s="1998">
        <v>1.5115041757386145</v>
      </c>
      <c r="FP452" s="1998">
        <v>1.5115041757386145</v>
      </c>
      <c r="FQ452" s="1998">
        <v>1.5115041757386145</v>
      </c>
      <c r="FR452" s="1979">
        <v>8.1198212572277306</v>
      </c>
      <c r="FS452" s="1979">
        <v>8.1198212572277306</v>
      </c>
      <c r="FT452" s="1979">
        <v>8.1198212572277306</v>
      </c>
      <c r="FU452" s="1979">
        <v>8.1198212572277306</v>
      </c>
      <c r="FV452" s="1979">
        <v>8.1198212572277306</v>
      </c>
      <c r="FW452" s="1998">
        <v>8.4799072816005001</v>
      </c>
      <c r="FX452" s="1998">
        <v>8.4799072816005001</v>
      </c>
      <c r="FY452" s="1998">
        <v>8.4799072816005001</v>
      </c>
      <c r="FZ452" s="1998">
        <v>8.4799072816005001</v>
      </c>
      <c r="GA452" s="1998">
        <v>8.4799072816005001</v>
      </c>
      <c r="GB452" s="1979">
        <v>1.3861479372000356</v>
      </c>
      <c r="GC452" s="1979">
        <v>1.3861479372000356</v>
      </c>
      <c r="GD452" s="1979">
        <v>1.3861479372000356</v>
      </c>
      <c r="GE452" s="1979">
        <v>1.3861479372000356</v>
      </c>
      <c r="GF452" s="1979">
        <v>1.3861479372000356</v>
      </c>
      <c r="GG452" s="1998">
        <v>1.4313071575784038</v>
      </c>
      <c r="GH452" s="1998">
        <v>1.4313071575784038</v>
      </c>
      <c r="GI452" s="1998">
        <v>1.4313071575784038</v>
      </c>
      <c r="GJ452" s="1998">
        <v>1.4313071575784038</v>
      </c>
      <c r="GK452" s="2026">
        <v>1.4313071575784038</v>
      </c>
    </row>
    <row r="453" spans="1:193">
      <c r="A453" s="2020"/>
      <c r="B453" s="2">
        <v>30</v>
      </c>
      <c r="C453" s="2" t="str">
        <f>$AD$14</f>
        <v>Micro-pieux</v>
      </c>
      <c r="D453" s="1979">
        <f>IF(Construction!$F$31=Construction!$R$22,Oeko!BQ453,Oeko!ED453)</f>
        <v>1</v>
      </c>
      <c r="E453" s="1979">
        <f>IF(Construction!$F$31=Construction!$R$22,Oeko!BR453,Oeko!EE453)</f>
        <v>1</v>
      </c>
      <c r="F453" s="1979">
        <f>IF(Construction!$F$31=Construction!$R$22,Oeko!BS453,Oeko!EF453)</f>
        <v>1</v>
      </c>
      <c r="G453" s="1979">
        <f>IF(Construction!$F$31=Construction!$R$22,Oeko!BT453,Oeko!EG453)</f>
        <v>1</v>
      </c>
      <c r="H453" s="1979">
        <f>IF(Construction!$F$31=Construction!$R$22,Oeko!BU453,Oeko!EH453)</f>
        <v>1</v>
      </c>
      <c r="I453" s="1998">
        <f>IF(Construction!$F$31=Construction!$R$22,Oeko!BV453,Oeko!EI453)</f>
        <v>1</v>
      </c>
      <c r="J453" s="1998">
        <f>IF(Construction!$F$31=Construction!$R$22,Oeko!BW453,Oeko!EJ453)</f>
        <v>1</v>
      </c>
      <c r="K453" s="1998">
        <f>IF(Construction!$F$31=Construction!$R$22,Oeko!BX453,Oeko!EK453)</f>
        <v>1</v>
      </c>
      <c r="L453" s="1998">
        <f>IF(Construction!$F$31=Construction!$R$22,Oeko!BY453,Oeko!EL453)</f>
        <v>1</v>
      </c>
      <c r="M453" s="1998">
        <f>IF(Construction!$F$31=Construction!$R$22,Oeko!BZ453,Oeko!EM453)</f>
        <v>1</v>
      </c>
      <c r="N453" s="1979">
        <f>IF(Construction!$F$31=Construction!$R$22,Oeko!CA453,Oeko!EN453)</f>
        <v>1</v>
      </c>
      <c r="O453" s="1979">
        <f>IF(Construction!$F$31=Construction!$R$22,Oeko!CB453,Oeko!EO453)</f>
        <v>1</v>
      </c>
      <c r="P453" s="1979">
        <f>IF(Construction!$F$31=Construction!$R$22,Oeko!CC453,Oeko!EP453)</f>
        <v>1</v>
      </c>
      <c r="Q453" s="1979">
        <f>IF(Construction!$F$31=Construction!$R$22,Oeko!CD453,Oeko!EQ453)</f>
        <v>1</v>
      </c>
      <c r="R453" s="1979">
        <f>IF(Construction!$F$31=Construction!$R$22,Oeko!CE453,Oeko!ER453)</f>
        <v>1</v>
      </c>
      <c r="S453" s="1998">
        <f>IF(Construction!$F$31=Construction!$R$22,Oeko!CF453,Oeko!ES453)</f>
        <v>1</v>
      </c>
      <c r="T453" s="1998">
        <f>IF(Construction!$F$31=Construction!$R$22,Oeko!CG453,Oeko!ET453)</f>
        <v>1</v>
      </c>
      <c r="U453" s="1998">
        <f>IF(Construction!$F$31=Construction!$R$22,Oeko!CH453,Oeko!EU453)</f>
        <v>1</v>
      </c>
      <c r="V453" s="1998">
        <f>IF(Construction!$F$31=Construction!$R$22,Oeko!CI453,Oeko!EV453)</f>
        <v>1</v>
      </c>
      <c r="W453" s="1998">
        <f>IF(Construction!$F$31=Construction!$R$22,Oeko!CJ453,Oeko!EW453)</f>
        <v>1</v>
      </c>
      <c r="X453" s="1979">
        <f>IF(Construction!$F$31=Construction!$R$22,Oeko!CK453,Oeko!EX453)</f>
        <v>1</v>
      </c>
      <c r="Y453" s="1979">
        <f>IF(Construction!$F$31=Construction!$R$22,Oeko!CL453,Oeko!EY453)</f>
        <v>1</v>
      </c>
      <c r="Z453" s="1979">
        <f>IF(Construction!$F$31=Construction!$R$22,Oeko!CM453,Oeko!EZ453)</f>
        <v>1</v>
      </c>
      <c r="AA453" s="1979">
        <f>IF(Construction!$F$31=Construction!$R$22,Oeko!CN453,Oeko!FA453)</f>
        <v>1</v>
      </c>
      <c r="AB453" s="1979">
        <f>IF(Construction!$F$31=Construction!$R$22,Oeko!CO453,Oeko!FB453)</f>
        <v>1</v>
      </c>
      <c r="AC453" s="1998">
        <f>IF(Construction!$F$31=Construction!$R$22,Oeko!CP453,Oeko!FC453)</f>
        <v>1</v>
      </c>
      <c r="AD453" s="1998">
        <f>IF(Construction!$F$31=Construction!$R$22,Oeko!CQ453,Oeko!FD453)</f>
        <v>1</v>
      </c>
      <c r="AE453" s="1998">
        <f>IF(Construction!$F$31=Construction!$R$22,Oeko!CR453,Oeko!FE453)</f>
        <v>1</v>
      </c>
      <c r="AF453" s="1998">
        <f>IF(Construction!$F$31=Construction!$R$22,Oeko!CS453,Oeko!FF453)</f>
        <v>1</v>
      </c>
      <c r="AG453" s="1998">
        <f>IF(Construction!$F$31=Construction!$R$22,Oeko!CT453,Oeko!FG453)</f>
        <v>1</v>
      </c>
      <c r="AH453" s="1979">
        <f>IF(Construction!$F$31=Construction!$R$22,Oeko!CU453,Oeko!FH453)</f>
        <v>1</v>
      </c>
      <c r="AI453" s="1979">
        <f>IF(Construction!$F$31=Construction!$R$22,Oeko!CV453,Oeko!FI453)</f>
        <v>1</v>
      </c>
      <c r="AJ453" s="1979">
        <f>IF(Construction!$F$31=Construction!$R$22,Oeko!CW453,Oeko!FJ453)</f>
        <v>1</v>
      </c>
      <c r="AK453" s="1979">
        <f>IF(Construction!$F$31=Construction!$R$22,Oeko!CX453,Oeko!FK453)</f>
        <v>1</v>
      </c>
      <c r="AL453" s="1979">
        <f>IF(Construction!$F$31=Construction!$R$22,Oeko!CY453,Oeko!FL453)</f>
        <v>1</v>
      </c>
      <c r="AM453" s="1998">
        <f>IF(Construction!$F$31=Construction!$R$22,Oeko!CZ453,Oeko!FM453)</f>
        <v>1</v>
      </c>
      <c r="AN453" s="1998">
        <f>IF(Construction!$F$31=Construction!$R$22,Oeko!DA453,Oeko!FN453)</f>
        <v>1</v>
      </c>
      <c r="AO453" s="1998">
        <f>IF(Construction!$F$31=Construction!$R$22,Oeko!DB453,Oeko!FO453)</f>
        <v>1</v>
      </c>
      <c r="AP453" s="1998">
        <f>IF(Construction!$F$31=Construction!$R$22,Oeko!DC453,Oeko!FP453)</f>
        <v>1</v>
      </c>
      <c r="AQ453" s="1998">
        <f>IF(Construction!$F$31=Construction!$R$22,Oeko!DD453,Oeko!FQ453)</f>
        <v>1</v>
      </c>
      <c r="AR453" s="1979">
        <f>IF(Construction!$F$31=Construction!$R$22,Oeko!DE453,Oeko!FR453)</f>
        <v>1</v>
      </c>
      <c r="AS453" s="1979">
        <f>IF(Construction!$F$31=Construction!$R$22,Oeko!DF453,Oeko!FS453)</f>
        <v>1</v>
      </c>
      <c r="AT453" s="1979">
        <f>IF(Construction!$F$31=Construction!$R$22,Oeko!DG453,Oeko!FT453)</f>
        <v>1</v>
      </c>
      <c r="AU453" s="1979">
        <f>IF(Construction!$F$31=Construction!$R$22,Oeko!DH453,Oeko!FU453)</f>
        <v>1</v>
      </c>
      <c r="AV453" s="1979">
        <f>IF(Construction!$F$31=Construction!$R$22,Oeko!DI453,Oeko!FV453)</f>
        <v>1</v>
      </c>
      <c r="AW453" s="1998">
        <f>IF(Construction!$F$31=Construction!$R$22,Oeko!DJ453,Oeko!FW453)</f>
        <v>1</v>
      </c>
      <c r="AX453" s="1998">
        <f>IF(Construction!$F$31=Construction!$R$22,Oeko!DK453,Oeko!FX453)</f>
        <v>1</v>
      </c>
      <c r="AY453" s="1998">
        <f>IF(Construction!$F$31=Construction!$R$22,Oeko!DL453,Oeko!FY453)</f>
        <v>1</v>
      </c>
      <c r="AZ453" s="1998">
        <f>IF(Construction!$F$31=Construction!$R$22,Oeko!DM453,Oeko!FZ453)</f>
        <v>1</v>
      </c>
      <c r="BA453" s="1998">
        <f>IF(Construction!$F$31=Construction!$R$22,Oeko!DN453,Oeko!GA453)</f>
        <v>1</v>
      </c>
      <c r="BB453" s="1979">
        <f>IF(Construction!$F$31=Construction!$R$22,Oeko!DO453,Oeko!GB453)</f>
        <v>1</v>
      </c>
      <c r="BC453" s="1979">
        <f>IF(Construction!$F$31=Construction!$R$22,Oeko!DP453,Oeko!GC453)</f>
        <v>1</v>
      </c>
      <c r="BD453" s="1979">
        <f>IF(Construction!$F$31=Construction!$R$22,Oeko!DQ453,Oeko!GD453)</f>
        <v>1</v>
      </c>
      <c r="BE453" s="1979">
        <f>IF(Construction!$F$31=Construction!$R$22,Oeko!DR453,Oeko!GE453)</f>
        <v>1</v>
      </c>
      <c r="BF453" s="1979">
        <f>IF(Construction!$F$31=Construction!$R$22,Oeko!DS453,Oeko!GF453)</f>
        <v>1</v>
      </c>
      <c r="BG453" s="1998">
        <f>IF(Construction!$F$31=Construction!$R$22,Oeko!DT453,Oeko!GG453)</f>
        <v>1</v>
      </c>
      <c r="BH453" s="1998">
        <f>IF(Construction!$F$31=Construction!$R$22,Oeko!DU453,Oeko!GH453)</f>
        <v>1</v>
      </c>
      <c r="BI453" s="1998">
        <f>IF(Construction!$F$31=Construction!$R$22,Oeko!DV453,Oeko!GI453)</f>
        <v>1</v>
      </c>
      <c r="BJ453" s="1998">
        <f>IF(Construction!$F$31=Construction!$R$22,Oeko!DW453,Oeko!GJ453)</f>
        <v>1</v>
      </c>
      <c r="BK453" s="2026">
        <f>IF(Construction!$F$31=Construction!$R$22,Oeko!DX453,Oeko!GK453)</f>
        <v>1</v>
      </c>
      <c r="BN453" s="2022"/>
      <c r="BO453" s="2">
        <v>30</v>
      </c>
      <c r="BP453" s="2" t="str">
        <f>$AD$14</f>
        <v>Micro-pieux</v>
      </c>
      <c r="BQ453" s="1979">
        <v>1</v>
      </c>
      <c r="BR453" s="1979">
        <v>1</v>
      </c>
      <c r="BS453" s="1979">
        <v>1</v>
      </c>
      <c r="BT453" s="1979">
        <v>1</v>
      </c>
      <c r="BU453" s="1979">
        <v>1</v>
      </c>
      <c r="BV453" s="1998">
        <v>1</v>
      </c>
      <c r="BW453" s="1998">
        <v>1</v>
      </c>
      <c r="BX453" s="1998">
        <v>1</v>
      </c>
      <c r="BY453" s="1998">
        <v>1</v>
      </c>
      <c r="BZ453" s="1998">
        <v>1</v>
      </c>
      <c r="CA453" s="1979">
        <v>1</v>
      </c>
      <c r="CB453" s="1979">
        <v>1</v>
      </c>
      <c r="CC453" s="1979">
        <v>1</v>
      </c>
      <c r="CD453" s="1979">
        <v>1</v>
      </c>
      <c r="CE453" s="1979">
        <v>1</v>
      </c>
      <c r="CF453" s="1998">
        <v>1</v>
      </c>
      <c r="CG453" s="1998">
        <v>1</v>
      </c>
      <c r="CH453" s="1998">
        <v>1</v>
      </c>
      <c r="CI453" s="1998">
        <v>1</v>
      </c>
      <c r="CJ453" s="1998">
        <v>1</v>
      </c>
      <c r="CK453" s="1979">
        <v>1</v>
      </c>
      <c r="CL453" s="1979">
        <v>1</v>
      </c>
      <c r="CM453" s="1979">
        <v>1</v>
      </c>
      <c r="CN453" s="1979">
        <v>1</v>
      </c>
      <c r="CO453" s="1979">
        <v>1</v>
      </c>
      <c r="CP453" s="1998">
        <v>1</v>
      </c>
      <c r="CQ453" s="1998">
        <v>1</v>
      </c>
      <c r="CR453" s="1998">
        <v>1</v>
      </c>
      <c r="CS453" s="1998">
        <v>1</v>
      </c>
      <c r="CT453" s="1998">
        <v>1</v>
      </c>
      <c r="CU453" s="1979">
        <v>1</v>
      </c>
      <c r="CV453" s="1979">
        <v>1</v>
      </c>
      <c r="CW453" s="1979">
        <v>1</v>
      </c>
      <c r="CX453" s="1979">
        <v>1</v>
      </c>
      <c r="CY453" s="1979">
        <v>1</v>
      </c>
      <c r="CZ453" s="1998">
        <v>1</v>
      </c>
      <c r="DA453" s="1998">
        <v>1</v>
      </c>
      <c r="DB453" s="1998">
        <v>1</v>
      </c>
      <c r="DC453" s="1998">
        <v>1</v>
      </c>
      <c r="DD453" s="1998">
        <v>1</v>
      </c>
      <c r="DE453" s="1979">
        <v>1</v>
      </c>
      <c r="DF453" s="1979">
        <v>1</v>
      </c>
      <c r="DG453" s="1979">
        <v>1</v>
      </c>
      <c r="DH453" s="1979">
        <v>1</v>
      </c>
      <c r="DI453" s="1979">
        <v>1</v>
      </c>
      <c r="DJ453" s="1998">
        <v>1</v>
      </c>
      <c r="DK453" s="1998">
        <v>1</v>
      </c>
      <c r="DL453" s="1998">
        <v>1</v>
      </c>
      <c r="DM453" s="1998">
        <v>1</v>
      </c>
      <c r="DN453" s="1998">
        <v>1</v>
      </c>
      <c r="DO453" s="1979">
        <v>1</v>
      </c>
      <c r="DP453" s="1979">
        <v>1</v>
      </c>
      <c r="DQ453" s="1979">
        <v>1</v>
      </c>
      <c r="DR453" s="1979">
        <v>1</v>
      </c>
      <c r="DS453" s="1979">
        <v>1</v>
      </c>
      <c r="DT453" s="1998">
        <v>1</v>
      </c>
      <c r="DU453" s="1998">
        <v>1</v>
      </c>
      <c r="DV453" s="1998">
        <v>1</v>
      </c>
      <c r="DW453" s="1998">
        <v>1</v>
      </c>
      <c r="DX453" s="2026">
        <v>1</v>
      </c>
      <c r="EA453" s="2022"/>
      <c r="EB453" s="2">
        <v>30</v>
      </c>
      <c r="EC453" s="2" t="str">
        <f>$AD$14</f>
        <v>Micro-pieux</v>
      </c>
      <c r="ED453" s="1979">
        <v>1.3605609674202821</v>
      </c>
      <c r="EE453" s="1979">
        <v>1.3605609674202821</v>
      </c>
      <c r="EF453" s="1979">
        <v>1.3605609674202821</v>
      </c>
      <c r="EG453" s="1979">
        <v>1.3605609674202821</v>
      </c>
      <c r="EH453" s="1979">
        <v>1.3605609674202821</v>
      </c>
      <c r="EI453" s="1998">
        <v>2.0966679740137137</v>
      </c>
      <c r="EJ453" s="1998">
        <v>2.0966679740137137</v>
      </c>
      <c r="EK453" s="1998">
        <v>2.0966679740137137</v>
      </c>
      <c r="EL453" s="1998">
        <v>2.0966679740137137</v>
      </c>
      <c r="EM453" s="1998">
        <v>2.0966679740137137</v>
      </c>
      <c r="EN453" s="1979">
        <v>1.4337071065592959</v>
      </c>
      <c r="EO453" s="1979">
        <v>1.4337071065592959</v>
      </c>
      <c r="EP453" s="1979">
        <v>1.4337071065592959</v>
      </c>
      <c r="EQ453" s="1979">
        <v>1.4337071065592959</v>
      </c>
      <c r="ER453" s="1979">
        <v>1.4337071065592959</v>
      </c>
      <c r="ES453" s="1998">
        <v>1.8379162318633464</v>
      </c>
      <c r="ET453" s="1998">
        <v>1.8379162318633464</v>
      </c>
      <c r="EU453" s="1998">
        <v>1.8379162318633464</v>
      </c>
      <c r="EV453" s="1998">
        <v>1.8379162318633464</v>
      </c>
      <c r="EW453" s="1998">
        <v>1.8379162318633464</v>
      </c>
      <c r="EX453" s="1979">
        <v>1.4662053104562123</v>
      </c>
      <c r="EY453" s="1979">
        <v>1.4662053104562123</v>
      </c>
      <c r="EZ453" s="1979">
        <v>1.4662053104562123</v>
      </c>
      <c r="FA453" s="1979">
        <v>1.4662053104562123</v>
      </c>
      <c r="FB453" s="1979">
        <v>1.4662053104562123</v>
      </c>
      <c r="FC453" s="1998">
        <v>1.6277744053108218</v>
      </c>
      <c r="FD453" s="1998">
        <v>1.6277744053108218</v>
      </c>
      <c r="FE453" s="1998">
        <v>1.6277744053108218</v>
      </c>
      <c r="FF453" s="1998">
        <v>1.6277744053108218</v>
      </c>
      <c r="FG453" s="1998">
        <v>1.6277744053108218</v>
      </c>
      <c r="FH453" s="1979">
        <v>2.3921927569513635</v>
      </c>
      <c r="FI453" s="1979">
        <v>2.3921927569513635</v>
      </c>
      <c r="FJ453" s="1979">
        <v>2.3921927569513635</v>
      </c>
      <c r="FK453" s="1979">
        <v>2.3921927569513635</v>
      </c>
      <c r="FL453" s="1979">
        <v>2.3921927569513635</v>
      </c>
      <c r="FM453" s="1998">
        <v>1.5115041757386145</v>
      </c>
      <c r="FN453" s="1998">
        <v>1.5115041757386145</v>
      </c>
      <c r="FO453" s="1998">
        <v>1.5115041757386145</v>
      </c>
      <c r="FP453" s="1998">
        <v>1.5115041757386145</v>
      </c>
      <c r="FQ453" s="1998">
        <v>1.5115041757386145</v>
      </c>
      <c r="FR453" s="1979">
        <v>8.1198212572277306</v>
      </c>
      <c r="FS453" s="1979">
        <v>8.1198212572277306</v>
      </c>
      <c r="FT453" s="1979">
        <v>8.1198212572277306</v>
      </c>
      <c r="FU453" s="1979">
        <v>8.1198212572277306</v>
      </c>
      <c r="FV453" s="1979">
        <v>8.1198212572277306</v>
      </c>
      <c r="FW453" s="1998">
        <v>8.4799072816005001</v>
      </c>
      <c r="FX453" s="1998">
        <v>8.4799072816005001</v>
      </c>
      <c r="FY453" s="1998">
        <v>8.4799072816005001</v>
      </c>
      <c r="FZ453" s="1998">
        <v>8.4799072816005001</v>
      </c>
      <c r="GA453" s="1998">
        <v>8.4799072816005001</v>
      </c>
      <c r="GB453" s="1979">
        <v>1.3861479372000356</v>
      </c>
      <c r="GC453" s="1979">
        <v>1.3861479372000356</v>
      </c>
      <c r="GD453" s="1979">
        <v>1.3861479372000356</v>
      </c>
      <c r="GE453" s="1979">
        <v>1.3861479372000356</v>
      </c>
      <c r="GF453" s="1979">
        <v>1.3861479372000356</v>
      </c>
      <c r="GG453" s="1998">
        <v>1.4313071575784038</v>
      </c>
      <c r="GH453" s="1998">
        <v>1.4313071575784038</v>
      </c>
      <c r="GI453" s="1998">
        <v>1.4313071575784038</v>
      </c>
      <c r="GJ453" s="1998">
        <v>1.4313071575784038</v>
      </c>
      <c r="GK453" s="2026">
        <v>1.4313071575784038</v>
      </c>
    </row>
    <row r="454" spans="1:193">
      <c r="A454" s="2020"/>
      <c r="B454" s="2">
        <v>31</v>
      </c>
      <c r="C454" s="2" t="str">
        <f>$AD$15</f>
        <v>Pieux en béton coulé sur place</v>
      </c>
      <c r="D454" s="1979">
        <f>IF(Construction!$F$31=Construction!$R$22,Oeko!BQ454,Oeko!ED454)</f>
        <v>1</v>
      </c>
      <c r="E454" s="1979">
        <f>IF(Construction!$F$31=Construction!$R$22,Oeko!BR454,Oeko!EE454)</f>
        <v>1</v>
      </c>
      <c r="F454" s="1979">
        <f>IF(Construction!$F$31=Construction!$R$22,Oeko!BS454,Oeko!EF454)</f>
        <v>1</v>
      </c>
      <c r="G454" s="1979">
        <f>IF(Construction!$F$31=Construction!$R$22,Oeko!BT454,Oeko!EG454)</f>
        <v>1</v>
      </c>
      <c r="H454" s="1979">
        <f>IF(Construction!$F$31=Construction!$R$22,Oeko!BU454,Oeko!EH454)</f>
        <v>1</v>
      </c>
      <c r="I454" s="1998">
        <f>IF(Construction!$F$31=Construction!$R$22,Oeko!BV454,Oeko!EI454)</f>
        <v>1</v>
      </c>
      <c r="J454" s="1998">
        <f>IF(Construction!$F$31=Construction!$R$22,Oeko!BW454,Oeko!EJ454)</f>
        <v>1</v>
      </c>
      <c r="K454" s="1998">
        <f>IF(Construction!$F$31=Construction!$R$22,Oeko!BX454,Oeko!EK454)</f>
        <v>1</v>
      </c>
      <c r="L454" s="1998">
        <f>IF(Construction!$F$31=Construction!$R$22,Oeko!BY454,Oeko!EL454)</f>
        <v>1</v>
      </c>
      <c r="M454" s="1998">
        <f>IF(Construction!$F$31=Construction!$R$22,Oeko!BZ454,Oeko!EM454)</f>
        <v>1</v>
      </c>
      <c r="N454" s="1979">
        <f>IF(Construction!$F$31=Construction!$R$22,Oeko!CA454,Oeko!EN454)</f>
        <v>1</v>
      </c>
      <c r="O454" s="1979">
        <f>IF(Construction!$F$31=Construction!$R$22,Oeko!CB454,Oeko!EO454)</f>
        <v>1</v>
      </c>
      <c r="P454" s="1979">
        <f>IF(Construction!$F$31=Construction!$R$22,Oeko!CC454,Oeko!EP454)</f>
        <v>1</v>
      </c>
      <c r="Q454" s="1979">
        <f>IF(Construction!$F$31=Construction!$R$22,Oeko!CD454,Oeko!EQ454)</f>
        <v>1</v>
      </c>
      <c r="R454" s="1979">
        <f>IF(Construction!$F$31=Construction!$R$22,Oeko!CE454,Oeko!ER454)</f>
        <v>1</v>
      </c>
      <c r="S454" s="1998">
        <f>IF(Construction!$F$31=Construction!$R$22,Oeko!CF454,Oeko!ES454)</f>
        <v>1</v>
      </c>
      <c r="T454" s="1998">
        <f>IF(Construction!$F$31=Construction!$R$22,Oeko!CG454,Oeko!ET454)</f>
        <v>1</v>
      </c>
      <c r="U454" s="1998">
        <f>IF(Construction!$F$31=Construction!$R$22,Oeko!CH454,Oeko!EU454)</f>
        <v>1</v>
      </c>
      <c r="V454" s="1998">
        <f>IF(Construction!$F$31=Construction!$R$22,Oeko!CI454,Oeko!EV454)</f>
        <v>1</v>
      </c>
      <c r="W454" s="1998">
        <f>IF(Construction!$F$31=Construction!$R$22,Oeko!CJ454,Oeko!EW454)</f>
        <v>1</v>
      </c>
      <c r="X454" s="1979">
        <f>IF(Construction!$F$31=Construction!$R$22,Oeko!CK454,Oeko!EX454)</f>
        <v>1</v>
      </c>
      <c r="Y454" s="1979">
        <f>IF(Construction!$F$31=Construction!$R$22,Oeko!CL454,Oeko!EY454)</f>
        <v>1</v>
      </c>
      <c r="Z454" s="1979">
        <f>IF(Construction!$F$31=Construction!$R$22,Oeko!CM454,Oeko!EZ454)</f>
        <v>1</v>
      </c>
      <c r="AA454" s="1979">
        <f>IF(Construction!$F$31=Construction!$R$22,Oeko!CN454,Oeko!FA454)</f>
        <v>1</v>
      </c>
      <c r="AB454" s="1979">
        <f>IF(Construction!$F$31=Construction!$R$22,Oeko!CO454,Oeko!FB454)</f>
        <v>1</v>
      </c>
      <c r="AC454" s="1998">
        <f>IF(Construction!$F$31=Construction!$R$22,Oeko!CP454,Oeko!FC454)</f>
        <v>1</v>
      </c>
      <c r="AD454" s="1998">
        <f>IF(Construction!$F$31=Construction!$R$22,Oeko!CQ454,Oeko!FD454)</f>
        <v>1</v>
      </c>
      <c r="AE454" s="1998">
        <f>IF(Construction!$F$31=Construction!$R$22,Oeko!CR454,Oeko!FE454)</f>
        <v>1</v>
      </c>
      <c r="AF454" s="1998">
        <f>IF(Construction!$F$31=Construction!$R$22,Oeko!CS454,Oeko!FF454)</f>
        <v>1</v>
      </c>
      <c r="AG454" s="1998">
        <f>IF(Construction!$F$31=Construction!$R$22,Oeko!CT454,Oeko!FG454)</f>
        <v>1</v>
      </c>
      <c r="AH454" s="1979">
        <f>IF(Construction!$F$31=Construction!$R$22,Oeko!CU454,Oeko!FH454)</f>
        <v>1</v>
      </c>
      <c r="AI454" s="1979">
        <f>IF(Construction!$F$31=Construction!$R$22,Oeko!CV454,Oeko!FI454)</f>
        <v>1</v>
      </c>
      <c r="AJ454" s="1979">
        <f>IF(Construction!$F$31=Construction!$R$22,Oeko!CW454,Oeko!FJ454)</f>
        <v>1</v>
      </c>
      <c r="AK454" s="1979">
        <f>IF(Construction!$F$31=Construction!$R$22,Oeko!CX454,Oeko!FK454)</f>
        <v>1</v>
      </c>
      <c r="AL454" s="1979">
        <f>IF(Construction!$F$31=Construction!$R$22,Oeko!CY454,Oeko!FL454)</f>
        <v>1</v>
      </c>
      <c r="AM454" s="1998">
        <f>IF(Construction!$F$31=Construction!$R$22,Oeko!CZ454,Oeko!FM454)</f>
        <v>1</v>
      </c>
      <c r="AN454" s="1998">
        <f>IF(Construction!$F$31=Construction!$R$22,Oeko!DA454,Oeko!FN454)</f>
        <v>1</v>
      </c>
      <c r="AO454" s="1998">
        <f>IF(Construction!$F$31=Construction!$R$22,Oeko!DB454,Oeko!FO454)</f>
        <v>1</v>
      </c>
      <c r="AP454" s="1998">
        <f>IF(Construction!$F$31=Construction!$R$22,Oeko!DC454,Oeko!FP454)</f>
        <v>1</v>
      </c>
      <c r="AQ454" s="1998">
        <f>IF(Construction!$F$31=Construction!$R$22,Oeko!DD454,Oeko!FQ454)</f>
        <v>1</v>
      </c>
      <c r="AR454" s="1979">
        <f>IF(Construction!$F$31=Construction!$R$22,Oeko!DE454,Oeko!FR454)</f>
        <v>1</v>
      </c>
      <c r="AS454" s="1979">
        <f>IF(Construction!$F$31=Construction!$R$22,Oeko!DF454,Oeko!FS454)</f>
        <v>1</v>
      </c>
      <c r="AT454" s="1979">
        <f>IF(Construction!$F$31=Construction!$R$22,Oeko!DG454,Oeko!FT454)</f>
        <v>1</v>
      </c>
      <c r="AU454" s="1979">
        <f>IF(Construction!$F$31=Construction!$R$22,Oeko!DH454,Oeko!FU454)</f>
        <v>1</v>
      </c>
      <c r="AV454" s="1979">
        <f>IF(Construction!$F$31=Construction!$R$22,Oeko!DI454,Oeko!FV454)</f>
        <v>1</v>
      </c>
      <c r="AW454" s="1998">
        <f>IF(Construction!$F$31=Construction!$R$22,Oeko!DJ454,Oeko!FW454)</f>
        <v>1</v>
      </c>
      <c r="AX454" s="1998">
        <f>IF(Construction!$F$31=Construction!$R$22,Oeko!DK454,Oeko!FX454)</f>
        <v>1</v>
      </c>
      <c r="AY454" s="1998">
        <f>IF(Construction!$F$31=Construction!$R$22,Oeko!DL454,Oeko!FY454)</f>
        <v>1</v>
      </c>
      <c r="AZ454" s="1998">
        <f>IF(Construction!$F$31=Construction!$R$22,Oeko!DM454,Oeko!FZ454)</f>
        <v>1</v>
      </c>
      <c r="BA454" s="1998">
        <f>IF(Construction!$F$31=Construction!$R$22,Oeko!DN454,Oeko!GA454)</f>
        <v>1</v>
      </c>
      <c r="BB454" s="1979">
        <f>IF(Construction!$F$31=Construction!$R$22,Oeko!DO454,Oeko!GB454)</f>
        <v>1</v>
      </c>
      <c r="BC454" s="1979">
        <f>IF(Construction!$F$31=Construction!$R$22,Oeko!DP454,Oeko!GC454)</f>
        <v>1</v>
      </c>
      <c r="BD454" s="1979">
        <f>IF(Construction!$F$31=Construction!$R$22,Oeko!DQ454,Oeko!GD454)</f>
        <v>1</v>
      </c>
      <c r="BE454" s="1979">
        <f>IF(Construction!$F$31=Construction!$R$22,Oeko!DR454,Oeko!GE454)</f>
        <v>1</v>
      </c>
      <c r="BF454" s="1979">
        <f>IF(Construction!$F$31=Construction!$R$22,Oeko!DS454,Oeko!GF454)</f>
        <v>1</v>
      </c>
      <c r="BG454" s="1998">
        <f>IF(Construction!$F$31=Construction!$R$22,Oeko!DT454,Oeko!GG454)</f>
        <v>1</v>
      </c>
      <c r="BH454" s="1998">
        <f>IF(Construction!$F$31=Construction!$R$22,Oeko!DU454,Oeko!GH454)</f>
        <v>1</v>
      </c>
      <c r="BI454" s="1998">
        <f>IF(Construction!$F$31=Construction!$R$22,Oeko!DV454,Oeko!GI454)</f>
        <v>1</v>
      </c>
      <c r="BJ454" s="1998">
        <f>IF(Construction!$F$31=Construction!$R$22,Oeko!DW454,Oeko!GJ454)</f>
        <v>1</v>
      </c>
      <c r="BK454" s="2026">
        <f>IF(Construction!$F$31=Construction!$R$22,Oeko!DX454,Oeko!GK454)</f>
        <v>1</v>
      </c>
      <c r="BN454" s="2022"/>
      <c r="BO454" s="2">
        <v>31</v>
      </c>
      <c r="BP454" s="2" t="str">
        <f>$AD$15</f>
        <v>Pieux en béton coulé sur place</v>
      </c>
      <c r="BQ454" s="1979">
        <v>1</v>
      </c>
      <c r="BR454" s="1979">
        <v>1</v>
      </c>
      <c r="BS454" s="1979">
        <v>1</v>
      </c>
      <c r="BT454" s="1979">
        <v>1</v>
      </c>
      <c r="BU454" s="1979">
        <v>1</v>
      </c>
      <c r="BV454" s="1998">
        <v>1</v>
      </c>
      <c r="BW454" s="1998">
        <v>1</v>
      </c>
      <c r="BX454" s="1998">
        <v>1</v>
      </c>
      <c r="BY454" s="1998">
        <v>1</v>
      </c>
      <c r="BZ454" s="1998">
        <v>1</v>
      </c>
      <c r="CA454" s="1979">
        <v>1</v>
      </c>
      <c r="CB454" s="1979">
        <v>1</v>
      </c>
      <c r="CC454" s="1979">
        <v>1</v>
      </c>
      <c r="CD454" s="1979">
        <v>1</v>
      </c>
      <c r="CE454" s="1979">
        <v>1</v>
      </c>
      <c r="CF454" s="1998">
        <v>1</v>
      </c>
      <c r="CG454" s="1998">
        <v>1</v>
      </c>
      <c r="CH454" s="1998">
        <v>1</v>
      </c>
      <c r="CI454" s="1998">
        <v>1</v>
      </c>
      <c r="CJ454" s="1998">
        <v>1</v>
      </c>
      <c r="CK454" s="1979">
        <v>1</v>
      </c>
      <c r="CL454" s="1979">
        <v>1</v>
      </c>
      <c r="CM454" s="1979">
        <v>1</v>
      </c>
      <c r="CN454" s="1979">
        <v>1</v>
      </c>
      <c r="CO454" s="1979">
        <v>1</v>
      </c>
      <c r="CP454" s="1998">
        <v>1</v>
      </c>
      <c r="CQ454" s="1998">
        <v>1</v>
      </c>
      <c r="CR454" s="1998">
        <v>1</v>
      </c>
      <c r="CS454" s="1998">
        <v>1</v>
      </c>
      <c r="CT454" s="1998">
        <v>1</v>
      </c>
      <c r="CU454" s="1979">
        <v>1</v>
      </c>
      <c r="CV454" s="1979">
        <v>1</v>
      </c>
      <c r="CW454" s="1979">
        <v>1</v>
      </c>
      <c r="CX454" s="1979">
        <v>1</v>
      </c>
      <c r="CY454" s="1979">
        <v>1</v>
      </c>
      <c r="CZ454" s="1998">
        <v>1</v>
      </c>
      <c r="DA454" s="1998">
        <v>1</v>
      </c>
      <c r="DB454" s="1998">
        <v>1</v>
      </c>
      <c r="DC454" s="1998">
        <v>1</v>
      </c>
      <c r="DD454" s="1998">
        <v>1</v>
      </c>
      <c r="DE454" s="1979">
        <v>1</v>
      </c>
      <c r="DF454" s="1979">
        <v>1</v>
      </c>
      <c r="DG454" s="1979">
        <v>1</v>
      </c>
      <c r="DH454" s="1979">
        <v>1</v>
      </c>
      <c r="DI454" s="1979">
        <v>1</v>
      </c>
      <c r="DJ454" s="1998">
        <v>1</v>
      </c>
      <c r="DK454" s="1998">
        <v>1</v>
      </c>
      <c r="DL454" s="1998">
        <v>1</v>
      </c>
      <c r="DM454" s="1998">
        <v>1</v>
      </c>
      <c r="DN454" s="1998">
        <v>1</v>
      </c>
      <c r="DO454" s="1979">
        <v>1</v>
      </c>
      <c r="DP454" s="1979">
        <v>1</v>
      </c>
      <c r="DQ454" s="1979">
        <v>1</v>
      </c>
      <c r="DR454" s="1979">
        <v>1</v>
      </c>
      <c r="DS454" s="1979">
        <v>1</v>
      </c>
      <c r="DT454" s="1998">
        <v>1</v>
      </c>
      <c r="DU454" s="1998">
        <v>1</v>
      </c>
      <c r="DV454" s="1998">
        <v>1</v>
      </c>
      <c r="DW454" s="1998">
        <v>1</v>
      </c>
      <c r="DX454" s="2026">
        <v>1</v>
      </c>
      <c r="EA454" s="2022"/>
      <c r="EB454" s="2">
        <v>31</v>
      </c>
      <c r="EC454" s="2" t="str">
        <f>$AD$15</f>
        <v>Pieux en béton coulé sur place</v>
      </c>
      <c r="ED454" s="1979">
        <v>1.3605609674202821</v>
      </c>
      <c r="EE454" s="1979">
        <v>1.3605609674202821</v>
      </c>
      <c r="EF454" s="1979">
        <v>1.3605609674202821</v>
      </c>
      <c r="EG454" s="1979">
        <v>1.3605609674202821</v>
      </c>
      <c r="EH454" s="1979">
        <v>1.3605609674202821</v>
      </c>
      <c r="EI454" s="1998">
        <v>2.0966679740137137</v>
      </c>
      <c r="EJ454" s="1998">
        <v>2.0966679740137137</v>
      </c>
      <c r="EK454" s="1998">
        <v>2.0966679740137137</v>
      </c>
      <c r="EL454" s="1998">
        <v>2.0966679740137137</v>
      </c>
      <c r="EM454" s="1998">
        <v>2.0966679740137137</v>
      </c>
      <c r="EN454" s="1979">
        <v>1.4337071065592959</v>
      </c>
      <c r="EO454" s="1979">
        <v>1.4337071065592959</v>
      </c>
      <c r="EP454" s="1979">
        <v>1.4337071065592959</v>
      </c>
      <c r="EQ454" s="1979">
        <v>1.4337071065592959</v>
      </c>
      <c r="ER454" s="1979">
        <v>1.4337071065592959</v>
      </c>
      <c r="ES454" s="1998">
        <v>1.8379162318633464</v>
      </c>
      <c r="ET454" s="1998">
        <v>1.8379162318633464</v>
      </c>
      <c r="EU454" s="1998">
        <v>1.8379162318633464</v>
      </c>
      <c r="EV454" s="1998">
        <v>1.8379162318633464</v>
      </c>
      <c r="EW454" s="1998">
        <v>1.8379162318633464</v>
      </c>
      <c r="EX454" s="1979">
        <v>1.4662053104562123</v>
      </c>
      <c r="EY454" s="1979">
        <v>1.4662053104562123</v>
      </c>
      <c r="EZ454" s="1979">
        <v>1.4662053104562123</v>
      </c>
      <c r="FA454" s="1979">
        <v>1.4662053104562123</v>
      </c>
      <c r="FB454" s="1979">
        <v>1.4662053104562123</v>
      </c>
      <c r="FC454" s="1998">
        <v>1.6277744053108218</v>
      </c>
      <c r="FD454" s="1998">
        <v>1.6277744053108218</v>
      </c>
      <c r="FE454" s="1998">
        <v>1.6277744053108218</v>
      </c>
      <c r="FF454" s="1998">
        <v>1.6277744053108218</v>
      </c>
      <c r="FG454" s="1998">
        <v>1.6277744053108218</v>
      </c>
      <c r="FH454" s="1979">
        <v>2.3921927569513635</v>
      </c>
      <c r="FI454" s="1979">
        <v>2.3921927569513635</v>
      </c>
      <c r="FJ454" s="1979">
        <v>2.3921927569513635</v>
      </c>
      <c r="FK454" s="1979">
        <v>2.3921927569513635</v>
      </c>
      <c r="FL454" s="1979">
        <v>2.3921927569513635</v>
      </c>
      <c r="FM454" s="1998">
        <v>1.5115041757386145</v>
      </c>
      <c r="FN454" s="1998">
        <v>1.5115041757386145</v>
      </c>
      <c r="FO454" s="1998">
        <v>1.5115041757386145</v>
      </c>
      <c r="FP454" s="1998">
        <v>1.5115041757386145</v>
      </c>
      <c r="FQ454" s="1998">
        <v>1.5115041757386145</v>
      </c>
      <c r="FR454" s="1979">
        <v>8.1198212572277306</v>
      </c>
      <c r="FS454" s="1979">
        <v>8.1198212572277306</v>
      </c>
      <c r="FT454" s="1979">
        <v>8.1198212572277306</v>
      </c>
      <c r="FU454" s="1979">
        <v>8.1198212572277306</v>
      </c>
      <c r="FV454" s="1979">
        <v>8.1198212572277306</v>
      </c>
      <c r="FW454" s="1998">
        <v>8.4799072816005001</v>
      </c>
      <c r="FX454" s="1998">
        <v>8.4799072816005001</v>
      </c>
      <c r="FY454" s="1998">
        <v>8.4799072816005001</v>
      </c>
      <c r="FZ454" s="1998">
        <v>8.4799072816005001</v>
      </c>
      <c r="GA454" s="1998">
        <v>8.4799072816005001</v>
      </c>
      <c r="GB454" s="1979">
        <v>1.3861479372000356</v>
      </c>
      <c r="GC454" s="1979">
        <v>1.3861479372000356</v>
      </c>
      <c r="GD454" s="1979">
        <v>1.3861479372000356</v>
      </c>
      <c r="GE454" s="1979">
        <v>1.3861479372000356</v>
      </c>
      <c r="GF454" s="1979">
        <v>1.3861479372000356</v>
      </c>
      <c r="GG454" s="1998">
        <v>1.4313071575784038</v>
      </c>
      <c r="GH454" s="1998">
        <v>1.4313071575784038</v>
      </c>
      <c r="GI454" s="1998">
        <v>1.4313071575784038</v>
      </c>
      <c r="GJ454" s="1998">
        <v>1.4313071575784038</v>
      </c>
      <c r="GK454" s="2026">
        <v>1.4313071575784038</v>
      </c>
    </row>
    <row r="455" spans="1:193">
      <c r="A455" s="2020"/>
      <c r="B455" s="2">
        <v>32</v>
      </c>
      <c r="C455" s="2" t="str">
        <f>$AD$16</f>
        <v>Colonnes ballastées</v>
      </c>
      <c r="D455" s="1979">
        <f>IF(Construction!$F$31=Construction!$R$22,Oeko!BQ455,Oeko!ED455)</f>
        <v>1</v>
      </c>
      <c r="E455" s="1979">
        <f>IF(Construction!$F$31=Construction!$R$22,Oeko!BR455,Oeko!EE455)</f>
        <v>1</v>
      </c>
      <c r="F455" s="1979">
        <f>IF(Construction!$F$31=Construction!$R$22,Oeko!BS455,Oeko!EF455)</f>
        <v>1</v>
      </c>
      <c r="G455" s="1979">
        <f>IF(Construction!$F$31=Construction!$R$22,Oeko!BT455,Oeko!EG455)</f>
        <v>1</v>
      </c>
      <c r="H455" s="1979">
        <f>IF(Construction!$F$31=Construction!$R$22,Oeko!BU455,Oeko!EH455)</f>
        <v>1</v>
      </c>
      <c r="I455" s="1998">
        <f>IF(Construction!$F$31=Construction!$R$22,Oeko!BV455,Oeko!EI455)</f>
        <v>1</v>
      </c>
      <c r="J455" s="1998">
        <f>IF(Construction!$F$31=Construction!$R$22,Oeko!BW455,Oeko!EJ455)</f>
        <v>1</v>
      </c>
      <c r="K455" s="1998">
        <f>IF(Construction!$F$31=Construction!$R$22,Oeko!BX455,Oeko!EK455)</f>
        <v>1</v>
      </c>
      <c r="L455" s="1998">
        <f>IF(Construction!$F$31=Construction!$R$22,Oeko!BY455,Oeko!EL455)</f>
        <v>1</v>
      </c>
      <c r="M455" s="1998">
        <f>IF(Construction!$F$31=Construction!$R$22,Oeko!BZ455,Oeko!EM455)</f>
        <v>1</v>
      </c>
      <c r="N455" s="1979">
        <f>IF(Construction!$F$31=Construction!$R$22,Oeko!CA455,Oeko!EN455)</f>
        <v>1</v>
      </c>
      <c r="O455" s="1979">
        <f>IF(Construction!$F$31=Construction!$R$22,Oeko!CB455,Oeko!EO455)</f>
        <v>1</v>
      </c>
      <c r="P455" s="1979">
        <f>IF(Construction!$F$31=Construction!$R$22,Oeko!CC455,Oeko!EP455)</f>
        <v>1</v>
      </c>
      <c r="Q455" s="1979">
        <f>IF(Construction!$F$31=Construction!$R$22,Oeko!CD455,Oeko!EQ455)</f>
        <v>1</v>
      </c>
      <c r="R455" s="1979">
        <f>IF(Construction!$F$31=Construction!$R$22,Oeko!CE455,Oeko!ER455)</f>
        <v>1</v>
      </c>
      <c r="S455" s="1998">
        <f>IF(Construction!$F$31=Construction!$R$22,Oeko!CF455,Oeko!ES455)</f>
        <v>1</v>
      </c>
      <c r="T455" s="1998">
        <f>IF(Construction!$F$31=Construction!$R$22,Oeko!CG455,Oeko!ET455)</f>
        <v>1</v>
      </c>
      <c r="U455" s="1998">
        <f>IF(Construction!$F$31=Construction!$R$22,Oeko!CH455,Oeko!EU455)</f>
        <v>1</v>
      </c>
      <c r="V455" s="1998">
        <f>IF(Construction!$F$31=Construction!$R$22,Oeko!CI455,Oeko!EV455)</f>
        <v>1</v>
      </c>
      <c r="W455" s="1998">
        <f>IF(Construction!$F$31=Construction!$R$22,Oeko!CJ455,Oeko!EW455)</f>
        <v>1</v>
      </c>
      <c r="X455" s="1979">
        <f>IF(Construction!$F$31=Construction!$R$22,Oeko!CK455,Oeko!EX455)</f>
        <v>1</v>
      </c>
      <c r="Y455" s="1979">
        <f>IF(Construction!$F$31=Construction!$R$22,Oeko!CL455,Oeko!EY455)</f>
        <v>1</v>
      </c>
      <c r="Z455" s="1979">
        <f>IF(Construction!$F$31=Construction!$R$22,Oeko!CM455,Oeko!EZ455)</f>
        <v>1</v>
      </c>
      <c r="AA455" s="1979">
        <f>IF(Construction!$F$31=Construction!$R$22,Oeko!CN455,Oeko!FA455)</f>
        <v>1</v>
      </c>
      <c r="AB455" s="1979">
        <f>IF(Construction!$F$31=Construction!$R$22,Oeko!CO455,Oeko!FB455)</f>
        <v>1</v>
      </c>
      <c r="AC455" s="1998">
        <f>IF(Construction!$F$31=Construction!$R$22,Oeko!CP455,Oeko!FC455)</f>
        <v>1</v>
      </c>
      <c r="AD455" s="1998">
        <f>IF(Construction!$F$31=Construction!$R$22,Oeko!CQ455,Oeko!FD455)</f>
        <v>1</v>
      </c>
      <c r="AE455" s="1998">
        <f>IF(Construction!$F$31=Construction!$R$22,Oeko!CR455,Oeko!FE455)</f>
        <v>1</v>
      </c>
      <c r="AF455" s="1998">
        <f>IF(Construction!$F$31=Construction!$R$22,Oeko!CS455,Oeko!FF455)</f>
        <v>1</v>
      </c>
      <c r="AG455" s="1998">
        <f>IF(Construction!$F$31=Construction!$R$22,Oeko!CT455,Oeko!FG455)</f>
        <v>1</v>
      </c>
      <c r="AH455" s="1979">
        <f>IF(Construction!$F$31=Construction!$R$22,Oeko!CU455,Oeko!FH455)</f>
        <v>1</v>
      </c>
      <c r="AI455" s="1979">
        <f>IF(Construction!$F$31=Construction!$R$22,Oeko!CV455,Oeko!FI455)</f>
        <v>1</v>
      </c>
      <c r="AJ455" s="1979">
        <f>IF(Construction!$F$31=Construction!$R$22,Oeko!CW455,Oeko!FJ455)</f>
        <v>1</v>
      </c>
      <c r="AK455" s="1979">
        <f>IF(Construction!$F$31=Construction!$R$22,Oeko!CX455,Oeko!FK455)</f>
        <v>1</v>
      </c>
      <c r="AL455" s="1979">
        <f>IF(Construction!$F$31=Construction!$R$22,Oeko!CY455,Oeko!FL455)</f>
        <v>1</v>
      </c>
      <c r="AM455" s="1998">
        <f>IF(Construction!$F$31=Construction!$R$22,Oeko!CZ455,Oeko!FM455)</f>
        <v>1</v>
      </c>
      <c r="AN455" s="1998">
        <f>IF(Construction!$F$31=Construction!$R$22,Oeko!DA455,Oeko!FN455)</f>
        <v>1</v>
      </c>
      <c r="AO455" s="1998">
        <f>IF(Construction!$F$31=Construction!$R$22,Oeko!DB455,Oeko!FO455)</f>
        <v>1</v>
      </c>
      <c r="AP455" s="1998">
        <f>IF(Construction!$F$31=Construction!$R$22,Oeko!DC455,Oeko!FP455)</f>
        <v>1</v>
      </c>
      <c r="AQ455" s="1998">
        <f>IF(Construction!$F$31=Construction!$R$22,Oeko!DD455,Oeko!FQ455)</f>
        <v>1</v>
      </c>
      <c r="AR455" s="1979">
        <f>IF(Construction!$F$31=Construction!$R$22,Oeko!DE455,Oeko!FR455)</f>
        <v>1</v>
      </c>
      <c r="AS455" s="1979">
        <f>IF(Construction!$F$31=Construction!$R$22,Oeko!DF455,Oeko!FS455)</f>
        <v>1</v>
      </c>
      <c r="AT455" s="1979">
        <f>IF(Construction!$F$31=Construction!$R$22,Oeko!DG455,Oeko!FT455)</f>
        <v>1</v>
      </c>
      <c r="AU455" s="1979">
        <f>IF(Construction!$F$31=Construction!$R$22,Oeko!DH455,Oeko!FU455)</f>
        <v>1</v>
      </c>
      <c r="AV455" s="1979">
        <f>IF(Construction!$F$31=Construction!$R$22,Oeko!DI455,Oeko!FV455)</f>
        <v>1</v>
      </c>
      <c r="AW455" s="1998">
        <f>IF(Construction!$F$31=Construction!$R$22,Oeko!DJ455,Oeko!FW455)</f>
        <v>1</v>
      </c>
      <c r="AX455" s="1998">
        <f>IF(Construction!$F$31=Construction!$R$22,Oeko!DK455,Oeko!FX455)</f>
        <v>1</v>
      </c>
      <c r="AY455" s="1998">
        <f>IF(Construction!$F$31=Construction!$R$22,Oeko!DL455,Oeko!FY455)</f>
        <v>1</v>
      </c>
      <c r="AZ455" s="1998">
        <f>IF(Construction!$F$31=Construction!$R$22,Oeko!DM455,Oeko!FZ455)</f>
        <v>1</v>
      </c>
      <c r="BA455" s="1998">
        <f>IF(Construction!$F$31=Construction!$R$22,Oeko!DN455,Oeko!GA455)</f>
        <v>1</v>
      </c>
      <c r="BB455" s="1979">
        <f>IF(Construction!$F$31=Construction!$R$22,Oeko!DO455,Oeko!GB455)</f>
        <v>1</v>
      </c>
      <c r="BC455" s="1979">
        <f>IF(Construction!$F$31=Construction!$R$22,Oeko!DP455,Oeko!GC455)</f>
        <v>1</v>
      </c>
      <c r="BD455" s="1979">
        <f>IF(Construction!$F$31=Construction!$R$22,Oeko!DQ455,Oeko!GD455)</f>
        <v>1</v>
      </c>
      <c r="BE455" s="1979">
        <f>IF(Construction!$F$31=Construction!$R$22,Oeko!DR455,Oeko!GE455)</f>
        <v>1</v>
      </c>
      <c r="BF455" s="1979">
        <f>IF(Construction!$F$31=Construction!$R$22,Oeko!DS455,Oeko!GF455)</f>
        <v>1</v>
      </c>
      <c r="BG455" s="1998">
        <f>IF(Construction!$F$31=Construction!$R$22,Oeko!DT455,Oeko!GG455)</f>
        <v>1</v>
      </c>
      <c r="BH455" s="1998">
        <f>IF(Construction!$F$31=Construction!$R$22,Oeko!DU455,Oeko!GH455)</f>
        <v>1</v>
      </c>
      <c r="BI455" s="1998">
        <f>IF(Construction!$F$31=Construction!$R$22,Oeko!DV455,Oeko!GI455)</f>
        <v>1</v>
      </c>
      <c r="BJ455" s="1998">
        <f>IF(Construction!$F$31=Construction!$R$22,Oeko!DW455,Oeko!GJ455)</f>
        <v>1</v>
      </c>
      <c r="BK455" s="2026">
        <f>IF(Construction!$F$31=Construction!$R$22,Oeko!DX455,Oeko!GK455)</f>
        <v>1</v>
      </c>
      <c r="BN455" s="2022"/>
      <c r="BO455" s="2">
        <v>32</v>
      </c>
      <c r="BP455" s="2" t="str">
        <f>$AD$16</f>
        <v>Colonnes ballastées</v>
      </c>
      <c r="BQ455" s="1979">
        <v>1</v>
      </c>
      <c r="BR455" s="1979">
        <v>1</v>
      </c>
      <c r="BS455" s="1979">
        <v>1</v>
      </c>
      <c r="BT455" s="1979">
        <v>1</v>
      </c>
      <c r="BU455" s="1979">
        <v>1</v>
      </c>
      <c r="BV455" s="1998">
        <v>1</v>
      </c>
      <c r="BW455" s="1998">
        <v>1</v>
      </c>
      <c r="BX455" s="1998">
        <v>1</v>
      </c>
      <c r="BY455" s="1998">
        <v>1</v>
      </c>
      <c r="BZ455" s="1998">
        <v>1</v>
      </c>
      <c r="CA455" s="1979">
        <v>1</v>
      </c>
      <c r="CB455" s="1979">
        <v>1</v>
      </c>
      <c r="CC455" s="1979">
        <v>1</v>
      </c>
      <c r="CD455" s="1979">
        <v>1</v>
      </c>
      <c r="CE455" s="1979">
        <v>1</v>
      </c>
      <c r="CF455" s="1998">
        <v>1</v>
      </c>
      <c r="CG455" s="1998">
        <v>1</v>
      </c>
      <c r="CH455" s="1998">
        <v>1</v>
      </c>
      <c r="CI455" s="1998">
        <v>1</v>
      </c>
      <c r="CJ455" s="1998">
        <v>1</v>
      </c>
      <c r="CK455" s="1979">
        <v>1</v>
      </c>
      <c r="CL455" s="1979">
        <v>1</v>
      </c>
      <c r="CM455" s="1979">
        <v>1</v>
      </c>
      <c r="CN455" s="1979">
        <v>1</v>
      </c>
      <c r="CO455" s="1979">
        <v>1</v>
      </c>
      <c r="CP455" s="1998">
        <v>1</v>
      </c>
      <c r="CQ455" s="1998">
        <v>1</v>
      </c>
      <c r="CR455" s="1998">
        <v>1</v>
      </c>
      <c r="CS455" s="1998">
        <v>1</v>
      </c>
      <c r="CT455" s="1998">
        <v>1</v>
      </c>
      <c r="CU455" s="1979">
        <v>1</v>
      </c>
      <c r="CV455" s="1979">
        <v>1</v>
      </c>
      <c r="CW455" s="1979">
        <v>1</v>
      </c>
      <c r="CX455" s="1979">
        <v>1</v>
      </c>
      <c r="CY455" s="1979">
        <v>1</v>
      </c>
      <c r="CZ455" s="1998">
        <v>1</v>
      </c>
      <c r="DA455" s="1998">
        <v>1</v>
      </c>
      <c r="DB455" s="1998">
        <v>1</v>
      </c>
      <c r="DC455" s="1998">
        <v>1</v>
      </c>
      <c r="DD455" s="1998">
        <v>1</v>
      </c>
      <c r="DE455" s="1979">
        <v>1</v>
      </c>
      <c r="DF455" s="1979">
        <v>1</v>
      </c>
      <c r="DG455" s="1979">
        <v>1</v>
      </c>
      <c r="DH455" s="1979">
        <v>1</v>
      </c>
      <c r="DI455" s="1979">
        <v>1</v>
      </c>
      <c r="DJ455" s="1998">
        <v>1</v>
      </c>
      <c r="DK455" s="1998">
        <v>1</v>
      </c>
      <c r="DL455" s="1998">
        <v>1</v>
      </c>
      <c r="DM455" s="1998">
        <v>1</v>
      </c>
      <c r="DN455" s="1998">
        <v>1</v>
      </c>
      <c r="DO455" s="1979">
        <v>1</v>
      </c>
      <c r="DP455" s="1979">
        <v>1</v>
      </c>
      <c r="DQ455" s="1979">
        <v>1</v>
      </c>
      <c r="DR455" s="1979">
        <v>1</v>
      </c>
      <c r="DS455" s="1979">
        <v>1</v>
      </c>
      <c r="DT455" s="1998">
        <v>1</v>
      </c>
      <c r="DU455" s="1998">
        <v>1</v>
      </c>
      <c r="DV455" s="1998">
        <v>1</v>
      </c>
      <c r="DW455" s="1998">
        <v>1</v>
      </c>
      <c r="DX455" s="2026">
        <v>1</v>
      </c>
      <c r="EA455" s="2022"/>
      <c r="EB455" s="2">
        <v>32</v>
      </c>
      <c r="EC455" s="2" t="str">
        <f>$AD$16</f>
        <v>Colonnes ballastées</v>
      </c>
      <c r="ED455" s="1979">
        <v>1.3605609674202821</v>
      </c>
      <c r="EE455" s="1979">
        <v>1.3605609674202821</v>
      </c>
      <c r="EF455" s="1979">
        <v>1.3605609674202821</v>
      </c>
      <c r="EG455" s="1979">
        <v>1.3605609674202821</v>
      </c>
      <c r="EH455" s="1979">
        <v>1.3605609674202821</v>
      </c>
      <c r="EI455" s="1998">
        <v>2.0966679740137137</v>
      </c>
      <c r="EJ455" s="1998">
        <v>2.0966679740137137</v>
      </c>
      <c r="EK455" s="1998">
        <v>2.0966679740137137</v>
      </c>
      <c r="EL455" s="1998">
        <v>2.0966679740137137</v>
      </c>
      <c r="EM455" s="1998">
        <v>2.0966679740137137</v>
      </c>
      <c r="EN455" s="1979">
        <v>1.4337071065592959</v>
      </c>
      <c r="EO455" s="1979">
        <v>1.4337071065592959</v>
      </c>
      <c r="EP455" s="1979">
        <v>1.4337071065592959</v>
      </c>
      <c r="EQ455" s="1979">
        <v>1.4337071065592959</v>
      </c>
      <c r="ER455" s="1979">
        <v>1.4337071065592959</v>
      </c>
      <c r="ES455" s="1998">
        <v>1.8379162318633464</v>
      </c>
      <c r="ET455" s="1998">
        <v>1.8379162318633464</v>
      </c>
      <c r="EU455" s="1998">
        <v>1.8379162318633464</v>
      </c>
      <c r="EV455" s="1998">
        <v>1.8379162318633464</v>
      </c>
      <c r="EW455" s="1998">
        <v>1.8379162318633464</v>
      </c>
      <c r="EX455" s="1979">
        <v>1.4662053104562123</v>
      </c>
      <c r="EY455" s="1979">
        <v>1.4662053104562123</v>
      </c>
      <c r="EZ455" s="1979">
        <v>1.4662053104562123</v>
      </c>
      <c r="FA455" s="1979">
        <v>1.4662053104562123</v>
      </c>
      <c r="FB455" s="1979">
        <v>1.4662053104562123</v>
      </c>
      <c r="FC455" s="1998">
        <v>1.6277744053108218</v>
      </c>
      <c r="FD455" s="1998">
        <v>1.6277744053108218</v>
      </c>
      <c r="FE455" s="1998">
        <v>1.6277744053108218</v>
      </c>
      <c r="FF455" s="1998">
        <v>1.6277744053108218</v>
      </c>
      <c r="FG455" s="1998">
        <v>1.6277744053108218</v>
      </c>
      <c r="FH455" s="1979">
        <v>2.3921927569513635</v>
      </c>
      <c r="FI455" s="1979">
        <v>2.3921927569513635</v>
      </c>
      <c r="FJ455" s="1979">
        <v>2.3921927569513635</v>
      </c>
      <c r="FK455" s="1979">
        <v>2.3921927569513635</v>
      </c>
      <c r="FL455" s="1979">
        <v>2.3921927569513635</v>
      </c>
      <c r="FM455" s="1998">
        <v>1.5115041757386145</v>
      </c>
      <c r="FN455" s="1998">
        <v>1.5115041757386145</v>
      </c>
      <c r="FO455" s="1998">
        <v>1.5115041757386145</v>
      </c>
      <c r="FP455" s="1998">
        <v>1.5115041757386145</v>
      </c>
      <c r="FQ455" s="1998">
        <v>1.5115041757386145</v>
      </c>
      <c r="FR455" s="1979">
        <v>8.1198212572277306</v>
      </c>
      <c r="FS455" s="1979">
        <v>8.1198212572277306</v>
      </c>
      <c r="FT455" s="1979">
        <v>8.1198212572277306</v>
      </c>
      <c r="FU455" s="1979">
        <v>8.1198212572277306</v>
      </c>
      <c r="FV455" s="1979">
        <v>8.1198212572277306</v>
      </c>
      <c r="FW455" s="1998">
        <v>8.4799072816005001</v>
      </c>
      <c r="FX455" s="1998">
        <v>8.4799072816005001</v>
      </c>
      <c r="FY455" s="1998">
        <v>8.4799072816005001</v>
      </c>
      <c r="FZ455" s="1998">
        <v>8.4799072816005001</v>
      </c>
      <c r="GA455" s="1998">
        <v>8.4799072816005001</v>
      </c>
      <c r="GB455" s="1979">
        <v>1.3861479372000356</v>
      </c>
      <c r="GC455" s="1979">
        <v>1.3861479372000356</v>
      </c>
      <c r="GD455" s="1979">
        <v>1.3861479372000356</v>
      </c>
      <c r="GE455" s="1979">
        <v>1.3861479372000356</v>
      </c>
      <c r="GF455" s="1979">
        <v>1.3861479372000356</v>
      </c>
      <c r="GG455" s="1998">
        <v>1.4313071575784038</v>
      </c>
      <c r="GH455" s="1998">
        <v>1.4313071575784038</v>
      </c>
      <c r="GI455" s="1998">
        <v>1.4313071575784038</v>
      </c>
      <c r="GJ455" s="1998">
        <v>1.4313071575784038</v>
      </c>
      <c r="GK455" s="2026">
        <v>1.4313071575784038</v>
      </c>
    </row>
    <row r="456" spans="1:193">
      <c r="A456" s="2020"/>
      <c r="B456" s="2">
        <v>33</v>
      </c>
      <c r="C456" s="2" t="str">
        <f>$AD$17</f>
        <v>Pieu en béton préfabriqué (battus)</v>
      </c>
      <c r="D456" s="1979">
        <f>IF(Construction!$F$31=Construction!$R$22,Oeko!BQ456,Oeko!ED456)</f>
        <v>1</v>
      </c>
      <c r="E456" s="1979">
        <f>IF(Construction!$F$31=Construction!$R$22,Oeko!BR456,Oeko!EE456)</f>
        <v>1</v>
      </c>
      <c r="F456" s="1979">
        <f>IF(Construction!$F$31=Construction!$R$22,Oeko!BS456,Oeko!EF456)</f>
        <v>1</v>
      </c>
      <c r="G456" s="1979">
        <f>IF(Construction!$F$31=Construction!$R$22,Oeko!BT456,Oeko!EG456)</f>
        <v>1</v>
      </c>
      <c r="H456" s="1979">
        <f>IF(Construction!$F$31=Construction!$R$22,Oeko!BU456,Oeko!EH456)</f>
        <v>1</v>
      </c>
      <c r="I456" s="1998">
        <f>IF(Construction!$F$31=Construction!$R$22,Oeko!BV456,Oeko!EI456)</f>
        <v>1</v>
      </c>
      <c r="J456" s="1998">
        <f>IF(Construction!$F$31=Construction!$R$22,Oeko!BW456,Oeko!EJ456)</f>
        <v>1</v>
      </c>
      <c r="K456" s="1998">
        <f>IF(Construction!$F$31=Construction!$R$22,Oeko!BX456,Oeko!EK456)</f>
        <v>1</v>
      </c>
      <c r="L456" s="1998">
        <f>IF(Construction!$F$31=Construction!$R$22,Oeko!BY456,Oeko!EL456)</f>
        <v>1</v>
      </c>
      <c r="M456" s="1998">
        <f>IF(Construction!$F$31=Construction!$R$22,Oeko!BZ456,Oeko!EM456)</f>
        <v>1</v>
      </c>
      <c r="N456" s="1979">
        <f>IF(Construction!$F$31=Construction!$R$22,Oeko!CA456,Oeko!EN456)</f>
        <v>1</v>
      </c>
      <c r="O456" s="1979">
        <f>IF(Construction!$F$31=Construction!$R$22,Oeko!CB456,Oeko!EO456)</f>
        <v>1</v>
      </c>
      <c r="P456" s="1979">
        <f>IF(Construction!$F$31=Construction!$R$22,Oeko!CC456,Oeko!EP456)</f>
        <v>1</v>
      </c>
      <c r="Q456" s="1979">
        <f>IF(Construction!$F$31=Construction!$R$22,Oeko!CD456,Oeko!EQ456)</f>
        <v>1</v>
      </c>
      <c r="R456" s="1979">
        <f>IF(Construction!$F$31=Construction!$R$22,Oeko!CE456,Oeko!ER456)</f>
        <v>1</v>
      </c>
      <c r="S456" s="1998">
        <f>IF(Construction!$F$31=Construction!$R$22,Oeko!CF456,Oeko!ES456)</f>
        <v>1</v>
      </c>
      <c r="T456" s="1998">
        <f>IF(Construction!$F$31=Construction!$R$22,Oeko!CG456,Oeko!ET456)</f>
        <v>1</v>
      </c>
      <c r="U456" s="1998">
        <f>IF(Construction!$F$31=Construction!$R$22,Oeko!CH456,Oeko!EU456)</f>
        <v>1</v>
      </c>
      <c r="V456" s="1998">
        <f>IF(Construction!$F$31=Construction!$R$22,Oeko!CI456,Oeko!EV456)</f>
        <v>1</v>
      </c>
      <c r="W456" s="1998">
        <f>IF(Construction!$F$31=Construction!$R$22,Oeko!CJ456,Oeko!EW456)</f>
        <v>1</v>
      </c>
      <c r="X456" s="1979">
        <f>IF(Construction!$F$31=Construction!$R$22,Oeko!CK456,Oeko!EX456)</f>
        <v>1</v>
      </c>
      <c r="Y456" s="1979">
        <f>IF(Construction!$F$31=Construction!$R$22,Oeko!CL456,Oeko!EY456)</f>
        <v>1</v>
      </c>
      <c r="Z456" s="1979">
        <f>IF(Construction!$F$31=Construction!$R$22,Oeko!CM456,Oeko!EZ456)</f>
        <v>1</v>
      </c>
      <c r="AA456" s="1979">
        <f>IF(Construction!$F$31=Construction!$R$22,Oeko!CN456,Oeko!FA456)</f>
        <v>1</v>
      </c>
      <c r="AB456" s="1979">
        <f>IF(Construction!$F$31=Construction!$R$22,Oeko!CO456,Oeko!FB456)</f>
        <v>1</v>
      </c>
      <c r="AC456" s="1998">
        <f>IF(Construction!$F$31=Construction!$R$22,Oeko!CP456,Oeko!FC456)</f>
        <v>1</v>
      </c>
      <c r="AD456" s="1998">
        <f>IF(Construction!$F$31=Construction!$R$22,Oeko!CQ456,Oeko!FD456)</f>
        <v>1</v>
      </c>
      <c r="AE456" s="1998">
        <f>IF(Construction!$F$31=Construction!$R$22,Oeko!CR456,Oeko!FE456)</f>
        <v>1</v>
      </c>
      <c r="AF456" s="1998">
        <f>IF(Construction!$F$31=Construction!$R$22,Oeko!CS456,Oeko!FF456)</f>
        <v>1</v>
      </c>
      <c r="AG456" s="1998">
        <f>IF(Construction!$F$31=Construction!$R$22,Oeko!CT456,Oeko!FG456)</f>
        <v>1</v>
      </c>
      <c r="AH456" s="1979">
        <f>IF(Construction!$F$31=Construction!$R$22,Oeko!CU456,Oeko!FH456)</f>
        <v>1</v>
      </c>
      <c r="AI456" s="1979">
        <f>IF(Construction!$F$31=Construction!$R$22,Oeko!CV456,Oeko!FI456)</f>
        <v>1</v>
      </c>
      <c r="AJ456" s="1979">
        <f>IF(Construction!$F$31=Construction!$R$22,Oeko!CW456,Oeko!FJ456)</f>
        <v>1</v>
      </c>
      <c r="AK456" s="1979">
        <f>IF(Construction!$F$31=Construction!$R$22,Oeko!CX456,Oeko!FK456)</f>
        <v>1</v>
      </c>
      <c r="AL456" s="1979">
        <f>IF(Construction!$F$31=Construction!$R$22,Oeko!CY456,Oeko!FL456)</f>
        <v>1</v>
      </c>
      <c r="AM456" s="1998">
        <f>IF(Construction!$F$31=Construction!$R$22,Oeko!CZ456,Oeko!FM456)</f>
        <v>1</v>
      </c>
      <c r="AN456" s="1998">
        <f>IF(Construction!$F$31=Construction!$R$22,Oeko!DA456,Oeko!FN456)</f>
        <v>1</v>
      </c>
      <c r="AO456" s="1998">
        <f>IF(Construction!$F$31=Construction!$R$22,Oeko!DB456,Oeko!FO456)</f>
        <v>1</v>
      </c>
      <c r="AP456" s="1998">
        <f>IF(Construction!$F$31=Construction!$R$22,Oeko!DC456,Oeko!FP456)</f>
        <v>1</v>
      </c>
      <c r="AQ456" s="1998">
        <f>IF(Construction!$F$31=Construction!$R$22,Oeko!DD456,Oeko!FQ456)</f>
        <v>1</v>
      </c>
      <c r="AR456" s="1979">
        <f>IF(Construction!$F$31=Construction!$R$22,Oeko!DE456,Oeko!FR456)</f>
        <v>1</v>
      </c>
      <c r="AS456" s="1979">
        <f>IF(Construction!$F$31=Construction!$R$22,Oeko!DF456,Oeko!FS456)</f>
        <v>1</v>
      </c>
      <c r="AT456" s="1979">
        <f>IF(Construction!$F$31=Construction!$R$22,Oeko!DG456,Oeko!FT456)</f>
        <v>1</v>
      </c>
      <c r="AU456" s="1979">
        <f>IF(Construction!$F$31=Construction!$R$22,Oeko!DH456,Oeko!FU456)</f>
        <v>1</v>
      </c>
      <c r="AV456" s="1979">
        <f>IF(Construction!$F$31=Construction!$R$22,Oeko!DI456,Oeko!FV456)</f>
        <v>1</v>
      </c>
      <c r="AW456" s="1998">
        <f>IF(Construction!$F$31=Construction!$R$22,Oeko!DJ456,Oeko!FW456)</f>
        <v>1</v>
      </c>
      <c r="AX456" s="1998">
        <f>IF(Construction!$F$31=Construction!$R$22,Oeko!DK456,Oeko!FX456)</f>
        <v>1</v>
      </c>
      <c r="AY456" s="1998">
        <f>IF(Construction!$F$31=Construction!$R$22,Oeko!DL456,Oeko!FY456)</f>
        <v>1</v>
      </c>
      <c r="AZ456" s="1998">
        <f>IF(Construction!$F$31=Construction!$R$22,Oeko!DM456,Oeko!FZ456)</f>
        <v>1</v>
      </c>
      <c r="BA456" s="1998">
        <f>IF(Construction!$F$31=Construction!$R$22,Oeko!DN456,Oeko!GA456)</f>
        <v>1</v>
      </c>
      <c r="BB456" s="1979">
        <f>IF(Construction!$F$31=Construction!$R$22,Oeko!DO456,Oeko!GB456)</f>
        <v>1</v>
      </c>
      <c r="BC456" s="1979">
        <f>IF(Construction!$F$31=Construction!$R$22,Oeko!DP456,Oeko!GC456)</f>
        <v>1</v>
      </c>
      <c r="BD456" s="1979">
        <f>IF(Construction!$F$31=Construction!$R$22,Oeko!DQ456,Oeko!GD456)</f>
        <v>1</v>
      </c>
      <c r="BE456" s="1979">
        <f>IF(Construction!$F$31=Construction!$R$22,Oeko!DR456,Oeko!GE456)</f>
        <v>1</v>
      </c>
      <c r="BF456" s="1979">
        <f>IF(Construction!$F$31=Construction!$R$22,Oeko!DS456,Oeko!GF456)</f>
        <v>1</v>
      </c>
      <c r="BG456" s="1998">
        <f>IF(Construction!$F$31=Construction!$R$22,Oeko!DT456,Oeko!GG456)</f>
        <v>1</v>
      </c>
      <c r="BH456" s="1998">
        <f>IF(Construction!$F$31=Construction!$R$22,Oeko!DU456,Oeko!GH456)</f>
        <v>1</v>
      </c>
      <c r="BI456" s="1998">
        <f>IF(Construction!$F$31=Construction!$R$22,Oeko!DV456,Oeko!GI456)</f>
        <v>1</v>
      </c>
      <c r="BJ456" s="1998">
        <f>IF(Construction!$F$31=Construction!$R$22,Oeko!DW456,Oeko!GJ456)</f>
        <v>1</v>
      </c>
      <c r="BK456" s="2026">
        <f>IF(Construction!$F$31=Construction!$R$22,Oeko!DX456,Oeko!GK456)</f>
        <v>1</v>
      </c>
      <c r="BN456" s="2022"/>
      <c r="BO456" s="2">
        <v>33</v>
      </c>
      <c r="BP456" s="2" t="str">
        <f>$AD$17</f>
        <v>Pieu en béton préfabriqué (battus)</v>
      </c>
      <c r="BQ456" s="1979">
        <v>1</v>
      </c>
      <c r="BR456" s="1979">
        <v>1</v>
      </c>
      <c r="BS456" s="1979">
        <v>1</v>
      </c>
      <c r="BT456" s="1979">
        <v>1</v>
      </c>
      <c r="BU456" s="1979">
        <v>1</v>
      </c>
      <c r="BV456" s="1998">
        <v>1</v>
      </c>
      <c r="BW456" s="1998">
        <v>1</v>
      </c>
      <c r="BX456" s="1998">
        <v>1</v>
      </c>
      <c r="BY456" s="1998">
        <v>1</v>
      </c>
      <c r="BZ456" s="1998">
        <v>1</v>
      </c>
      <c r="CA456" s="1979">
        <v>1</v>
      </c>
      <c r="CB456" s="1979">
        <v>1</v>
      </c>
      <c r="CC456" s="1979">
        <v>1</v>
      </c>
      <c r="CD456" s="1979">
        <v>1</v>
      </c>
      <c r="CE456" s="1979">
        <v>1</v>
      </c>
      <c r="CF456" s="1998">
        <v>1</v>
      </c>
      <c r="CG456" s="1998">
        <v>1</v>
      </c>
      <c r="CH456" s="1998">
        <v>1</v>
      </c>
      <c r="CI456" s="1998">
        <v>1</v>
      </c>
      <c r="CJ456" s="1998">
        <v>1</v>
      </c>
      <c r="CK456" s="1979">
        <v>1</v>
      </c>
      <c r="CL456" s="1979">
        <v>1</v>
      </c>
      <c r="CM456" s="1979">
        <v>1</v>
      </c>
      <c r="CN456" s="1979">
        <v>1</v>
      </c>
      <c r="CO456" s="1979">
        <v>1</v>
      </c>
      <c r="CP456" s="1998">
        <v>1</v>
      </c>
      <c r="CQ456" s="1998">
        <v>1</v>
      </c>
      <c r="CR456" s="1998">
        <v>1</v>
      </c>
      <c r="CS456" s="1998">
        <v>1</v>
      </c>
      <c r="CT456" s="1998">
        <v>1</v>
      </c>
      <c r="CU456" s="1979">
        <v>1</v>
      </c>
      <c r="CV456" s="1979">
        <v>1</v>
      </c>
      <c r="CW456" s="1979">
        <v>1</v>
      </c>
      <c r="CX456" s="1979">
        <v>1</v>
      </c>
      <c r="CY456" s="1979">
        <v>1</v>
      </c>
      <c r="CZ456" s="1998">
        <v>1</v>
      </c>
      <c r="DA456" s="1998">
        <v>1</v>
      </c>
      <c r="DB456" s="1998">
        <v>1</v>
      </c>
      <c r="DC456" s="1998">
        <v>1</v>
      </c>
      <c r="DD456" s="1998">
        <v>1</v>
      </c>
      <c r="DE456" s="1979">
        <v>1</v>
      </c>
      <c r="DF456" s="1979">
        <v>1</v>
      </c>
      <c r="DG456" s="1979">
        <v>1</v>
      </c>
      <c r="DH456" s="1979">
        <v>1</v>
      </c>
      <c r="DI456" s="1979">
        <v>1</v>
      </c>
      <c r="DJ456" s="1998">
        <v>1</v>
      </c>
      <c r="DK456" s="1998">
        <v>1</v>
      </c>
      <c r="DL456" s="1998">
        <v>1</v>
      </c>
      <c r="DM456" s="1998">
        <v>1</v>
      </c>
      <c r="DN456" s="1998">
        <v>1</v>
      </c>
      <c r="DO456" s="1979">
        <v>1</v>
      </c>
      <c r="DP456" s="1979">
        <v>1</v>
      </c>
      <c r="DQ456" s="1979">
        <v>1</v>
      </c>
      <c r="DR456" s="1979">
        <v>1</v>
      </c>
      <c r="DS456" s="1979">
        <v>1</v>
      </c>
      <c r="DT456" s="1998">
        <v>1</v>
      </c>
      <c r="DU456" s="1998">
        <v>1</v>
      </c>
      <c r="DV456" s="1998">
        <v>1</v>
      </c>
      <c r="DW456" s="1998">
        <v>1</v>
      </c>
      <c r="DX456" s="2026">
        <v>1</v>
      </c>
      <c r="EA456" s="2022"/>
      <c r="EB456" s="2">
        <v>33</v>
      </c>
      <c r="EC456" s="2" t="str">
        <f>$AD$17</f>
        <v>Pieu en béton préfabriqué (battus)</v>
      </c>
      <c r="ED456" s="1979">
        <v>1.3605609674202821</v>
      </c>
      <c r="EE456" s="1979">
        <v>1.3605609674202821</v>
      </c>
      <c r="EF456" s="1979">
        <v>1.3605609674202821</v>
      </c>
      <c r="EG456" s="1979">
        <v>1.3605609674202821</v>
      </c>
      <c r="EH456" s="1979">
        <v>1.3605609674202821</v>
      </c>
      <c r="EI456" s="1998">
        <v>2.0966679740137137</v>
      </c>
      <c r="EJ456" s="1998">
        <v>2.0966679740137137</v>
      </c>
      <c r="EK456" s="1998">
        <v>2.0966679740137137</v>
      </c>
      <c r="EL456" s="1998">
        <v>2.0966679740137137</v>
      </c>
      <c r="EM456" s="1998">
        <v>2.0966679740137137</v>
      </c>
      <c r="EN456" s="1979">
        <v>1.4337071065592959</v>
      </c>
      <c r="EO456" s="1979">
        <v>1.4337071065592959</v>
      </c>
      <c r="EP456" s="1979">
        <v>1.4337071065592959</v>
      </c>
      <c r="EQ456" s="1979">
        <v>1.4337071065592959</v>
      </c>
      <c r="ER456" s="1979">
        <v>1.4337071065592959</v>
      </c>
      <c r="ES456" s="1998">
        <v>1.8379162318633464</v>
      </c>
      <c r="ET456" s="1998">
        <v>1.8379162318633464</v>
      </c>
      <c r="EU456" s="1998">
        <v>1.8379162318633464</v>
      </c>
      <c r="EV456" s="1998">
        <v>1.8379162318633464</v>
      </c>
      <c r="EW456" s="1998">
        <v>1.8379162318633464</v>
      </c>
      <c r="EX456" s="1979">
        <v>1.4662053104562123</v>
      </c>
      <c r="EY456" s="1979">
        <v>1.4662053104562123</v>
      </c>
      <c r="EZ456" s="1979">
        <v>1.4662053104562123</v>
      </c>
      <c r="FA456" s="1979">
        <v>1.4662053104562123</v>
      </c>
      <c r="FB456" s="1979">
        <v>1.4662053104562123</v>
      </c>
      <c r="FC456" s="1998">
        <v>1.6277744053108218</v>
      </c>
      <c r="FD456" s="1998">
        <v>1.6277744053108218</v>
      </c>
      <c r="FE456" s="1998">
        <v>1.6277744053108218</v>
      </c>
      <c r="FF456" s="1998">
        <v>1.6277744053108218</v>
      </c>
      <c r="FG456" s="1998">
        <v>1.6277744053108218</v>
      </c>
      <c r="FH456" s="1979">
        <v>2.3921927569513635</v>
      </c>
      <c r="FI456" s="1979">
        <v>2.3921927569513635</v>
      </c>
      <c r="FJ456" s="1979">
        <v>2.3921927569513635</v>
      </c>
      <c r="FK456" s="1979">
        <v>2.3921927569513635</v>
      </c>
      <c r="FL456" s="1979">
        <v>2.3921927569513635</v>
      </c>
      <c r="FM456" s="1998">
        <v>1.5115041757386145</v>
      </c>
      <c r="FN456" s="1998">
        <v>1.5115041757386145</v>
      </c>
      <c r="FO456" s="1998">
        <v>1.5115041757386145</v>
      </c>
      <c r="FP456" s="1998">
        <v>1.5115041757386145</v>
      </c>
      <c r="FQ456" s="1998">
        <v>1.5115041757386145</v>
      </c>
      <c r="FR456" s="1979">
        <v>8.1198212572277306</v>
      </c>
      <c r="FS456" s="1979">
        <v>8.1198212572277306</v>
      </c>
      <c r="FT456" s="1979">
        <v>8.1198212572277306</v>
      </c>
      <c r="FU456" s="1979">
        <v>8.1198212572277306</v>
      </c>
      <c r="FV456" s="1979">
        <v>8.1198212572277306</v>
      </c>
      <c r="FW456" s="1998">
        <v>8.4799072816005001</v>
      </c>
      <c r="FX456" s="1998">
        <v>8.4799072816005001</v>
      </c>
      <c r="FY456" s="1998">
        <v>8.4799072816005001</v>
      </c>
      <c r="FZ456" s="1998">
        <v>8.4799072816005001</v>
      </c>
      <c r="GA456" s="1998">
        <v>8.4799072816005001</v>
      </c>
      <c r="GB456" s="1979">
        <v>1.3861479372000356</v>
      </c>
      <c r="GC456" s="1979">
        <v>1.3861479372000356</v>
      </c>
      <c r="GD456" s="1979">
        <v>1.3861479372000356</v>
      </c>
      <c r="GE456" s="1979">
        <v>1.3861479372000356</v>
      </c>
      <c r="GF456" s="1979">
        <v>1.3861479372000356</v>
      </c>
      <c r="GG456" s="1998">
        <v>1.4313071575784038</v>
      </c>
      <c r="GH456" s="1998">
        <v>1.4313071575784038</v>
      </c>
      <c r="GI456" s="1998">
        <v>1.4313071575784038</v>
      </c>
      <c r="GJ456" s="1998">
        <v>1.4313071575784038</v>
      </c>
      <c r="GK456" s="2026">
        <v>1.4313071575784038</v>
      </c>
    </row>
    <row r="457" spans="1:193">
      <c r="A457" s="2020"/>
      <c r="B457" s="2">
        <v>34</v>
      </c>
      <c r="C457" s="2" t="str">
        <f>$AF$13</f>
        <v/>
      </c>
      <c r="D457" s="1979">
        <f>IF(Construction!$F$31=Construction!$R$22,Oeko!BQ457,Oeko!ED457)</f>
        <v>1</v>
      </c>
      <c r="E457" s="1979">
        <f>IF(Construction!$F$31=Construction!$R$22,Oeko!BR457,Oeko!EE457)</f>
        <v>1</v>
      </c>
      <c r="F457" s="1979">
        <f>IF(Construction!$F$31=Construction!$R$22,Oeko!BS457,Oeko!EF457)</f>
        <v>1</v>
      </c>
      <c r="G457" s="1979">
        <f>IF(Construction!$F$31=Construction!$R$22,Oeko!BT457,Oeko!EG457)</f>
        <v>1</v>
      </c>
      <c r="H457" s="1979">
        <f>IF(Construction!$F$31=Construction!$R$22,Oeko!BU457,Oeko!EH457)</f>
        <v>1</v>
      </c>
      <c r="I457" s="1998">
        <f>IF(Construction!$F$31=Construction!$R$22,Oeko!BV457,Oeko!EI457)</f>
        <v>1</v>
      </c>
      <c r="J457" s="1998">
        <f>IF(Construction!$F$31=Construction!$R$22,Oeko!BW457,Oeko!EJ457)</f>
        <v>1</v>
      </c>
      <c r="K457" s="1998">
        <f>IF(Construction!$F$31=Construction!$R$22,Oeko!BX457,Oeko!EK457)</f>
        <v>1</v>
      </c>
      <c r="L457" s="1998">
        <f>IF(Construction!$F$31=Construction!$R$22,Oeko!BY457,Oeko!EL457)</f>
        <v>1</v>
      </c>
      <c r="M457" s="1998">
        <f>IF(Construction!$F$31=Construction!$R$22,Oeko!BZ457,Oeko!EM457)</f>
        <v>1</v>
      </c>
      <c r="N457" s="1979">
        <f>IF(Construction!$F$31=Construction!$R$22,Oeko!CA457,Oeko!EN457)</f>
        <v>1</v>
      </c>
      <c r="O457" s="1979">
        <f>IF(Construction!$F$31=Construction!$R$22,Oeko!CB457,Oeko!EO457)</f>
        <v>1</v>
      </c>
      <c r="P457" s="1979">
        <f>IF(Construction!$F$31=Construction!$R$22,Oeko!CC457,Oeko!EP457)</f>
        <v>1</v>
      </c>
      <c r="Q457" s="1979">
        <f>IF(Construction!$F$31=Construction!$R$22,Oeko!CD457,Oeko!EQ457)</f>
        <v>1</v>
      </c>
      <c r="R457" s="1979">
        <f>IF(Construction!$F$31=Construction!$R$22,Oeko!CE457,Oeko!ER457)</f>
        <v>1</v>
      </c>
      <c r="S457" s="1998">
        <f>IF(Construction!$F$31=Construction!$R$22,Oeko!CF457,Oeko!ES457)</f>
        <v>1</v>
      </c>
      <c r="T457" s="1998">
        <f>IF(Construction!$F$31=Construction!$R$22,Oeko!CG457,Oeko!ET457)</f>
        <v>1</v>
      </c>
      <c r="U457" s="1998">
        <f>IF(Construction!$F$31=Construction!$R$22,Oeko!CH457,Oeko!EU457)</f>
        <v>1</v>
      </c>
      <c r="V457" s="1998">
        <f>IF(Construction!$F$31=Construction!$R$22,Oeko!CI457,Oeko!EV457)</f>
        <v>1</v>
      </c>
      <c r="W457" s="1998">
        <f>IF(Construction!$F$31=Construction!$R$22,Oeko!CJ457,Oeko!EW457)</f>
        <v>1</v>
      </c>
      <c r="X457" s="1979">
        <f>IF(Construction!$F$31=Construction!$R$22,Oeko!CK457,Oeko!EX457)</f>
        <v>1</v>
      </c>
      <c r="Y457" s="1979">
        <f>IF(Construction!$F$31=Construction!$R$22,Oeko!CL457,Oeko!EY457)</f>
        <v>1</v>
      </c>
      <c r="Z457" s="1979">
        <f>IF(Construction!$F$31=Construction!$R$22,Oeko!CM457,Oeko!EZ457)</f>
        <v>1</v>
      </c>
      <c r="AA457" s="1979">
        <f>IF(Construction!$F$31=Construction!$R$22,Oeko!CN457,Oeko!FA457)</f>
        <v>1</v>
      </c>
      <c r="AB457" s="1979">
        <f>IF(Construction!$F$31=Construction!$R$22,Oeko!CO457,Oeko!FB457)</f>
        <v>1</v>
      </c>
      <c r="AC457" s="1998">
        <f>IF(Construction!$F$31=Construction!$R$22,Oeko!CP457,Oeko!FC457)</f>
        <v>1</v>
      </c>
      <c r="AD457" s="1998">
        <f>IF(Construction!$F$31=Construction!$R$22,Oeko!CQ457,Oeko!FD457)</f>
        <v>1</v>
      </c>
      <c r="AE457" s="1998">
        <f>IF(Construction!$F$31=Construction!$R$22,Oeko!CR457,Oeko!FE457)</f>
        <v>1</v>
      </c>
      <c r="AF457" s="1998">
        <f>IF(Construction!$F$31=Construction!$R$22,Oeko!CS457,Oeko!FF457)</f>
        <v>1</v>
      </c>
      <c r="AG457" s="1998">
        <f>IF(Construction!$F$31=Construction!$R$22,Oeko!CT457,Oeko!FG457)</f>
        <v>1</v>
      </c>
      <c r="AH457" s="1979">
        <f>IF(Construction!$F$31=Construction!$R$22,Oeko!CU457,Oeko!FH457)</f>
        <v>1</v>
      </c>
      <c r="AI457" s="1979">
        <f>IF(Construction!$F$31=Construction!$R$22,Oeko!CV457,Oeko!FI457)</f>
        <v>1</v>
      </c>
      <c r="AJ457" s="1979">
        <f>IF(Construction!$F$31=Construction!$R$22,Oeko!CW457,Oeko!FJ457)</f>
        <v>1</v>
      </c>
      <c r="AK457" s="1979">
        <f>IF(Construction!$F$31=Construction!$R$22,Oeko!CX457,Oeko!FK457)</f>
        <v>1</v>
      </c>
      <c r="AL457" s="1979">
        <f>IF(Construction!$F$31=Construction!$R$22,Oeko!CY457,Oeko!FL457)</f>
        <v>1</v>
      </c>
      <c r="AM457" s="1998">
        <f>IF(Construction!$F$31=Construction!$R$22,Oeko!CZ457,Oeko!FM457)</f>
        <v>1</v>
      </c>
      <c r="AN457" s="1998">
        <f>IF(Construction!$F$31=Construction!$R$22,Oeko!DA457,Oeko!FN457)</f>
        <v>1</v>
      </c>
      <c r="AO457" s="1998">
        <f>IF(Construction!$F$31=Construction!$R$22,Oeko!DB457,Oeko!FO457)</f>
        <v>1</v>
      </c>
      <c r="AP457" s="1998">
        <f>IF(Construction!$F$31=Construction!$R$22,Oeko!DC457,Oeko!FP457)</f>
        <v>1</v>
      </c>
      <c r="AQ457" s="1998">
        <f>IF(Construction!$F$31=Construction!$R$22,Oeko!DD457,Oeko!FQ457)</f>
        <v>1</v>
      </c>
      <c r="AR457" s="1979">
        <f>IF(Construction!$F$31=Construction!$R$22,Oeko!DE457,Oeko!FR457)</f>
        <v>1</v>
      </c>
      <c r="AS457" s="1979">
        <f>IF(Construction!$F$31=Construction!$R$22,Oeko!DF457,Oeko!FS457)</f>
        <v>1</v>
      </c>
      <c r="AT457" s="1979">
        <f>IF(Construction!$F$31=Construction!$R$22,Oeko!DG457,Oeko!FT457)</f>
        <v>1</v>
      </c>
      <c r="AU457" s="1979">
        <f>IF(Construction!$F$31=Construction!$R$22,Oeko!DH457,Oeko!FU457)</f>
        <v>1</v>
      </c>
      <c r="AV457" s="1979">
        <f>IF(Construction!$F$31=Construction!$R$22,Oeko!DI457,Oeko!FV457)</f>
        <v>1</v>
      </c>
      <c r="AW457" s="1998">
        <f>IF(Construction!$F$31=Construction!$R$22,Oeko!DJ457,Oeko!FW457)</f>
        <v>1</v>
      </c>
      <c r="AX457" s="1998">
        <f>IF(Construction!$F$31=Construction!$R$22,Oeko!DK457,Oeko!FX457)</f>
        <v>1</v>
      </c>
      <c r="AY457" s="1998">
        <f>IF(Construction!$F$31=Construction!$R$22,Oeko!DL457,Oeko!FY457)</f>
        <v>1</v>
      </c>
      <c r="AZ457" s="1998">
        <f>IF(Construction!$F$31=Construction!$R$22,Oeko!DM457,Oeko!FZ457)</f>
        <v>1</v>
      </c>
      <c r="BA457" s="1998">
        <f>IF(Construction!$F$31=Construction!$R$22,Oeko!DN457,Oeko!GA457)</f>
        <v>1</v>
      </c>
      <c r="BB457" s="1979">
        <f>IF(Construction!$F$31=Construction!$R$22,Oeko!DO457,Oeko!GB457)</f>
        <v>1</v>
      </c>
      <c r="BC457" s="1979">
        <f>IF(Construction!$F$31=Construction!$R$22,Oeko!DP457,Oeko!GC457)</f>
        <v>1</v>
      </c>
      <c r="BD457" s="1979">
        <f>IF(Construction!$F$31=Construction!$R$22,Oeko!DQ457,Oeko!GD457)</f>
        <v>1</v>
      </c>
      <c r="BE457" s="1979">
        <f>IF(Construction!$F$31=Construction!$R$22,Oeko!DR457,Oeko!GE457)</f>
        <v>1</v>
      </c>
      <c r="BF457" s="1979">
        <f>IF(Construction!$F$31=Construction!$R$22,Oeko!DS457,Oeko!GF457)</f>
        <v>1</v>
      </c>
      <c r="BG457" s="1998">
        <f>IF(Construction!$F$31=Construction!$R$22,Oeko!DT457,Oeko!GG457)</f>
        <v>1</v>
      </c>
      <c r="BH457" s="1998">
        <f>IF(Construction!$F$31=Construction!$R$22,Oeko!DU457,Oeko!GH457)</f>
        <v>1</v>
      </c>
      <c r="BI457" s="1998">
        <f>IF(Construction!$F$31=Construction!$R$22,Oeko!DV457,Oeko!GI457)</f>
        <v>1</v>
      </c>
      <c r="BJ457" s="1998">
        <f>IF(Construction!$F$31=Construction!$R$22,Oeko!DW457,Oeko!GJ457)</f>
        <v>1</v>
      </c>
      <c r="BK457" s="2026">
        <f>IF(Construction!$F$31=Construction!$R$22,Oeko!DX457,Oeko!GK457)</f>
        <v>1</v>
      </c>
      <c r="BN457" s="2022"/>
      <c r="BO457" s="2">
        <v>34</v>
      </c>
      <c r="BP457" s="2" t="str">
        <f>$AF$13</f>
        <v/>
      </c>
      <c r="BQ457" s="1979">
        <v>1</v>
      </c>
      <c r="BR457" s="1979">
        <v>1</v>
      </c>
      <c r="BS457" s="1979">
        <v>1</v>
      </c>
      <c r="BT457" s="1979">
        <v>1</v>
      </c>
      <c r="BU457" s="1979">
        <v>1</v>
      </c>
      <c r="BV457" s="1998">
        <v>1</v>
      </c>
      <c r="BW457" s="1998">
        <v>1</v>
      </c>
      <c r="BX457" s="1998">
        <v>1</v>
      </c>
      <c r="BY457" s="1998">
        <v>1</v>
      </c>
      <c r="BZ457" s="1998">
        <v>1</v>
      </c>
      <c r="CA457" s="1979">
        <v>1</v>
      </c>
      <c r="CB457" s="1979">
        <v>1</v>
      </c>
      <c r="CC457" s="1979">
        <v>1</v>
      </c>
      <c r="CD457" s="1979">
        <v>1</v>
      </c>
      <c r="CE457" s="1979">
        <v>1</v>
      </c>
      <c r="CF457" s="1998">
        <v>1</v>
      </c>
      <c r="CG457" s="1998">
        <v>1</v>
      </c>
      <c r="CH457" s="1998">
        <v>1</v>
      </c>
      <c r="CI457" s="1998">
        <v>1</v>
      </c>
      <c r="CJ457" s="1998">
        <v>1</v>
      </c>
      <c r="CK457" s="1979">
        <v>1</v>
      </c>
      <c r="CL457" s="1979">
        <v>1</v>
      </c>
      <c r="CM457" s="1979">
        <v>1</v>
      </c>
      <c r="CN457" s="1979">
        <v>1</v>
      </c>
      <c r="CO457" s="1979">
        <v>1</v>
      </c>
      <c r="CP457" s="1998">
        <v>1</v>
      </c>
      <c r="CQ457" s="1998">
        <v>1</v>
      </c>
      <c r="CR457" s="1998">
        <v>1</v>
      </c>
      <c r="CS457" s="1998">
        <v>1</v>
      </c>
      <c r="CT457" s="1998">
        <v>1</v>
      </c>
      <c r="CU457" s="1979">
        <v>1</v>
      </c>
      <c r="CV457" s="1979">
        <v>1</v>
      </c>
      <c r="CW457" s="1979">
        <v>1</v>
      </c>
      <c r="CX457" s="1979">
        <v>1</v>
      </c>
      <c r="CY457" s="1979">
        <v>1</v>
      </c>
      <c r="CZ457" s="1998">
        <v>1</v>
      </c>
      <c r="DA457" s="1998">
        <v>1</v>
      </c>
      <c r="DB457" s="1998">
        <v>1</v>
      </c>
      <c r="DC457" s="1998">
        <v>1</v>
      </c>
      <c r="DD457" s="1998">
        <v>1</v>
      </c>
      <c r="DE457" s="1979">
        <v>1</v>
      </c>
      <c r="DF457" s="1979">
        <v>1</v>
      </c>
      <c r="DG457" s="1979">
        <v>1</v>
      </c>
      <c r="DH457" s="1979">
        <v>1</v>
      </c>
      <c r="DI457" s="1979">
        <v>1</v>
      </c>
      <c r="DJ457" s="1998">
        <v>1</v>
      </c>
      <c r="DK457" s="1998">
        <v>1</v>
      </c>
      <c r="DL457" s="1998">
        <v>1</v>
      </c>
      <c r="DM457" s="1998">
        <v>1</v>
      </c>
      <c r="DN457" s="1998">
        <v>1</v>
      </c>
      <c r="DO457" s="1979">
        <v>1</v>
      </c>
      <c r="DP457" s="1979">
        <v>1</v>
      </c>
      <c r="DQ457" s="1979">
        <v>1</v>
      </c>
      <c r="DR457" s="1979">
        <v>1</v>
      </c>
      <c r="DS457" s="1979">
        <v>1</v>
      </c>
      <c r="DT457" s="1998">
        <v>1</v>
      </c>
      <c r="DU457" s="1998">
        <v>1</v>
      </c>
      <c r="DV457" s="1998">
        <v>1</v>
      </c>
      <c r="DW457" s="1998">
        <v>1</v>
      </c>
      <c r="DX457" s="2026">
        <v>1</v>
      </c>
      <c r="EA457" s="2022"/>
      <c r="EB457" s="2">
        <v>34</v>
      </c>
      <c r="EC457" s="2" t="str">
        <f>$AF$13</f>
        <v/>
      </c>
      <c r="ED457" s="1979">
        <v>1.3605609674202821</v>
      </c>
      <c r="EE457" s="1979">
        <v>1.3605609674202821</v>
      </c>
      <c r="EF457" s="1979">
        <v>1.3605609674202821</v>
      </c>
      <c r="EG457" s="1979">
        <v>1.3605609674202821</v>
      </c>
      <c r="EH457" s="1979">
        <v>1.3605609674202821</v>
      </c>
      <c r="EI457" s="1998">
        <v>2.0966679740137137</v>
      </c>
      <c r="EJ457" s="1998">
        <v>2.0966679740137137</v>
      </c>
      <c r="EK457" s="1998">
        <v>2.0966679740137137</v>
      </c>
      <c r="EL457" s="1998">
        <v>2.0966679740137137</v>
      </c>
      <c r="EM457" s="1998">
        <v>2.0966679740137137</v>
      </c>
      <c r="EN457" s="1979">
        <v>1.4337071065592959</v>
      </c>
      <c r="EO457" s="1979">
        <v>1.4337071065592959</v>
      </c>
      <c r="EP457" s="1979">
        <v>1.4337071065592959</v>
      </c>
      <c r="EQ457" s="1979">
        <v>1.4337071065592959</v>
      </c>
      <c r="ER457" s="1979">
        <v>1.4337071065592959</v>
      </c>
      <c r="ES457" s="1998">
        <v>1.8379162318633464</v>
      </c>
      <c r="ET457" s="1998">
        <v>1.8379162318633464</v>
      </c>
      <c r="EU457" s="1998">
        <v>1.8379162318633464</v>
      </c>
      <c r="EV457" s="1998">
        <v>1.8379162318633464</v>
      </c>
      <c r="EW457" s="1998">
        <v>1.8379162318633464</v>
      </c>
      <c r="EX457" s="1979">
        <v>1.4662053104562123</v>
      </c>
      <c r="EY457" s="1979">
        <v>1.4662053104562123</v>
      </c>
      <c r="EZ457" s="1979">
        <v>1.4662053104562123</v>
      </c>
      <c r="FA457" s="1979">
        <v>1.4662053104562123</v>
      </c>
      <c r="FB457" s="1979">
        <v>1.4662053104562123</v>
      </c>
      <c r="FC457" s="1998">
        <v>1.6277744053108218</v>
      </c>
      <c r="FD457" s="1998">
        <v>1.6277744053108218</v>
      </c>
      <c r="FE457" s="1998">
        <v>1.6277744053108218</v>
      </c>
      <c r="FF457" s="1998">
        <v>1.6277744053108218</v>
      </c>
      <c r="FG457" s="1998">
        <v>1.6277744053108218</v>
      </c>
      <c r="FH457" s="1979">
        <v>2.3921927569513635</v>
      </c>
      <c r="FI457" s="1979">
        <v>2.3921927569513635</v>
      </c>
      <c r="FJ457" s="1979">
        <v>2.3921927569513635</v>
      </c>
      <c r="FK457" s="1979">
        <v>2.3921927569513635</v>
      </c>
      <c r="FL457" s="1979">
        <v>2.3921927569513635</v>
      </c>
      <c r="FM457" s="1998">
        <v>1.5115041757386145</v>
      </c>
      <c r="FN457" s="1998">
        <v>1.5115041757386145</v>
      </c>
      <c r="FO457" s="1998">
        <v>1.5115041757386145</v>
      </c>
      <c r="FP457" s="1998">
        <v>1.5115041757386145</v>
      </c>
      <c r="FQ457" s="1998">
        <v>1.5115041757386145</v>
      </c>
      <c r="FR457" s="1979">
        <v>8.1198212572277306</v>
      </c>
      <c r="FS457" s="1979">
        <v>8.1198212572277306</v>
      </c>
      <c r="FT457" s="1979">
        <v>8.1198212572277306</v>
      </c>
      <c r="FU457" s="1979">
        <v>8.1198212572277306</v>
      </c>
      <c r="FV457" s="1979">
        <v>8.1198212572277306</v>
      </c>
      <c r="FW457" s="1998">
        <v>8.4799072816005001</v>
      </c>
      <c r="FX457" s="1998">
        <v>8.4799072816005001</v>
      </c>
      <c r="FY457" s="1998">
        <v>8.4799072816005001</v>
      </c>
      <c r="FZ457" s="1998">
        <v>8.4799072816005001</v>
      </c>
      <c r="GA457" s="1998">
        <v>8.4799072816005001</v>
      </c>
      <c r="GB457" s="1979">
        <v>1.3861479372000356</v>
      </c>
      <c r="GC457" s="1979">
        <v>1.3861479372000356</v>
      </c>
      <c r="GD457" s="1979">
        <v>1.3861479372000356</v>
      </c>
      <c r="GE457" s="1979">
        <v>1.3861479372000356</v>
      </c>
      <c r="GF457" s="1979">
        <v>1.3861479372000356</v>
      </c>
      <c r="GG457" s="1998">
        <v>1.4313071575784038</v>
      </c>
      <c r="GH457" s="1998">
        <v>1.4313071575784038</v>
      </c>
      <c r="GI457" s="1998">
        <v>1.4313071575784038</v>
      </c>
      <c r="GJ457" s="1998">
        <v>1.4313071575784038</v>
      </c>
      <c r="GK457" s="2026">
        <v>1.4313071575784038</v>
      </c>
    </row>
    <row r="458" spans="1:193">
      <c r="A458" s="2020"/>
      <c r="B458" s="2">
        <v>35</v>
      </c>
      <c r="C458" s="2" t="str">
        <f>$AF$14</f>
        <v/>
      </c>
      <c r="D458" s="1979">
        <f>IF(Construction!$F$31=Construction!$R$22,Oeko!BQ458,Oeko!ED458)</f>
        <v>1</v>
      </c>
      <c r="E458" s="1979">
        <f>IF(Construction!$F$31=Construction!$R$22,Oeko!BR458,Oeko!EE458)</f>
        <v>1</v>
      </c>
      <c r="F458" s="1979">
        <f>IF(Construction!$F$31=Construction!$R$22,Oeko!BS458,Oeko!EF458)</f>
        <v>1</v>
      </c>
      <c r="G458" s="1979">
        <f>IF(Construction!$F$31=Construction!$R$22,Oeko!BT458,Oeko!EG458)</f>
        <v>1</v>
      </c>
      <c r="H458" s="1979">
        <f>IF(Construction!$F$31=Construction!$R$22,Oeko!BU458,Oeko!EH458)</f>
        <v>1</v>
      </c>
      <c r="I458" s="1998">
        <f>IF(Construction!$F$31=Construction!$R$22,Oeko!BV458,Oeko!EI458)</f>
        <v>1</v>
      </c>
      <c r="J458" s="1998">
        <f>IF(Construction!$F$31=Construction!$R$22,Oeko!BW458,Oeko!EJ458)</f>
        <v>1</v>
      </c>
      <c r="K458" s="1998">
        <f>IF(Construction!$F$31=Construction!$R$22,Oeko!BX458,Oeko!EK458)</f>
        <v>1</v>
      </c>
      <c r="L458" s="1998">
        <f>IF(Construction!$F$31=Construction!$R$22,Oeko!BY458,Oeko!EL458)</f>
        <v>1</v>
      </c>
      <c r="M458" s="1998">
        <f>IF(Construction!$F$31=Construction!$R$22,Oeko!BZ458,Oeko!EM458)</f>
        <v>1</v>
      </c>
      <c r="N458" s="1979">
        <f>IF(Construction!$F$31=Construction!$R$22,Oeko!CA458,Oeko!EN458)</f>
        <v>1</v>
      </c>
      <c r="O458" s="1979">
        <f>IF(Construction!$F$31=Construction!$R$22,Oeko!CB458,Oeko!EO458)</f>
        <v>1</v>
      </c>
      <c r="P458" s="1979">
        <f>IF(Construction!$F$31=Construction!$R$22,Oeko!CC458,Oeko!EP458)</f>
        <v>1</v>
      </c>
      <c r="Q458" s="1979">
        <f>IF(Construction!$F$31=Construction!$R$22,Oeko!CD458,Oeko!EQ458)</f>
        <v>1</v>
      </c>
      <c r="R458" s="1979">
        <f>IF(Construction!$F$31=Construction!$R$22,Oeko!CE458,Oeko!ER458)</f>
        <v>1</v>
      </c>
      <c r="S458" s="1998">
        <f>IF(Construction!$F$31=Construction!$R$22,Oeko!CF458,Oeko!ES458)</f>
        <v>1</v>
      </c>
      <c r="T458" s="1998">
        <f>IF(Construction!$F$31=Construction!$R$22,Oeko!CG458,Oeko!ET458)</f>
        <v>1</v>
      </c>
      <c r="U458" s="1998">
        <f>IF(Construction!$F$31=Construction!$R$22,Oeko!CH458,Oeko!EU458)</f>
        <v>1</v>
      </c>
      <c r="V458" s="1998">
        <f>IF(Construction!$F$31=Construction!$R$22,Oeko!CI458,Oeko!EV458)</f>
        <v>1</v>
      </c>
      <c r="W458" s="1998">
        <f>IF(Construction!$F$31=Construction!$R$22,Oeko!CJ458,Oeko!EW458)</f>
        <v>1</v>
      </c>
      <c r="X458" s="1979">
        <f>IF(Construction!$F$31=Construction!$R$22,Oeko!CK458,Oeko!EX458)</f>
        <v>1</v>
      </c>
      <c r="Y458" s="1979">
        <f>IF(Construction!$F$31=Construction!$R$22,Oeko!CL458,Oeko!EY458)</f>
        <v>1</v>
      </c>
      <c r="Z458" s="1979">
        <f>IF(Construction!$F$31=Construction!$R$22,Oeko!CM458,Oeko!EZ458)</f>
        <v>1</v>
      </c>
      <c r="AA458" s="1979">
        <f>IF(Construction!$F$31=Construction!$R$22,Oeko!CN458,Oeko!FA458)</f>
        <v>1</v>
      </c>
      <c r="AB458" s="1979">
        <f>IF(Construction!$F$31=Construction!$R$22,Oeko!CO458,Oeko!FB458)</f>
        <v>1</v>
      </c>
      <c r="AC458" s="1998">
        <f>IF(Construction!$F$31=Construction!$R$22,Oeko!CP458,Oeko!FC458)</f>
        <v>1</v>
      </c>
      <c r="AD458" s="1998">
        <f>IF(Construction!$F$31=Construction!$R$22,Oeko!CQ458,Oeko!FD458)</f>
        <v>1</v>
      </c>
      <c r="AE458" s="1998">
        <f>IF(Construction!$F$31=Construction!$R$22,Oeko!CR458,Oeko!FE458)</f>
        <v>1</v>
      </c>
      <c r="AF458" s="1998">
        <f>IF(Construction!$F$31=Construction!$R$22,Oeko!CS458,Oeko!FF458)</f>
        <v>1</v>
      </c>
      <c r="AG458" s="1998">
        <f>IF(Construction!$F$31=Construction!$R$22,Oeko!CT458,Oeko!FG458)</f>
        <v>1</v>
      </c>
      <c r="AH458" s="1979">
        <f>IF(Construction!$F$31=Construction!$R$22,Oeko!CU458,Oeko!FH458)</f>
        <v>1</v>
      </c>
      <c r="AI458" s="1979">
        <f>IF(Construction!$F$31=Construction!$R$22,Oeko!CV458,Oeko!FI458)</f>
        <v>1</v>
      </c>
      <c r="AJ458" s="1979">
        <f>IF(Construction!$F$31=Construction!$R$22,Oeko!CW458,Oeko!FJ458)</f>
        <v>1</v>
      </c>
      <c r="AK458" s="1979">
        <f>IF(Construction!$F$31=Construction!$R$22,Oeko!CX458,Oeko!FK458)</f>
        <v>1</v>
      </c>
      <c r="AL458" s="1979">
        <f>IF(Construction!$F$31=Construction!$R$22,Oeko!CY458,Oeko!FL458)</f>
        <v>1</v>
      </c>
      <c r="AM458" s="1998">
        <f>IF(Construction!$F$31=Construction!$R$22,Oeko!CZ458,Oeko!FM458)</f>
        <v>1</v>
      </c>
      <c r="AN458" s="1998">
        <f>IF(Construction!$F$31=Construction!$R$22,Oeko!DA458,Oeko!FN458)</f>
        <v>1</v>
      </c>
      <c r="AO458" s="1998">
        <f>IF(Construction!$F$31=Construction!$R$22,Oeko!DB458,Oeko!FO458)</f>
        <v>1</v>
      </c>
      <c r="AP458" s="1998">
        <f>IF(Construction!$F$31=Construction!$R$22,Oeko!DC458,Oeko!FP458)</f>
        <v>1</v>
      </c>
      <c r="AQ458" s="1998">
        <f>IF(Construction!$F$31=Construction!$R$22,Oeko!DD458,Oeko!FQ458)</f>
        <v>1</v>
      </c>
      <c r="AR458" s="1979">
        <f>IF(Construction!$F$31=Construction!$R$22,Oeko!DE458,Oeko!FR458)</f>
        <v>1</v>
      </c>
      <c r="AS458" s="1979">
        <f>IF(Construction!$F$31=Construction!$R$22,Oeko!DF458,Oeko!FS458)</f>
        <v>1</v>
      </c>
      <c r="AT458" s="1979">
        <f>IF(Construction!$F$31=Construction!$R$22,Oeko!DG458,Oeko!FT458)</f>
        <v>1</v>
      </c>
      <c r="AU458" s="1979">
        <f>IF(Construction!$F$31=Construction!$R$22,Oeko!DH458,Oeko!FU458)</f>
        <v>1</v>
      </c>
      <c r="AV458" s="1979">
        <f>IF(Construction!$F$31=Construction!$R$22,Oeko!DI458,Oeko!FV458)</f>
        <v>1</v>
      </c>
      <c r="AW458" s="1998">
        <f>IF(Construction!$F$31=Construction!$R$22,Oeko!DJ458,Oeko!FW458)</f>
        <v>1</v>
      </c>
      <c r="AX458" s="1998">
        <f>IF(Construction!$F$31=Construction!$R$22,Oeko!DK458,Oeko!FX458)</f>
        <v>1</v>
      </c>
      <c r="AY458" s="1998">
        <f>IF(Construction!$F$31=Construction!$R$22,Oeko!DL458,Oeko!FY458)</f>
        <v>1</v>
      </c>
      <c r="AZ458" s="1998">
        <f>IF(Construction!$F$31=Construction!$R$22,Oeko!DM458,Oeko!FZ458)</f>
        <v>1</v>
      </c>
      <c r="BA458" s="1998">
        <f>IF(Construction!$F$31=Construction!$R$22,Oeko!DN458,Oeko!GA458)</f>
        <v>1</v>
      </c>
      <c r="BB458" s="1979">
        <f>IF(Construction!$F$31=Construction!$R$22,Oeko!DO458,Oeko!GB458)</f>
        <v>1</v>
      </c>
      <c r="BC458" s="1979">
        <f>IF(Construction!$F$31=Construction!$R$22,Oeko!DP458,Oeko!GC458)</f>
        <v>1</v>
      </c>
      <c r="BD458" s="1979">
        <f>IF(Construction!$F$31=Construction!$R$22,Oeko!DQ458,Oeko!GD458)</f>
        <v>1</v>
      </c>
      <c r="BE458" s="1979">
        <f>IF(Construction!$F$31=Construction!$R$22,Oeko!DR458,Oeko!GE458)</f>
        <v>1</v>
      </c>
      <c r="BF458" s="1979">
        <f>IF(Construction!$F$31=Construction!$R$22,Oeko!DS458,Oeko!GF458)</f>
        <v>1</v>
      </c>
      <c r="BG458" s="1998">
        <f>IF(Construction!$F$31=Construction!$R$22,Oeko!DT458,Oeko!GG458)</f>
        <v>1</v>
      </c>
      <c r="BH458" s="1998">
        <f>IF(Construction!$F$31=Construction!$R$22,Oeko!DU458,Oeko!GH458)</f>
        <v>1</v>
      </c>
      <c r="BI458" s="1998">
        <f>IF(Construction!$F$31=Construction!$R$22,Oeko!DV458,Oeko!GI458)</f>
        <v>1</v>
      </c>
      <c r="BJ458" s="1998">
        <f>IF(Construction!$F$31=Construction!$R$22,Oeko!DW458,Oeko!GJ458)</f>
        <v>1</v>
      </c>
      <c r="BK458" s="2026">
        <f>IF(Construction!$F$31=Construction!$R$22,Oeko!DX458,Oeko!GK458)</f>
        <v>1</v>
      </c>
      <c r="BN458" s="2022"/>
      <c r="BO458" s="2">
        <v>35</v>
      </c>
      <c r="BP458" s="2" t="str">
        <f>$AF$14</f>
        <v/>
      </c>
      <c r="BQ458" s="1979">
        <v>1</v>
      </c>
      <c r="BR458" s="1979">
        <v>1</v>
      </c>
      <c r="BS458" s="1979">
        <v>1</v>
      </c>
      <c r="BT458" s="1979">
        <v>1</v>
      </c>
      <c r="BU458" s="1979">
        <v>1</v>
      </c>
      <c r="BV458" s="1998">
        <v>1</v>
      </c>
      <c r="BW458" s="1998">
        <v>1</v>
      </c>
      <c r="BX458" s="1998">
        <v>1</v>
      </c>
      <c r="BY458" s="1998">
        <v>1</v>
      </c>
      <c r="BZ458" s="1998">
        <v>1</v>
      </c>
      <c r="CA458" s="1979">
        <v>1</v>
      </c>
      <c r="CB458" s="1979">
        <v>1</v>
      </c>
      <c r="CC458" s="1979">
        <v>1</v>
      </c>
      <c r="CD458" s="1979">
        <v>1</v>
      </c>
      <c r="CE458" s="1979">
        <v>1</v>
      </c>
      <c r="CF458" s="1998">
        <v>1</v>
      </c>
      <c r="CG458" s="1998">
        <v>1</v>
      </c>
      <c r="CH458" s="1998">
        <v>1</v>
      </c>
      <c r="CI458" s="1998">
        <v>1</v>
      </c>
      <c r="CJ458" s="1998">
        <v>1</v>
      </c>
      <c r="CK458" s="1979">
        <v>1</v>
      </c>
      <c r="CL458" s="1979">
        <v>1</v>
      </c>
      <c r="CM458" s="1979">
        <v>1</v>
      </c>
      <c r="CN458" s="1979">
        <v>1</v>
      </c>
      <c r="CO458" s="1979">
        <v>1</v>
      </c>
      <c r="CP458" s="1998">
        <v>1</v>
      </c>
      <c r="CQ458" s="1998">
        <v>1</v>
      </c>
      <c r="CR458" s="1998">
        <v>1</v>
      </c>
      <c r="CS458" s="1998">
        <v>1</v>
      </c>
      <c r="CT458" s="1998">
        <v>1</v>
      </c>
      <c r="CU458" s="1979">
        <v>1</v>
      </c>
      <c r="CV458" s="1979">
        <v>1</v>
      </c>
      <c r="CW458" s="1979">
        <v>1</v>
      </c>
      <c r="CX458" s="1979">
        <v>1</v>
      </c>
      <c r="CY458" s="1979">
        <v>1</v>
      </c>
      <c r="CZ458" s="1998">
        <v>1</v>
      </c>
      <c r="DA458" s="1998">
        <v>1</v>
      </c>
      <c r="DB458" s="1998">
        <v>1</v>
      </c>
      <c r="DC458" s="1998">
        <v>1</v>
      </c>
      <c r="DD458" s="1998">
        <v>1</v>
      </c>
      <c r="DE458" s="1979">
        <v>1</v>
      </c>
      <c r="DF458" s="1979">
        <v>1</v>
      </c>
      <c r="DG458" s="1979">
        <v>1</v>
      </c>
      <c r="DH458" s="1979">
        <v>1</v>
      </c>
      <c r="DI458" s="1979">
        <v>1</v>
      </c>
      <c r="DJ458" s="1998">
        <v>1</v>
      </c>
      <c r="DK458" s="1998">
        <v>1</v>
      </c>
      <c r="DL458" s="1998">
        <v>1</v>
      </c>
      <c r="DM458" s="1998">
        <v>1</v>
      </c>
      <c r="DN458" s="1998">
        <v>1</v>
      </c>
      <c r="DO458" s="1979">
        <v>1</v>
      </c>
      <c r="DP458" s="1979">
        <v>1</v>
      </c>
      <c r="DQ458" s="1979">
        <v>1</v>
      </c>
      <c r="DR458" s="1979">
        <v>1</v>
      </c>
      <c r="DS458" s="1979">
        <v>1</v>
      </c>
      <c r="DT458" s="1998">
        <v>1</v>
      </c>
      <c r="DU458" s="1998">
        <v>1</v>
      </c>
      <c r="DV458" s="1998">
        <v>1</v>
      </c>
      <c r="DW458" s="1998">
        <v>1</v>
      </c>
      <c r="DX458" s="2026">
        <v>1</v>
      </c>
      <c r="EA458" s="2022"/>
      <c r="EB458" s="2">
        <v>35</v>
      </c>
      <c r="EC458" s="2" t="str">
        <f>$AF$14</f>
        <v/>
      </c>
      <c r="ED458" s="1979">
        <v>1.3605609674202821</v>
      </c>
      <c r="EE458" s="1979">
        <v>1.3605609674202821</v>
      </c>
      <c r="EF458" s="1979">
        <v>1.3605609674202821</v>
      </c>
      <c r="EG458" s="1979">
        <v>1.3605609674202821</v>
      </c>
      <c r="EH458" s="1979">
        <v>1.3605609674202821</v>
      </c>
      <c r="EI458" s="1998">
        <v>2.0966679740137137</v>
      </c>
      <c r="EJ458" s="1998">
        <v>2.0966679740137137</v>
      </c>
      <c r="EK458" s="1998">
        <v>2.0966679740137137</v>
      </c>
      <c r="EL458" s="1998">
        <v>2.0966679740137137</v>
      </c>
      <c r="EM458" s="1998">
        <v>2.0966679740137137</v>
      </c>
      <c r="EN458" s="1979">
        <v>1.4337071065592959</v>
      </c>
      <c r="EO458" s="1979">
        <v>1.4337071065592959</v>
      </c>
      <c r="EP458" s="1979">
        <v>1.4337071065592959</v>
      </c>
      <c r="EQ458" s="1979">
        <v>1.4337071065592959</v>
      </c>
      <c r="ER458" s="1979">
        <v>1.4337071065592959</v>
      </c>
      <c r="ES458" s="1998">
        <v>1.8379162318633464</v>
      </c>
      <c r="ET458" s="1998">
        <v>1.8379162318633464</v>
      </c>
      <c r="EU458" s="1998">
        <v>1.8379162318633464</v>
      </c>
      <c r="EV458" s="1998">
        <v>1.8379162318633464</v>
      </c>
      <c r="EW458" s="1998">
        <v>1.8379162318633464</v>
      </c>
      <c r="EX458" s="1979">
        <v>1.4662053104562123</v>
      </c>
      <c r="EY458" s="1979">
        <v>1.4662053104562123</v>
      </c>
      <c r="EZ458" s="1979">
        <v>1.4662053104562123</v>
      </c>
      <c r="FA458" s="1979">
        <v>1.4662053104562123</v>
      </c>
      <c r="FB458" s="1979">
        <v>1.4662053104562123</v>
      </c>
      <c r="FC458" s="1998">
        <v>1.6277744053108218</v>
      </c>
      <c r="FD458" s="1998">
        <v>1.6277744053108218</v>
      </c>
      <c r="FE458" s="1998">
        <v>1.6277744053108218</v>
      </c>
      <c r="FF458" s="1998">
        <v>1.6277744053108218</v>
      </c>
      <c r="FG458" s="1998">
        <v>1.6277744053108218</v>
      </c>
      <c r="FH458" s="1979">
        <v>2.3921927569513635</v>
      </c>
      <c r="FI458" s="1979">
        <v>2.3921927569513635</v>
      </c>
      <c r="FJ458" s="1979">
        <v>2.3921927569513635</v>
      </c>
      <c r="FK458" s="1979">
        <v>2.3921927569513635</v>
      </c>
      <c r="FL458" s="1979">
        <v>2.3921927569513635</v>
      </c>
      <c r="FM458" s="1998">
        <v>1.5115041757386145</v>
      </c>
      <c r="FN458" s="1998">
        <v>1.5115041757386145</v>
      </c>
      <c r="FO458" s="1998">
        <v>1.5115041757386145</v>
      </c>
      <c r="FP458" s="1998">
        <v>1.5115041757386145</v>
      </c>
      <c r="FQ458" s="1998">
        <v>1.5115041757386145</v>
      </c>
      <c r="FR458" s="1979">
        <v>8.1198212572277306</v>
      </c>
      <c r="FS458" s="1979">
        <v>8.1198212572277306</v>
      </c>
      <c r="FT458" s="1979">
        <v>8.1198212572277306</v>
      </c>
      <c r="FU458" s="1979">
        <v>8.1198212572277306</v>
      </c>
      <c r="FV458" s="1979">
        <v>8.1198212572277306</v>
      </c>
      <c r="FW458" s="1998">
        <v>8.4799072816005001</v>
      </c>
      <c r="FX458" s="1998">
        <v>8.4799072816005001</v>
      </c>
      <c r="FY458" s="1998">
        <v>8.4799072816005001</v>
      </c>
      <c r="FZ458" s="1998">
        <v>8.4799072816005001</v>
      </c>
      <c r="GA458" s="1998">
        <v>8.4799072816005001</v>
      </c>
      <c r="GB458" s="1979">
        <v>1.3861479372000356</v>
      </c>
      <c r="GC458" s="1979">
        <v>1.3861479372000356</v>
      </c>
      <c r="GD458" s="1979">
        <v>1.3861479372000356</v>
      </c>
      <c r="GE458" s="1979">
        <v>1.3861479372000356</v>
      </c>
      <c r="GF458" s="1979">
        <v>1.3861479372000356</v>
      </c>
      <c r="GG458" s="1998">
        <v>1.4313071575784038</v>
      </c>
      <c r="GH458" s="1998">
        <v>1.4313071575784038</v>
      </c>
      <c r="GI458" s="1998">
        <v>1.4313071575784038</v>
      </c>
      <c r="GJ458" s="1998">
        <v>1.4313071575784038</v>
      </c>
      <c r="GK458" s="2026">
        <v>1.4313071575784038</v>
      </c>
    </row>
    <row r="459" spans="1:193">
      <c r="A459" s="2020"/>
      <c r="B459" s="2">
        <v>36</v>
      </c>
      <c r="C459" s="2" t="str">
        <f>$AF$15</f>
        <v/>
      </c>
      <c r="D459" s="1979">
        <f>IF(Construction!$F$31=Construction!$R$22,Oeko!BQ459,Oeko!ED459)</f>
        <v>1</v>
      </c>
      <c r="E459" s="1979">
        <f>IF(Construction!$F$31=Construction!$R$22,Oeko!BR459,Oeko!EE459)</f>
        <v>1</v>
      </c>
      <c r="F459" s="1979">
        <f>IF(Construction!$F$31=Construction!$R$22,Oeko!BS459,Oeko!EF459)</f>
        <v>1</v>
      </c>
      <c r="G459" s="1979">
        <f>IF(Construction!$F$31=Construction!$R$22,Oeko!BT459,Oeko!EG459)</f>
        <v>1</v>
      </c>
      <c r="H459" s="1979">
        <f>IF(Construction!$F$31=Construction!$R$22,Oeko!BU459,Oeko!EH459)</f>
        <v>1</v>
      </c>
      <c r="I459" s="1998">
        <f>IF(Construction!$F$31=Construction!$R$22,Oeko!BV459,Oeko!EI459)</f>
        <v>1</v>
      </c>
      <c r="J459" s="1998">
        <f>IF(Construction!$F$31=Construction!$R$22,Oeko!BW459,Oeko!EJ459)</f>
        <v>1</v>
      </c>
      <c r="K459" s="1998">
        <f>IF(Construction!$F$31=Construction!$R$22,Oeko!BX459,Oeko!EK459)</f>
        <v>1</v>
      </c>
      <c r="L459" s="1998">
        <f>IF(Construction!$F$31=Construction!$R$22,Oeko!BY459,Oeko!EL459)</f>
        <v>1</v>
      </c>
      <c r="M459" s="1998">
        <f>IF(Construction!$F$31=Construction!$R$22,Oeko!BZ459,Oeko!EM459)</f>
        <v>1</v>
      </c>
      <c r="N459" s="1979">
        <f>IF(Construction!$F$31=Construction!$R$22,Oeko!CA459,Oeko!EN459)</f>
        <v>1</v>
      </c>
      <c r="O459" s="1979">
        <f>IF(Construction!$F$31=Construction!$R$22,Oeko!CB459,Oeko!EO459)</f>
        <v>1</v>
      </c>
      <c r="P459" s="1979">
        <f>IF(Construction!$F$31=Construction!$R$22,Oeko!CC459,Oeko!EP459)</f>
        <v>1</v>
      </c>
      <c r="Q459" s="1979">
        <f>IF(Construction!$F$31=Construction!$R$22,Oeko!CD459,Oeko!EQ459)</f>
        <v>1</v>
      </c>
      <c r="R459" s="1979">
        <f>IF(Construction!$F$31=Construction!$R$22,Oeko!CE459,Oeko!ER459)</f>
        <v>1</v>
      </c>
      <c r="S459" s="1998">
        <f>IF(Construction!$F$31=Construction!$R$22,Oeko!CF459,Oeko!ES459)</f>
        <v>1</v>
      </c>
      <c r="T459" s="1998">
        <f>IF(Construction!$F$31=Construction!$R$22,Oeko!CG459,Oeko!ET459)</f>
        <v>1</v>
      </c>
      <c r="U459" s="1998">
        <f>IF(Construction!$F$31=Construction!$R$22,Oeko!CH459,Oeko!EU459)</f>
        <v>1</v>
      </c>
      <c r="V459" s="1998">
        <f>IF(Construction!$F$31=Construction!$R$22,Oeko!CI459,Oeko!EV459)</f>
        <v>1</v>
      </c>
      <c r="W459" s="1998">
        <f>IF(Construction!$F$31=Construction!$R$22,Oeko!CJ459,Oeko!EW459)</f>
        <v>1</v>
      </c>
      <c r="X459" s="1979">
        <f>IF(Construction!$F$31=Construction!$R$22,Oeko!CK459,Oeko!EX459)</f>
        <v>1</v>
      </c>
      <c r="Y459" s="1979">
        <f>IF(Construction!$F$31=Construction!$R$22,Oeko!CL459,Oeko!EY459)</f>
        <v>1</v>
      </c>
      <c r="Z459" s="1979">
        <f>IF(Construction!$F$31=Construction!$R$22,Oeko!CM459,Oeko!EZ459)</f>
        <v>1</v>
      </c>
      <c r="AA459" s="1979">
        <f>IF(Construction!$F$31=Construction!$R$22,Oeko!CN459,Oeko!FA459)</f>
        <v>1</v>
      </c>
      <c r="AB459" s="1979">
        <f>IF(Construction!$F$31=Construction!$R$22,Oeko!CO459,Oeko!FB459)</f>
        <v>1</v>
      </c>
      <c r="AC459" s="1998">
        <f>IF(Construction!$F$31=Construction!$R$22,Oeko!CP459,Oeko!FC459)</f>
        <v>1</v>
      </c>
      <c r="AD459" s="1998">
        <f>IF(Construction!$F$31=Construction!$R$22,Oeko!CQ459,Oeko!FD459)</f>
        <v>1</v>
      </c>
      <c r="AE459" s="1998">
        <f>IF(Construction!$F$31=Construction!$R$22,Oeko!CR459,Oeko!FE459)</f>
        <v>1</v>
      </c>
      <c r="AF459" s="1998">
        <f>IF(Construction!$F$31=Construction!$R$22,Oeko!CS459,Oeko!FF459)</f>
        <v>1</v>
      </c>
      <c r="AG459" s="1998">
        <f>IF(Construction!$F$31=Construction!$R$22,Oeko!CT459,Oeko!FG459)</f>
        <v>1</v>
      </c>
      <c r="AH459" s="1979">
        <f>IF(Construction!$F$31=Construction!$R$22,Oeko!CU459,Oeko!FH459)</f>
        <v>1</v>
      </c>
      <c r="AI459" s="1979">
        <f>IF(Construction!$F$31=Construction!$R$22,Oeko!CV459,Oeko!FI459)</f>
        <v>1</v>
      </c>
      <c r="AJ459" s="1979">
        <f>IF(Construction!$F$31=Construction!$R$22,Oeko!CW459,Oeko!FJ459)</f>
        <v>1</v>
      </c>
      <c r="AK459" s="1979">
        <f>IF(Construction!$F$31=Construction!$R$22,Oeko!CX459,Oeko!FK459)</f>
        <v>1</v>
      </c>
      <c r="AL459" s="1979">
        <f>IF(Construction!$F$31=Construction!$R$22,Oeko!CY459,Oeko!FL459)</f>
        <v>1</v>
      </c>
      <c r="AM459" s="1998">
        <f>IF(Construction!$F$31=Construction!$R$22,Oeko!CZ459,Oeko!FM459)</f>
        <v>1</v>
      </c>
      <c r="AN459" s="1998">
        <f>IF(Construction!$F$31=Construction!$R$22,Oeko!DA459,Oeko!FN459)</f>
        <v>1</v>
      </c>
      <c r="AO459" s="1998">
        <f>IF(Construction!$F$31=Construction!$R$22,Oeko!DB459,Oeko!FO459)</f>
        <v>1</v>
      </c>
      <c r="AP459" s="1998">
        <f>IF(Construction!$F$31=Construction!$R$22,Oeko!DC459,Oeko!FP459)</f>
        <v>1</v>
      </c>
      <c r="AQ459" s="1998">
        <f>IF(Construction!$F$31=Construction!$R$22,Oeko!DD459,Oeko!FQ459)</f>
        <v>1</v>
      </c>
      <c r="AR459" s="1979">
        <f>IF(Construction!$F$31=Construction!$R$22,Oeko!DE459,Oeko!FR459)</f>
        <v>1</v>
      </c>
      <c r="AS459" s="1979">
        <f>IF(Construction!$F$31=Construction!$R$22,Oeko!DF459,Oeko!FS459)</f>
        <v>1</v>
      </c>
      <c r="AT459" s="1979">
        <f>IF(Construction!$F$31=Construction!$R$22,Oeko!DG459,Oeko!FT459)</f>
        <v>1</v>
      </c>
      <c r="AU459" s="1979">
        <f>IF(Construction!$F$31=Construction!$R$22,Oeko!DH459,Oeko!FU459)</f>
        <v>1</v>
      </c>
      <c r="AV459" s="1979">
        <f>IF(Construction!$F$31=Construction!$R$22,Oeko!DI459,Oeko!FV459)</f>
        <v>1</v>
      </c>
      <c r="AW459" s="1998">
        <f>IF(Construction!$F$31=Construction!$R$22,Oeko!DJ459,Oeko!FW459)</f>
        <v>1</v>
      </c>
      <c r="AX459" s="1998">
        <f>IF(Construction!$F$31=Construction!$R$22,Oeko!DK459,Oeko!FX459)</f>
        <v>1</v>
      </c>
      <c r="AY459" s="1998">
        <f>IF(Construction!$F$31=Construction!$R$22,Oeko!DL459,Oeko!FY459)</f>
        <v>1</v>
      </c>
      <c r="AZ459" s="1998">
        <f>IF(Construction!$F$31=Construction!$R$22,Oeko!DM459,Oeko!FZ459)</f>
        <v>1</v>
      </c>
      <c r="BA459" s="1998">
        <f>IF(Construction!$F$31=Construction!$R$22,Oeko!DN459,Oeko!GA459)</f>
        <v>1</v>
      </c>
      <c r="BB459" s="1979">
        <f>IF(Construction!$F$31=Construction!$R$22,Oeko!DO459,Oeko!GB459)</f>
        <v>1</v>
      </c>
      <c r="BC459" s="1979">
        <f>IF(Construction!$F$31=Construction!$R$22,Oeko!DP459,Oeko!GC459)</f>
        <v>1</v>
      </c>
      <c r="BD459" s="1979">
        <f>IF(Construction!$F$31=Construction!$R$22,Oeko!DQ459,Oeko!GD459)</f>
        <v>1</v>
      </c>
      <c r="BE459" s="1979">
        <f>IF(Construction!$F$31=Construction!$R$22,Oeko!DR459,Oeko!GE459)</f>
        <v>1</v>
      </c>
      <c r="BF459" s="1979">
        <f>IF(Construction!$F$31=Construction!$R$22,Oeko!DS459,Oeko!GF459)</f>
        <v>1</v>
      </c>
      <c r="BG459" s="1998">
        <f>IF(Construction!$F$31=Construction!$R$22,Oeko!DT459,Oeko!GG459)</f>
        <v>1</v>
      </c>
      <c r="BH459" s="1998">
        <f>IF(Construction!$F$31=Construction!$R$22,Oeko!DU459,Oeko!GH459)</f>
        <v>1</v>
      </c>
      <c r="BI459" s="1998">
        <f>IF(Construction!$F$31=Construction!$R$22,Oeko!DV459,Oeko!GI459)</f>
        <v>1</v>
      </c>
      <c r="BJ459" s="1998">
        <f>IF(Construction!$F$31=Construction!$R$22,Oeko!DW459,Oeko!GJ459)</f>
        <v>1</v>
      </c>
      <c r="BK459" s="2026">
        <f>IF(Construction!$F$31=Construction!$R$22,Oeko!DX459,Oeko!GK459)</f>
        <v>1</v>
      </c>
      <c r="BN459" s="2022"/>
      <c r="BO459" s="2">
        <v>36</v>
      </c>
      <c r="BP459" s="2" t="str">
        <f>$AF$15</f>
        <v/>
      </c>
      <c r="BQ459" s="1979">
        <v>1</v>
      </c>
      <c r="BR459" s="1979">
        <v>1</v>
      </c>
      <c r="BS459" s="1979">
        <v>1</v>
      </c>
      <c r="BT459" s="1979">
        <v>1</v>
      </c>
      <c r="BU459" s="1979">
        <v>1</v>
      </c>
      <c r="BV459" s="1998">
        <v>1</v>
      </c>
      <c r="BW459" s="1998">
        <v>1</v>
      </c>
      <c r="BX459" s="1998">
        <v>1</v>
      </c>
      <c r="BY459" s="1998">
        <v>1</v>
      </c>
      <c r="BZ459" s="1998">
        <v>1</v>
      </c>
      <c r="CA459" s="1979">
        <v>1</v>
      </c>
      <c r="CB459" s="1979">
        <v>1</v>
      </c>
      <c r="CC459" s="1979">
        <v>1</v>
      </c>
      <c r="CD459" s="1979">
        <v>1</v>
      </c>
      <c r="CE459" s="1979">
        <v>1</v>
      </c>
      <c r="CF459" s="1998">
        <v>1</v>
      </c>
      <c r="CG459" s="1998">
        <v>1</v>
      </c>
      <c r="CH459" s="1998">
        <v>1</v>
      </c>
      <c r="CI459" s="1998">
        <v>1</v>
      </c>
      <c r="CJ459" s="1998">
        <v>1</v>
      </c>
      <c r="CK459" s="1979">
        <v>1</v>
      </c>
      <c r="CL459" s="1979">
        <v>1</v>
      </c>
      <c r="CM459" s="1979">
        <v>1</v>
      </c>
      <c r="CN459" s="1979">
        <v>1</v>
      </c>
      <c r="CO459" s="1979">
        <v>1</v>
      </c>
      <c r="CP459" s="1998">
        <v>1</v>
      </c>
      <c r="CQ459" s="1998">
        <v>1</v>
      </c>
      <c r="CR459" s="1998">
        <v>1</v>
      </c>
      <c r="CS459" s="1998">
        <v>1</v>
      </c>
      <c r="CT459" s="1998">
        <v>1</v>
      </c>
      <c r="CU459" s="1979">
        <v>1</v>
      </c>
      <c r="CV459" s="1979">
        <v>1</v>
      </c>
      <c r="CW459" s="1979">
        <v>1</v>
      </c>
      <c r="CX459" s="1979">
        <v>1</v>
      </c>
      <c r="CY459" s="1979">
        <v>1</v>
      </c>
      <c r="CZ459" s="1998">
        <v>1</v>
      </c>
      <c r="DA459" s="1998">
        <v>1</v>
      </c>
      <c r="DB459" s="1998">
        <v>1</v>
      </c>
      <c r="DC459" s="1998">
        <v>1</v>
      </c>
      <c r="DD459" s="1998">
        <v>1</v>
      </c>
      <c r="DE459" s="1979">
        <v>1</v>
      </c>
      <c r="DF459" s="1979">
        <v>1</v>
      </c>
      <c r="DG459" s="1979">
        <v>1</v>
      </c>
      <c r="DH459" s="1979">
        <v>1</v>
      </c>
      <c r="DI459" s="1979">
        <v>1</v>
      </c>
      <c r="DJ459" s="1998">
        <v>1</v>
      </c>
      <c r="DK459" s="1998">
        <v>1</v>
      </c>
      <c r="DL459" s="1998">
        <v>1</v>
      </c>
      <c r="DM459" s="1998">
        <v>1</v>
      </c>
      <c r="DN459" s="1998">
        <v>1</v>
      </c>
      <c r="DO459" s="1979">
        <v>1</v>
      </c>
      <c r="DP459" s="1979">
        <v>1</v>
      </c>
      <c r="DQ459" s="1979">
        <v>1</v>
      </c>
      <c r="DR459" s="1979">
        <v>1</v>
      </c>
      <c r="DS459" s="1979">
        <v>1</v>
      </c>
      <c r="DT459" s="1998">
        <v>1</v>
      </c>
      <c r="DU459" s="1998">
        <v>1</v>
      </c>
      <c r="DV459" s="1998">
        <v>1</v>
      </c>
      <c r="DW459" s="1998">
        <v>1</v>
      </c>
      <c r="DX459" s="2026">
        <v>1</v>
      </c>
      <c r="EA459" s="2022"/>
      <c r="EB459" s="2">
        <v>36</v>
      </c>
      <c r="EC459" s="2" t="str">
        <f>$AF$15</f>
        <v/>
      </c>
      <c r="ED459" s="1979">
        <v>1.3605609674202821</v>
      </c>
      <c r="EE459" s="1979">
        <v>1.3605609674202821</v>
      </c>
      <c r="EF459" s="1979">
        <v>1.3605609674202821</v>
      </c>
      <c r="EG459" s="1979">
        <v>1.3605609674202821</v>
      </c>
      <c r="EH459" s="1979">
        <v>1.3605609674202821</v>
      </c>
      <c r="EI459" s="1998">
        <v>2.0966679740137137</v>
      </c>
      <c r="EJ459" s="1998">
        <v>2.0966679740137137</v>
      </c>
      <c r="EK459" s="1998">
        <v>2.0966679740137137</v>
      </c>
      <c r="EL459" s="1998">
        <v>2.0966679740137137</v>
      </c>
      <c r="EM459" s="1998">
        <v>2.0966679740137137</v>
      </c>
      <c r="EN459" s="1979">
        <v>1.4337071065592959</v>
      </c>
      <c r="EO459" s="1979">
        <v>1.4337071065592959</v>
      </c>
      <c r="EP459" s="1979">
        <v>1.4337071065592959</v>
      </c>
      <c r="EQ459" s="1979">
        <v>1.4337071065592959</v>
      </c>
      <c r="ER459" s="1979">
        <v>1.4337071065592959</v>
      </c>
      <c r="ES459" s="1998">
        <v>1.8379162318633464</v>
      </c>
      <c r="ET459" s="1998">
        <v>1.8379162318633464</v>
      </c>
      <c r="EU459" s="1998">
        <v>1.8379162318633464</v>
      </c>
      <c r="EV459" s="1998">
        <v>1.8379162318633464</v>
      </c>
      <c r="EW459" s="1998">
        <v>1.8379162318633464</v>
      </c>
      <c r="EX459" s="1979">
        <v>1.4662053104562123</v>
      </c>
      <c r="EY459" s="1979">
        <v>1.4662053104562123</v>
      </c>
      <c r="EZ459" s="1979">
        <v>1.4662053104562123</v>
      </c>
      <c r="FA459" s="1979">
        <v>1.4662053104562123</v>
      </c>
      <c r="FB459" s="1979">
        <v>1.4662053104562123</v>
      </c>
      <c r="FC459" s="1998">
        <v>1.6277744053108218</v>
      </c>
      <c r="FD459" s="1998">
        <v>1.6277744053108218</v>
      </c>
      <c r="FE459" s="1998">
        <v>1.6277744053108218</v>
      </c>
      <c r="FF459" s="1998">
        <v>1.6277744053108218</v>
      </c>
      <c r="FG459" s="1998">
        <v>1.6277744053108218</v>
      </c>
      <c r="FH459" s="1979">
        <v>2.3921927569513635</v>
      </c>
      <c r="FI459" s="1979">
        <v>2.3921927569513635</v>
      </c>
      <c r="FJ459" s="1979">
        <v>2.3921927569513635</v>
      </c>
      <c r="FK459" s="1979">
        <v>2.3921927569513635</v>
      </c>
      <c r="FL459" s="1979">
        <v>2.3921927569513635</v>
      </c>
      <c r="FM459" s="1998">
        <v>1.5115041757386145</v>
      </c>
      <c r="FN459" s="1998">
        <v>1.5115041757386145</v>
      </c>
      <c r="FO459" s="1998">
        <v>1.5115041757386145</v>
      </c>
      <c r="FP459" s="1998">
        <v>1.5115041757386145</v>
      </c>
      <c r="FQ459" s="1998">
        <v>1.5115041757386145</v>
      </c>
      <c r="FR459" s="1979">
        <v>8.1198212572277306</v>
      </c>
      <c r="FS459" s="1979">
        <v>8.1198212572277306</v>
      </c>
      <c r="FT459" s="1979">
        <v>8.1198212572277306</v>
      </c>
      <c r="FU459" s="1979">
        <v>8.1198212572277306</v>
      </c>
      <c r="FV459" s="1979">
        <v>8.1198212572277306</v>
      </c>
      <c r="FW459" s="1998">
        <v>8.4799072816005001</v>
      </c>
      <c r="FX459" s="1998">
        <v>8.4799072816005001</v>
      </c>
      <c r="FY459" s="1998">
        <v>8.4799072816005001</v>
      </c>
      <c r="FZ459" s="1998">
        <v>8.4799072816005001</v>
      </c>
      <c r="GA459" s="1998">
        <v>8.4799072816005001</v>
      </c>
      <c r="GB459" s="1979">
        <v>1.3861479372000356</v>
      </c>
      <c r="GC459" s="1979">
        <v>1.3861479372000356</v>
      </c>
      <c r="GD459" s="1979">
        <v>1.3861479372000356</v>
      </c>
      <c r="GE459" s="1979">
        <v>1.3861479372000356</v>
      </c>
      <c r="GF459" s="1979">
        <v>1.3861479372000356</v>
      </c>
      <c r="GG459" s="1998">
        <v>1.4313071575784038</v>
      </c>
      <c r="GH459" s="1998">
        <v>1.4313071575784038</v>
      </c>
      <c r="GI459" s="1998">
        <v>1.4313071575784038</v>
      </c>
      <c r="GJ459" s="1998">
        <v>1.4313071575784038</v>
      </c>
      <c r="GK459" s="2026">
        <v>1.4313071575784038</v>
      </c>
    </row>
    <row r="460" spans="1:193">
      <c r="A460" s="2020"/>
      <c r="B460" s="2">
        <v>37</v>
      </c>
      <c r="C460" s="2" t="str">
        <f>$AF$16</f>
        <v/>
      </c>
      <c r="D460" s="1979">
        <f>IF(Construction!$F$31=Construction!$R$22,Oeko!BQ460,Oeko!ED460)</f>
        <v>1</v>
      </c>
      <c r="E460" s="1979">
        <f>IF(Construction!$F$31=Construction!$R$22,Oeko!BR460,Oeko!EE460)</f>
        <v>1</v>
      </c>
      <c r="F460" s="1979">
        <f>IF(Construction!$F$31=Construction!$R$22,Oeko!BS460,Oeko!EF460)</f>
        <v>1</v>
      </c>
      <c r="G460" s="1979">
        <f>IF(Construction!$F$31=Construction!$R$22,Oeko!BT460,Oeko!EG460)</f>
        <v>1</v>
      </c>
      <c r="H460" s="1979">
        <f>IF(Construction!$F$31=Construction!$R$22,Oeko!BU460,Oeko!EH460)</f>
        <v>1</v>
      </c>
      <c r="I460" s="1998">
        <f>IF(Construction!$F$31=Construction!$R$22,Oeko!BV460,Oeko!EI460)</f>
        <v>1</v>
      </c>
      <c r="J460" s="1998">
        <f>IF(Construction!$F$31=Construction!$R$22,Oeko!BW460,Oeko!EJ460)</f>
        <v>1</v>
      </c>
      <c r="K460" s="1998">
        <f>IF(Construction!$F$31=Construction!$R$22,Oeko!BX460,Oeko!EK460)</f>
        <v>1</v>
      </c>
      <c r="L460" s="1998">
        <f>IF(Construction!$F$31=Construction!$R$22,Oeko!BY460,Oeko!EL460)</f>
        <v>1</v>
      </c>
      <c r="M460" s="1998">
        <f>IF(Construction!$F$31=Construction!$R$22,Oeko!BZ460,Oeko!EM460)</f>
        <v>1</v>
      </c>
      <c r="N460" s="1979">
        <f>IF(Construction!$F$31=Construction!$R$22,Oeko!CA460,Oeko!EN460)</f>
        <v>1</v>
      </c>
      <c r="O460" s="1979">
        <f>IF(Construction!$F$31=Construction!$R$22,Oeko!CB460,Oeko!EO460)</f>
        <v>1</v>
      </c>
      <c r="P460" s="1979">
        <f>IF(Construction!$F$31=Construction!$R$22,Oeko!CC460,Oeko!EP460)</f>
        <v>1</v>
      </c>
      <c r="Q460" s="1979">
        <f>IF(Construction!$F$31=Construction!$R$22,Oeko!CD460,Oeko!EQ460)</f>
        <v>1</v>
      </c>
      <c r="R460" s="1979">
        <f>IF(Construction!$F$31=Construction!$R$22,Oeko!CE460,Oeko!ER460)</f>
        <v>1</v>
      </c>
      <c r="S460" s="1998">
        <f>IF(Construction!$F$31=Construction!$R$22,Oeko!CF460,Oeko!ES460)</f>
        <v>1</v>
      </c>
      <c r="T460" s="1998">
        <f>IF(Construction!$F$31=Construction!$R$22,Oeko!CG460,Oeko!ET460)</f>
        <v>1</v>
      </c>
      <c r="U460" s="1998">
        <f>IF(Construction!$F$31=Construction!$R$22,Oeko!CH460,Oeko!EU460)</f>
        <v>1</v>
      </c>
      <c r="V460" s="1998">
        <f>IF(Construction!$F$31=Construction!$R$22,Oeko!CI460,Oeko!EV460)</f>
        <v>1</v>
      </c>
      <c r="W460" s="1998">
        <f>IF(Construction!$F$31=Construction!$R$22,Oeko!CJ460,Oeko!EW460)</f>
        <v>1</v>
      </c>
      <c r="X460" s="1979">
        <f>IF(Construction!$F$31=Construction!$R$22,Oeko!CK460,Oeko!EX460)</f>
        <v>1</v>
      </c>
      <c r="Y460" s="1979">
        <f>IF(Construction!$F$31=Construction!$R$22,Oeko!CL460,Oeko!EY460)</f>
        <v>1</v>
      </c>
      <c r="Z460" s="1979">
        <f>IF(Construction!$F$31=Construction!$R$22,Oeko!CM460,Oeko!EZ460)</f>
        <v>1</v>
      </c>
      <c r="AA460" s="1979">
        <f>IF(Construction!$F$31=Construction!$R$22,Oeko!CN460,Oeko!FA460)</f>
        <v>1</v>
      </c>
      <c r="AB460" s="1979">
        <f>IF(Construction!$F$31=Construction!$R$22,Oeko!CO460,Oeko!FB460)</f>
        <v>1</v>
      </c>
      <c r="AC460" s="1998">
        <f>IF(Construction!$F$31=Construction!$R$22,Oeko!CP460,Oeko!FC460)</f>
        <v>1</v>
      </c>
      <c r="AD460" s="1998">
        <f>IF(Construction!$F$31=Construction!$R$22,Oeko!CQ460,Oeko!FD460)</f>
        <v>1</v>
      </c>
      <c r="AE460" s="1998">
        <f>IF(Construction!$F$31=Construction!$R$22,Oeko!CR460,Oeko!FE460)</f>
        <v>1</v>
      </c>
      <c r="AF460" s="1998">
        <f>IF(Construction!$F$31=Construction!$R$22,Oeko!CS460,Oeko!FF460)</f>
        <v>1</v>
      </c>
      <c r="AG460" s="1998">
        <f>IF(Construction!$F$31=Construction!$R$22,Oeko!CT460,Oeko!FG460)</f>
        <v>1</v>
      </c>
      <c r="AH460" s="1979">
        <f>IF(Construction!$F$31=Construction!$R$22,Oeko!CU460,Oeko!FH460)</f>
        <v>1</v>
      </c>
      <c r="AI460" s="1979">
        <f>IF(Construction!$F$31=Construction!$R$22,Oeko!CV460,Oeko!FI460)</f>
        <v>1</v>
      </c>
      <c r="AJ460" s="1979">
        <f>IF(Construction!$F$31=Construction!$R$22,Oeko!CW460,Oeko!FJ460)</f>
        <v>1</v>
      </c>
      <c r="AK460" s="1979">
        <f>IF(Construction!$F$31=Construction!$R$22,Oeko!CX460,Oeko!FK460)</f>
        <v>1</v>
      </c>
      <c r="AL460" s="1979">
        <f>IF(Construction!$F$31=Construction!$R$22,Oeko!CY460,Oeko!FL460)</f>
        <v>1</v>
      </c>
      <c r="AM460" s="1998">
        <f>IF(Construction!$F$31=Construction!$R$22,Oeko!CZ460,Oeko!FM460)</f>
        <v>1</v>
      </c>
      <c r="AN460" s="1998">
        <f>IF(Construction!$F$31=Construction!$R$22,Oeko!DA460,Oeko!FN460)</f>
        <v>1</v>
      </c>
      <c r="AO460" s="1998">
        <f>IF(Construction!$F$31=Construction!$R$22,Oeko!DB460,Oeko!FO460)</f>
        <v>1</v>
      </c>
      <c r="AP460" s="1998">
        <f>IF(Construction!$F$31=Construction!$R$22,Oeko!DC460,Oeko!FP460)</f>
        <v>1</v>
      </c>
      <c r="AQ460" s="1998">
        <f>IF(Construction!$F$31=Construction!$R$22,Oeko!DD460,Oeko!FQ460)</f>
        <v>1</v>
      </c>
      <c r="AR460" s="1979">
        <f>IF(Construction!$F$31=Construction!$R$22,Oeko!DE460,Oeko!FR460)</f>
        <v>1</v>
      </c>
      <c r="AS460" s="1979">
        <f>IF(Construction!$F$31=Construction!$R$22,Oeko!DF460,Oeko!FS460)</f>
        <v>1</v>
      </c>
      <c r="AT460" s="1979">
        <f>IF(Construction!$F$31=Construction!$R$22,Oeko!DG460,Oeko!FT460)</f>
        <v>1</v>
      </c>
      <c r="AU460" s="1979">
        <f>IF(Construction!$F$31=Construction!$R$22,Oeko!DH460,Oeko!FU460)</f>
        <v>1</v>
      </c>
      <c r="AV460" s="1979">
        <f>IF(Construction!$F$31=Construction!$R$22,Oeko!DI460,Oeko!FV460)</f>
        <v>1</v>
      </c>
      <c r="AW460" s="1998">
        <f>IF(Construction!$F$31=Construction!$R$22,Oeko!DJ460,Oeko!FW460)</f>
        <v>1</v>
      </c>
      <c r="AX460" s="1998">
        <f>IF(Construction!$F$31=Construction!$R$22,Oeko!DK460,Oeko!FX460)</f>
        <v>1</v>
      </c>
      <c r="AY460" s="1998">
        <f>IF(Construction!$F$31=Construction!$R$22,Oeko!DL460,Oeko!FY460)</f>
        <v>1</v>
      </c>
      <c r="AZ460" s="1998">
        <f>IF(Construction!$F$31=Construction!$R$22,Oeko!DM460,Oeko!FZ460)</f>
        <v>1</v>
      </c>
      <c r="BA460" s="1998">
        <f>IF(Construction!$F$31=Construction!$R$22,Oeko!DN460,Oeko!GA460)</f>
        <v>1</v>
      </c>
      <c r="BB460" s="1979">
        <f>IF(Construction!$F$31=Construction!$R$22,Oeko!DO460,Oeko!GB460)</f>
        <v>1</v>
      </c>
      <c r="BC460" s="1979">
        <f>IF(Construction!$F$31=Construction!$R$22,Oeko!DP460,Oeko!GC460)</f>
        <v>1</v>
      </c>
      <c r="BD460" s="1979">
        <f>IF(Construction!$F$31=Construction!$R$22,Oeko!DQ460,Oeko!GD460)</f>
        <v>1</v>
      </c>
      <c r="BE460" s="1979">
        <f>IF(Construction!$F$31=Construction!$R$22,Oeko!DR460,Oeko!GE460)</f>
        <v>1</v>
      </c>
      <c r="BF460" s="1979">
        <f>IF(Construction!$F$31=Construction!$R$22,Oeko!DS460,Oeko!GF460)</f>
        <v>1</v>
      </c>
      <c r="BG460" s="1998">
        <f>IF(Construction!$F$31=Construction!$R$22,Oeko!DT460,Oeko!GG460)</f>
        <v>1</v>
      </c>
      <c r="BH460" s="1998">
        <f>IF(Construction!$F$31=Construction!$R$22,Oeko!DU460,Oeko!GH460)</f>
        <v>1</v>
      </c>
      <c r="BI460" s="1998">
        <f>IF(Construction!$F$31=Construction!$R$22,Oeko!DV460,Oeko!GI460)</f>
        <v>1</v>
      </c>
      <c r="BJ460" s="1998">
        <f>IF(Construction!$F$31=Construction!$R$22,Oeko!DW460,Oeko!GJ460)</f>
        <v>1</v>
      </c>
      <c r="BK460" s="2026">
        <f>IF(Construction!$F$31=Construction!$R$22,Oeko!DX460,Oeko!GK460)</f>
        <v>1</v>
      </c>
      <c r="BN460" s="2022"/>
      <c r="BO460" s="2">
        <v>37</v>
      </c>
      <c r="BP460" s="2" t="str">
        <f>$AF$16</f>
        <v/>
      </c>
      <c r="BQ460" s="1979">
        <v>1</v>
      </c>
      <c r="BR460" s="1979">
        <v>1</v>
      </c>
      <c r="BS460" s="1979">
        <v>1</v>
      </c>
      <c r="BT460" s="1979">
        <v>1</v>
      </c>
      <c r="BU460" s="1979">
        <v>1</v>
      </c>
      <c r="BV460" s="1998">
        <v>1</v>
      </c>
      <c r="BW460" s="1998">
        <v>1</v>
      </c>
      <c r="BX460" s="1998">
        <v>1</v>
      </c>
      <c r="BY460" s="1998">
        <v>1</v>
      </c>
      <c r="BZ460" s="1998">
        <v>1</v>
      </c>
      <c r="CA460" s="1979">
        <v>1</v>
      </c>
      <c r="CB460" s="1979">
        <v>1</v>
      </c>
      <c r="CC460" s="1979">
        <v>1</v>
      </c>
      <c r="CD460" s="1979">
        <v>1</v>
      </c>
      <c r="CE460" s="1979">
        <v>1</v>
      </c>
      <c r="CF460" s="1998">
        <v>1</v>
      </c>
      <c r="CG460" s="1998">
        <v>1</v>
      </c>
      <c r="CH460" s="1998">
        <v>1</v>
      </c>
      <c r="CI460" s="1998">
        <v>1</v>
      </c>
      <c r="CJ460" s="1998">
        <v>1</v>
      </c>
      <c r="CK460" s="1979">
        <v>1</v>
      </c>
      <c r="CL460" s="1979">
        <v>1</v>
      </c>
      <c r="CM460" s="1979">
        <v>1</v>
      </c>
      <c r="CN460" s="1979">
        <v>1</v>
      </c>
      <c r="CO460" s="1979">
        <v>1</v>
      </c>
      <c r="CP460" s="1998">
        <v>1</v>
      </c>
      <c r="CQ460" s="1998">
        <v>1</v>
      </c>
      <c r="CR460" s="1998">
        <v>1</v>
      </c>
      <c r="CS460" s="1998">
        <v>1</v>
      </c>
      <c r="CT460" s="1998">
        <v>1</v>
      </c>
      <c r="CU460" s="1979">
        <v>1</v>
      </c>
      <c r="CV460" s="1979">
        <v>1</v>
      </c>
      <c r="CW460" s="1979">
        <v>1</v>
      </c>
      <c r="CX460" s="1979">
        <v>1</v>
      </c>
      <c r="CY460" s="1979">
        <v>1</v>
      </c>
      <c r="CZ460" s="1998">
        <v>1</v>
      </c>
      <c r="DA460" s="1998">
        <v>1</v>
      </c>
      <c r="DB460" s="1998">
        <v>1</v>
      </c>
      <c r="DC460" s="1998">
        <v>1</v>
      </c>
      <c r="DD460" s="1998">
        <v>1</v>
      </c>
      <c r="DE460" s="1979">
        <v>1</v>
      </c>
      <c r="DF460" s="1979">
        <v>1</v>
      </c>
      <c r="DG460" s="1979">
        <v>1</v>
      </c>
      <c r="DH460" s="1979">
        <v>1</v>
      </c>
      <c r="DI460" s="1979">
        <v>1</v>
      </c>
      <c r="DJ460" s="1998">
        <v>1</v>
      </c>
      <c r="DK460" s="1998">
        <v>1</v>
      </c>
      <c r="DL460" s="1998">
        <v>1</v>
      </c>
      <c r="DM460" s="1998">
        <v>1</v>
      </c>
      <c r="DN460" s="1998">
        <v>1</v>
      </c>
      <c r="DO460" s="1979">
        <v>1</v>
      </c>
      <c r="DP460" s="1979">
        <v>1</v>
      </c>
      <c r="DQ460" s="1979">
        <v>1</v>
      </c>
      <c r="DR460" s="1979">
        <v>1</v>
      </c>
      <c r="DS460" s="1979">
        <v>1</v>
      </c>
      <c r="DT460" s="1998">
        <v>1</v>
      </c>
      <c r="DU460" s="1998">
        <v>1</v>
      </c>
      <c r="DV460" s="1998">
        <v>1</v>
      </c>
      <c r="DW460" s="1998">
        <v>1</v>
      </c>
      <c r="DX460" s="2026">
        <v>1</v>
      </c>
      <c r="EA460" s="2022"/>
      <c r="EB460" s="2">
        <v>37</v>
      </c>
      <c r="EC460" s="2" t="str">
        <f>$AF$16</f>
        <v/>
      </c>
      <c r="ED460" s="1979">
        <v>1.3605609674202821</v>
      </c>
      <c r="EE460" s="1979">
        <v>1.3605609674202821</v>
      </c>
      <c r="EF460" s="1979">
        <v>1.3605609674202821</v>
      </c>
      <c r="EG460" s="1979">
        <v>1.3605609674202821</v>
      </c>
      <c r="EH460" s="1979">
        <v>1.3605609674202821</v>
      </c>
      <c r="EI460" s="1998">
        <v>2.0966679740137137</v>
      </c>
      <c r="EJ460" s="1998">
        <v>2.0966679740137137</v>
      </c>
      <c r="EK460" s="1998">
        <v>2.0966679740137137</v>
      </c>
      <c r="EL460" s="1998">
        <v>2.0966679740137137</v>
      </c>
      <c r="EM460" s="1998">
        <v>2.0966679740137137</v>
      </c>
      <c r="EN460" s="1979">
        <v>1.4337071065592959</v>
      </c>
      <c r="EO460" s="1979">
        <v>1.4337071065592959</v>
      </c>
      <c r="EP460" s="1979">
        <v>1.4337071065592959</v>
      </c>
      <c r="EQ460" s="1979">
        <v>1.4337071065592959</v>
      </c>
      <c r="ER460" s="1979">
        <v>1.4337071065592959</v>
      </c>
      <c r="ES460" s="1998">
        <v>1.8379162318633464</v>
      </c>
      <c r="ET460" s="1998">
        <v>1.8379162318633464</v>
      </c>
      <c r="EU460" s="1998">
        <v>1.8379162318633464</v>
      </c>
      <c r="EV460" s="1998">
        <v>1.8379162318633464</v>
      </c>
      <c r="EW460" s="1998">
        <v>1.8379162318633464</v>
      </c>
      <c r="EX460" s="1979">
        <v>1.4662053104562123</v>
      </c>
      <c r="EY460" s="1979">
        <v>1.4662053104562123</v>
      </c>
      <c r="EZ460" s="1979">
        <v>1.4662053104562123</v>
      </c>
      <c r="FA460" s="1979">
        <v>1.4662053104562123</v>
      </c>
      <c r="FB460" s="1979">
        <v>1.4662053104562123</v>
      </c>
      <c r="FC460" s="1998">
        <v>1.6277744053108218</v>
      </c>
      <c r="FD460" s="1998">
        <v>1.6277744053108218</v>
      </c>
      <c r="FE460" s="1998">
        <v>1.6277744053108218</v>
      </c>
      <c r="FF460" s="1998">
        <v>1.6277744053108218</v>
      </c>
      <c r="FG460" s="1998">
        <v>1.6277744053108218</v>
      </c>
      <c r="FH460" s="1979">
        <v>2.3921927569513635</v>
      </c>
      <c r="FI460" s="1979">
        <v>2.3921927569513635</v>
      </c>
      <c r="FJ460" s="1979">
        <v>2.3921927569513635</v>
      </c>
      <c r="FK460" s="1979">
        <v>2.3921927569513635</v>
      </c>
      <c r="FL460" s="1979">
        <v>2.3921927569513635</v>
      </c>
      <c r="FM460" s="1998">
        <v>1.5115041757386145</v>
      </c>
      <c r="FN460" s="1998">
        <v>1.5115041757386145</v>
      </c>
      <c r="FO460" s="1998">
        <v>1.5115041757386145</v>
      </c>
      <c r="FP460" s="1998">
        <v>1.5115041757386145</v>
      </c>
      <c r="FQ460" s="1998">
        <v>1.5115041757386145</v>
      </c>
      <c r="FR460" s="1979">
        <v>8.1198212572277306</v>
      </c>
      <c r="FS460" s="1979">
        <v>8.1198212572277306</v>
      </c>
      <c r="FT460" s="1979">
        <v>8.1198212572277306</v>
      </c>
      <c r="FU460" s="1979">
        <v>8.1198212572277306</v>
      </c>
      <c r="FV460" s="1979">
        <v>8.1198212572277306</v>
      </c>
      <c r="FW460" s="1998">
        <v>8.4799072816005001</v>
      </c>
      <c r="FX460" s="1998">
        <v>8.4799072816005001</v>
      </c>
      <c r="FY460" s="1998">
        <v>8.4799072816005001</v>
      </c>
      <c r="FZ460" s="1998">
        <v>8.4799072816005001</v>
      </c>
      <c r="GA460" s="1998">
        <v>8.4799072816005001</v>
      </c>
      <c r="GB460" s="1979">
        <v>1.3861479372000356</v>
      </c>
      <c r="GC460" s="1979">
        <v>1.3861479372000356</v>
      </c>
      <c r="GD460" s="1979">
        <v>1.3861479372000356</v>
      </c>
      <c r="GE460" s="1979">
        <v>1.3861479372000356</v>
      </c>
      <c r="GF460" s="1979">
        <v>1.3861479372000356</v>
      </c>
      <c r="GG460" s="1998">
        <v>1.4313071575784038</v>
      </c>
      <c r="GH460" s="1998">
        <v>1.4313071575784038</v>
      </c>
      <c r="GI460" s="1998">
        <v>1.4313071575784038</v>
      </c>
      <c r="GJ460" s="1998">
        <v>1.4313071575784038</v>
      </c>
      <c r="GK460" s="2026">
        <v>1.4313071575784038</v>
      </c>
    </row>
    <row r="461" spans="1:193">
      <c r="A461" s="2020"/>
      <c r="B461" s="2">
        <v>38</v>
      </c>
      <c r="C461" s="2" t="str">
        <f>$AF$17</f>
        <v/>
      </c>
      <c r="D461" s="1979">
        <f>IF(Construction!$F$31=Construction!$R$22,Oeko!BQ461,Oeko!ED461)</f>
        <v>1</v>
      </c>
      <c r="E461" s="1979">
        <f>IF(Construction!$F$31=Construction!$R$22,Oeko!BR461,Oeko!EE461)</f>
        <v>1</v>
      </c>
      <c r="F461" s="1979">
        <f>IF(Construction!$F$31=Construction!$R$22,Oeko!BS461,Oeko!EF461)</f>
        <v>1</v>
      </c>
      <c r="G461" s="1979">
        <f>IF(Construction!$F$31=Construction!$R$22,Oeko!BT461,Oeko!EG461)</f>
        <v>1</v>
      </c>
      <c r="H461" s="1979">
        <f>IF(Construction!$F$31=Construction!$R$22,Oeko!BU461,Oeko!EH461)</f>
        <v>1</v>
      </c>
      <c r="I461" s="1998">
        <f>IF(Construction!$F$31=Construction!$R$22,Oeko!BV461,Oeko!EI461)</f>
        <v>1</v>
      </c>
      <c r="J461" s="1998">
        <f>IF(Construction!$F$31=Construction!$R$22,Oeko!BW461,Oeko!EJ461)</f>
        <v>1</v>
      </c>
      <c r="K461" s="1998">
        <f>IF(Construction!$F$31=Construction!$R$22,Oeko!BX461,Oeko!EK461)</f>
        <v>1</v>
      </c>
      <c r="L461" s="1998">
        <f>IF(Construction!$F$31=Construction!$R$22,Oeko!BY461,Oeko!EL461)</f>
        <v>1</v>
      </c>
      <c r="M461" s="1998">
        <f>IF(Construction!$F$31=Construction!$R$22,Oeko!BZ461,Oeko!EM461)</f>
        <v>1</v>
      </c>
      <c r="N461" s="1979">
        <f>IF(Construction!$F$31=Construction!$R$22,Oeko!CA461,Oeko!EN461)</f>
        <v>1</v>
      </c>
      <c r="O461" s="1979">
        <f>IF(Construction!$F$31=Construction!$R$22,Oeko!CB461,Oeko!EO461)</f>
        <v>1</v>
      </c>
      <c r="P461" s="1979">
        <f>IF(Construction!$F$31=Construction!$R$22,Oeko!CC461,Oeko!EP461)</f>
        <v>1</v>
      </c>
      <c r="Q461" s="1979">
        <f>IF(Construction!$F$31=Construction!$R$22,Oeko!CD461,Oeko!EQ461)</f>
        <v>1</v>
      </c>
      <c r="R461" s="1979">
        <f>IF(Construction!$F$31=Construction!$R$22,Oeko!CE461,Oeko!ER461)</f>
        <v>1</v>
      </c>
      <c r="S461" s="1998">
        <f>IF(Construction!$F$31=Construction!$R$22,Oeko!CF461,Oeko!ES461)</f>
        <v>1</v>
      </c>
      <c r="T461" s="1998">
        <f>IF(Construction!$F$31=Construction!$R$22,Oeko!CG461,Oeko!ET461)</f>
        <v>1</v>
      </c>
      <c r="U461" s="1998">
        <f>IF(Construction!$F$31=Construction!$R$22,Oeko!CH461,Oeko!EU461)</f>
        <v>1</v>
      </c>
      <c r="V461" s="1998">
        <f>IF(Construction!$F$31=Construction!$R$22,Oeko!CI461,Oeko!EV461)</f>
        <v>1</v>
      </c>
      <c r="W461" s="1998">
        <f>IF(Construction!$F$31=Construction!$R$22,Oeko!CJ461,Oeko!EW461)</f>
        <v>1</v>
      </c>
      <c r="X461" s="1979">
        <f>IF(Construction!$F$31=Construction!$R$22,Oeko!CK461,Oeko!EX461)</f>
        <v>1</v>
      </c>
      <c r="Y461" s="1979">
        <f>IF(Construction!$F$31=Construction!$R$22,Oeko!CL461,Oeko!EY461)</f>
        <v>1</v>
      </c>
      <c r="Z461" s="1979">
        <f>IF(Construction!$F$31=Construction!$R$22,Oeko!CM461,Oeko!EZ461)</f>
        <v>1</v>
      </c>
      <c r="AA461" s="1979">
        <f>IF(Construction!$F$31=Construction!$R$22,Oeko!CN461,Oeko!FA461)</f>
        <v>1</v>
      </c>
      <c r="AB461" s="1979">
        <f>IF(Construction!$F$31=Construction!$R$22,Oeko!CO461,Oeko!FB461)</f>
        <v>1</v>
      </c>
      <c r="AC461" s="1998">
        <f>IF(Construction!$F$31=Construction!$R$22,Oeko!CP461,Oeko!FC461)</f>
        <v>1</v>
      </c>
      <c r="AD461" s="1998">
        <f>IF(Construction!$F$31=Construction!$R$22,Oeko!CQ461,Oeko!FD461)</f>
        <v>1</v>
      </c>
      <c r="AE461" s="1998">
        <f>IF(Construction!$F$31=Construction!$R$22,Oeko!CR461,Oeko!FE461)</f>
        <v>1</v>
      </c>
      <c r="AF461" s="1998">
        <f>IF(Construction!$F$31=Construction!$R$22,Oeko!CS461,Oeko!FF461)</f>
        <v>1</v>
      </c>
      <c r="AG461" s="1998">
        <f>IF(Construction!$F$31=Construction!$R$22,Oeko!CT461,Oeko!FG461)</f>
        <v>1</v>
      </c>
      <c r="AH461" s="1979">
        <f>IF(Construction!$F$31=Construction!$R$22,Oeko!CU461,Oeko!FH461)</f>
        <v>1</v>
      </c>
      <c r="AI461" s="1979">
        <f>IF(Construction!$F$31=Construction!$R$22,Oeko!CV461,Oeko!FI461)</f>
        <v>1</v>
      </c>
      <c r="AJ461" s="1979">
        <f>IF(Construction!$F$31=Construction!$R$22,Oeko!CW461,Oeko!FJ461)</f>
        <v>1</v>
      </c>
      <c r="AK461" s="1979">
        <f>IF(Construction!$F$31=Construction!$R$22,Oeko!CX461,Oeko!FK461)</f>
        <v>1</v>
      </c>
      <c r="AL461" s="1979">
        <f>IF(Construction!$F$31=Construction!$R$22,Oeko!CY461,Oeko!FL461)</f>
        <v>1</v>
      </c>
      <c r="AM461" s="1998">
        <f>IF(Construction!$F$31=Construction!$R$22,Oeko!CZ461,Oeko!FM461)</f>
        <v>1</v>
      </c>
      <c r="AN461" s="1998">
        <f>IF(Construction!$F$31=Construction!$R$22,Oeko!DA461,Oeko!FN461)</f>
        <v>1</v>
      </c>
      <c r="AO461" s="1998">
        <f>IF(Construction!$F$31=Construction!$R$22,Oeko!DB461,Oeko!FO461)</f>
        <v>1</v>
      </c>
      <c r="AP461" s="1998">
        <f>IF(Construction!$F$31=Construction!$R$22,Oeko!DC461,Oeko!FP461)</f>
        <v>1</v>
      </c>
      <c r="AQ461" s="1998">
        <f>IF(Construction!$F$31=Construction!$R$22,Oeko!DD461,Oeko!FQ461)</f>
        <v>1</v>
      </c>
      <c r="AR461" s="1979">
        <f>IF(Construction!$F$31=Construction!$R$22,Oeko!DE461,Oeko!FR461)</f>
        <v>1</v>
      </c>
      <c r="AS461" s="1979">
        <f>IF(Construction!$F$31=Construction!$R$22,Oeko!DF461,Oeko!FS461)</f>
        <v>1</v>
      </c>
      <c r="AT461" s="1979">
        <f>IF(Construction!$F$31=Construction!$R$22,Oeko!DG461,Oeko!FT461)</f>
        <v>1</v>
      </c>
      <c r="AU461" s="1979">
        <f>IF(Construction!$F$31=Construction!$R$22,Oeko!DH461,Oeko!FU461)</f>
        <v>1</v>
      </c>
      <c r="AV461" s="1979">
        <f>IF(Construction!$F$31=Construction!$R$22,Oeko!DI461,Oeko!FV461)</f>
        <v>1</v>
      </c>
      <c r="AW461" s="1998">
        <f>IF(Construction!$F$31=Construction!$R$22,Oeko!DJ461,Oeko!FW461)</f>
        <v>1</v>
      </c>
      <c r="AX461" s="1998">
        <f>IF(Construction!$F$31=Construction!$R$22,Oeko!DK461,Oeko!FX461)</f>
        <v>1</v>
      </c>
      <c r="AY461" s="1998">
        <f>IF(Construction!$F$31=Construction!$R$22,Oeko!DL461,Oeko!FY461)</f>
        <v>1</v>
      </c>
      <c r="AZ461" s="1998">
        <f>IF(Construction!$F$31=Construction!$R$22,Oeko!DM461,Oeko!FZ461)</f>
        <v>1</v>
      </c>
      <c r="BA461" s="1998">
        <f>IF(Construction!$F$31=Construction!$R$22,Oeko!DN461,Oeko!GA461)</f>
        <v>1</v>
      </c>
      <c r="BB461" s="1979">
        <f>IF(Construction!$F$31=Construction!$R$22,Oeko!DO461,Oeko!GB461)</f>
        <v>1</v>
      </c>
      <c r="BC461" s="1979">
        <f>IF(Construction!$F$31=Construction!$R$22,Oeko!DP461,Oeko!GC461)</f>
        <v>1</v>
      </c>
      <c r="BD461" s="1979">
        <f>IF(Construction!$F$31=Construction!$R$22,Oeko!DQ461,Oeko!GD461)</f>
        <v>1</v>
      </c>
      <c r="BE461" s="1979">
        <f>IF(Construction!$F$31=Construction!$R$22,Oeko!DR461,Oeko!GE461)</f>
        <v>1</v>
      </c>
      <c r="BF461" s="1979">
        <f>IF(Construction!$F$31=Construction!$R$22,Oeko!DS461,Oeko!GF461)</f>
        <v>1</v>
      </c>
      <c r="BG461" s="1998">
        <f>IF(Construction!$F$31=Construction!$R$22,Oeko!DT461,Oeko!GG461)</f>
        <v>1</v>
      </c>
      <c r="BH461" s="1998">
        <f>IF(Construction!$F$31=Construction!$R$22,Oeko!DU461,Oeko!GH461)</f>
        <v>1</v>
      </c>
      <c r="BI461" s="1998">
        <f>IF(Construction!$F$31=Construction!$R$22,Oeko!DV461,Oeko!GI461)</f>
        <v>1</v>
      </c>
      <c r="BJ461" s="1998">
        <f>IF(Construction!$F$31=Construction!$R$22,Oeko!DW461,Oeko!GJ461)</f>
        <v>1</v>
      </c>
      <c r="BK461" s="2026">
        <f>IF(Construction!$F$31=Construction!$R$22,Oeko!DX461,Oeko!GK461)</f>
        <v>1</v>
      </c>
      <c r="BN461" s="2022"/>
      <c r="BO461" s="2">
        <v>38</v>
      </c>
      <c r="BP461" s="2" t="str">
        <f>$AF$17</f>
        <v/>
      </c>
      <c r="BQ461" s="1979">
        <v>1</v>
      </c>
      <c r="BR461" s="1979">
        <v>1</v>
      </c>
      <c r="BS461" s="1979">
        <v>1</v>
      </c>
      <c r="BT461" s="1979">
        <v>1</v>
      </c>
      <c r="BU461" s="1979">
        <v>1</v>
      </c>
      <c r="BV461" s="1998">
        <v>1</v>
      </c>
      <c r="BW461" s="1998">
        <v>1</v>
      </c>
      <c r="BX461" s="1998">
        <v>1</v>
      </c>
      <c r="BY461" s="1998">
        <v>1</v>
      </c>
      <c r="BZ461" s="1998">
        <v>1</v>
      </c>
      <c r="CA461" s="1979">
        <v>1</v>
      </c>
      <c r="CB461" s="1979">
        <v>1</v>
      </c>
      <c r="CC461" s="1979">
        <v>1</v>
      </c>
      <c r="CD461" s="1979">
        <v>1</v>
      </c>
      <c r="CE461" s="1979">
        <v>1</v>
      </c>
      <c r="CF461" s="1998">
        <v>1</v>
      </c>
      <c r="CG461" s="1998">
        <v>1</v>
      </c>
      <c r="CH461" s="1998">
        <v>1</v>
      </c>
      <c r="CI461" s="1998">
        <v>1</v>
      </c>
      <c r="CJ461" s="1998">
        <v>1</v>
      </c>
      <c r="CK461" s="1979">
        <v>1</v>
      </c>
      <c r="CL461" s="1979">
        <v>1</v>
      </c>
      <c r="CM461" s="1979">
        <v>1</v>
      </c>
      <c r="CN461" s="1979">
        <v>1</v>
      </c>
      <c r="CO461" s="1979">
        <v>1</v>
      </c>
      <c r="CP461" s="1998">
        <v>1</v>
      </c>
      <c r="CQ461" s="1998">
        <v>1</v>
      </c>
      <c r="CR461" s="1998">
        <v>1</v>
      </c>
      <c r="CS461" s="1998">
        <v>1</v>
      </c>
      <c r="CT461" s="1998">
        <v>1</v>
      </c>
      <c r="CU461" s="1979">
        <v>1</v>
      </c>
      <c r="CV461" s="1979">
        <v>1</v>
      </c>
      <c r="CW461" s="1979">
        <v>1</v>
      </c>
      <c r="CX461" s="1979">
        <v>1</v>
      </c>
      <c r="CY461" s="1979">
        <v>1</v>
      </c>
      <c r="CZ461" s="1998">
        <v>1</v>
      </c>
      <c r="DA461" s="1998">
        <v>1</v>
      </c>
      <c r="DB461" s="1998">
        <v>1</v>
      </c>
      <c r="DC461" s="1998">
        <v>1</v>
      </c>
      <c r="DD461" s="1998">
        <v>1</v>
      </c>
      <c r="DE461" s="1979">
        <v>1</v>
      </c>
      <c r="DF461" s="1979">
        <v>1</v>
      </c>
      <c r="DG461" s="1979">
        <v>1</v>
      </c>
      <c r="DH461" s="1979">
        <v>1</v>
      </c>
      <c r="DI461" s="1979">
        <v>1</v>
      </c>
      <c r="DJ461" s="1998">
        <v>1</v>
      </c>
      <c r="DK461" s="1998">
        <v>1</v>
      </c>
      <c r="DL461" s="1998">
        <v>1</v>
      </c>
      <c r="DM461" s="1998">
        <v>1</v>
      </c>
      <c r="DN461" s="1998">
        <v>1</v>
      </c>
      <c r="DO461" s="1979">
        <v>1</v>
      </c>
      <c r="DP461" s="1979">
        <v>1</v>
      </c>
      <c r="DQ461" s="1979">
        <v>1</v>
      </c>
      <c r="DR461" s="1979">
        <v>1</v>
      </c>
      <c r="DS461" s="1979">
        <v>1</v>
      </c>
      <c r="DT461" s="1998">
        <v>1</v>
      </c>
      <c r="DU461" s="1998">
        <v>1</v>
      </c>
      <c r="DV461" s="1998">
        <v>1</v>
      </c>
      <c r="DW461" s="1998">
        <v>1</v>
      </c>
      <c r="DX461" s="2026">
        <v>1</v>
      </c>
      <c r="EA461" s="2022"/>
      <c r="EB461" s="2">
        <v>38</v>
      </c>
      <c r="EC461" s="2" t="str">
        <f>$AF$17</f>
        <v/>
      </c>
      <c r="ED461" s="1979">
        <v>1.3605609674202821</v>
      </c>
      <c r="EE461" s="1979">
        <v>1.3605609674202821</v>
      </c>
      <c r="EF461" s="1979">
        <v>1.3605609674202821</v>
      </c>
      <c r="EG461" s="1979">
        <v>1.3605609674202821</v>
      </c>
      <c r="EH461" s="1979">
        <v>1.3605609674202821</v>
      </c>
      <c r="EI461" s="1998">
        <v>2.0966679740137137</v>
      </c>
      <c r="EJ461" s="1998">
        <v>2.0966679740137137</v>
      </c>
      <c r="EK461" s="1998">
        <v>2.0966679740137137</v>
      </c>
      <c r="EL461" s="1998">
        <v>2.0966679740137137</v>
      </c>
      <c r="EM461" s="1998">
        <v>2.0966679740137137</v>
      </c>
      <c r="EN461" s="1979">
        <v>1.4337071065592959</v>
      </c>
      <c r="EO461" s="1979">
        <v>1.4337071065592959</v>
      </c>
      <c r="EP461" s="1979">
        <v>1.4337071065592959</v>
      </c>
      <c r="EQ461" s="1979">
        <v>1.4337071065592959</v>
      </c>
      <c r="ER461" s="1979">
        <v>1.4337071065592959</v>
      </c>
      <c r="ES461" s="1998">
        <v>1.8379162318633464</v>
      </c>
      <c r="ET461" s="1998">
        <v>1.8379162318633464</v>
      </c>
      <c r="EU461" s="1998">
        <v>1.8379162318633464</v>
      </c>
      <c r="EV461" s="1998">
        <v>1.8379162318633464</v>
      </c>
      <c r="EW461" s="1998">
        <v>1.8379162318633464</v>
      </c>
      <c r="EX461" s="1979">
        <v>1.4662053104562123</v>
      </c>
      <c r="EY461" s="1979">
        <v>1.4662053104562123</v>
      </c>
      <c r="EZ461" s="1979">
        <v>1.4662053104562123</v>
      </c>
      <c r="FA461" s="1979">
        <v>1.4662053104562123</v>
      </c>
      <c r="FB461" s="1979">
        <v>1.4662053104562123</v>
      </c>
      <c r="FC461" s="1998">
        <v>1.6277744053108218</v>
      </c>
      <c r="FD461" s="1998">
        <v>1.6277744053108218</v>
      </c>
      <c r="FE461" s="1998">
        <v>1.6277744053108218</v>
      </c>
      <c r="FF461" s="1998">
        <v>1.6277744053108218</v>
      </c>
      <c r="FG461" s="1998">
        <v>1.6277744053108218</v>
      </c>
      <c r="FH461" s="1979">
        <v>2.3921927569513635</v>
      </c>
      <c r="FI461" s="1979">
        <v>2.3921927569513635</v>
      </c>
      <c r="FJ461" s="1979">
        <v>2.3921927569513635</v>
      </c>
      <c r="FK461" s="1979">
        <v>2.3921927569513635</v>
      </c>
      <c r="FL461" s="1979">
        <v>2.3921927569513635</v>
      </c>
      <c r="FM461" s="1998">
        <v>1.5115041757386145</v>
      </c>
      <c r="FN461" s="1998">
        <v>1.5115041757386145</v>
      </c>
      <c r="FO461" s="1998">
        <v>1.5115041757386145</v>
      </c>
      <c r="FP461" s="1998">
        <v>1.5115041757386145</v>
      </c>
      <c r="FQ461" s="1998">
        <v>1.5115041757386145</v>
      </c>
      <c r="FR461" s="1979">
        <v>8.1198212572277306</v>
      </c>
      <c r="FS461" s="1979">
        <v>8.1198212572277306</v>
      </c>
      <c r="FT461" s="1979">
        <v>8.1198212572277306</v>
      </c>
      <c r="FU461" s="1979">
        <v>8.1198212572277306</v>
      </c>
      <c r="FV461" s="1979">
        <v>8.1198212572277306</v>
      </c>
      <c r="FW461" s="1998">
        <v>8.4799072816005001</v>
      </c>
      <c r="FX461" s="1998">
        <v>8.4799072816005001</v>
      </c>
      <c r="FY461" s="1998">
        <v>8.4799072816005001</v>
      </c>
      <c r="FZ461" s="1998">
        <v>8.4799072816005001</v>
      </c>
      <c r="GA461" s="1998">
        <v>8.4799072816005001</v>
      </c>
      <c r="GB461" s="1979">
        <v>1.3861479372000356</v>
      </c>
      <c r="GC461" s="1979">
        <v>1.3861479372000356</v>
      </c>
      <c r="GD461" s="1979">
        <v>1.3861479372000356</v>
      </c>
      <c r="GE461" s="1979">
        <v>1.3861479372000356</v>
      </c>
      <c r="GF461" s="1979">
        <v>1.3861479372000356</v>
      </c>
      <c r="GG461" s="1998">
        <v>1.4313071575784038</v>
      </c>
      <c r="GH461" s="1998">
        <v>1.4313071575784038</v>
      </c>
      <c r="GI461" s="1998">
        <v>1.4313071575784038</v>
      </c>
      <c r="GJ461" s="1998">
        <v>1.4313071575784038</v>
      </c>
      <c r="GK461" s="2026">
        <v>1.4313071575784038</v>
      </c>
    </row>
    <row r="462" spans="1:193">
      <c r="A462" s="2020"/>
      <c r="B462" s="2">
        <v>39</v>
      </c>
      <c r="C462" s="2" t="str">
        <f>$AF$18</f>
        <v/>
      </c>
      <c r="D462" s="1979">
        <f>IF(Construction!$F$31=Construction!$R$22,Oeko!BQ462,Oeko!ED462)</f>
        <v>1</v>
      </c>
      <c r="E462" s="1979">
        <f>IF(Construction!$F$31=Construction!$R$22,Oeko!BR462,Oeko!EE462)</f>
        <v>1</v>
      </c>
      <c r="F462" s="1979">
        <f>IF(Construction!$F$31=Construction!$R$22,Oeko!BS462,Oeko!EF462)</f>
        <v>1</v>
      </c>
      <c r="G462" s="1979">
        <f>IF(Construction!$F$31=Construction!$R$22,Oeko!BT462,Oeko!EG462)</f>
        <v>1</v>
      </c>
      <c r="H462" s="1979">
        <f>IF(Construction!$F$31=Construction!$R$22,Oeko!BU462,Oeko!EH462)</f>
        <v>1</v>
      </c>
      <c r="I462" s="1998">
        <f>IF(Construction!$F$31=Construction!$R$22,Oeko!BV462,Oeko!EI462)</f>
        <v>1</v>
      </c>
      <c r="J462" s="1998">
        <f>IF(Construction!$F$31=Construction!$R$22,Oeko!BW462,Oeko!EJ462)</f>
        <v>1</v>
      </c>
      <c r="K462" s="1998">
        <f>IF(Construction!$F$31=Construction!$R$22,Oeko!BX462,Oeko!EK462)</f>
        <v>1</v>
      </c>
      <c r="L462" s="1998">
        <f>IF(Construction!$F$31=Construction!$R$22,Oeko!BY462,Oeko!EL462)</f>
        <v>1</v>
      </c>
      <c r="M462" s="1998">
        <f>IF(Construction!$F$31=Construction!$R$22,Oeko!BZ462,Oeko!EM462)</f>
        <v>1</v>
      </c>
      <c r="N462" s="1979">
        <f>IF(Construction!$F$31=Construction!$R$22,Oeko!CA462,Oeko!EN462)</f>
        <v>1</v>
      </c>
      <c r="O462" s="1979">
        <f>IF(Construction!$F$31=Construction!$R$22,Oeko!CB462,Oeko!EO462)</f>
        <v>1</v>
      </c>
      <c r="P462" s="1979">
        <f>IF(Construction!$F$31=Construction!$R$22,Oeko!CC462,Oeko!EP462)</f>
        <v>1</v>
      </c>
      <c r="Q462" s="1979">
        <f>IF(Construction!$F$31=Construction!$R$22,Oeko!CD462,Oeko!EQ462)</f>
        <v>1</v>
      </c>
      <c r="R462" s="1979">
        <f>IF(Construction!$F$31=Construction!$R$22,Oeko!CE462,Oeko!ER462)</f>
        <v>1</v>
      </c>
      <c r="S462" s="1998">
        <f>IF(Construction!$F$31=Construction!$R$22,Oeko!CF462,Oeko!ES462)</f>
        <v>1</v>
      </c>
      <c r="T462" s="1998">
        <f>IF(Construction!$F$31=Construction!$R$22,Oeko!CG462,Oeko!ET462)</f>
        <v>1</v>
      </c>
      <c r="U462" s="1998">
        <f>IF(Construction!$F$31=Construction!$R$22,Oeko!CH462,Oeko!EU462)</f>
        <v>1</v>
      </c>
      <c r="V462" s="1998">
        <f>IF(Construction!$F$31=Construction!$R$22,Oeko!CI462,Oeko!EV462)</f>
        <v>1</v>
      </c>
      <c r="W462" s="1998">
        <f>IF(Construction!$F$31=Construction!$R$22,Oeko!CJ462,Oeko!EW462)</f>
        <v>1</v>
      </c>
      <c r="X462" s="1979">
        <f>IF(Construction!$F$31=Construction!$R$22,Oeko!CK462,Oeko!EX462)</f>
        <v>1</v>
      </c>
      <c r="Y462" s="1979">
        <f>IF(Construction!$F$31=Construction!$R$22,Oeko!CL462,Oeko!EY462)</f>
        <v>1</v>
      </c>
      <c r="Z462" s="1979">
        <f>IF(Construction!$F$31=Construction!$R$22,Oeko!CM462,Oeko!EZ462)</f>
        <v>1</v>
      </c>
      <c r="AA462" s="1979">
        <f>IF(Construction!$F$31=Construction!$R$22,Oeko!CN462,Oeko!FA462)</f>
        <v>1</v>
      </c>
      <c r="AB462" s="1979">
        <f>IF(Construction!$F$31=Construction!$R$22,Oeko!CO462,Oeko!FB462)</f>
        <v>1</v>
      </c>
      <c r="AC462" s="1998">
        <f>IF(Construction!$F$31=Construction!$R$22,Oeko!CP462,Oeko!FC462)</f>
        <v>1</v>
      </c>
      <c r="AD462" s="1998">
        <f>IF(Construction!$F$31=Construction!$R$22,Oeko!CQ462,Oeko!FD462)</f>
        <v>1</v>
      </c>
      <c r="AE462" s="1998">
        <f>IF(Construction!$F$31=Construction!$R$22,Oeko!CR462,Oeko!FE462)</f>
        <v>1</v>
      </c>
      <c r="AF462" s="1998">
        <f>IF(Construction!$F$31=Construction!$R$22,Oeko!CS462,Oeko!FF462)</f>
        <v>1</v>
      </c>
      <c r="AG462" s="1998">
        <f>IF(Construction!$F$31=Construction!$R$22,Oeko!CT462,Oeko!FG462)</f>
        <v>1</v>
      </c>
      <c r="AH462" s="1979">
        <f>IF(Construction!$F$31=Construction!$R$22,Oeko!CU462,Oeko!FH462)</f>
        <v>1</v>
      </c>
      <c r="AI462" s="1979">
        <f>IF(Construction!$F$31=Construction!$R$22,Oeko!CV462,Oeko!FI462)</f>
        <v>1</v>
      </c>
      <c r="AJ462" s="1979">
        <f>IF(Construction!$F$31=Construction!$R$22,Oeko!CW462,Oeko!FJ462)</f>
        <v>1</v>
      </c>
      <c r="AK462" s="1979">
        <f>IF(Construction!$F$31=Construction!$R$22,Oeko!CX462,Oeko!FK462)</f>
        <v>1</v>
      </c>
      <c r="AL462" s="1979">
        <f>IF(Construction!$F$31=Construction!$R$22,Oeko!CY462,Oeko!FL462)</f>
        <v>1</v>
      </c>
      <c r="AM462" s="1998">
        <f>IF(Construction!$F$31=Construction!$R$22,Oeko!CZ462,Oeko!FM462)</f>
        <v>1</v>
      </c>
      <c r="AN462" s="1998">
        <f>IF(Construction!$F$31=Construction!$R$22,Oeko!DA462,Oeko!FN462)</f>
        <v>1</v>
      </c>
      <c r="AO462" s="1998">
        <f>IF(Construction!$F$31=Construction!$R$22,Oeko!DB462,Oeko!FO462)</f>
        <v>1</v>
      </c>
      <c r="AP462" s="1998">
        <f>IF(Construction!$F$31=Construction!$R$22,Oeko!DC462,Oeko!FP462)</f>
        <v>1</v>
      </c>
      <c r="AQ462" s="1998">
        <f>IF(Construction!$F$31=Construction!$R$22,Oeko!DD462,Oeko!FQ462)</f>
        <v>1</v>
      </c>
      <c r="AR462" s="1979">
        <f>IF(Construction!$F$31=Construction!$R$22,Oeko!DE462,Oeko!FR462)</f>
        <v>1</v>
      </c>
      <c r="AS462" s="1979">
        <f>IF(Construction!$F$31=Construction!$R$22,Oeko!DF462,Oeko!FS462)</f>
        <v>1</v>
      </c>
      <c r="AT462" s="1979">
        <f>IF(Construction!$F$31=Construction!$R$22,Oeko!DG462,Oeko!FT462)</f>
        <v>1</v>
      </c>
      <c r="AU462" s="1979">
        <f>IF(Construction!$F$31=Construction!$R$22,Oeko!DH462,Oeko!FU462)</f>
        <v>1</v>
      </c>
      <c r="AV462" s="1979">
        <f>IF(Construction!$F$31=Construction!$R$22,Oeko!DI462,Oeko!FV462)</f>
        <v>1</v>
      </c>
      <c r="AW462" s="1998">
        <f>IF(Construction!$F$31=Construction!$R$22,Oeko!DJ462,Oeko!FW462)</f>
        <v>1</v>
      </c>
      <c r="AX462" s="1998">
        <f>IF(Construction!$F$31=Construction!$R$22,Oeko!DK462,Oeko!FX462)</f>
        <v>1</v>
      </c>
      <c r="AY462" s="1998">
        <f>IF(Construction!$F$31=Construction!$R$22,Oeko!DL462,Oeko!FY462)</f>
        <v>1</v>
      </c>
      <c r="AZ462" s="1998">
        <f>IF(Construction!$F$31=Construction!$R$22,Oeko!DM462,Oeko!FZ462)</f>
        <v>1</v>
      </c>
      <c r="BA462" s="1998">
        <f>IF(Construction!$F$31=Construction!$R$22,Oeko!DN462,Oeko!GA462)</f>
        <v>1</v>
      </c>
      <c r="BB462" s="1979">
        <f>IF(Construction!$F$31=Construction!$R$22,Oeko!DO462,Oeko!GB462)</f>
        <v>1</v>
      </c>
      <c r="BC462" s="1979">
        <f>IF(Construction!$F$31=Construction!$R$22,Oeko!DP462,Oeko!GC462)</f>
        <v>1</v>
      </c>
      <c r="BD462" s="1979">
        <f>IF(Construction!$F$31=Construction!$R$22,Oeko!DQ462,Oeko!GD462)</f>
        <v>1</v>
      </c>
      <c r="BE462" s="1979">
        <f>IF(Construction!$F$31=Construction!$R$22,Oeko!DR462,Oeko!GE462)</f>
        <v>1</v>
      </c>
      <c r="BF462" s="1979">
        <f>IF(Construction!$F$31=Construction!$R$22,Oeko!DS462,Oeko!GF462)</f>
        <v>1</v>
      </c>
      <c r="BG462" s="1998">
        <f>IF(Construction!$F$31=Construction!$R$22,Oeko!DT462,Oeko!GG462)</f>
        <v>1</v>
      </c>
      <c r="BH462" s="1998">
        <f>IF(Construction!$F$31=Construction!$R$22,Oeko!DU462,Oeko!GH462)</f>
        <v>1</v>
      </c>
      <c r="BI462" s="1998">
        <f>IF(Construction!$F$31=Construction!$R$22,Oeko!DV462,Oeko!GI462)</f>
        <v>1</v>
      </c>
      <c r="BJ462" s="1998">
        <f>IF(Construction!$F$31=Construction!$R$22,Oeko!DW462,Oeko!GJ462)</f>
        <v>1</v>
      </c>
      <c r="BK462" s="2026">
        <f>IF(Construction!$F$31=Construction!$R$22,Oeko!DX462,Oeko!GK462)</f>
        <v>1</v>
      </c>
      <c r="BN462" s="2022"/>
      <c r="BO462" s="2">
        <v>39</v>
      </c>
      <c r="BP462" s="2" t="str">
        <f>$AF$18</f>
        <v/>
      </c>
      <c r="BQ462" s="1979">
        <v>1</v>
      </c>
      <c r="BR462" s="1979">
        <v>1</v>
      </c>
      <c r="BS462" s="1979">
        <v>1</v>
      </c>
      <c r="BT462" s="1979">
        <v>1</v>
      </c>
      <c r="BU462" s="1979">
        <v>1</v>
      </c>
      <c r="BV462" s="1998">
        <v>1</v>
      </c>
      <c r="BW462" s="1998">
        <v>1</v>
      </c>
      <c r="BX462" s="1998">
        <v>1</v>
      </c>
      <c r="BY462" s="1998">
        <v>1</v>
      </c>
      <c r="BZ462" s="1998">
        <v>1</v>
      </c>
      <c r="CA462" s="1979">
        <v>1</v>
      </c>
      <c r="CB462" s="1979">
        <v>1</v>
      </c>
      <c r="CC462" s="1979">
        <v>1</v>
      </c>
      <c r="CD462" s="1979">
        <v>1</v>
      </c>
      <c r="CE462" s="1979">
        <v>1</v>
      </c>
      <c r="CF462" s="1998">
        <v>1</v>
      </c>
      <c r="CG462" s="1998">
        <v>1</v>
      </c>
      <c r="CH462" s="1998">
        <v>1</v>
      </c>
      <c r="CI462" s="1998">
        <v>1</v>
      </c>
      <c r="CJ462" s="1998">
        <v>1</v>
      </c>
      <c r="CK462" s="1979">
        <v>1</v>
      </c>
      <c r="CL462" s="1979">
        <v>1</v>
      </c>
      <c r="CM462" s="1979">
        <v>1</v>
      </c>
      <c r="CN462" s="1979">
        <v>1</v>
      </c>
      <c r="CO462" s="1979">
        <v>1</v>
      </c>
      <c r="CP462" s="1998">
        <v>1</v>
      </c>
      <c r="CQ462" s="1998">
        <v>1</v>
      </c>
      <c r="CR462" s="1998">
        <v>1</v>
      </c>
      <c r="CS462" s="1998">
        <v>1</v>
      </c>
      <c r="CT462" s="1998">
        <v>1</v>
      </c>
      <c r="CU462" s="1979">
        <v>1</v>
      </c>
      <c r="CV462" s="1979">
        <v>1</v>
      </c>
      <c r="CW462" s="1979">
        <v>1</v>
      </c>
      <c r="CX462" s="1979">
        <v>1</v>
      </c>
      <c r="CY462" s="1979">
        <v>1</v>
      </c>
      <c r="CZ462" s="1998">
        <v>1</v>
      </c>
      <c r="DA462" s="1998">
        <v>1</v>
      </c>
      <c r="DB462" s="1998">
        <v>1</v>
      </c>
      <c r="DC462" s="1998">
        <v>1</v>
      </c>
      <c r="DD462" s="1998">
        <v>1</v>
      </c>
      <c r="DE462" s="1979">
        <v>1</v>
      </c>
      <c r="DF462" s="1979">
        <v>1</v>
      </c>
      <c r="DG462" s="1979">
        <v>1</v>
      </c>
      <c r="DH462" s="1979">
        <v>1</v>
      </c>
      <c r="DI462" s="1979">
        <v>1</v>
      </c>
      <c r="DJ462" s="1998">
        <v>1</v>
      </c>
      <c r="DK462" s="1998">
        <v>1</v>
      </c>
      <c r="DL462" s="1998">
        <v>1</v>
      </c>
      <c r="DM462" s="1998">
        <v>1</v>
      </c>
      <c r="DN462" s="1998">
        <v>1</v>
      </c>
      <c r="DO462" s="1979">
        <v>1</v>
      </c>
      <c r="DP462" s="1979">
        <v>1</v>
      </c>
      <c r="DQ462" s="1979">
        <v>1</v>
      </c>
      <c r="DR462" s="1979">
        <v>1</v>
      </c>
      <c r="DS462" s="1979">
        <v>1</v>
      </c>
      <c r="DT462" s="1998">
        <v>1</v>
      </c>
      <c r="DU462" s="1998">
        <v>1</v>
      </c>
      <c r="DV462" s="1998">
        <v>1</v>
      </c>
      <c r="DW462" s="1998">
        <v>1</v>
      </c>
      <c r="DX462" s="2026">
        <v>1</v>
      </c>
      <c r="EA462" s="2022"/>
      <c r="EB462" s="2">
        <v>39</v>
      </c>
      <c r="EC462" s="2" t="str">
        <f>$AF$18</f>
        <v/>
      </c>
      <c r="ED462" s="1979">
        <v>1.3605609674202821</v>
      </c>
      <c r="EE462" s="1979">
        <v>1.3605609674202821</v>
      </c>
      <c r="EF462" s="1979">
        <v>1.3605609674202821</v>
      </c>
      <c r="EG462" s="1979">
        <v>1.3605609674202821</v>
      </c>
      <c r="EH462" s="1979">
        <v>1.3605609674202821</v>
      </c>
      <c r="EI462" s="1998">
        <v>2.0966679740137137</v>
      </c>
      <c r="EJ462" s="1998">
        <v>2.0966679740137137</v>
      </c>
      <c r="EK462" s="1998">
        <v>2.0966679740137137</v>
      </c>
      <c r="EL462" s="1998">
        <v>2.0966679740137137</v>
      </c>
      <c r="EM462" s="1998">
        <v>2.0966679740137137</v>
      </c>
      <c r="EN462" s="1979">
        <v>1.4337071065592959</v>
      </c>
      <c r="EO462" s="1979">
        <v>1.4337071065592959</v>
      </c>
      <c r="EP462" s="1979">
        <v>1.4337071065592959</v>
      </c>
      <c r="EQ462" s="1979">
        <v>1.4337071065592959</v>
      </c>
      <c r="ER462" s="1979">
        <v>1.4337071065592959</v>
      </c>
      <c r="ES462" s="1998">
        <v>1.8379162318633464</v>
      </c>
      <c r="ET462" s="1998">
        <v>1.8379162318633464</v>
      </c>
      <c r="EU462" s="1998">
        <v>1.8379162318633464</v>
      </c>
      <c r="EV462" s="1998">
        <v>1.8379162318633464</v>
      </c>
      <c r="EW462" s="1998">
        <v>1.8379162318633464</v>
      </c>
      <c r="EX462" s="1979">
        <v>1.4662053104562123</v>
      </c>
      <c r="EY462" s="1979">
        <v>1.4662053104562123</v>
      </c>
      <c r="EZ462" s="1979">
        <v>1.4662053104562123</v>
      </c>
      <c r="FA462" s="1979">
        <v>1.4662053104562123</v>
      </c>
      <c r="FB462" s="1979">
        <v>1.4662053104562123</v>
      </c>
      <c r="FC462" s="1998">
        <v>1.6277744053108218</v>
      </c>
      <c r="FD462" s="1998">
        <v>1.6277744053108218</v>
      </c>
      <c r="FE462" s="1998">
        <v>1.6277744053108218</v>
      </c>
      <c r="FF462" s="1998">
        <v>1.6277744053108218</v>
      </c>
      <c r="FG462" s="1998">
        <v>1.6277744053108218</v>
      </c>
      <c r="FH462" s="1979">
        <v>2.3921927569513635</v>
      </c>
      <c r="FI462" s="1979">
        <v>2.3921927569513635</v>
      </c>
      <c r="FJ462" s="1979">
        <v>2.3921927569513635</v>
      </c>
      <c r="FK462" s="1979">
        <v>2.3921927569513635</v>
      </c>
      <c r="FL462" s="1979">
        <v>2.3921927569513635</v>
      </c>
      <c r="FM462" s="1998">
        <v>1.5115041757386145</v>
      </c>
      <c r="FN462" s="1998">
        <v>1.5115041757386145</v>
      </c>
      <c r="FO462" s="1998">
        <v>1.5115041757386145</v>
      </c>
      <c r="FP462" s="1998">
        <v>1.5115041757386145</v>
      </c>
      <c r="FQ462" s="1998">
        <v>1.5115041757386145</v>
      </c>
      <c r="FR462" s="1979">
        <v>8.1198212572277306</v>
      </c>
      <c r="FS462" s="1979">
        <v>8.1198212572277306</v>
      </c>
      <c r="FT462" s="1979">
        <v>8.1198212572277306</v>
      </c>
      <c r="FU462" s="1979">
        <v>8.1198212572277306</v>
      </c>
      <c r="FV462" s="1979">
        <v>8.1198212572277306</v>
      </c>
      <c r="FW462" s="1998">
        <v>8.4799072816005001</v>
      </c>
      <c r="FX462" s="1998">
        <v>8.4799072816005001</v>
      </c>
      <c r="FY462" s="1998">
        <v>8.4799072816005001</v>
      </c>
      <c r="FZ462" s="1998">
        <v>8.4799072816005001</v>
      </c>
      <c r="GA462" s="1998">
        <v>8.4799072816005001</v>
      </c>
      <c r="GB462" s="1979">
        <v>1.3861479372000356</v>
      </c>
      <c r="GC462" s="1979">
        <v>1.3861479372000356</v>
      </c>
      <c r="GD462" s="1979">
        <v>1.3861479372000356</v>
      </c>
      <c r="GE462" s="1979">
        <v>1.3861479372000356</v>
      </c>
      <c r="GF462" s="1979">
        <v>1.3861479372000356</v>
      </c>
      <c r="GG462" s="1998">
        <v>1.4313071575784038</v>
      </c>
      <c r="GH462" s="1998">
        <v>1.4313071575784038</v>
      </c>
      <c r="GI462" s="1998">
        <v>1.4313071575784038</v>
      </c>
      <c r="GJ462" s="1998">
        <v>1.4313071575784038</v>
      </c>
      <c r="GK462" s="2026">
        <v>1.4313071575784038</v>
      </c>
    </row>
    <row r="463" spans="1:193">
      <c r="A463" s="2028" t="str">
        <f>Uebersetzung!$D633</f>
        <v>Construction en bois légère</v>
      </c>
      <c r="B463" s="2">
        <v>1</v>
      </c>
      <c r="C463" s="2" t="s">
        <v>4327</v>
      </c>
      <c r="D463" s="2004">
        <f>IF(Construction!$F$31=Construction!$R$22,Oeko!BQ463,Oeko!ED463)</f>
        <v>17.753644060463049</v>
      </c>
      <c r="E463" s="2004">
        <f>IF(Construction!$F$31=Construction!$R$22,Oeko!BR463,Oeko!EE463)</f>
        <v>5.5778329055029667</v>
      </c>
      <c r="F463" s="2004">
        <f>IF(Construction!$F$31=Construction!$R$22,Oeko!BS463,Oeko!EF463)</f>
        <v>5.6420229235722497</v>
      </c>
      <c r="G463" s="2004">
        <f>IF(Construction!$F$31=Construction!$R$22,Oeko!BT463,Oeko!EG463)</f>
        <v>5.7273169480240433</v>
      </c>
      <c r="H463" s="2004">
        <f>IF(Construction!$F$31=Construction!$R$22,Oeko!BU463,Oeko!EH463)</f>
        <v>5.8126109724758361</v>
      </c>
      <c r="I463" s="2002">
        <f>IF(Construction!$F$31=Construction!$R$22,Oeko!BV463,Oeko!EI463)</f>
        <v>51.513437768054608</v>
      </c>
      <c r="J463" s="2002">
        <f>IF(Construction!$F$31=Construction!$R$22,Oeko!BW463,Oeko!EJ463)</f>
        <v>10.063539929115342</v>
      </c>
      <c r="K463" s="2002">
        <f>IF(Construction!$F$31=Construction!$R$22,Oeko!BX463,Oeko!EK463)</f>
        <v>10.162019678809536</v>
      </c>
      <c r="L463" s="2002">
        <f>IF(Construction!$F$31=Construction!$R$22,Oeko!BY463,Oeko!EL463)</f>
        <v>10.308238006441181</v>
      </c>
      <c r="M463" s="2002">
        <f>IF(Construction!$F$31=Construction!$R$22,Oeko!BZ463,Oeko!EM463)</f>
        <v>10.454456334072827</v>
      </c>
      <c r="N463" s="2004">
        <f>IF(Construction!$F$31=Construction!$R$22,Oeko!CA463,Oeko!EN463)</f>
        <v>5.334510639422481</v>
      </c>
      <c r="O463" s="2004">
        <f>IF(Construction!$F$31=Construction!$R$22,Oeko!CB463,Oeko!EO463)</f>
        <v>5.4180639694977071</v>
      </c>
      <c r="P463" s="2004">
        <f>IF(Construction!$F$31=Construction!$R$22,Oeko!CC463,Oeko!EP463)</f>
        <v>5.4256597267772726</v>
      </c>
      <c r="Q463" s="2004">
        <f>IF(Construction!$F$31=Construction!$R$22,Oeko!CD463,Oeko!EQ463)</f>
        <v>5.433255484056839</v>
      </c>
      <c r="R463" s="2004">
        <f>IF(Construction!$F$31=Construction!$R$22,Oeko!CE463,Oeko!ER463)</f>
        <v>5.4471810390693758</v>
      </c>
      <c r="S463" s="2002">
        <f>IF(Construction!$F$31=Construction!$R$22,Oeko!CF463,Oeko!ES463)</f>
        <v>6.9371096895853031</v>
      </c>
      <c r="T463" s="2002">
        <f>IF(Construction!$F$31=Construction!$R$22,Oeko!CG463,Oeko!ET463)</f>
        <v>7.0467734353090359</v>
      </c>
      <c r="U463" s="2002">
        <f>IF(Construction!$F$31=Construction!$R$22,Oeko!CH463,Oeko!EU463)</f>
        <v>7.0577398098814097</v>
      </c>
      <c r="V463" s="2002">
        <f>IF(Construction!$F$31=Construction!$R$22,Oeko!CI463,Oeko!EV463)</f>
        <v>7.0687061844537826</v>
      </c>
      <c r="W463" s="2002">
        <f>IF(Construction!$F$31=Construction!$R$22,Oeko!CJ463,Oeko!EW463)</f>
        <v>7.0888112045031342</v>
      </c>
      <c r="X463" s="2004">
        <f>IF(Construction!$F$31=Construction!$R$22,Oeko!CK463,Oeko!EX463)</f>
        <v>5.2909841467262604</v>
      </c>
      <c r="Y463" s="2004">
        <f>IF(Construction!$F$31=Construction!$R$22,Oeko!CL463,Oeko!EY463)</f>
        <v>5.3787151433052465</v>
      </c>
      <c r="Z463" s="2004">
        <f>IF(Construction!$F$31=Construction!$R$22,Oeko!CM463,Oeko!EZ463)</f>
        <v>5.3912481428165311</v>
      </c>
      <c r="AA463" s="2004">
        <f>IF(Construction!$F$31=Construction!$R$22,Oeko!CN463,Oeko!FA463)</f>
        <v>5.4037811423278148</v>
      </c>
      <c r="AB463" s="2004">
        <f>IF(Construction!$F$31=Construction!$R$22,Oeko!CO463,Oeko!FB463)</f>
        <v>5.4267583080985027</v>
      </c>
      <c r="AC463" s="2002">
        <f>IF(Construction!$F$31=Construction!$R$22,Oeko!CP463,Oeko!FC463)</f>
        <v>4.6513881511415684</v>
      </c>
      <c r="AD463" s="2002">
        <f>IF(Construction!$F$31=Construction!$R$22,Oeko!CQ463,Oeko!FD463)</f>
        <v>4.7244973149573903</v>
      </c>
      <c r="AE463" s="2002">
        <f>IF(Construction!$F$31=Construction!$R$22,Oeko!CR463,Oeko!FE463)</f>
        <v>4.7366821755933612</v>
      </c>
      <c r="AF463" s="2002">
        <f>IF(Construction!$F$31=Construction!$R$22,Oeko!CS463,Oeko!FF463)</f>
        <v>4.7488670362293313</v>
      </c>
      <c r="AG463" s="2002">
        <f>IF(Construction!$F$31=Construction!$R$22,Oeko!CT463,Oeko!FG463)</f>
        <v>4.7712059473952779</v>
      </c>
      <c r="AH463" s="2004">
        <f>IF(Construction!$F$31=Construction!$R$22,Oeko!CU463,Oeko!FH463)</f>
        <v>9.7363394558706808</v>
      </c>
      <c r="AI463" s="2004">
        <f>IF(Construction!$F$31=Construction!$R$22,Oeko!CV463,Oeko!FI463)</f>
        <v>9.8094486196865027</v>
      </c>
      <c r="AJ463" s="2004">
        <f>IF(Construction!$F$31=Construction!$R$22,Oeko!CW463,Oeko!FJ463)</f>
        <v>9.8764653531843418</v>
      </c>
      <c r="AK463" s="2004">
        <f>IF(Construction!$F$31=Construction!$R$22,Oeko!CX463,Oeko!FK463)</f>
        <v>9.9495745170001619</v>
      </c>
      <c r="AL463" s="2004">
        <f>IF(Construction!$F$31=Construction!$R$22,Oeko!CY463,Oeko!FL463)</f>
        <v>10.126254996221732</v>
      </c>
      <c r="AM463" s="2002">
        <f>IF(Construction!$F$31=Construction!$R$22,Oeko!CZ463,Oeko!FM463)</f>
        <v>17.819257293118508</v>
      </c>
      <c r="AN463" s="2002">
        <f>IF(Construction!$F$31=Construction!$R$22,Oeko!DA463,Oeko!FN463)</f>
        <v>6.0541400862582702</v>
      </c>
      <c r="AO463" s="2002">
        <f>IF(Construction!$F$31=Construction!$R$22,Oeko!DB463,Oeko!FO463)</f>
        <v>6.1287080387823529</v>
      </c>
      <c r="AP463" s="2002">
        <f>IF(Construction!$F$31=Construction!$R$22,Oeko!DC463,Oeko!FP463)</f>
        <v>6.2261869238701157</v>
      </c>
      <c r="AQ463" s="2002">
        <f>IF(Construction!$F$31=Construction!$R$22,Oeko!DD463,Oeko!FQ463)</f>
        <v>6.3236658089578794</v>
      </c>
      <c r="AR463" s="2004">
        <f>IF(Construction!$F$31=Construction!$R$22,Oeko!DE463,Oeko!FR463)</f>
        <v>74.248589405678246</v>
      </c>
      <c r="AS463" s="2004">
        <f>IF(Construction!$F$31=Construction!$R$22,Oeko!DF463,Oeko!FS463)</f>
        <v>74.584843924053871</v>
      </c>
      <c r="AT463" s="2004">
        <f>IF(Construction!$F$31=Construction!$R$22,Oeko!DG463,Oeko!FT463)</f>
        <v>74.893077232564849</v>
      </c>
      <c r="AU463" s="2004">
        <f>IF(Construction!$F$31=Construction!$R$22,Oeko!DH463,Oeko!FU463)</f>
        <v>75.229331750940489</v>
      </c>
      <c r="AV463" s="2004">
        <f>IF(Construction!$F$31=Construction!$R$22,Oeko!DI463,Oeko!FV463)</f>
        <v>76.041946837014905</v>
      </c>
      <c r="AW463" s="2002">
        <f>IF(Construction!$F$31=Construction!$R$22,Oeko!DJ463,Oeko!FW463)</f>
        <v>72.971795483714715</v>
      </c>
      <c r="AX463" s="2002">
        <f>IF(Construction!$F$31=Construction!$R$22,Oeko!DK463,Oeko!FX463)</f>
        <v>73.307383513925217</v>
      </c>
      <c r="AY463" s="2002">
        <f>IF(Construction!$F$31=Construction!$R$22,Oeko!DL463,Oeko!FY463)</f>
        <v>73.615005874951521</v>
      </c>
      <c r="AZ463" s="2002">
        <f>IF(Construction!$F$31=Construction!$R$22,Oeko!DM463,Oeko!FZ463)</f>
        <v>73.950593905162037</v>
      </c>
      <c r="BA463" s="2002">
        <f>IF(Construction!$F$31=Construction!$R$22,Oeko!DN463,Oeko!GA463)</f>
        <v>74.761598311504088</v>
      </c>
      <c r="BB463" s="2004">
        <f>IF(Construction!$F$31=Construction!$R$22,Oeko!DO463,Oeko!GB463)</f>
        <v>4.5782554003416998</v>
      </c>
      <c r="BC463" s="2004">
        <f>IF(Construction!$F$31=Construction!$R$22,Oeko!DP463,Oeko!GC463)</f>
        <v>4.6359566902331295</v>
      </c>
      <c r="BD463" s="2004">
        <f>IF(Construction!$F$31=Construction!$R$22,Oeko!DQ463,Oeko!GD463)</f>
        <v>4.6936579801245584</v>
      </c>
      <c r="BE463" s="2004">
        <f>IF(Construction!$F$31=Construction!$R$22,Oeko!DR463,Oeko!GE463)</f>
        <v>4.7513592700159881</v>
      </c>
      <c r="BF463" s="2004">
        <f>IF(Construction!$F$31=Construction!$R$22,Oeko!DS463,Oeko!GF463)</f>
        <v>4.8090605599074188</v>
      </c>
      <c r="BG463" s="2002">
        <f>IF(Construction!$F$31=Construction!$R$22,Oeko!DT463,Oeko!GG463)</f>
        <v>4.6012863203074685</v>
      </c>
      <c r="BH463" s="2002">
        <f>IF(Construction!$F$31=Construction!$R$22,Oeko!DU463,Oeko!GH463)</f>
        <v>4.6875195359689013</v>
      </c>
      <c r="BI463" s="2002">
        <f>IF(Construction!$F$31=Construction!$R$22,Oeko!DV463,Oeko!GI463)</f>
        <v>4.7737527516303349</v>
      </c>
      <c r="BJ463" s="2002">
        <f>IF(Construction!$F$31=Construction!$R$22,Oeko!DW463,Oeko!GJ463)</f>
        <v>4.8599859672917658</v>
      </c>
      <c r="BK463" s="2027">
        <f>IF(Construction!$F$31=Construction!$R$22,Oeko!DX463,Oeko!GK463)</f>
        <v>4.9462191829531985</v>
      </c>
      <c r="BN463" s="2029" t="str">
        <f>Uebersetzung!$D633</f>
        <v>Construction en bois légère</v>
      </c>
      <c r="BO463" s="2">
        <v>1</v>
      </c>
      <c r="BP463" s="2" t="s">
        <v>4327</v>
      </c>
      <c r="BQ463" s="2004">
        <v>17.753644060463049</v>
      </c>
      <c r="BR463" s="2004">
        <v>5.5778329055029667</v>
      </c>
      <c r="BS463" s="2004">
        <v>5.6420229235722497</v>
      </c>
      <c r="BT463" s="2004">
        <v>5.7273169480240433</v>
      </c>
      <c r="BU463" s="2004">
        <v>5.8126109724758361</v>
      </c>
      <c r="BV463" s="2002">
        <v>51.513437768054608</v>
      </c>
      <c r="BW463" s="2002">
        <v>10.063539929115342</v>
      </c>
      <c r="BX463" s="2002">
        <v>10.162019678809536</v>
      </c>
      <c r="BY463" s="2002">
        <v>10.308238006441181</v>
      </c>
      <c r="BZ463" s="2002">
        <v>10.454456334072827</v>
      </c>
      <c r="CA463" s="2004">
        <v>5.334510639422481</v>
      </c>
      <c r="CB463" s="2004">
        <v>5.4180639694977071</v>
      </c>
      <c r="CC463" s="2004">
        <v>5.4256597267772726</v>
      </c>
      <c r="CD463" s="2004">
        <v>5.433255484056839</v>
      </c>
      <c r="CE463" s="2004">
        <v>5.4471810390693758</v>
      </c>
      <c r="CF463" s="2002">
        <v>6.9371096895853031</v>
      </c>
      <c r="CG463" s="2002">
        <v>7.0467734353090359</v>
      </c>
      <c r="CH463" s="2002">
        <v>7.0577398098814097</v>
      </c>
      <c r="CI463" s="2002">
        <v>7.0687061844537826</v>
      </c>
      <c r="CJ463" s="2002">
        <v>7.0888112045031342</v>
      </c>
      <c r="CK463" s="2004">
        <v>5.2909841467262604</v>
      </c>
      <c r="CL463" s="2004">
        <v>5.3787151433052465</v>
      </c>
      <c r="CM463" s="2004">
        <v>5.3912481428165311</v>
      </c>
      <c r="CN463" s="2004">
        <v>5.4037811423278148</v>
      </c>
      <c r="CO463" s="2004">
        <v>5.4267583080985027</v>
      </c>
      <c r="CP463" s="2002">
        <v>4.6513881511415684</v>
      </c>
      <c r="CQ463" s="2002">
        <v>4.7244973149573903</v>
      </c>
      <c r="CR463" s="2002">
        <v>4.7366821755933612</v>
      </c>
      <c r="CS463" s="2002">
        <v>4.7488670362293313</v>
      </c>
      <c r="CT463" s="2002">
        <v>4.7712059473952779</v>
      </c>
      <c r="CU463" s="2004">
        <v>9.7363394558706808</v>
      </c>
      <c r="CV463" s="2004">
        <v>9.8094486196865027</v>
      </c>
      <c r="CW463" s="2004">
        <v>9.8764653531843418</v>
      </c>
      <c r="CX463" s="2004">
        <v>9.9495745170001619</v>
      </c>
      <c r="CY463" s="2004">
        <v>10.126254996221732</v>
      </c>
      <c r="CZ463" s="2002">
        <v>17.819257293118508</v>
      </c>
      <c r="DA463" s="2002">
        <v>6.0541400862582702</v>
      </c>
      <c r="DB463" s="2002">
        <v>6.1287080387823529</v>
      </c>
      <c r="DC463" s="2002">
        <v>6.2261869238701157</v>
      </c>
      <c r="DD463" s="2002">
        <v>6.3236658089578794</v>
      </c>
      <c r="DE463" s="2004">
        <v>74.248589405678246</v>
      </c>
      <c r="DF463" s="2004">
        <v>74.584843924053871</v>
      </c>
      <c r="DG463" s="2004">
        <v>74.893077232564849</v>
      </c>
      <c r="DH463" s="2004">
        <v>75.229331750940489</v>
      </c>
      <c r="DI463" s="2004">
        <v>76.041946837014905</v>
      </c>
      <c r="DJ463" s="2002">
        <v>72.971795483714715</v>
      </c>
      <c r="DK463" s="2002">
        <v>73.307383513925217</v>
      </c>
      <c r="DL463" s="2002">
        <v>73.615005874951521</v>
      </c>
      <c r="DM463" s="2002">
        <v>73.950593905162037</v>
      </c>
      <c r="DN463" s="2002">
        <v>74.761598311504088</v>
      </c>
      <c r="DO463" s="2004">
        <v>4.5782554003416998</v>
      </c>
      <c r="DP463" s="2004">
        <v>4.6359566902331295</v>
      </c>
      <c r="DQ463" s="2004">
        <v>4.6936579801245584</v>
      </c>
      <c r="DR463" s="2004">
        <v>4.7513592700159881</v>
      </c>
      <c r="DS463" s="2004">
        <v>4.8090605599074188</v>
      </c>
      <c r="DT463" s="2002">
        <v>4.6012863203074685</v>
      </c>
      <c r="DU463" s="2002">
        <v>4.6875195359689013</v>
      </c>
      <c r="DV463" s="2002">
        <v>4.7737527516303349</v>
      </c>
      <c r="DW463" s="2002">
        <v>4.8599859672917658</v>
      </c>
      <c r="DX463" s="2027">
        <v>4.9462191829531985</v>
      </c>
      <c r="EA463" s="2029" t="str">
        <f>Uebersetzung!$D633</f>
        <v>Construction en bois légère</v>
      </c>
      <c r="EB463" s="2">
        <v>1</v>
      </c>
      <c r="EC463" s="2" t="s">
        <v>4327</v>
      </c>
      <c r="ED463" s="2004">
        <v>17.787537309576731</v>
      </c>
      <c r="EE463" s="2004">
        <v>5.6117261546166475</v>
      </c>
      <c r="EF463" s="2004">
        <v>5.6759161726859295</v>
      </c>
      <c r="EG463" s="2004">
        <v>5.7612101971377241</v>
      </c>
      <c r="EH463" s="2004">
        <v>5.846504221589516</v>
      </c>
      <c r="EI463" s="2002">
        <v>51.758117010793768</v>
      </c>
      <c r="EJ463" s="2002">
        <v>10.30821917185451</v>
      </c>
      <c r="EK463" s="2002">
        <v>10.406698921548704</v>
      </c>
      <c r="EL463" s="2002">
        <v>10.55291724918035</v>
      </c>
      <c r="EM463" s="2002">
        <v>10.699135576811996</v>
      </c>
      <c r="EN463" s="2004">
        <v>5.3815643399492439</v>
      </c>
      <c r="EO463" s="2004">
        <v>5.4651176700244699</v>
      </c>
      <c r="EP463" s="2004">
        <v>5.4727134273040345</v>
      </c>
      <c r="EQ463" s="2004">
        <v>5.4803091845836009</v>
      </c>
      <c r="ER463" s="2004">
        <v>5.4942347395961386</v>
      </c>
      <c r="ES463" s="2002">
        <v>7.0044469779927985</v>
      </c>
      <c r="ET463" s="2002">
        <v>7.1141107237165313</v>
      </c>
      <c r="EU463" s="2002">
        <v>7.1250770982889051</v>
      </c>
      <c r="EV463" s="2002">
        <v>7.1360434728612789</v>
      </c>
      <c r="EW463" s="2002">
        <v>7.1561484929106296</v>
      </c>
      <c r="EX463" s="2004">
        <v>5.3597605897791354</v>
      </c>
      <c r="EY463" s="2004">
        <v>5.4474915863581215</v>
      </c>
      <c r="EZ463" s="2004">
        <v>5.4600245858694052</v>
      </c>
      <c r="FA463" s="2004">
        <v>5.4725575853806889</v>
      </c>
      <c r="FB463" s="2004">
        <v>5.4955347511513759</v>
      </c>
      <c r="FC463" s="2002">
        <v>4.6985183617504891</v>
      </c>
      <c r="FD463" s="2002">
        <v>4.771627525566311</v>
      </c>
      <c r="FE463" s="2002">
        <v>4.7838123862022819</v>
      </c>
      <c r="FF463" s="2002">
        <v>4.7959972468382519</v>
      </c>
      <c r="FG463" s="2002">
        <v>4.8183361580041986</v>
      </c>
      <c r="FH463" s="2004">
        <v>9.9448906378151545</v>
      </c>
      <c r="FI463" s="2004">
        <v>10.017999801630978</v>
      </c>
      <c r="FJ463" s="2004">
        <v>10.085016535128814</v>
      </c>
      <c r="FK463" s="2004">
        <v>10.158125698944637</v>
      </c>
      <c r="FL463" s="2004">
        <v>10.334806178166206</v>
      </c>
      <c r="FM463" s="2002">
        <v>17.882097573930402</v>
      </c>
      <c r="FN463" s="2002">
        <v>6.1169803670701643</v>
      </c>
      <c r="FO463" s="2002">
        <v>6.1915483195942471</v>
      </c>
      <c r="FP463" s="2002">
        <v>6.2890272046820099</v>
      </c>
      <c r="FQ463" s="2002">
        <v>6.3865060897697736</v>
      </c>
      <c r="FR463" s="2004">
        <v>75.189499136546374</v>
      </c>
      <c r="FS463" s="2004">
        <v>75.525753654921985</v>
      </c>
      <c r="FT463" s="2004">
        <v>75.833986963432963</v>
      </c>
      <c r="FU463" s="2004">
        <v>76.170241481808603</v>
      </c>
      <c r="FV463" s="2004">
        <v>76.982856567883005</v>
      </c>
      <c r="FW463" s="2002">
        <v>73.892586672935593</v>
      </c>
      <c r="FX463" s="2002">
        <v>74.228174703146095</v>
      </c>
      <c r="FY463" s="2002">
        <v>74.535797064172399</v>
      </c>
      <c r="FZ463" s="2002">
        <v>74.871385094382916</v>
      </c>
      <c r="GA463" s="2002">
        <v>75.68238950072498</v>
      </c>
      <c r="GB463" s="2004">
        <v>4.6244315363297455</v>
      </c>
      <c r="GC463" s="2004">
        <v>4.6821328262211761</v>
      </c>
      <c r="GD463" s="2004">
        <v>4.7398341161126041</v>
      </c>
      <c r="GE463" s="2004">
        <v>4.7975354060040347</v>
      </c>
      <c r="GF463" s="2004">
        <v>4.8552366958954636</v>
      </c>
      <c r="GG463" s="2002">
        <v>4.670295465520014</v>
      </c>
      <c r="GH463" s="2002">
        <v>4.7565286811814467</v>
      </c>
      <c r="GI463" s="2002">
        <v>4.8427618968428785</v>
      </c>
      <c r="GJ463" s="2002">
        <v>4.9289951125043112</v>
      </c>
      <c r="GK463" s="2027">
        <v>5.015228328165743</v>
      </c>
    </row>
    <row r="464" spans="1:193">
      <c r="A464" s="2020"/>
      <c r="B464" s="2">
        <v>2</v>
      </c>
      <c r="C464" s="2" t="s">
        <v>4328</v>
      </c>
      <c r="D464" s="1998">
        <f>IF(Construction!$F$31=Construction!$R$22,Oeko!BQ464,Oeko!ED464)</f>
        <v>18.323335161824179</v>
      </c>
      <c r="E464" s="1998">
        <f>IF(Construction!$F$31=Construction!$R$22,Oeko!BR464,Oeko!EE464)</f>
        <v>5.56366185546353</v>
      </c>
      <c r="F464" s="1998">
        <f>IF(Construction!$F$31=Construction!$R$22,Oeko!BS464,Oeko!EF464)</f>
        <v>5.6275238575499298</v>
      </c>
      <c r="G464" s="1998">
        <f>IF(Construction!$F$31=Construction!$R$22,Oeko!BT464,Oeko!EG464)</f>
        <v>5.7128178820017235</v>
      </c>
      <c r="H464" s="1998">
        <f>IF(Construction!$F$31=Construction!$R$22,Oeko!BU464,Oeko!EH464)</f>
        <v>5.7981119064535154</v>
      </c>
      <c r="I464" s="1979">
        <f>IF(Construction!$F$31=Construction!$R$22,Oeko!BV464,Oeko!EI464)</f>
        <v>57.211159224262794</v>
      </c>
      <c r="J464" s="1979">
        <f>IF(Construction!$F$31=Construction!$R$22,Oeko!BW464,Oeko!EJ464)</f>
        <v>10.381497027780368</v>
      </c>
      <c r="K464" s="1979">
        <f>IF(Construction!$F$31=Construction!$R$22,Oeko!BX464,Oeko!EK464)</f>
        <v>10.476954405345822</v>
      </c>
      <c r="L464" s="1979">
        <f>IF(Construction!$F$31=Construction!$R$22,Oeko!BY464,Oeko!EL464)</f>
        <v>10.623172732977466</v>
      </c>
      <c r="M464" s="1979">
        <f>IF(Construction!$F$31=Construction!$R$22,Oeko!BZ464,Oeko!EM464)</f>
        <v>10.769391060609109</v>
      </c>
      <c r="N464" s="1998">
        <f>IF(Construction!$F$31=Construction!$R$22,Oeko!CA464,Oeko!EN464)</f>
        <v>5.4292075073672397</v>
      </c>
      <c r="O464" s="1998">
        <f>IF(Construction!$F$31=Construction!$R$22,Oeko!CB464,Oeko!EO464)</f>
        <v>5.5127608374424657</v>
      </c>
      <c r="P464" s="1998">
        <f>IF(Construction!$F$31=Construction!$R$22,Oeko!CC464,Oeko!EP464)</f>
        <v>5.5203565947220312</v>
      </c>
      <c r="Q464" s="1998">
        <f>IF(Construction!$F$31=Construction!$R$22,Oeko!CD464,Oeko!EQ464)</f>
        <v>5.5279523520015985</v>
      </c>
      <c r="R464" s="1998">
        <f>IF(Construction!$F$31=Construction!$R$22,Oeko!CE464,Oeko!ER464)</f>
        <v>5.5418779070141353</v>
      </c>
      <c r="S464" s="1979">
        <f>IF(Construction!$F$31=Construction!$R$22,Oeko!CF464,Oeko!ES464)</f>
        <v>6.8974176174765454</v>
      </c>
      <c r="T464" s="1979">
        <f>IF(Construction!$F$31=Construction!$R$22,Oeko!CG464,Oeko!ET464)</f>
        <v>7.0070813632002782</v>
      </c>
      <c r="U464" s="1979">
        <f>IF(Construction!$F$31=Construction!$R$22,Oeko!CH464,Oeko!EU464)</f>
        <v>7.01926622383625</v>
      </c>
      <c r="V464" s="1979">
        <f>IF(Construction!$F$31=Construction!$R$22,Oeko!CI464,Oeko!EV464)</f>
        <v>7.0314510844722191</v>
      </c>
      <c r="W464" s="1979">
        <f>IF(Construction!$F$31=Construction!$R$22,Oeko!CJ464,Oeko!EW464)</f>
        <v>7.0537899956381649</v>
      </c>
      <c r="X464" s="1998">
        <f>IF(Construction!$F$31=Construction!$R$22,Oeko!CK464,Oeko!EX464)</f>
        <v>5.4884329141585093</v>
      </c>
      <c r="Y464" s="1998">
        <f>IF(Construction!$F$31=Construction!$R$22,Oeko!CL464,Oeko!EY464)</f>
        <v>5.5761639107374954</v>
      </c>
      <c r="Z464" s="1998">
        <f>IF(Construction!$F$31=Construction!$R$22,Oeko!CM464,Oeko!EZ464)</f>
        <v>5.5886969102487791</v>
      </c>
      <c r="AA464" s="1998">
        <f>IF(Construction!$F$31=Construction!$R$22,Oeko!CN464,Oeko!FA464)</f>
        <v>5.6012299097600637</v>
      </c>
      <c r="AB464" s="1998">
        <f>IF(Construction!$F$31=Construction!$R$22,Oeko!CO464,Oeko!FB464)</f>
        <v>5.6242070755307498</v>
      </c>
      <c r="AC464" s="1979">
        <f>IF(Construction!$F$31=Construction!$R$22,Oeko!CP464,Oeko!FC464)</f>
        <v>4.838887949672193</v>
      </c>
      <c r="AD464" s="1979">
        <f>IF(Construction!$F$31=Construction!$R$22,Oeko!CQ464,Oeko!FD464)</f>
        <v>4.911997113488014</v>
      </c>
      <c r="AE464" s="1979">
        <f>IF(Construction!$F$31=Construction!$R$22,Oeko!CR464,Oeko!FE464)</f>
        <v>4.924181974123985</v>
      </c>
      <c r="AF464" s="1979">
        <f>IF(Construction!$F$31=Construction!$R$22,Oeko!CS464,Oeko!FF464)</f>
        <v>4.936366834759955</v>
      </c>
      <c r="AG464" s="1979">
        <f>IF(Construction!$F$31=Construction!$R$22,Oeko!CT464,Oeko!FG464)</f>
        <v>4.9587057459259007</v>
      </c>
      <c r="AH464" s="1998">
        <f>IF(Construction!$F$31=Construction!$R$22,Oeko!CU464,Oeko!FH464)</f>
        <v>10.037678417794899</v>
      </c>
      <c r="AI464" s="1998">
        <f>IF(Construction!$F$31=Construction!$R$22,Oeko!CV464,Oeko!FI464)</f>
        <v>10.110787581610721</v>
      </c>
      <c r="AJ464" s="1998">
        <f>IF(Construction!$F$31=Construction!$R$22,Oeko!CW464,Oeko!FJ464)</f>
        <v>10.177804315108558</v>
      </c>
      <c r="AK464" s="1998">
        <f>IF(Construction!$F$31=Construction!$R$22,Oeko!CX464,Oeko!FK464)</f>
        <v>10.25091347892438</v>
      </c>
      <c r="AL464" s="1998">
        <f>IF(Construction!$F$31=Construction!$R$22,Oeko!CY464,Oeko!FL464)</f>
        <v>10.42759395814595</v>
      </c>
      <c r="AM464" s="1979">
        <f>IF(Construction!$F$31=Construction!$R$22,Oeko!CZ464,Oeko!FM464)</f>
        <v>17.87934415081094</v>
      </c>
      <c r="AN464" s="1979">
        <f>IF(Construction!$F$31=Construction!$R$22,Oeko!DA464,Oeko!FN464)</f>
        <v>6.0193261752151193</v>
      </c>
      <c r="AO464" s="1979">
        <f>IF(Construction!$F$31=Construction!$R$22,Oeko!DB464,Oeko!FO464)</f>
        <v>6.0938408121254763</v>
      </c>
      <c r="AP464" s="1979">
        <f>IF(Construction!$F$31=Construction!$R$22,Oeko!DC464,Oeko!FP464)</f>
        <v>6.1913196972132409</v>
      </c>
      <c r="AQ464" s="1979">
        <f>IF(Construction!$F$31=Construction!$R$22,Oeko!DD464,Oeko!FQ464)</f>
        <v>6.2887985823010037</v>
      </c>
      <c r="AR464" s="1998">
        <f>IF(Construction!$F$31=Construction!$R$22,Oeko!DE464,Oeko!FR464)</f>
        <v>73.438724147903812</v>
      </c>
      <c r="AS464" s="1998">
        <f>IF(Construction!$F$31=Construction!$R$22,Oeko!DF464,Oeko!FS464)</f>
        <v>73.831021086008718</v>
      </c>
      <c r="AT464" s="1998">
        <f>IF(Construction!$F$31=Construction!$R$22,Oeko!DG464,Oeko!FT464)</f>
        <v>74.190626612604859</v>
      </c>
      <c r="AU464" s="1998">
        <f>IF(Construction!$F$31=Construction!$R$22,Oeko!DH464,Oeko!FU464)</f>
        <v>74.582923550709751</v>
      </c>
      <c r="AV464" s="1998">
        <f>IF(Construction!$F$31=Construction!$R$22,Oeko!DI464,Oeko!FV464)</f>
        <v>75.530974484463243</v>
      </c>
      <c r="AW464" s="1979">
        <f>IF(Construction!$F$31=Construction!$R$22,Oeko!DJ464,Oeko!FW464)</f>
        <v>71.107279829802991</v>
      </c>
      <c r="AX464" s="1979">
        <f>IF(Construction!$F$31=Construction!$R$22,Oeko!DK464,Oeko!FX464)</f>
        <v>71.5771030720977</v>
      </c>
      <c r="AY464" s="1979">
        <f>IF(Construction!$F$31=Construction!$R$22,Oeko!DL464,Oeko!FY464)</f>
        <v>72.007774377534517</v>
      </c>
      <c r="AZ464" s="1979">
        <f>IF(Construction!$F$31=Construction!$R$22,Oeko!DM464,Oeko!FZ464)</f>
        <v>72.47759761982924</v>
      </c>
      <c r="BA464" s="1979">
        <f>IF(Construction!$F$31=Construction!$R$22,Oeko!DN464,Oeko!GA464)</f>
        <v>73.613003788708127</v>
      </c>
      <c r="BB464" s="1998">
        <f>IF(Construction!$F$31=Construction!$R$22,Oeko!DO464,Oeko!GB464)</f>
        <v>4.5745877462817974</v>
      </c>
      <c r="BC464" s="1998">
        <f>IF(Construction!$F$31=Construction!$R$22,Oeko!DP464,Oeko!GC464)</f>
        <v>4.6438292941515122</v>
      </c>
      <c r="BD464" s="1998">
        <f>IF(Construction!$F$31=Construction!$R$22,Oeko!DQ464,Oeko!GD464)</f>
        <v>4.7130708420212279</v>
      </c>
      <c r="BE464" s="1998">
        <f>IF(Construction!$F$31=Construction!$R$22,Oeko!DR464,Oeko!GE464)</f>
        <v>4.7823123898909445</v>
      </c>
      <c r="BF464" s="1998">
        <f>IF(Construction!$F$31=Construction!$R$22,Oeko!DS464,Oeko!GF464)</f>
        <v>4.8515539377606594</v>
      </c>
      <c r="BG464" s="1979">
        <f>IF(Construction!$F$31=Construction!$R$22,Oeko!DT464,Oeko!GG464)</f>
        <v>4.6339698375374825</v>
      </c>
      <c r="BH464" s="1979">
        <f>IF(Construction!$F$31=Construction!$R$22,Oeko!DU464,Oeko!GH464)</f>
        <v>4.7202030531989143</v>
      </c>
      <c r="BI464" s="1979">
        <f>IF(Construction!$F$31=Construction!$R$22,Oeko!DV464,Oeko!GI464)</f>
        <v>4.806436268860347</v>
      </c>
      <c r="BJ464" s="1979">
        <f>IF(Construction!$F$31=Construction!$R$22,Oeko!DW464,Oeko!GJ464)</f>
        <v>4.8926694845217797</v>
      </c>
      <c r="BK464" s="2021">
        <f>IF(Construction!$F$31=Construction!$R$22,Oeko!DX464,Oeko!GK464)</f>
        <v>4.9789027001832116</v>
      </c>
      <c r="BN464" s="2022"/>
      <c r="BO464" s="2">
        <v>2</v>
      </c>
      <c r="BP464" s="2" t="s">
        <v>4328</v>
      </c>
      <c r="BQ464" s="1998">
        <v>18.323335161824179</v>
      </c>
      <c r="BR464" s="1998">
        <v>5.56366185546353</v>
      </c>
      <c r="BS464" s="1998">
        <v>5.6275238575499298</v>
      </c>
      <c r="BT464" s="1998">
        <v>5.7128178820017235</v>
      </c>
      <c r="BU464" s="1998">
        <v>5.7981119064535154</v>
      </c>
      <c r="BV464" s="1979">
        <v>57.211159224262794</v>
      </c>
      <c r="BW464" s="1979">
        <v>10.381497027780368</v>
      </c>
      <c r="BX464" s="1979">
        <v>10.476954405345822</v>
      </c>
      <c r="BY464" s="1979">
        <v>10.623172732977466</v>
      </c>
      <c r="BZ464" s="1979">
        <v>10.769391060609109</v>
      </c>
      <c r="CA464" s="1998">
        <v>5.4292075073672397</v>
      </c>
      <c r="CB464" s="1998">
        <v>5.5127608374424657</v>
      </c>
      <c r="CC464" s="1998">
        <v>5.5203565947220312</v>
      </c>
      <c r="CD464" s="1998">
        <v>5.5279523520015985</v>
      </c>
      <c r="CE464" s="1998">
        <v>5.5418779070141353</v>
      </c>
      <c r="CF464" s="1979">
        <v>6.8974176174765454</v>
      </c>
      <c r="CG464" s="1979">
        <v>7.0070813632002782</v>
      </c>
      <c r="CH464" s="1979">
        <v>7.01926622383625</v>
      </c>
      <c r="CI464" s="1979">
        <v>7.0314510844722191</v>
      </c>
      <c r="CJ464" s="1979">
        <v>7.0537899956381649</v>
      </c>
      <c r="CK464" s="1998">
        <v>5.4884329141585093</v>
      </c>
      <c r="CL464" s="1998">
        <v>5.5761639107374954</v>
      </c>
      <c r="CM464" s="1998">
        <v>5.5886969102487791</v>
      </c>
      <c r="CN464" s="1998">
        <v>5.6012299097600637</v>
      </c>
      <c r="CO464" s="1998">
        <v>5.6242070755307498</v>
      </c>
      <c r="CP464" s="1979">
        <v>4.838887949672193</v>
      </c>
      <c r="CQ464" s="1979">
        <v>4.911997113488014</v>
      </c>
      <c r="CR464" s="1979">
        <v>4.924181974123985</v>
      </c>
      <c r="CS464" s="1979">
        <v>4.936366834759955</v>
      </c>
      <c r="CT464" s="1979">
        <v>4.9587057459259007</v>
      </c>
      <c r="CU464" s="1998">
        <v>10.037678417794899</v>
      </c>
      <c r="CV464" s="1998">
        <v>10.110787581610721</v>
      </c>
      <c r="CW464" s="1998">
        <v>10.177804315108558</v>
      </c>
      <c r="CX464" s="1998">
        <v>10.25091347892438</v>
      </c>
      <c r="CY464" s="1998">
        <v>10.42759395814595</v>
      </c>
      <c r="CZ464" s="1979">
        <v>17.87934415081094</v>
      </c>
      <c r="DA464" s="1979">
        <v>6.0193261752151193</v>
      </c>
      <c r="DB464" s="1979">
        <v>6.0938408121254763</v>
      </c>
      <c r="DC464" s="1979">
        <v>6.1913196972132409</v>
      </c>
      <c r="DD464" s="1979">
        <v>6.2887985823010037</v>
      </c>
      <c r="DE464" s="1998">
        <v>73.438724147903812</v>
      </c>
      <c r="DF464" s="1998">
        <v>73.831021086008718</v>
      </c>
      <c r="DG464" s="1998">
        <v>74.190626612604859</v>
      </c>
      <c r="DH464" s="1998">
        <v>74.582923550709751</v>
      </c>
      <c r="DI464" s="1998">
        <v>75.530974484463243</v>
      </c>
      <c r="DJ464" s="1979">
        <v>71.107279829802991</v>
      </c>
      <c r="DK464" s="1979">
        <v>71.5771030720977</v>
      </c>
      <c r="DL464" s="1979">
        <v>72.007774377534517</v>
      </c>
      <c r="DM464" s="1979">
        <v>72.47759761982924</v>
      </c>
      <c r="DN464" s="1979">
        <v>73.613003788708127</v>
      </c>
      <c r="DO464" s="1998">
        <v>4.5745877462817974</v>
      </c>
      <c r="DP464" s="1998">
        <v>4.6438292941515122</v>
      </c>
      <c r="DQ464" s="1998">
        <v>4.7130708420212279</v>
      </c>
      <c r="DR464" s="1998">
        <v>4.7823123898909445</v>
      </c>
      <c r="DS464" s="1998">
        <v>4.8515539377606594</v>
      </c>
      <c r="DT464" s="1979">
        <v>4.6339698375374825</v>
      </c>
      <c r="DU464" s="1979">
        <v>4.7202030531989143</v>
      </c>
      <c r="DV464" s="1979">
        <v>4.806436268860347</v>
      </c>
      <c r="DW464" s="1979">
        <v>4.8926694845217797</v>
      </c>
      <c r="DX464" s="2021">
        <v>4.9789027001832116</v>
      </c>
      <c r="EA464" s="2022"/>
      <c r="EB464" s="2">
        <v>2</v>
      </c>
      <c r="EC464" s="2" t="s">
        <v>4328</v>
      </c>
      <c r="ED464" s="1998">
        <v>18.369299390660224</v>
      </c>
      <c r="EE464" s="1998">
        <v>5.609626084299574</v>
      </c>
      <c r="EF464" s="1998">
        <v>5.6734880863859738</v>
      </c>
      <c r="EG464" s="1998">
        <v>5.7587821108377666</v>
      </c>
      <c r="EH464" s="1998">
        <v>5.8440761352895585</v>
      </c>
      <c r="EI464" s="1979">
        <v>57.469197127346632</v>
      </c>
      <c r="EJ464" s="1979">
        <v>10.639534930864206</v>
      </c>
      <c r="EK464" s="1979">
        <v>10.734992308429662</v>
      </c>
      <c r="EL464" s="1979">
        <v>10.881210636061306</v>
      </c>
      <c r="EM464" s="1979">
        <v>11.02742896369295</v>
      </c>
      <c r="EN464" s="1998">
        <v>5.4778679196193076</v>
      </c>
      <c r="EO464" s="1998">
        <v>5.5614212496945328</v>
      </c>
      <c r="EP464" s="1998">
        <v>5.5690170069740983</v>
      </c>
      <c r="EQ464" s="1998">
        <v>5.5766127642536647</v>
      </c>
      <c r="ER464" s="1998">
        <v>5.5905383192662024</v>
      </c>
      <c r="ES464" s="1979">
        <v>6.9722368268182073</v>
      </c>
      <c r="ET464" s="1979">
        <v>7.0819005725419402</v>
      </c>
      <c r="EU464" s="1979">
        <v>7.094085433177912</v>
      </c>
      <c r="EV464" s="1979">
        <v>7.1062702938138811</v>
      </c>
      <c r="EW464" s="1979">
        <v>7.1286092049798269</v>
      </c>
      <c r="EX464" s="1998">
        <v>5.5608451163155017</v>
      </c>
      <c r="EY464" s="1998">
        <v>5.6485761128944869</v>
      </c>
      <c r="EZ464" s="1998">
        <v>5.6611091124057706</v>
      </c>
      <c r="FA464" s="1998">
        <v>5.6736421119170553</v>
      </c>
      <c r="FB464" s="1998">
        <v>5.6966192776877413</v>
      </c>
      <c r="FC464" s="1979">
        <v>4.8860181602811137</v>
      </c>
      <c r="FD464" s="1979">
        <v>4.9591273240969347</v>
      </c>
      <c r="FE464" s="1979">
        <v>4.9713121847329047</v>
      </c>
      <c r="FF464" s="1979">
        <v>4.9834970453688756</v>
      </c>
      <c r="FG464" s="1979">
        <v>5.0058359565348205</v>
      </c>
      <c r="FH464" s="1998">
        <v>10.250206211259499</v>
      </c>
      <c r="FI464" s="1998">
        <v>10.323315375075319</v>
      </c>
      <c r="FJ464" s="1998">
        <v>10.390332108573158</v>
      </c>
      <c r="FK464" s="1998">
        <v>10.46344127238898</v>
      </c>
      <c r="FL464" s="1998">
        <v>10.64012175161055</v>
      </c>
      <c r="FM464" s="1979">
        <v>17.95616639410348</v>
      </c>
      <c r="FN464" s="1979">
        <v>6.09614841850766</v>
      </c>
      <c r="FO464" s="1979">
        <v>6.1706630554180171</v>
      </c>
      <c r="FP464" s="1979">
        <v>6.2681419405057826</v>
      </c>
      <c r="FQ464" s="1979">
        <v>6.3656208255935445</v>
      </c>
      <c r="FR464" s="1998">
        <v>74.536452167249948</v>
      </c>
      <c r="FS464" s="1998">
        <v>74.928749105354839</v>
      </c>
      <c r="FT464" s="1998">
        <v>75.28835463195098</v>
      </c>
      <c r="FU464" s="1998">
        <v>75.680651570055886</v>
      </c>
      <c r="FV464" s="1998">
        <v>76.628702503809365</v>
      </c>
      <c r="FW464" s="1979">
        <v>72.396387494712229</v>
      </c>
      <c r="FX464" s="1979">
        <v>72.866210737006938</v>
      </c>
      <c r="FY464" s="1979">
        <v>73.296882042443755</v>
      </c>
      <c r="FZ464" s="1979">
        <v>73.766705284738478</v>
      </c>
      <c r="GA464" s="1979">
        <v>74.902111453617366</v>
      </c>
      <c r="GB464" s="1998">
        <v>4.6299991094674526</v>
      </c>
      <c r="GC464" s="1998">
        <v>4.6992406573371683</v>
      </c>
      <c r="GD464" s="1998">
        <v>4.768482205206884</v>
      </c>
      <c r="GE464" s="1998">
        <v>4.8377237530765997</v>
      </c>
      <c r="GF464" s="1998">
        <v>4.9069653009463146</v>
      </c>
      <c r="GG464" s="1979">
        <v>4.702978982750027</v>
      </c>
      <c r="GH464" s="1979">
        <v>4.7892121984114597</v>
      </c>
      <c r="GI464" s="1979">
        <v>4.8754454140728916</v>
      </c>
      <c r="GJ464" s="1979">
        <v>4.9616786297343243</v>
      </c>
      <c r="GK464" s="2021">
        <v>5.0479118453957561</v>
      </c>
    </row>
    <row r="465" spans="1:193">
      <c r="A465" s="2020"/>
      <c r="B465" s="2">
        <v>3</v>
      </c>
      <c r="C465" s="2" t="s">
        <v>4329</v>
      </c>
      <c r="D465" s="1998">
        <f>IF(Construction!$F$31=Construction!$R$22,Oeko!BQ465,Oeko!ED465)</f>
        <v>19.689439087011927</v>
      </c>
      <c r="E465" s="1998">
        <f>IF(Construction!$F$31=Construction!$R$22,Oeko!BR465,Oeko!EE465)</f>
        <v>5.6204991381166742</v>
      </c>
      <c r="F465" s="1998">
        <f>IF(Construction!$F$31=Construction!$R$22,Oeko!BS465,Oeko!EF465)</f>
        <v>5.6836255892111547</v>
      </c>
      <c r="G465" s="1998">
        <f>IF(Construction!$F$31=Construction!$R$22,Oeko!BT465,Oeko!EG465)</f>
        <v>5.7689196136629475</v>
      </c>
      <c r="H465" s="1998">
        <f>IF(Construction!$F$31=Construction!$R$22,Oeko!BU465,Oeko!EH465)</f>
        <v>5.8542136381147403</v>
      </c>
      <c r="I465" s="1979">
        <f>IF(Construction!$F$31=Construction!$R$22,Oeko!BV465,Oeko!EI465)</f>
        <v>53.919739931292916</v>
      </c>
      <c r="J465" s="1979">
        <f>IF(Construction!$F$31=Construction!$R$22,Oeko!BW465,Oeko!EJ465)</f>
        <v>10.026070267567631</v>
      </c>
      <c r="K465" s="1979">
        <f>IF(Construction!$F$31=Construction!$R$22,Oeko!BX465,Oeko!EK465)</f>
        <v>10.123177096932727</v>
      </c>
      <c r="L465" s="1979">
        <f>IF(Construction!$F$31=Construction!$R$22,Oeko!BY465,Oeko!EL465)</f>
        <v>10.269395424564372</v>
      </c>
      <c r="M465" s="1979">
        <f>IF(Construction!$F$31=Construction!$R$22,Oeko!BZ465,Oeko!EM465)</f>
        <v>10.415613752196016</v>
      </c>
      <c r="N465" s="1998">
        <f>IF(Construction!$F$31=Construction!$R$22,Oeko!CA465,Oeko!EN465)</f>
        <v>5.4836309790830811</v>
      </c>
      <c r="O465" s="1998">
        <f>IF(Construction!$F$31=Construction!$R$22,Oeko!CB465,Oeko!EO465)</f>
        <v>5.5671843091583062</v>
      </c>
      <c r="P465" s="1998">
        <f>IF(Construction!$F$31=Construction!$R$22,Oeko!CC465,Oeko!EP465)</f>
        <v>5.575539642165829</v>
      </c>
      <c r="Q465" s="1998">
        <f>IF(Construction!$F$31=Construction!$R$22,Oeko!CD465,Oeko!EQ465)</f>
        <v>5.5838949751733509</v>
      </c>
      <c r="R465" s="1998">
        <f>IF(Construction!$F$31=Construction!$R$22,Oeko!CE465,Oeko!ER465)</f>
        <v>5.5992130856871425</v>
      </c>
      <c r="S465" s="1979">
        <f>IF(Construction!$F$31=Construction!$R$22,Oeko!CF465,Oeko!ES465)</f>
        <v>7.2694856332558109</v>
      </c>
      <c r="T465" s="1979">
        <f>IF(Construction!$F$31=Construction!$R$22,Oeko!CG465,Oeko!ET465)</f>
        <v>7.3791493789795437</v>
      </c>
      <c r="U465" s="1979">
        <f>IF(Construction!$F$31=Construction!$R$22,Oeko!CH465,Oeko!EU465)</f>
        <v>7.3928573471950108</v>
      </c>
      <c r="V465" s="1979">
        <f>IF(Construction!$F$31=Construction!$R$22,Oeko!CI465,Oeko!EV465)</f>
        <v>7.4065653154104769</v>
      </c>
      <c r="W465" s="1979">
        <f>IF(Construction!$F$31=Construction!$R$22,Oeko!CJ465,Oeko!EW465)</f>
        <v>7.431696590472165</v>
      </c>
      <c r="X465" s="1998">
        <f>IF(Construction!$F$31=Construction!$R$22,Oeko!CK465,Oeko!EX465)</f>
        <v>5.4186355373259483</v>
      </c>
      <c r="Y465" s="1998">
        <f>IF(Construction!$F$31=Construction!$R$22,Oeko!CL465,Oeko!EY465)</f>
        <v>5.5063665339049344</v>
      </c>
      <c r="Z465" s="1998">
        <f>IF(Construction!$F$31=Construction!$R$22,Oeko!CM465,Oeko!EZ465)</f>
        <v>5.5209883666680986</v>
      </c>
      <c r="AA465" s="1998">
        <f>IF(Construction!$F$31=Construction!$R$22,Oeko!CN465,Oeko!FA465)</f>
        <v>5.5356101994312628</v>
      </c>
      <c r="AB465" s="1998">
        <f>IF(Construction!$F$31=Construction!$R$22,Oeko!CO465,Oeko!FB465)</f>
        <v>5.5624168928303979</v>
      </c>
      <c r="AC465" s="1979">
        <f>IF(Construction!$F$31=Construction!$R$22,Oeko!CP465,Oeko!FC465)</f>
        <v>4.984945278901221</v>
      </c>
      <c r="AD465" s="1979">
        <f>IF(Construction!$F$31=Construction!$R$22,Oeko!CQ465,Oeko!FD465)</f>
        <v>5.0580544427170429</v>
      </c>
      <c r="AE465" s="1979">
        <f>IF(Construction!$F$31=Construction!$R$22,Oeko!CR465,Oeko!FE465)</f>
        <v>5.0702393033530129</v>
      </c>
      <c r="AF465" s="1979">
        <f>IF(Construction!$F$31=Construction!$R$22,Oeko!CS465,Oeko!FF465)</f>
        <v>5.0824241639889829</v>
      </c>
      <c r="AG465" s="1979">
        <f>IF(Construction!$F$31=Construction!$R$22,Oeko!CT465,Oeko!FG465)</f>
        <v>5.1047630751549287</v>
      </c>
      <c r="AH465" s="1998">
        <f>IF(Construction!$F$31=Construction!$R$22,Oeko!CU465,Oeko!FH465)</f>
        <v>10.372499486599583</v>
      </c>
      <c r="AI465" s="1998">
        <f>IF(Construction!$F$31=Construction!$R$22,Oeko!CV465,Oeko!FI465)</f>
        <v>10.445608650415405</v>
      </c>
      <c r="AJ465" s="1998">
        <f>IF(Construction!$F$31=Construction!$R$22,Oeko!CW465,Oeko!FJ465)</f>
        <v>10.512625383913242</v>
      </c>
      <c r="AK465" s="1998">
        <f>IF(Construction!$F$31=Construction!$R$22,Oeko!CX465,Oeko!FK465)</f>
        <v>10.585734547729064</v>
      </c>
      <c r="AL465" s="1998">
        <f>IF(Construction!$F$31=Construction!$R$22,Oeko!CY465,Oeko!FL465)</f>
        <v>10.762415026950634</v>
      </c>
      <c r="AM465" s="1979">
        <f>IF(Construction!$F$31=Construction!$R$22,Oeko!CZ465,Oeko!FM465)</f>
        <v>16.418519810915374</v>
      </c>
      <c r="AN465" s="1979">
        <f>IF(Construction!$F$31=Construction!$R$22,Oeko!DA465,Oeko!FN465)</f>
        <v>5.8396622132499392</v>
      </c>
      <c r="AO465" s="1979">
        <f>IF(Construction!$F$31=Construction!$R$22,Oeko!DB465,Oeko!FO465)</f>
        <v>5.9148966109455952</v>
      </c>
      <c r="AP465" s="1979">
        <f>IF(Construction!$F$31=Construction!$R$22,Oeko!DC465,Oeko!FP465)</f>
        <v>6.012375496033358</v>
      </c>
      <c r="AQ465" s="1979">
        <f>IF(Construction!$F$31=Construction!$R$22,Oeko!DD465,Oeko!FQ465)</f>
        <v>6.1098543811211217</v>
      </c>
      <c r="AR465" s="1998">
        <f>IF(Construction!$F$31=Construction!$R$22,Oeko!DE465,Oeko!FR465)</f>
        <v>74.065598968949757</v>
      </c>
      <c r="AS465" s="1998">
        <f>IF(Construction!$F$31=Construction!$R$22,Oeko!DF465,Oeko!FS465)</f>
        <v>74.53635529467563</v>
      </c>
      <c r="AT465" s="1998">
        <f>IF(Construction!$F$31=Construction!$R$22,Oeko!DG465,Oeko!FT465)</f>
        <v>74.967881926591019</v>
      </c>
      <c r="AU465" s="1998">
        <f>IF(Construction!$F$31=Construction!$R$22,Oeko!DH465,Oeko!FU465)</f>
        <v>75.438638252316878</v>
      </c>
      <c r="AV465" s="1998">
        <f>IF(Construction!$F$31=Construction!$R$22,Oeko!DI465,Oeko!FV465)</f>
        <v>76.576299372821069</v>
      </c>
      <c r="AW465" s="1979">
        <f>IF(Construction!$F$31=Construction!$R$22,Oeko!DJ465,Oeko!FW465)</f>
        <v>73.555349832954349</v>
      </c>
      <c r="AX465" s="1979">
        <f>IF(Construction!$F$31=Construction!$R$22,Oeko!DK465,Oeko!FX465)</f>
        <v>74.025173075249057</v>
      </c>
      <c r="AY465" s="1979">
        <f>IF(Construction!$F$31=Construction!$R$22,Oeko!DL465,Oeko!FY465)</f>
        <v>74.455844380685875</v>
      </c>
      <c r="AZ465" s="1979">
        <f>IF(Construction!$F$31=Construction!$R$22,Oeko!DM465,Oeko!FZ465)</f>
        <v>74.925667622980598</v>
      </c>
      <c r="BA465" s="1979">
        <f>IF(Construction!$F$31=Construction!$R$22,Oeko!DN465,Oeko!GA465)</f>
        <v>76.061073791859485</v>
      </c>
      <c r="BB465" s="1998">
        <f>IF(Construction!$F$31=Construction!$R$22,Oeko!DO465,Oeko!GB465)</f>
        <v>4.5690862651919444</v>
      </c>
      <c r="BC465" s="1998">
        <f>IF(Construction!$F$31=Construction!$R$22,Oeko!DP465,Oeko!GC465)</f>
        <v>4.655638200029089</v>
      </c>
      <c r="BD465" s="1998">
        <f>IF(Construction!$F$31=Construction!$R$22,Oeko!DQ465,Oeko!GD465)</f>
        <v>4.7421901348662336</v>
      </c>
      <c r="BE465" s="1998">
        <f>IF(Construction!$F$31=Construction!$R$22,Oeko!DR465,Oeko!GE465)</f>
        <v>4.8287420697033783</v>
      </c>
      <c r="BF465" s="1998">
        <f>IF(Construction!$F$31=Construction!$R$22,Oeko!DS465,Oeko!GF465)</f>
        <v>4.9152940045405229</v>
      </c>
      <c r="BG465" s="1979">
        <f>IF(Construction!$F$31=Construction!$R$22,Oeko!DT465,Oeko!GG465)</f>
        <v>4.6248344668460541</v>
      </c>
      <c r="BH465" s="1979">
        <f>IF(Construction!$F$31=Construction!$R$22,Oeko!DU465,Oeko!GH465)</f>
        <v>4.7398120877279633</v>
      </c>
      <c r="BI465" s="1979">
        <f>IF(Construction!$F$31=Construction!$R$22,Oeko!DV465,Oeko!GI465)</f>
        <v>4.8547897086098732</v>
      </c>
      <c r="BJ465" s="1979">
        <f>IF(Construction!$F$31=Construction!$R$22,Oeko!DW465,Oeko!GJ465)</f>
        <v>4.9697673294917841</v>
      </c>
      <c r="BK465" s="2021">
        <f>IF(Construction!$F$31=Construction!$R$22,Oeko!DX465,Oeko!GK465)</f>
        <v>5.0847449503736932</v>
      </c>
      <c r="BN465" s="2022"/>
      <c r="BO465" s="2">
        <v>3</v>
      </c>
      <c r="BP465" s="2" t="s">
        <v>4329</v>
      </c>
      <c r="BQ465" s="1998">
        <v>19.689439087011927</v>
      </c>
      <c r="BR465" s="1998">
        <v>5.6204991381166742</v>
      </c>
      <c r="BS465" s="1998">
        <v>5.6836255892111547</v>
      </c>
      <c r="BT465" s="1998">
        <v>5.7689196136629475</v>
      </c>
      <c r="BU465" s="1998">
        <v>5.8542136381147403</v>
      </c>
      <c r="BV465" s="1979">
        <v>53.919739931292916</v>
      </c>
      <c r="BW465" s="1979">
        <v>10.026070267567631</v>
      </c>
      <c r="BX465" s="1979">
        <v>10.123177096932727</v>
      </c>
      <c r="BY465" s="1979">
        <v>10.269395424564372</v>
      </c>
      <c r="BZ465" s="1979">
        <v>10.415613752196016</v>
      </c>
      <c r="CA465" s="1998">
        <v>5.4836309790830811</v>
      </c>
      <c r="CB465" s="1998">
        <v>5.5671843091583062</v>
      </c>
      <c r="CC465" s="1998">
        <v>5.575539642165829</v>
      </c>
      <c r="CD465" s="1998">
        <v>5.5838949751733509</v>
      </c>
      <c r="CE465" s="1998">
        <v>5.5992130856871425</v>
      </c>
      <c r="CF465" s="1979">
        <v>7.2694856332558109</v>
      </c>
      <c r="CG465" s="1979">
        <v>7.3791493789795437</v>
      </c>
      <c r="CH465" s="1979">
        <v>7.3928573471950108</v>
      </c>
      <c r="CI465" s="1979">
        <v>7.4065653154104769</v>
      </c>
      <c r="CJ465" s="1979">
        <v>7.431696590472165</v>
      </c>
      <c r="CK465" s="1998">
        <v>5.4186355373259483</v>
      </c>
      <c r="CL465" s="1998">
        <v>5.5063665339049344</v>
      </c>
      <c r="CM465" s="1998">
        <v>5.5209883666680986</v>
      </c>
      <c r="CN465" s="1998">
        <v>5.5356101994312628</v>
      </c>
      <c r="CO465" s="1998">
        <v>5.5624168928303979</v>
      </c>
      <c r="CP465" s="1979">
        <v>4.984945278901221</v>
      </c>
      <c r="CQ465" s="1979">
        <v>5.0580544427170429</v>
      </c>
      <c r="CR465" s="1979">
        <v>5.0702393033530129</v>
      </c>
      <c r="CS465" s="1979">
        <v>5.0824241639889829</v>
      </c>
      <c r="CT465" s="1979">
        <v>5.1047630751549287</v>
      </c>
      <c r="CU465" s="1998">
        <v>10.372499486599583</v>
      </c>
      <c r="CV465" s="1998">
        <v>10.445608650415405</v>
      </c>
      <c r="CW465" s="1998">
        <v>10.512625383913242</v>
      </c>
      <c r="CX465" s="1998">
        <v>10.585734547729064</v>
      </c>
      <c r="CY465" s="1998">
        <v>10.762415026950634</v>
      </c>
      <c r="CZ465" s="1979">
        <v>16.418519810915374</v>
      </c>
      <c r="DA465" s="1979">
        <v>5.8396622132499392</v>
      </c>
      <c r="DB465" s="1979">
        <v>5.9148966109455952</v>
      </c>
      <c r="DC465" s="1979">
        <v>6.012375496033358</v>
      </c>
      <c r="DD465" s="1979">
        <v>6.1098543811211217</v>
      </c>
      <c r="DE465" s="1998">
        <v>74.065598968949757</v>
      </c>
      <c r="DF465" s="1998">
        <v>74.53635529467563</v>
      </c>
      <c r="DG465" s="1998">
        <v>74.967881926591019</v>
      </c>
      <c r="DH465" s="1998">
        <v>75.438638252316878</v>
      </c>
      <c r="DI465" s="1998">
        <v>76.576299372821069</v>
      </c>
      <c r="DJ465" s="1979">
        <v>73.555349832954349</v>
      </c>
      <c r="DK465" s="1979">
        <v>74.025173075249057</v>
      </c>
      <c r="DL465" s="1979">
        <v>74.455844380685875</v>
      </c>
      <c r="DM465" s="1979">
        <v>74.925667622980598</v>
      </c>
      <c r="DN465" s="1979">
        <v>76.061073791859485</v>
      </c>
      <c r="DO465" s="1998">
        <v>4.5690862651919444</v>
      </c>
      <c r="DP465" s="1998">
        <v>4.655638200029089</v>
      </c>
      <c r="DQ465" s="1998">
        <v>4.7421901348662336</v>
      </c>
      <c r="DR465" s="1998">
        <v>4.8287420697033783</v>
      </c>
      <c r="DS465" s="1998">
        <v>4.9152940045405229</v>
      </c>
      <c r="DT465" s="1979">
        <v>4.6248344668460541</v>
      </c>
      <c r="DU465" s="1979">
        <v>4.7398120877279633</v>
      </c>
      <c r="DV465" s="1979">
        <v>4.8547897086098732</v>
      </c>
      <c r="DW465" s="1979">
        <v>4.9697673294917841</v>
      </c>
      <c r="DX465" s="2021">
        <v>5.0847449503736932</v>
      </c>
      <c r="EA465" s="2022"/>
      <c r="EB465" s="2">
        <v>3</v>
      </c>
      <c r="EC465" s="2" t="s">
        <v>4329</v>
      </c>
      <c r="ED465" s="1998">
        <v>19.740987754865429</v>
      </c>
      <c r="EE465" s="1998">
        <v>5.6720478059701804</v>
      </c>
      <c r="EF465" s="1998">
        <v>5.7351742570646609</v>
      </c>
      <c r="EG465" s="1998">
        <v>5.8204682815164546</v>
      </c>
      <c r="EH465" s="1998">
        <v>5.9057623059682465</v>
      </c>
      <c r="EI465" s="1979">
        <v>54.242287310147717</v>
      </c>
      <c r="EJ465" s="1979">
        <v>10.348617646422429</v>
      </c>
      <c r="EK465" s="1979">
        <v>10.445724475787527</v>
      </c>
      <c r="EL465" s="1979">
        <v>10.591942803419171</v>
      </c>
      <c r="EM465" s="1979">
        <v>10.738161131050816</v>
      </c>
      <c r="EN465" s="1998">
        <v>5.5386723321870708</v>
      </c>
      <c r="EO465" s="1998">
        <v>5.622225662262295</v>
      </c>
      <c r="EP465" s="1998">
        <v>5.6305809952698187</v>
      </c>
      <c r="EQ465" s="1998">
        <v>5.6389363282773406</v>
      </c>
      <c r="ER465" s="1998">
        <v>5.6542544387911322</v>
      </c>
      <c r="ES465" s="1979">
        <v>7.3536572437651806</v>
      </c>
      <c r="ET465" s="1979">
        <v>7.4633209894889134</v>
      </c>
      <c r="EU465" s="1979">
        <v>7.4770289577043796</v>
      </c>
      <c r="EV465" s="1979">
        <v>7.4907369259198466</v>
      </c>
      <c r="EW465" s="1979">
        <v>7.5158682009815356</v>
      </c>
      <c r="EX465" s="1998">
        <v>5.5031164398424384</v>
      </c>
      <c r="EY465" s="1998">
        <v>5.5908474364214245</v>
      </c>
      <c r="EZ465" s="1998">
        <v>5.6054692691845887</v>
      </c>
      <c r="FA465" s="1998">
        <v>5.6200911019477529</v>
      </c>
      <c r="FB465" s="1998">
        <v>5.646897795346888</v>
      </c>
      <c r="FC465" s="1979">
        <v>5.0320754895101407</v>
      </c>
      <c r="FD465" s="1979">
        <v>5.1051846533259626</v>
      </c>
      <c r="FE465" s="1979">
        <v>5.1173695139619335</v>
      </c>
      <c r="FF465" s="1979">
        <v>5.1295543745979035</v>
      </c>
      <c r="FG465" s="1979">
        <v>5.1518932857638502</v>
      </c>
      <c r="FH465" s="1998">
        <v>10.591654965931063</v>
      </c>
      <c r="FI465" s="1998">
        <v>10.664764129746885</v>
      </c>
      <c r="FJ465" s="1998">
        <v>10.731780863244722</v>
      </c>
      <c r="FK465" s="1998">
        <v>10.804890027060544</v>
      </c>
      <c r="FL465" s="1998">
        <v>10.981570506282115</v>
      </c>
      <c r="FM465" s="1979">
        <v>16.52826587276186</v>
      </c>
      <c r="FN465" s="1979">
        <v>5.9494082750964257</v>
      </c>
      <c r="FO465" s="1979">
        <v>6.0246426727920817</v>
      </c>
      <c r="FP465" s="1979">
        <v>6.1221215578798445</v>
      </c>
      <c r="FQ465" s="1979">
        <v>6.2196004429676082</v>
      </c>
      <c r="FR465" s="1998">
        <v>75.425548843457193</v>
      </c>
      <c r="FS465" s="1998">
        <v>75.896305169183066</v>
      </c>
      <c r="FT465" s="1998">
        <v>76.327831801098455</v>
      </c>
      <c r="FU465" s="1998">
        <v>76.798588126824299</v>
      </c>
      <c r="FV465" s="1998">
        <v>77.936249247328504</v>
      </c>
      <c r="FW465" s="1979">
        <v>74.844457497863601</v>
      </c>
      <c r="FX465" s="1979">
        <v>75.31428074015831</v>
      </c>
      <c r="FY465" s="1979">
        <v>75.744952045595127</v>
      </c>
      <c r="FZ465" s="1979">
        <v>76.214775287889836</v>
      </c>
      <c r="GA465" s="1979">
        <v>77.350181456768723</v>
      </c>
      <c r="GB465" s="1998">
        <v>4.6383504691740143</v>
      </c>
      <c r="GC465" s="1998">
        <v>4.724902404011158</v>
      </c>
      <c r="GD465" s="1998">
        <v>4.8114543388483018</v>
      </c>
      <c r="GE465" s="1998">
        <v>4.8980062736854473</v>
      </c>
      <c r="GF465" s="1998">
        <v>4.9845582085225919</v>
      </c>
      <c r="GG465" s="1979">
        <v>4.7168466604627808</v>
      </c>
      <c r="GH465" s="1979">
        <v>4.8318242813446908</v>
      </c>
      <c r="GI465" s="1979">
        <v>4.9468019022265999</v>
      </c>
      <c r="GJ465" s="1979">
        <v>5.0617795231085099</v>
      </c>
      <c r="GK465" s="2021">
        <v>5.176757143990419</v>
      </c>
    </row>
    <row r="466" spans="1:193">
      <c r="A466" s="2020"/>
      <c r="B466" s="2">
        <v>4</v>
      </c>
      <c r="C466" s="2" t="s">
        <v>4330</v>
      </c>
      <c r="D466" s="1998">
        <f>IF(Construction!$F$31=Construction!$R$22,Oeko!BQ466,Oeko!ED466)</f>
        <v>23.119454064100566</v>
      </c>
      <c r="E466" s="1998">
        <f>IF(Construction!$F$31=Construction!$R$22,Oeko!BR466,Oeko!EE466)</f>
        <v>5.7950403013354927</v>
      </c>
      <c r="F466" s="1998">
        <f>IF(Construction!$F$31=Construction!$R$22,Oeko!BS466,Oeko!EF466)</f>
        <v>5.8563378148284437</v>
      </c>
      <c r="G466" s="1998">
        <f>IF(Construction!$F$31=Construction!$R$22,Oeko!BT466,Oeko!EG466)</f>
        <v>5.9416318392802365</v>
      </c>
      <c r="H466" s="1998">
        <f>IF(Construction!$F$31=Construction!$R$22,Oeko!BU466,Oeko!EH466)</f>
        <v>6.0269258637320293</v>
      </c>
      <c r="I466" s="1979">
        <f>IF(Construction!$F$31=Construction!$R$22,Oeko!BV466,Oeko!EI466)</f>
        <v>58.159990112942708</v>
      </c>
      <c r="J466" s="1979">
        <f>IF(Construction!$F$31=Construction!$R$22,Oeko!BW466,Oeko!EJ466)</f>
        <v>10.262694268184966</v>
      </c>
      <c r="K466" s="1979">
        <f>IF(Construction!$F$31=Construction!$R$22,Oeko!BX466,Oeko!EK466)</f>
        <v>10.357551845096006</v>
      </c>
      <c r="L466" s="1979">
        <f>IF(Construction!$F$31=Construction!$R$22,Oeko!BY466,Oeko!EL466)</f>
        <v>10.50377017272765</v>
      </c>
      <c r="M466" s="1979">
        <f>IF(Construction!$F$31=Construction!$R$22,Oeko!BZ466,Oeko!EM466)</f>
        <v>10.649988500359296</v>
      </c>
      <c r="N466" s="1998">
        <f>IF(Construction!$F$31=Construction!$R$22,Oeko!CA466,Oeko!EN466)</f>
        <v>5.5964448021754336</v>
      </c>
      <c r="O466" s="1998">
        <f>IF(Construction!$F$31=Construction!$R$22,Oeko!CB466,Oeko!EO466)</f>
        <v>5.6799981322506596</v>
      </c>
      <c r="P466" s="1998">
        <f>IF(Construction!$F$31=Construction!$R$22,Oeko!CC466,Oeko!EP466)</f>
        <v>5.6892818355923511</v>
      </c>
      <c r="Q466" s="1998">
        <f>IF(Construction!$F$31=Construction!$R$22,Oeko!CD466,Oeko!EQ466)</f>
        <v>5.6985655389340426</v>
      </c>
      <c r="R466" s="1998">
        <f>IF(Construction!$F$31=Construction!$R$22,Oeko!CE466,Oeko!ER466)</f>
        <v>5.7155856617271441</v>
      </c>
      <c r="S466" s="1979">
        <f>IF(Construction!$F$31=Construction!$R$22,Oeko!CF466,Oeko!ES466)</f>
        <v>7.1055734147517597</v>
      </c>
      <c r="T466" s="1979">
        <f>IF(Construction!$F$31=Construction!$R$22,Oeko!CG466,Oeko!ET466)</f>
        <v>7.2152371604754926</v>
      </c>
      <c r="U466" s="1979">
        <f>IF(Construction!$F$31=Construction!$R$22,Oeko!CH466,Oeko!EU466)</f>
        <v>7.233514451429448</v>
      </c>
      <c r="V466" s="1979">
        <f>IF(Construction!$F$31=Construction!$R$22,Oeko!CI466,Oeko!EV466)</f>
        <v>7.2517917423834035</v>
      </c>
      <c r="W466" s="1979">
        <f>IF(Construction!$F$31=Construction!$R$22,Oeko!CJ466,Oeko!EW466)</f>
        <v>7.2853001091323222</v>
      </c>
      <c r="X466" s="1998">
        <f>IF(Construction!$F$31=Construction!$R$22,Oeko!CK466,Oeko!EX466)</f>
        <v>5.6105996167739676</v>
      </c>
      <c r="Y466" s="1998">
        <f>IF(Construction!$F$31=Construction!$R$22,Oeko!CL466,Oeko!EY466)</f>
        <v>5.6983306133529537</v>
      </c>
      <c r="Z466" s="1998">
        <f>IF(Construction!$F$31=Construction!$R$22,Oeko!CM466,Oeko!EZ466)</f>
        <v>5.7129524461161179</v>
      </c>
      <c r="AA466" s="1998">
        <f>IF(Construction!$F$31=Construction!$R$22,Oeko!CN466,Oeko!FA466)</f>
        <v>5.7275742788792821</v>
      </c>
      <c r="AB466" s="1998">
        <f>IF(Construction!$F$31=Construction!$R$22,Oeko!CO466,Oeko!FB466)</f>
        <v>5.7543809722784172</v>
      </c>
      <c r="AC466" s="1979">
        <f>IF(Construction!$F$31=Construction!$R$22,Oeko!CP466,Oeko!FC466)</f>
        <v>5.018619554007647</v>
      </c>
      <c r="AD466" s="1979">
        <f>IF(Construction!$F$31=Construction!$R$22,Oeko!CQ466,Oeko!FD466)</f>
        <v>5.0917287178234698</v>
      </c>
      <c r="AE466" s="1979">
        <f>IF(Construction!$F$31=Construction!$R$22,Oeko!CR466,Oeko!FE466)</f>
        <v>5.1063505505866331</v>
      </c>
      <c r="AF466" s="1979">
        <f>IF(Construction!$F$31=Construction!$R$22,Oeko!CS466,Oeko!FF466)</f>
        <v>5.1209723833497973</v>
      </c>
      <c r="AG466" s="1979">
        <f>IF(Construction!$F$31=Construction!$R$22,Oeko!CT466,Oeko!FG466)</f>
        <v>5.1477790767489333</v>
      </c>
      <c r="AH466" s="1998">
        <f>IF(Construction!$F$31=Construction!$R$22,Oeko!CU466,Oeko!FH466)</f>
        <v>9.8779423149540975</v>
      </c>
      <c r="AI466" s="1998">
        <f>IF(Construction!$F$31=Construction!$R$22,Oeko!CV466,Oeko!FI466)</f>
        <v>9.9754212000418594</v>
      </c>
      <c r="AJ466" s="1998">
        <f>IF(Construction!$F$31=Construction!$R$22,Oeko!CW466,Oeko!FJ466)</f>
        <v>10.064776844705644</v>
      </c>
      <c r="AK466" s="1998">
        <f>IF(Construction!$F$31=Construction!$R$22,Oeko!CX466,Oeko!FK466)</f>
        <v>10.162255729793406</v>
      </c>
      <c r="AL466" s="1998">
        <f>IF(Construction!$F$31=Construction!$R$22,Oeko!CY466,Oeko!FL466)</f>
        <v>10.397829702088833</v>
      </c>
      <c r="AM466" s="1979">
        <f>IF(Construction!$F$31=Construction!$R$22,Oeko!CZ466,Oeko!FM466)</f>
        <v>18.572297680959711</v>
      </c>
      <c r="AN466" s="1979">
        <f>IF(Construction!$F$31=Construction!$R$22,Oeko!DA466,Oeko!FN466)</f>
        <v>5.9598521818174754</v>
      </c>
      <c r="AO466" s="1979">
        <f>IF(Construction!$F$31=Construction!$R$22,Oeko!DB466,Oeko!FO466)</f>
        <v>6.0339441020761493</v>
      </c>
      <c r="AP466" s="1979">
        <f>IF(Construction!$F$31=Construction!$R$22,Oeko!DC466,Oeko!FP466)</f>
        <v>6.131422987163913</v>
      </c>
      <c r="AQ466" s="1979">
        <f>IF(Construction!$F$31=Construction!$R$22,Oeko!DD466,Oeko!FQ466)</f>
        <v>6.2289018722516767</v>
      </c>
      <c r="AR466" s="1998">
        <f>IF(Construction!$F$31=Construction!$R$22,Oeko!DE466,Oeko!FR466)</f>
        <v>72.254839041252822</v>
      </c>
      <c r="AS466" s="1998">
        <f>IF(Construction!$F$31=Construction!$R$22,Oeko!DF466,Oeko!FS466)</f>
        <v>72.843284448410159</v>
      </c>
      <c r="AT466" s="1998">
        <f>IF(Construction!$F$31=Construction!$R$22,Oeko!DG466,Oeko!FT466)</f>
        <v>73.382692738304399</v>
      </c>
      <c r="AU466" s="1998">
        <f>IF(Construction!$F$31=Construction!$R$22,Oeko!DH466,Oeko!FU466)</f>
        <v>73.971138145461737</v>
      </c>
      <c r="AV466" s="1998">
        <f>IF(Construction!$F$31=Construction!$R$22,Oeko!DI466,Oeko!FV466)</f>
        <v>75.393214546091954</v>
      </c>
      <c r="AW466" s="1979">
        <f>IF(Construction!$F$31=Construction!$R$22,Oeko!DJ466,Oeko!FW466)</f>
        <v>72.900218436686444</v>
      </c>
      <c r="AX466" s="1979">
        <f>IF(Construction!$F$31=Construction!$R$22,Oeko!DK466,Oeko!FX466)</f>
        <v>73.487497489554826</v>
      </c>
      <c r="AY466" s="1979">
        <f>IF(Construction!$F$31=Construction!$R$22,Oeko!DL466,Oeko!FY466)</f>
        <v>74.025836621350862</v>
      </c>
      <c r="AZ466" s="1979">
        <f>IF(Construction!$F$31=Construction!$R$22,Oeko!DM466,Oeko!FZ466)</f>
        <v>74.613115674219245</v>
      </c>
      <c r="BA466" s="1979">
        <f>IF(Construction!$F$31=Construction!$R$22,Oeko!DN466,Oeko!GA466)</f>
        <v>76.032373385317882</v>
      </c>
      <c r="BB466" s="1998">
        <f>IF(Construction!$F$31=Construction!$R$22,Oeko!DO466,Oeko!GB466)</f>
        <v>4.6456296691185344</v>
      </c>
      <c r="BC466" s="1998">
        <f>IF(Construction!$F$31=Construction!$R$22,Oeko!DP466,Oeko!GC466)</f>
        <v>4.7321816039556799</v>
      </c>
      <c r="BD466" s="1998">
        <f>IF(Construction!$F$31=Construction!$R$22,Oeko!DQ466,Oeko!GD466)</f>
        <v>4.8187335387928236</v>
      </c>
      <c r="BE466" s="1998">
        <f>IF(Construction!$F$31=Construction!$R$22,Oeko!DR466,Oeko!GE466)</f>
        <v>4.9052854736299683</v>
      </c>
      <c r="BF466" s="1998">
        <f>IF(Construction!$F$31=Construction!$R$22,Oeko!DS466,Oeko!GF466)</f>
        <v>4.9918374084671129</v>
      </c>
      <c r="BG466" s="1979">
        <f>IF(Construction!$F$31=Construction!$R$22,Oeko!DT466,Oeko!GG466)</f>
        <v>5.0694139084791336</v>
      </c>
      <c r="BH466" s="1979">
        <f>IF(Construction!$F$31=Construction!$R$22,Oeko!DU466,Oeko!GH466)</f>
        <v>5.1556471241405655</v>
      </c>
      <c r="BI466" s="1979">
        <f>IF(Construction!$F$31=Construction!$R$22,Oeko!DV466,Oeko!GI466)</f>
        <v>5.2418803398019982</v>
      </c>
      <c r="BJ466" s="1979">
        <f>IF(Construction!$F$31=Construction!$R$22,Oeko!DW466,Oeko!GJ466)</f>
        <v>5.32811355546343</v>
      </c>
      <c r="BK466" s="2021">
        <f>IF(Construction!$F$31=Construction!$R$22,Oeko!DX466,Oeko!GK466)</f>
        <v>5.4143467711248627</v>
      </c>
      <c r="BN466" s="2022"/>
      <c r="BO466" s="2">
        <v>4</v>
      </c>
      <c r="BP466" s="2" t="s">
        <v>4330</v>
      </c>
      <c r="BQ466" s="1998">
        <v>23.119454064100566</v>
      </c>
      <c r="BR466" s="1998">
        <v>5.7950403013354927</v>
      </c>
      <c r="BS466" s="1998">
        <v>5.8563378148284437</v>
      </c>
      <c r="BT466" s="1998">
        <v>5.9416318392802365</v>
      </c>
      <c r="BU466" s="1998">
        <v>6.0269258637320293</v>
      </c>
      <c r="BV466" s="1979">
        <v>58.159990112942708</v>
      </c>
      <c r="BW466" s="1979">
        <v>10.262694268184966</v>
      </c>
      <c r="BX466" s="1979">
        <v>10.357551845096006</v>
      </c>
      <c r="BY466" s="1979">
        <v>10.50377017272765</v>
      </c>
      <c r="BZ466" s="1979">
        <v>10.649988500359296</v>
      </c>
      <c r="CA466" s="1998">
        <v>5.5964448021754336</v>
      </c>
      <c r="CB466" s="1998">
        <v>5.6799981322506596</v>
      </c>
      <c r="CC466" s="1998">
        <v>5.6892818355923511</v>
      </c>
      <c r="CD466" s="1998">
        <v>5.6985655389340426</v>
      </c>
      <c r="CE466" s="1998">
        <v>5.7155856617271441</v>
      </c>
      <c r="CF466" s="1979">
        <v>7.1055734147517597</v>
      </c>
      <c r="CG466" s="1979">
        <v>7.2152371604754926</v>
      </c>
      <c r="CH466" s="1979">
        <v>7.233514451429448</v>
      </c>
      <c r="CI466" s="1979">
        <v>7.2517917423834035</v>
      </c>
      <c r="CJ466" s="1979">
        <v>7.2853001091323222</v>
      </c>
      <c r="CK466" s="1998">
        <v>5.6105996167739676</v>
      </c>
      <c r="CL466" s="1998">
        <v>5.6983306133529537</v>
      </c>
      <c r="CM466" s="1998">
        <v>5.7129524461161179</v>
      </c>
      <c r="CN466" s="1998">
        <v>5.7275742788792821</v>
      </c>
      <c r="CO466" s="1998">
        <v>5.7543809722784172</v>
      </c>
      <c r="CP466" s="1979">
        <v>5.018619554007647</v>
      </c>
      <c r="CQ466" s="1979">
        <v>5.0917287178234698</v>
      </c>
      <c r="CR466" s="1979">
        <v>5.1063505505866331</v>
      </c>
      <c r="CS466" s="1979">
        <v>5.1209723833497973</v>
      </c>
      <c r="CT466" s="1979">
        <v>5.1477790767489333</v>
      </c>
      <c r="CU466" s="1998">
        <v>9.8779423149540975</v>
      </c>
      <c r="CV466" s="1998">
        <v>9.9754212000418594</v>
      </c>
      <c r="CW466" s="1998">
        <v>10.064776844705644</v>
      </c>
      <c r="CX466" s="1998">
        <v>10.162255729793406</v>
      </c>
      <c r="CY466" s="1998">
        <v>10.397829702088833</v>
      </c>
      <c r="CZ466" s="1979">
        <v>18.572297680959711</v>
      </c>
      <c r="DA466" s="1979">
        <v>5.9598521818174754</v>
      </c>
      <c r="DB466" s="1979">
        <v>6.0339441020761493</v>
      </c>
      <c r="DC466" s="1979">
        <v>6.131422987163913</v>
      </c>
      <c r="DD466" s="1979">
        <v>6.2289018722516767</v>
      </c>
      <c r="DE466" s="1998">
        <v>72.254839041252822</v>
      </c>
      <c r="DF466" s="1998">
        <v>72.843284448410159</v>
      </c>
      <c r="DG466" s="1998">
        <v>73.382692738304399</v>
      </c>
      <c r="DH466" s="1998">
        <v>73.971138145461737</v>
      </c>
      <c r="DI466" s="1998">
        <v>75.393214546091954</v>
      </c>
      <c r="DJ466" s="1979">
        <v>72.900218436686444</v>
      </c>
      <c r="DK466" s="1979">
        <v>73.487497489554826</v>
      </c>
      <c r="DL466" s="1979">
        <v>74.025836621350862</v>
      </c>
      <c r="DM466" s="1979">
        <v>74.613115674219245</v>
      </c>
      <c r="DN466" s="1979">
        <v>76.032373385317882</v>
      </c>
      <c r="DO466" s="1998">
        <v>4.6456296691185344</v>
      </c>
      <c r="DP466" s="1998">
        <v>4.7321816039556799</v>
      </c>
      <c r="DQ466" s="1998">
        <v>4.8187335387928236</v>
      </c>
      <c r="DR466" s="1998">
        <v>4.9052854736299683</v>
      </c>
      <c r="DS466" s="1998">
        <v>4.9918374084671129</v>
      </c>
      <c r="DT466" s="1979">
        <v>5.0694139084791336</v>
      </c>
      <c r="DU466" s="1979">
        <v>5.1556471241405655</v>
      </c>
      <c r="DV466" s="1979">
        <v>5.2418803398019982</v>
      </c>
      <c r="DW466" s="1979">
        <v>5.32811355546343</v>
      </c>
      <c r="DX466" s="2021">
        <v>5.4143467711248627</v>
      </c>
      <c r="EA466" s="2022"/>
      <c r="EB466" s="2">
        <v>4</v>
      </c>
      <c r="EC466" s="2" t="s">
        <v>4330</v>
      </c>
      <c r="ED466" s="1998">
        <v>23.174236239301244</v>
      </c>
      <c r="EE466" s="1998">
        <v>5.8498224765361746</v>
      </c>
      <c r="EF466" s="1998">
        <v>5.9111199900291256</v>
      </c>
      <c r="EG466" s="1998">
        <v>5.9964140144809184</v>
      </c>
      <c r="EH466" s="1998">
        <v>6.0817080389327103</v>
      </c>
      <c r="EI466" s="1979">
        <v>58.495792863531271</v>
      </c>
      <c r="EJ466" s="1979">
        <v>10.598497018773523</v>
      </c>
      <c r="EK466" s="1979">
        <v>10.693354595684566</v>
      </c>
      <c r="EL466" s="1979">
        <v>10.83957292331621</v>
      </c>
      <c r="EM466" s="1979">
        <v>10.985791250947855</v>
      </c>
      <c r="EN466" s="1998">
        <v>5.6606877678268797</v>
      </c>
      <c r="EO466" s="1998">
        <v>5.7442410979021057</v>
      </c>
      <c r="EP466" s="1998">
        <v>5.7535248012437972</v>
      </c>
      <c r="EQ466" s="1998">
        <v>5.7628085045854869</v>
      </c>
      <c r="ER466" s="1998">
        <v>5.7798286273785884</v>
      </c>
      <c r="ES466" s="1979">
        <v>7.2178022287642509</v>
      </c>
      <c r="ET466" s="1979">
        <v>7.3274659744879855</v>
      </c>
      <c r="EU466" s="1979">
        <v>7.3457432654419392</v>
      </c>
      <c r="EV466" s="1979">
        <v>7.3640205563958947</v>
      </c>
      <c r="EW466" s="1979">
        <v>7.3975289231448134</v>
      </c>
      <c r="EX466" s="1998">
        <v>5.6993222382452613</v>
      </c>
      <c r="EY466" s="1998">
        <v>5.7870532348242474</v>
      </c>
      <c r="EZ466" s="1998">
        <v>5.8016750675874116</v>
      </c>
      <c r="FA466" s="1998">
        <v>5.8162969003505749</v>
      </c>
      <c r="FB466" s="1998">
        <v>5.8431035937497109</v>
      </c>
      <c r="FC466" s="1979">
        <v>5.0751758067383514</v>
      </c>
      <c r="FD466" s="1979">
        <v>5.1482849705541733</v>
      </c>
      <c r="FE466" s="1979">
        <v>5.1629068033173384</v>
      </c>
      <c r="FF466" s="1979">
        <v>5.1775286360805026</v>
      </c>
      <c r="FG466" s="1979">
        <v>5.2043353294796377</v>
      </c>
      <c r="FH466" s="1998">
        <v>10.170149620729404</v>
      </c>
      <c r="FI466" s="1998">
        <v>10.267628505817168</v>
      </c>
      <c r="FJ466" s="1998">
        <v>10.356984150480951</v>
      </c>
      <c r="FK466" s="1998">
        <v>10.454463035568715</v>
      </c>
      <c r="FL466" s="1998">
        <v>10.69003700786414</v>
      </c>
      <c r="FM466" s="1979">
        <v>18.690123207482014</v>
      </c>
      <c r="FN466" s="1979">
        <v>6.0776777083397766</v>
      </c>
      <c r="FO466" s="1979">
        <v>6.1517696285984504</v>
      </c>
      <c r="FP466" s="1979">
        <v>6.2492485136862141</v>
      </c>
      <c r="FQ466" s="1979">
        <v>6.3467273987739778</v>
      </c>
      <c r="FR466" s="1998">
        <v>73.954776384387117</v>
      </c>
      <c r="FS466" s="1998">
        <v>74.543221791544454</v>
      </c>
      <c r="FT466" s="1998">
        <v>75.082630081438694</v>
      </c>
      <c r="FU466" s="1998">
        <v>75.671075488596031</v>
      </c>
      <c r="FV466" s="1998">
        <v>77.093151889226249</v>
      </c>
      <c r="FW466" s="1979">
        <v>74.538983372568552</v>
      </c>
      <c r="FX466" s="1979">
        <v>75.126262425436934</v>
      </c>
      <c r="FY466" s="1979">
        <v>75.664601557232956</v>
      </c>
      <c r="FZ466" s="1979">
        <v>76.251880610101352</v>
      </c>
      <c r="GA466" s="1979">
        <v>77.671138321199962</v>
      </c>
      <c r="GB466" s="1998">
        <v>4.7148938731006034</v>
      </c>
      <c r="GC466" s="1998">
        <v>4.801445807937748</v>
      </c>
      <c r="GD466" s="1998">
        <v>4.8879977427748935</v>
      </c>
      <c r="GE466" s="1998">
        <v>4.9745496776120381</v>
      </c>
      <c r="GF466" s="1998">
        <v>5.0611016124491819</v>
      </c>
      <c r="GG466" s="1979">
        <v>5.1384230536916773</v>
      </c>
      <c r="GH466" s="1979">
        <v>5.2246562693531109</v>
      </c>
      <c r="GI466" s="1979">
        <v>5.3108894850145427</v>
      </c>
      <c r="GJ466" s="1979">
        <v>5.3971227006759754</v>
      </c>
      <c r="GK466" s="2021">
        <v>5.4833559163374073</v>
      </c>
    </row>
    <row r="467" spans="1:193">
      <c r="A467" s="2020"/>
      <c r="B467" s="2">
        <v>5</v>
      </c>
      <c r="C467" s="2" t="s">
        <v>4331</v>
      </c>
      <c r="D467" s="1998">
        <f>IF(Construction!$F$31=Construction!$R$22,Oeko!BQ467,Oeko!ED467)</f>
        <v>26.849284710598784</v>
      </c>
      <c r="E467" s="1998">
        <f>IF(Construction!$F$31=Construction!$R$22,Oeko!BR467,Oeko!EE467)</f>
        <v>5.986312454496951</v>
      </c>
      <c r="F467" s="1998">
        <f>IF(Construction!$F$31=Construction!$R$22,Oeko!BS467,Oeko!EF467)</f>
        <v>6.0456219923360655</v>
      </c>
      <c r="G467" s="1998">
        <f>IF(Construction!$F$31=Construction!$R$22,Oeko!BT467,Oeko!EG467)</f>
        <v>6.1309160167878582</v>
      </c>
      <c r="H467" s="1998">
        <f>IF(Construction!$F$31=Construction!$R$22,Oeko!BU467,Oeko!EH467)</f>
        <v>6.216210041239651</v>
      </c>
      <c r="I467" s="1979">
        <f>IF(Construction!$F$31=Construction!$R$22,Oeko!BV467,Oeko!EI467)</f>
        <v>60.986823567375893</v>
      </c>
      <c r="J467" s="1979">
        <f>IF(Construction!$F$31=Construction!$R$22,Oeko!BW467,Oeko!EJ467)</f>
        <v>10.420443601929856</v>
      </c>
      <c r="K467" s="1979">
        <f>IF(Construction!$F$31=Construction!$R$22,Oeko!BX467,Oeko!EK467)</f>
        <v>10.51380167720486</v>
      </c>
      <c r="L467" s="1979">
        <f>IF(Construction!$F$31=Construction!$R$22,Oeko!BY467,Oeko!EL467)</f>
        <v>10.660020004836504</v>
      </c>
      <c r="M467" s="1979">
        <f>IF(Construction!$F$31=Construction!$R$22,Oeko!BZ467,Oeko!EM467)</f>
        <v>10.806238332468148</v>
      </c>
      <c r="N467" s="1998">
        <f>IF(Construction!$F$31=Construction!$R$22,Oeko!CA467,Oeko!EN467)</f>
        <v>5.7948572873930244</v>
      </c>
      <c r="O467" s="1998">
        <f>IF(Construction!$F$31=Construction!$R$22,Oeko!CB467,Oeko!EO467)</f>
        <v>5.8784106174682513</v>
      </c>
      <c r="P467" s="1998">
        <f>IF(Construction!$F$31=Construction!$R$22,Oeko!CC467,Oeko!EP467)</f>
        <v>5.8876943208099428</v>
      </c>
      <c r="Q467" s="1998">
        <f>IF(Construction!$F$31=Construction!$R$22,Oeko!CD467,Oeko!EQ467)</f>
        <v>5.8969780241516343</v>
      </c>
      <c r="R467" s="1998">
        <f>IF(Construction!$F$31=Construction!$R$22,Oeko!CE467,Oeko!ER467)</f>
        <v>5.9139981469447358</v>
      </c>
      <c r="S467" s="1979">
        <f>IF(Construction!$F$31=Construction!$R$22,Oeko!CF467,Oeko!ES467)</f>
        <v>7.272983949154102</v>
      </c>
      <c r="T467" s="1979">
        <f>IF(Construction!$F$31=Construction!$R$22,Oeko!CG467,Oeko!ET467)</f>
        <v>7.3826476948778348</v>
      </c>
      <c r="U467" s="1979">
        <f>IF(Construction!$F$31=Construction!$R$22,Oeko!CH467,Oeko!EU467)</f>
        <v>7.4009249858317903</v>
      </c>
      <c r="V467" s="1979">
        <f>IF(Construction!$F$31=Construction!$R$22,Oeko!CI467,Oeko!EV467)</f>
        <v>7.4192022767857466</v>
      </c>
      <c r="W467" s="1979">
        <f>IF(Construction!$F$31=Construction!$R$22,Oeko!CJ467,Oeko!EW467)</f>
        <v>7.4527106435346644</v>
      </c>
      <c r="X467" s="1998">
        <f>IF(Construction!$F$31=Construction!$R$22,Oeko!CK467,Oeko!EX467)</f>
        <v>5.7819961162811264</v>
      </c>
      <c r="Y467" s="1998">
        <f>IF(Construction!$F$31=Construction!$R$22,Oeko!CL467,Oeko!EY467)</f>
        <v>5.8697271128601143</v>
      </c>
      <c r="Z467" s="1998">
        <f>IF(Construction!$F$31=Construction!$R$22,Oeko!CM467,Oeko!EZ467)</f>
        <v>5.8843489456232794</v>
      </c>
      <c r="AA467" s="1998">
        <f>IF(Construction!$F$31=Construction!$R$22,Oeko!CN467,Oeko!FA467)</f>
        <v>5.8989707783864436</v>
      </c>
      <c r="AB467" s="1998">
        <f>IF(Construction!$F$31=Construction!$R$22,Oeko!CO467,Oeko!FB467)</f>
        <v>5.9257774717855778</v>
      </c>
      <c r="AC467" s="1979">
        <f>IF(Construction!$F$31=Construction!$R$22,Oeko!CP467,Oeko!FC467)</f>
        <v>5.0102769680749901</v>
      </c>
      <c r="AD467" s="1979">
        <f>IF(Construction!$F$31=Construction!$R$22,Oeko!CQ467,Oeko!FD467)</f>
        <v>5.083386131890812</v>
      </c>
      <c r="AE467" s="1979">
        <f>IF(Construction!$F$31=Construction!$R$22,Oeko!CR467,Oeko!FE467)</f>
        <v>5.1016634228447684</v>
      </c>
      <c r="AF467" s="1979">
        <f>IF(Construction!$F$31=Construction!$R$22,Oeko!CS467,Oeko!FF467)</f>
        <v>5.119940713798723</v>
      </c>
      <c r="AG467" s="1979">
        <f>IF(Construction!$F$31=Construction!$R$22,Oeko!CT467,Oeko!FG467)</f>
        <v>5.1534490805476416</v>
      </c>
      <c r="AH467" s="1998">
        <f>IF(Construction!$F$31=Construction!$R$22,Oeko!CU467,Oeko!FH467)</f>
        <v>10.05651355164993</v>
      </c>
      <c r="AI467" s="1998">
        <f>IF(Construction!$F$31=Construction!$R$22,Oeko!CV467,Oeko!FI467)</f>
        <v>10.153992436737694</v>
      </c>
      <c r="AJ467" s="1998">
        <f>IF(Construction!$F$31=Construction!$R$22,Oeko!CW467,Oeko!FJ467)</f>
        <v>10.243348081401475</v>
      </c>
      <c r="AK467" s="1998">
        <f>IF(Construction!$F$31=Construction!$R$22,Oeko!CX467,Oeko!FK467)</f>
        <v>10.340826966489239</v>
      </c>
      <c r="AL467" s="1998">
        <f>IF(Construction!$F$31=Construction!$R$22,Oeko!CY467,Oeko!FL467)</f>
        <v>10.576400938784666</v>
      </c>
      <c r="AM467" s="1979">
        <f>IF(Construction!$F$31=Construction!$R$22,Oeko!CZ467,Oeko!FM467)</f>
        <v>16.279927435225197</v>
      </c>
      <c r="AN467" s="1979">
        <f>IF(Construction!$F$31=Construction!$R$22,Oeko!DA467,Oeko!FN467)</f>
        <v>5.7010698375597642</v>
      </c>
      <c r="AO467" s="1979">
        <f>IF(Construction!$F$31=Construction!$R$22,Oeko!DB467,Oeko!FO467)</f>
        <v>5.7763042352554184</v>
      </c>
      <c r="AP467" s="1979">
        <f>IF(Construction!$F$31=Construction!$R$22,Oeko!DC467,Oeko!FP467)</f>
        <v>5.8737831203431812</v>
      </c>
      <c r="AQ467" s="1979">
        <f>IF(Construction!$F$31=Construction!$R$22,Oeko!DD467,Oeko!FQ467)</f>
        <v>5.971262005430944</v>
      </c>
      <c r="AR467" s="1998">
        <f>IF(Construction!$F$31=Construction!$R$22,Oeko!DE467,Oeko!FR467)</f>
        <v>74.235610995924205</v>
      </c>
      <c r="AS467" s="1998">
        <f>IF(Construction!$F$31=Construction!$R$22,Oeko!DF467,Oeko!FS467)</f>
        <v>74.824056403081556</v>
      </c>
      <c r="AT467" s="1998">
        <f>IF(Construction!$F$31=Construction!$R$22,Oeko!DG467,Oeko!FT467)</f>
        <v>75.363464692975782</v>
      </c>
      <c r="AU467" s="1998">
        <f>IF(Construction!$F$31=Construction!$R$22,Oeko!DH467,Oeko!FU467)</f>
        <v>75.951910100133105</v>
      </c>
      <c r="AV467" s="1998">
        <f>IF(Construction!$F$31=Construction!$R$22,Oeko!DI467,Oeko!FV467)</f>
        <v>77.373986500763351</v>
      </c>
      <c r="AW467" s="1979">
        <f>IF(Construction!$F$31=Construction!$R$22,Oeko!DJ467,Oeko!FW467)</f>
        <v>69.871830691800568</v>
      </c>
      <c r="AX467" s="1979">
        <f>IF(Construction!$F$31=Construction!$R$22,Oeko!DK467,Oeko!FX467)</f>
        <v>70.65486942895842</v>
      </c>
      <c r="AY467" s="1979">
        <f>IF(Construction!$F$31=Construction!$R$22,Oeko!DL467,Oeko!FY467)</f>
        <v>71.372654938019778</v>
      </c>
      <c r="AZ467" s="1979">
        <f>IF(Construction!$F$31=Construction!$R$22,Oeko!DM467,Oeko!FZ467)</f>
        <v>72.155693675177645</v>
      </c>
      <c r="BA467" s="1979">
        <f>IF(Construction!$F$31=Construction!$R$22,Oeko!DN467,Oeko!GA467)</f>
        <v>74.048037289975795</v>
      </c>
      <c r="BB467" s="1998">
        <f>IF(Construction!$F$31=Construction!$R$22,Oeko!DO467,Oeko!GB467)</f>
        <v>4.6364605339687799</v>
      </c>
      <c r="BC467" s="1998">
        <f>IF(Construction!$F$31=Construction!$R$22,Oeko!DP467,Oeko!GC467)</f>
        <v>4.7518631137516394</v>
      </c>
      <c r="BD467" s="1998">
        <f>IF(Construction!$F$31=Construction!$R$22,Oeko!DQ467,Oeko!GD467)</f>
        <v>4.8672656935344989</v>
      </c>
      <c r="BE467" s="1998">
        <f>IF(Construction!$F$31=Construction!$R$22,Oeko!DR467,Oeko!GE467)</f>
        <v>4.9826682733173593</v>
      </c>
      <c r="BF467" s="1998">
        <f>IF(Construction!$F$31=Construction!$R$22,Oeko!DS467,Oeko!GF467)</f>
        <v>5.0980708531002188</v>
      </c>
      <c r="BG467" s="1979">
        <f>IF(Construction!$F$31=Construction!$R$22,Oeko!DT467,Oeko!GG467)</f>
        <v>5.5968952875692288</v>
      </c>
      <c r="BH467" s="1979">
        <f>IF(Construction!$F$31=Construction!$R$22,Oeko!DU467,Oeko!GH467)</f>
        <v>5.6831285032306615</v>
      </c>
      <c r="BI467" s="1979">
        <f>IF(Construction!$F$31=Construction!$R$22,Oeko!DV467,Oeko!GI467)</f>
        <v>5.7693617188920934</v>
      </c>
      <c r="BJ467" s="1979">
        <f>IF(Construction!$F$31=Construction!$R$22,Oeko!DW467,Oeko!GJ467)</f>
        <v>5.8555949345535261</v>
      </c>
      <c r="BK467" s="2021">
        <f>IF(Construction!$F$31=Construction!$R$22,Oeko!DX467,Oeko!GK467)</f>
        <v>5.9418281502149579</v>
      </c>
      <c r="BN467" s="2022"/>
      <c r="BO467" s="2">
        <v>5</v>
      </c>
      <c r="BP467" s="2" t="s">
        <v>4331</v>
      </c>
      <c r="BQ467" s="1998">
        <v>26.849284710598784</v>
      </c>
      <c r="BR467" s="1998">
        <v>5.986312454496951</v>
      </c>
      <c r="BS467" s="1998">
        <v>6.0456219923360655</v>
      </c>
      <c r="BT467" s="1998">
        <v>6.1309160167878582</v>
      </c>
      <c r="BU467" s="1998">
        <v>6.216210041239651</v>
      </c>
      <c r="BV467" s="1979">
        <v>60.986823567375893</v>
      </c>
      <c r="BW467" s="1979">
        <v>10.420443601929856</v>
      </c>
      <c r="BX467" s="1979">
        <v>10.51380167720486</v>
      </c>
      <c r="BY467" s="1979">
        <v>10.660020004836504</v>
      </c>
      <c r="BZ467" s="1979">
        <v>10.806238332468148</v>
      </c>
      <c r="CA467" s="1998">
        <v>5.7948572873930244</v>
      </c>
      <c r="CB467" s="1998">
        <v>5.8784106174682513</v>
      </c>
      <c r="CC467" s="1998">
        <v>5.8876943208099428</v>
      </c>
      <c r="CD467" s="1998">
        <v>5.8969780241516343</v>
      </c>
      <c r="CE467" s="1998">
        <v>5.9139981469447358</v>
      </c>
      <c r="CF467" s="1979">
        <v>7.272983949154102</v>
      </c>
      <c r="CG467" s="1979">
        <v>7.3826476948778348</v>
      </c>
      <c r="CH467" s="1979">
        <v>7.4009249858317903</v>
      </c>
      <c r="CI467" s="1979">
        <v>7.4192022767857466</v>
      </c>
      <c r="CJ467" s="1979">
        <v>7.4527106435346644</v>
      </c>
      <c r="CK467" s="1998">
        <v>5.7819961162811264</v>
      </c>
      <c r="CL467" s="1998">
        <v>5.8697271128601143</v>
      </c>
      <c r="CM467" s="1998">
        <v>5.8843489456232794</v>
      </c>
      <c r="CN467" s="1998">
        <v>5.8989707783864436</v>
      </c>
      <c r="CO467" s="1998">
        <v>5.9257774717855778</v>
      </c>
      <c r="CP467" s="1979">
        <v>5.0102769680749901</v>
      </c>
      <c r="CQ467" s="1979">
        <v>5.083386131890812</v>
      </c>
      <c r="CR467" s="1979">
        <v>5.1016634228447684</v>
      </c>
      <c r="CS467" s="1979">
        <v>5.119940713798723</v>
      </c>
      <c r="CT467" s="1979">
        <v>5.1534490805476416</v>
      </c>
      <c r="CU467" s="1998">
        <v>10.05651355164993</v>
      </c>
      <c r="CV467" s="1998">
        <v>10.153992436737694</v>
      </c>
      <c r="CW467" s="1998">
        <v>10.243348081401475</v>
      </c>
      <c r="CX467" s="1998">
        <v>10.340826966489239</v>
      </c>
      <c r="CY467" s="1998">
        <v>10.576400938784666</v>
      </c>
      <c r="CZ467" s="1979">
        <v>16.279927435225197</v>
      </c>
      <c r="DA467" s="1979">
        <v>5.7010698375597642</v>
      </c>
      <c r="DB467" s="1979">
        <v>5.7763042352554184</v>
      </c>
      <c r="DC467" s="1979">
        <v>5.8737831203431812</v>
      </c>
      <c r="DD467" s="1979">
        <v>5.971262005430944</v>
      </c>
      <c r="DE467" s="1998">
        <v>74.235610995924205</v>
      </c>
      <c r="DF467" s="1998">
        <v>74.824056403081556</v>
      </c>
      <c r="DG467" s="1998">
        <v>75.363464692975782</v>
      </c>
      <c r="DH467" s="1998">
        <v>75.951910100133105</v>
      </c>
      <c r="DI467" s="1998">
        <v>77.373986500763351</v>
      </c>
      <c r="DJ467" s="1979">
        <v>69.871830691800568</v>
      </c>
      <c r="DK467" s="1979">
        <v>70.65486942895842</v>
      </c>
      <c r="DL467" s="1979">
        <v>71.372654938019778</v>
      </c>
      <c r="DM467" s="1979">
        <v>72.155693675177645</v>
      </c>
      <c r="DN467" s="1979">
        <v>74.048037289975795</v>
      </c>
      <c r="DO467" s="1998">
        <v>4.6364605339687799</v>
      </c>
      <c r="DP467" s="1998">
        <v>4.7518631137516394</v>
      </c>
      <c r="DQ467" s="1998">
        <v>4.8672656935344989</v>
      </c>
      <c r="DR467" s="1998">
        <v>4.9826682733173593</v>
      </c>
      <c r="DS467" s="1998">
        <v>5.0980708531002188</v>
      </c>
      <c r="DT467" s="1979">
        <v>5.5968952875692288</v>
      </c>
      <c r="DU467" s="1979">
        <v>5.6831285032306615</v>
      </c>
      <c r="DV467" s="1979">
        <v>5.7693617188920934</v>
      </c>
      <c r="DW467" s="1979">
        <v>5.8555949345535261</v>
      </c>
      <c r="DX467" s="2021">
        <v>5.9418281502149579</v>
      </c>
      <c r="EA467" s="2022"/>
      <c r="EB467" s="2">
        <v>5</v>
      </c>
      <c r="EC467" s="2" t="s">
        <v>4331</v>
      </c>
      <c r="ED467" s="1998">
        <v>26.907581567698575</v>
      </c>
      <c r="EE467" s="1998">
        <v>6.0446093115967354</v>
      </c>
      <c r="EF467" s="1998">
        <v>6.1039188494358489</v>
      </c>
      <c r="EG467" s="1998">
        <v>6.1892128738876426</v>
      </c>
      <c r="EH467" s="1998">
        <v>6.2745068983394354</v>
      </c>
      <c r="EI467" s="1979">
        <v>61.331463232453629</v>
      </c>
      <c r="EJ467" s="1979">
        <v>10.765083267007586</v>
      </c>
      <c r="EK467" s="1979">
        <v>10.858441342282591</v>
      </c>
      <c r="EL467" s="1979">
        <v>11.004659669914234</v>
      </c>
      <c r="EM467" s="1979">
        <v>11.150877997545878</v>
      </c>
      <c r="EN467" s="1998">
        <v>5.8633083075631234</v>
      </c>
      <c r="EO467" s="1998">
        <v>5.9468616376383503</v>
      </c>
      <c r="EP467" s="1998">
        <v>5.9561453409800418</v>
      </c>
      <c r="EQ467" s="1998">
        <v>5.9654290443217333</v>
      </c>
      <c r="ER467" s="1998">
        <v>5.9824491671148348</v>
      </c>
      <c r="ES467" s="1979">
        <v>7.3891893746867217</v>
      </c>
      <c r="ET467" s="1979">
        <v>7.4988531204104545</v>
      </c>
      <c r="EU467" s="1979">
        <v>7.5171304113644091</v>
      </c>
      <c r="EV467" s="1979">
        <v>7.5354077023183663</v>
      </c>
      <c r="EW467" s="1979">
        <v>7.5689160690672832</v>
      </c>
      <c r="EX467" s="1998">
        <v>5.8745059868192078</v>
      </c>
      <c r="EY467" s="1998">
        <v>5.9622369833981956</v>
      </c>
      <c r="EZ467" s="1998">
        <v>5.9768588161613607</v>
      </c>
      <c r="FA467" s="1998">
        <v>5.9914806489245249</v>
      </c>
      <c r="FB467" s="1998">
        <v>6.0182873423236591</v>
      </c>
      <c r="FC467" s="1979">
        <v>5.0809722839883706</v>
      </c>
      <c r="FD467" s="1979">
        <v>5.1540814478041934</v>
      </c>
      <c r="FE467" s="1979">
        <v>5.1723587387581489</v>
      </c>
      <c r="FF467" s="1979">
        <v>5.1906360297121044</v>
      </c>
      <c r="FG467" s="1979">
        <v>5.224144396461023</v>
      </c>
      <c r="FH467" s="1998">
        <v>10.354023006118741</v>
      </c>
      <c r="FI467" s="1998">
        <v>10.451501891206503</v>
      </c>
      <c r="FJ467" s="1998">
        <v>10.540857535870286</v>
      </c>
      <c r="FK467" s="1998">
        <v>10.638336420958048</v>
      </c>
      <c r="FL467" s="1998">
        <v>10.873910393253476</v>
      </c>
      <c r="FM467" s="1979">
        <v>16.44488317235642</v>
      </c>
      <c r="FN467" s="1979">
        <v>5.8660255746909851</v>
      </c>
      <c r="FO467" s="1979">
        <v>5.9412599723866411</v>
      </c>
      <c r="FP467" s="1979">
        <v>6.038738857474403</v>
      </c>
      <c r="FQ467" s="1979">
        <v>6.1362177425621658</v>
      </c>
      <c r="FR467" s="1998">
        <v>75.999562715996618</v>
      </c>
      <c r="FS467" s="1998">
        <v>76.588008123153955</v>
      </c>
      <c r="FT467" s="1998">
        <v>77.127416413048181</v>
      </c>
      <c r="FU467" s="1998">
        <v>77.715861820205504</v>
      </c>
      <c r="FV467" s="1998">
        <v>79.137938220835764</v>
      </c>
      <c r="FW467" s="1979">
        <v>72.056850606310036</v>
      </c>
      <c r="FX467" s="1979">
        <v>72.839889343467888</v>
      </c>
      <c r="FY467" s="1979">
        <v>73.557674852529246</v>
      </c>
      <c r="FZ467" s="1979">
        <v>74.340713589687113</v>
      </c>
      <c r="GA467" s="1979">
        <v>76.233057204485263</v>
      </c>
      <c r="GB467" s="1998">
        <v>4.7288128059448731</v>
      </c>
      <c r="GC467" s="1998">
        <v>4.8442153857277317</v>
      </c>
      <c r="GD467" s="1998">
        <v>4.9596179655105912</v>
      </c>
      <c r="GE467" s="1998">
        <v>5.0750205452934507</v>
      </c>
      <c r="GF467" s="1998">
        <v>5.1904231250763102</v>
      </c>
      <c r="GG467" s="1979">
        <v>5.6659044327817742</v>
      </c>
      <c r="GH467" s="1979">
        <v>5.7521376484432052</v>
      </c>
      <c r="GI467" s="1979">
        <v>5.8383708641046388</v>
      </c>
      <c r="GJ467" s="1979">
        <v>5.9246040797660706</v>
      </c>
      <c r="GK467" s="2021">
        <v>6.0108372954275033</v>
      </c>
    </row>
    <row r="468" spans="1:193">
      <c r="A468" s="2020"/>
      <c r="B468" s="2">
        <v>6</v>
      </c>
      <c r="C468" s="2" t="s">
        <v>4332</v>
      </c>
      <c r="D468" s="1998">
        <f>IF(Construction!$F$31=Construction!$R$22,Oeko!BQ468,Oeko!ED468)</f>
        <v>25.453383580765781</v>
      </c>
      <c r="E468" s="1998">
        <f>IF(Construction!$F$31=Construction!$R$22,Oeko!BR468,Oeko!EE468)</f>
        <v>5.787455112124154</v>
      </c>
      <c r="F468" s="1998">
        <f>IF(Construction!$F$31=Construction!$R$22,Oeko!BS468,Oeko!EF468)</f>
        <v>5.8474371537273093</v>
      </c>
      <c r="G468" s="1998">
        <f>IF(Construction!$F$31=Construction!$R$22,Oeko!BT468,Oeko!EG468)</f>
        <v>5.9327311781791012</v>
      </c>
      <c r="H468" s="1998">
        <f>IF(Construction!$F$31=Construction!$R$22,Oeko!BU468,Oeko!EH468)</f>
        <v>6.0180252026308949</v>
      </c>
      <c r="I468" s="1979">
        <f>IF(Construction!$F$31=Construction!$R$22,Oeko!BV468,Oeko!EI468)</f>
        <v>52.660014354687711</v>
      </c>
      <c r="J468" s="1979">
        <f>IF(Construction!$F$31=Construction!$R$22,Oeko!BW468,Oeko!EJ468)</f>
        <v>9.6695196206902789</v>
      </c>
      <c r="K468" s="1979">
        <f>IF(Construction!$F$31=Construction!$R$22,Oeko!BX468,Oeko!EK468)</f>
        <v>9.7671338571746418</v>
      </c>
      <c r="L468" s="1979">
        <f>IF(Construction!$F$31=Construction!$R$22,Oeko!BY468,Oeko!EL468)</f>
        <v>9.9133521848062855</v>
      </c>
      <c r="M468" s="1979">
        <f>IF(Construction!$F$31=Construction!$R$22,Oeko!BZ468,Oeko!EM468)</f>
        <v>10.059570512437931</v>
      </c>
      <c r="N468" s="1998">
        <f>IF(Construction!$F$31=Construction!$R$22,Oeko!CA468,Oeko!EN468)</f>
        <v>5.7932655925083241</v>
      </c>
      <c r="O468" s="1998">
        <f>IF(Construction!$F$31=Construction!$R$22,Oeko!CB468,Oeko!EO468)</f>
        <v>5.8768189225835501</v>
      </c>
      <c r="P468" s="1998">
        <f>IF(Construction!$F$31=Construction!$R$22,Oeko!CC468,Oeko!EP468)</f>
        <v>5.8872630888429525</v>
      </c>
      <c r="Q468" s="1998">
        <f>IF(Construction!$F$31=Construction!$R$22,Oeko!CD468,Oeko!EQ468)</f>
        <v>5.8977072551023557</v>
      </c>
      <c r="R468" s="1998">
        <f>IF(Construction!$F$31=Construction!$R$22,Oeko!CE468,Oeko!ER468)</f>
        <v>5.9168548932445955</v>
      </c>
      <c r="S468" s="1979">
        <f>IF(Construction!$F$31=Construction!$R$22,Oeko!CF468,Oeko!ES468)</f>
        <v>7.3048004278358079</v>
      </c>
      <c r="T468" s="1979">
        <f>IF(Construction!$F$31=Construction!$R$22,Oeko!CG468,Oeko!ET468)</f>
        <v>7.4144641735595425</v>
      </c>
      <c r="U468" s="1979">
        <f>IF(Construction!$F$31=Construction!$R$22,Oeko!CH468,Oeko!EU468)</f>
        <v>7.4363969227042892</v>
      </c>
      <c r="V468" s="1979">
        <f>IF(Construction!$F$31=Construction!$R$22,Oeko!CI468,Oeko!EV468)</f>
        <v>7.4583296718490342</v>
      </c>
      <c r="W468" s="1979">
        <f>IF(Construction!$F$31=Construction!$R$22,Oeko!CJ468,Oeko!EW468)</f>
        <v>7.4985397119477382</v>
      </c>
      <c r="X468" s="1998">
        <f>IF(Construction!$F$31=Construction!$R$22,Oeko!CK468,Oeko!EX468)</f>
        <v>5.6697453655573353</v>
      </c>
      <c r="Y468" s="1998">
        <f>IF(Construction!$F$31=Construction!$R$22,Oeko!CL468,Oeko!EY468)</f>
        <v>5.7574763621363214</v>
      </c>
      <c r="Z468" s="1998">
        <f>IF(Construction!$F$31=Construction!$R$22,Oeko!CM468,Oeko!EZ468)</f>
        <v>5.7750225614521185</v>
      </c>
      <c r="AA468" s="1998">
        <f>IF(Construction!$F$31=Construction!$R$22,Oeko!CN468,Oeko!FA468)</f>
        <v>5.7925687607679173</v>
      </c>
      <c r="AB468" s="1998">
        <f>IF(Construction!$F$31=Construction!$R$22,Oeko!CO468,Oeko!FB468)</f>
        <v>5.8247367928468785</v>
      </c>
      <c r="AC468" s="1979">
        <f>IF(Construction!$F$31=Construction!$R$22,Oeko!CP468,Oeko!FC468)</f>
        <v>5.0858866285002282</v>
      </c>
      <c r="AD468" s="1979">
        <f>IF(Construction!$F$31=Construction!$R$22,Oeko!CQ468,Oeko!FD468)</f>
        <v>5.1589957923160501</v>
      </c>
      <c r="AE468" s="1979">
        <f>IF(Construction!$F$31=Construction!$R$22,Oeko!CR468,Oeko!FE468)</f>
        <v>5.1833655135879919</v>
      </c>
      <c r="AF468" s="1979">
        <f>IF(Construction!$F$31=Construction!$R$22,Oeko!CS468,Oeko!FF468)</f>
        <v>5.2077352348599319</v>
      </c>
      <c r="AG468" s="1979">
        <f>IF(Construction!$F$31=Construction!$R$22,Oeko!CT468,Oeko!FG468)</f>
        <v>5.2524130571918226</v>
      </c>
      <c r="AH468" s="1998">
        <f>IF(Construction!$F$31=Construction!$R$22,Oeko!CU468,Oeko!FH468)</f>
        <v>10.29460853391104</v>
      </c>
      <c r="AI468" s="1998">
        <f>IF(Construction!$F$31=Construction!$R$22,Oeko!CV468,Oeko!FI468)</f>
        <v>10.392087418998802</v>
      </c>
      <c r="AJ468" s="1998">
        <f>IF(Construction!$F$31=Construction!$R$22,Oeko!CW468,Oeko!FJ468)</f>
        <v>10.481443063662585</v>
      </c>
      <c r="AK468" s="1998">
        <f>IF(Construction!$F$31=Construction!$R$22,Oeko!CX468,Oeko!FK468)</f>
        <v>10.578921948750347</v>
      </c>
      <c r="AL468" s="1998">
        <f>IF(Construction!$F$31=Construction!$R$22,Oeko!CY468,Oeko!FL468)</f>
        <v>10.814495921045774</v>
      </c>
      <c r="AM468" s="1979">
        <f>IF(Construction!$F$31=Construction!$R$22,Oeko!CZ468,Oeko!FM468)</f>
        <v>14.274103470207503</v>
      </c>
      <c r="AN468" s="1979">
        <f>IF(Construction!$F$31=Construction!$R$22,Oeko!DA468,Oeko!FN468)</f>
        <v>5.4746352863342649</v>
      </c>
      <c r="AO468" s="1979">
        <f>IF(Construction!$F$31=Construction!$R$22,Oeko!DB468,Oeko!FO468)</f>
        <v>5.550869351787278</v>
      </c>
      <c r="AP468" s="1979">
        <f>IF(Construction!$F$31=Construction!$R$22,Oeko!DC468,Oeko!FP468)</f>
        <v>5.6483482368750417</v>
      </c>
      <c r="AQ468" s="1979">
        <f>IF(Construction!$F$31=Construction!$R$22,Oeko!DD468,Oeko!FQ468)</f>
        <v>5.7458271219628045</v>
      </c>
      <c r="AR468" s="1998">
        <f>IF(Construction!$F$31=Construction!$R$22,Oeko!DE468,Oeko!FR468)</f>
        <v>70.997592010354751</v>
      </c>
      <c r="AS468" s="1998">
        <f>IF(Construction!$F$31=Construction!$R$22,Oeko!DF468,Oeko!FS468)</f>
        <v>71.782185886564534</v>
      </c>
      <c r="AT468" s="1998">
        <f>IF(Construction!$F$31=Construction!$R$22,Oeko!DG468,Oeko!FT468)</f>
        <v>72.50139693975683</v>
      </c>
      <c r="AU468" s="1998">
        <f>IF(Construction!$F$31=Construction!$R$22,Oeko!DH468,Oeko!FU468)</f>
        <v>73.285990815966628</v>
      </c>
      <c r="AV468" s="1998">
        <f>IF(Construction!$F$31=Construction!$R$22,Oeko!DI468,Oeko!FV468)</f>
        <v>75.182092683473613</v>
      </c>
      <c r="AW468" s="1979">
        <f>IF(Construction!$F$31=Construction!$R$22,Oeko!DJ468,Oeko!FW468)</f>
        <v>72.233833935643489</v>
      </c>
      <c r="AX468" s="1979">
        <f>IF(Construction!$F$31=Construction!$R$22,Oeko!DK468,Oeko!FX468)</f>
        <v>73.016872672801355</v>
      </c>
      <c r="AY468" s="1979">
        <f>IF(Construction!$F$31=Construction!$R$22,Oeko!DL468,Oeko!FY468)</f>
        <v>73.734658181862727</v>
      </c>
      <c r="AZ468" s="1979">
        <f>IF(Construction!$F$31=Construction!$R$22,Oeko!DM468,Oeko!FZ468)</f>
        <v>74.517696919020594</v>
      </c>
      <c r="BA468" s="1979">
        <f>IF(Construction!$F$31=Construction!$R$22,Oeko!DN468,Oeko!GA468)</f>
        <v>76.41004053381873</v>
      </c>
      <c r="BB468" s="1998">
        <f>IF(Construction!$F$31=Construction!$R$22,Oeko!DO468,Oeko!GB468)</f>
        <v>4.7958134917360207</v>
      </c>
      <c r="BC468" s="1998">
        <f>IF(Construction!$F$31=Construction!$R$22,Oeko!DP468,Oeko!GC468)</f>
        <v>4.9112160715188802</v>
      </c>
      <c r="BD468" s="1998">
        <f>IF(Construction!$F$31=Construction!$R$22,Oeko!DQ468,Oeko!GD468)</f>
        <v>5.0266186513017397</v>
      </c>
      <c r="BE468" s="1998">
        <f>IF(Construction!$F$31=Construction!$R$22,Oeko!DR468,Oeko!GE468)</f>
        <v>5.1420212310845992</v>
      </c>
      <c r="BF468" s="1998">
        <f>IF(Construction!$F$31=Construction!$R$22,Oeko!DS468,Oeko!GF468)</f>
        <v>5.2574238108674587</v>
      </c>
      <c r="BG468" s="1979">
        <f>IF(Construction!$F$31=Construction!$R$22,Oeko!DT468,Oeko!GG468)</f>
        <v>5.9114741409081031</v>
      </c>
      <c r="BH468" s="1979">
        <f>IF(Construction!$F$31=Construction!$R$22,Oeko!DU468,Oeko!GH468)</f>
        <v>5.9977073565695367</v>
      </c>
      <c r="BI468" s="1979">
        <f>IF(Construction!$F$31=Construction!$R$22,Oeko!DV468,Oeko!GI468)</f>
        <v>6.0839405722309685</v>
      </c>
      <c r="BJ468" s="1979">
        <f>IF(Construction!$F$31=Construction!$R$22,Oeko!DW468,Oeko!GJ468)</f>
        <v>6.1701737878924012</v>
      </c>
      <c r="BK468" s="2021">
        <f>IF(Construction!$F$31=Construction!$R$22,Oeko!DX468,Oeko!GK468)</f>
        <v>6.2564070035538331</v>
      </c>
      <c r="BN468" s="2022"/>
      <c r="BO468" s="2">
        <v>6</v>
      </c>
      <c r="BP468" s="2" t="s">
        <v>4332</v>
      </c>
      <c r="BQ468" s="1998">
        <v>25.453383580765781</v>
      </c>
      <c r="BR468" s="1998">
        <v>5.787455112124154</v>
      </c>
      <c r="BS468" s="1998">
        <v>5.8474371537273093</v>
      </c>
      <c r="BT468" s="1998">
        <v>5.9327311781791012</v>
      </c>
      <c r="BU468" s="1998">
        <v>6.0180252026308949</v>
      </c>
      <c r="BV468" s="1979">
        <v>52.660014354687711</v>
      </c>
      <c r="BW468" s="1979">
        <v>9.6695196206902789</v>
      </c>
      <c r="BX468" s="1979">
        <v>9.7671338571746418</v>
      </c>
      <c r="BY468" s="1979">
        <v>9.9133521848062855</v>
      </c>
      <c r="BZ468" s="1979">
        <v>10.059570512437931</v>
      </c>
      <c r="CA468" s="1998">
        <v>5.7932655925083241</v>
      </c>
      <c r="CB468" s="1998">
        <v>5.8768189225835501</v>
      </c>
      <c r="CC468" s="1998">
        <v>5.8872630888429525</v>
      </c>
      <c r="CD468" s="1998">
        <v>5.8977072551023557</v>
      </c>
      <c r="CE468" s="1998">
        <v>5.9168548932445955</v>
      </c>
      <c r="CF468" s="1979">
        <v>7.3048004278358079</v>
      </c>
      <c r="CG468" s="1979">
        <v>7.4144641735595425</v>
      </c>
      <c r="CH468" s="1979">
        <v>7.4363969227042892</v>
      </c>
      <c r="CI468" s="1979">
        <v>7.4583296718490342</v>
      </c>
      <c r="CJ468" s="1979">
        <v>7.4985397119477382</v>
      </c>
      <c r="CK468" s="1998">
        <v>5.6697453655573353</v>
      </c>
      <c r="CL468" s="1998">
        <v>5.7574763621363214</v>
      </c>
      <c r="CM468" s="1998">
        <v>5.7750225614521185</v>
      </c>
      <c r="CN468" s="1998">
        <v>5.7925687607679173</v>
      </c>
      <c r="CO468" s="1998">
        <v>5.8247367928468785</v>
      </c>
      <c r="CP468" s="1979">
        <v>5.0858866285002282</v>
      </c>
      <c r="CQ468" s="1979">
        <v>5.1589957923160501</v>
      </c>
      <c r="CR468" s="1979">
        <v>5.1833655135879919</v>
      </c>
      <c r="CS468" s="1979">
        <v>5.2077352348599319</v>
      </c>
      <c r="CT468" s="1979">
        <v>5.2524130571918226</v>
      </c>
      <c r="CU468" s="1998">
        <v>10.29460853391104</v>
      </c>
      <c r="CV468" s="1998">
        <v>10.392087418998802</v>
      </c>
      <c r="CW468" s="1998">
        <v>10.481443063662585</v>
      </c>
      <c r="CX468" s="1998">
        <v>10.578921948750347</v>
      </c>
      <c r="CY468" s="1998">
        <v>10.814495921045774</v>
      </c>
      <c r="CZ468" s="1979">
        <v>14.274103470207503</v>
      </c>
      <c r="DA468" s="1979">
        <v>5.4746352863342649</v>
      </c>
      <c r="DB468" s="1979">
        <v>5.550869351787278</v>
      </c>
      <c r="DC468" s="1979">
        <v>5.6483482368750417</v>
      </c>
      <c r="DD468" s="1979">
        <v>5.7458271219628045</v>
      </c>
      <c r="DE468" s="1998">
        <v>70.997592010354751</v>
      </c>
      <c r="DF468" s="1998">
        <v>71.782185886564534</v>
      </c>
      <c r="DG468" s="1998">
        <v>72.50139693975683</v>
      </c>
      <c r="DH468" s="1998">
        <v>73.285990815966628</v>
      </c>
      <c r="DI468" s="1998">
        <v>75.182092683473613</v>
      </c>
      <c r="DJ468" s="1979">
        <v>72.233833935643489</v>
      </c>
      <c r="DK468" s="1979">
        <v>73.016872672801355</v>
      </c>
      <c r="DL468" s="1979">
        <v>73.734658181862727</v>
      </c>
      <c r="DM468" s="1979">
        <v>74.517696919020594</v>
      </c>
      <c r="DN468" s="1979">
        <v>76.41004053381873</v>
      </c>
      <c r="DO468" s="1998">
        <v>4.7958134917360207</v>
      </c>
      <c r="DP468" s="1998">
        <v>4.9112160715188802</v>
      </c>
      <c r="DQ468" s="1998">
        <v>5.0266186513017397</v>
      </c>
      <c r="DR468" s="1998">
        <v>5.1420212310845992</v>
      </c>
      <c r="DS468" s="1998">
        <v>5.2574238108674587</v>
      </c>
      <c r="DT468" s="1979">
        <v>5.9114741409081031</v>
      </c>
      <c r="DU468" s="1979">
        <v>5.9977073565695367</v>
      </c>
      <c r="DV468" s="1979">
        <v>6.0839405722309685</v>
      </c>
      <c r="DW468" s="1979">
        <v>6.1701737878924012</v>
      </c>
      <c r="DX468" s="2021">
        <v>6.2564070035538331</v>
      </c>
      <c r="EA468" s="2022"/>
      <c r="EB468" s="2">
        <v>6</v>
      </c>
      <c r="EC468" s="2" t="s">
        <v>4332</v>
      </c>
      <c r="ED468" s="1998">
        <v>25.544992927636869</v>
      </c>
      <c r="EE468" s="1998">
        <v>5.8790644589952432</v>
      </c>
      <c r="EF468" s="1998">
        <v>5.9390465005983986</v>
      </c>
      <c r="EG468" s="1998">
        <v>6.0243405250501905</v>
      </c>
      <c r="EH468" s="1998">
        <v>6.1096345495019841</v>
      </c>
      <c r="EI468" s="1979">
        <v>53.109893637772871</v>
      </c>
      <c r="EJ468" s="1979">
        <v>10.119398903775432</v>
      </c>
      <c r="EK468" s="1979">
        <v>10.217013140259791</v>
      </c>
      <c r="EL468" s="1979">
        <v>10.363231467891435</v>
      </c>
      <c r="EM468" s="1979">
        <v>10.509449795523082</v>
      </c>
      <c r="EN468" s="1998">
        <v>5.8713550613616245</v>
      </c>
      <c r="EO468" s="1998">
        <v>5.9549083914368506</v>
      </c>
      <c r="EP468" s="1998">
        <v>5.9653525576962538</v>
      </c>
      <c r="EQ468" s="1998">
        <v>5.9757967239556571</v>
      </c>
      <c r="ER468" s="1998">
        <v>5.9949443620978959</v>
      </c>
      <c r="ES468" s="1979">
        <v>7.4492839797337806</v>
      </c>
      <c r="ET468" s="1979">
        <v>7.5589477254575135</v>
      </c>
      <c r="EU468" s="1979">
        <v>7.5808804746022611</v>
      </c>
      <c r="EV468" s="1979">
        <v>7.602813223747007</v>
      </c>
      <c r="EW468" s="1979">
        <v>7.6430232638457101</v>
      </c>
      <c r="EX468" s="1998">
        <v>5.7807572102030331</v>
      </c>
      <c r="EY468" s="1998">
        <v>5.8684882067820201</v>
      </c>
      <c r="EZ468" s="1998">
        <v>5.8860344060978171</v>
      </c>
      <c r="FA468" s="1998">
        <v>5.9035806054136142</v>
      </c>
      <c r="FB468" s="1998">
        <v>5.9357486374925763</v>
      </c>
      <c r="FC468" s="1979">
        <v>5.1801470497180695</v>
      </c>
      <c r="FD468" s="1979">
        <v>5.2532562135338914</v>
      </c>
      <c r="FE468" s="1979">
        <v>5.2776259348058323</v>
      </c>
      <c r="FF468" s="1979">
        <v>5.3019956560777723</v>
      </c>
      <c r="FG468" s="1979">
        <v>5.3466734784096639</v>
      </c>
      <c r="FH468" s="1998">
        <v>10.599187519971188</v>
      </c>
      <c r="FI468" s="1998">
        <v>10.696666405058952</v>
      </c>
      <c r="FJ468" s="1998">
        <v>10.786022049722733</v>
      </c>
      <c r="FK468" s="1998">
        <v>10.883500934810497</v>
      </c>
      <c r="FL468" s="1998">
        <v>11.119074907105924</v>
      </c>
      <c r="FM468" s="1979">
        <v>14.48029814162153</v>
      </c>
      <c r="FN468" s="1979">
        <v>5.6808299577482924</v>
      </c>
      <c r="FO468" s="1979">
        <v>5.7570640232013064</v>
      </c>
      <c r="FP468" s="1979">
        <v>5.8545429082890683</v>
      </c>
      <c r="FQ468" s="1979">
        <v>5.9520217933768311</v>
      </c>
      <c r="FR468" s="1998">
        <v>73.349527637117959</v>
      </c>
      <c r="FS468" s="1998">
        <v>74.134121513327742</v>
      </c>
      <c r="FT468" s="1998">
        <v>74.853332566520038</v>
      </c>
      <c r="FU468" s="1998">
        <v>75.637926442729821</v>
      </c>
      <c r="FV468" s="1998">
        <v>77.53402831023682</v>
      </c>
      <c r="FW468" s="1979">
        <v>74.418853850152956</v>
      </c>
      <c r="FX468" s="1979">
        <v>75.201892587310823</v>
      </c>
      <c r="FY468" s="1979">
        <v>75.919678096372209</v>
      </c>
      <c r="FZ468" s="1979">
        <v>76.702716833530062</v>
      </c>
      <c r="GA468" s="1979">
        <v>78.595060448328212</v>
      </c>
      <c r="GB468" s="1998">
        <v>4.888165763712113</v>
      </c>
      <c r="GC468" s="1998">
        <v>5.0035683434949716</v>
      </c>
      <c r="GD468" s="1998">
        <v>5.1189709232778311</v>
      </c>
      <c r="GE468" s="1998">
        <v>5.2343735030606906</v>
      </c>
      <c r="GF468" s="1998">
        <v>5.3497760828435501</v>
      </c>
      <c r="GG468" s="1979">
        <v>5.9804832861206485</v>
      </c>
      <c r="GH468" s="1979">
        <v>6.0667165017820803</v>
      </c>
      <c r="GI468" s="1979">
        <v>6.152949717443513</v>
      </c>
      <c r="GJ468" s="1979">
        <v>6.2391829331049458</v>
      </c>
      <c r="GK468" s="2021">
        <v>6.3254161487663785</v>
      </c>
    </row>
    <row r="469" spans="1:193">
      <c r="A469" s="2020"/>
      <c r="B469" s="2">
        <v>7</v>
      </c>
      <c r="C469" s="2" t="s">
        <v>4333</v>
      </c>
      <c r="D469" s="1998">
        <f>IF(Construction!$F$31=Construction!$R$22,Oeko!BQ469,Oeko!ED469)</f>
        <v>26.025466211004211</v>
      </c>
      <c r="E469" s="1998">
        <f>IF(Construction!$F$31=Construction!$R$22,Oeko!BR469,Oeko!EE469)</f>
        <v>5.8025114910885058</v>
      </c>
      <c r="F469" s="1998">
        <f>IF(Construction!$F$31=Construction!$R$22,Oeko!BS469,Oeko!EF469)</f>
        <v>5.862180593219791</v>
      </c>
      <c r="G469" s="1998">
        <f>IF(Construction!$F$31=Construction!$R$22,Oeko!BT469,Oeko!EG469)</f>
        <v>5.9474746176715847</v>
      </c>
      <c r="H469" s="1998">
        <f>IF(Construction!$F$31=Construction!$R$22,Oeko!BU469,Oeko!EH469)</f>
        <v>6.0327686421233775</v>
      </c>
      <c r="I469" s="1979">
        <f>IF(Construction!$F$31=Construction!$R$22,Oeko!BV469,Oeko!EI469)</f>
        <v>57.856819291120452</v>
      </c>
      <c r="J469" s="1979">
        <f>IF(Construction!$F$31=Construction!$R$22,Oeko!BW469,Oeko!EJ469)</f>
        <v>9.959523446362704</v>
      </c>
      <c r="K469" s="1979">
        <f>IF(Construction!$F$31=Construction!$R$22,Oeko!BX469,Oeko!EK469)</f>
        <v>10.054381023273745</v>
      </c>
      <c r="L469" s="1979">
        <f>IF(Construction!$F$31=Construction!$R$22,Oeko!BY469,Oeko!EL469)</f>
        <v>10.200599350905387</v>
      </c>
      <c r="M469" s="1979">
        <f>IF(Construction!$F$31=Construction!$R$22,Oeko!BZ469,Oeko!EM469)</f>
        <v>10.346817678537034</v>
      </c>
      <c r="N469" s="1998">
        <f>IF(Construction!$F$31=Construction!$R$22,Oeko!CA469,Oeko!EN469)</f>
        <v>5.8012455961896361</v>
      </c>
      <c r="O469" s="1998">
        <f>IF(Construction!$F$31=Construction!$R$22,Oeko!CB469,Oeko!EO469)</f>
        <v>5.8847989262648621</v>
      </c>
      <c r="P469" s="1998">
        <f>IF(Construction!$F$31=Construction!$R$22,Oeko!CC469,Oeko!EP469)</f>
        <v>5.8987244812773998</v>
      </c>
      <c r="Q469" s="1998">
        <f>IF(Construction!$F$31=Construction!$R$22,Oeko!CD469,Oeko!EQ469)</f>
        <v>5.9126500362899366</v>
      </c>
      <c r="R469" s="1998">
        <f>IF(Construction!$F$31=Construction!$R$22,Oeko!CE469,Oeko!ER469)</f>
        <v>5.9381802204795893</v>
      </c>
      <c r="S469" s="1979">
        <f>IF(Construction!$F$31=Construction!$R$22,Oeko!CF469,Oeko!ES469)</f>
        <v>7.1920900503894556</v>
      </c>
      <c r="T469" s="1979">
        <f>IF(Construction!$F$31=Construction!$R$22,Oeko!CG469,Oeko!ET469)</f>
        <v>7.3017537961131875</v>
      </c>
      <c r="U469" s="1979">
        <f>IF(Construction!$F$31=Construction!$R$22,Oeko!CH469,Oeko!EU469)</f>
        <v>7.3291697325441216</v>
      </c>
      <c r="V469" s="1979">
        <f>IF(Construction!$F$31=Construction!$R$22,Oeko!CI469,Oeko!EV469)</f>
        <v>7.3565856689750548</v>
      </c>
      <c r="W469" s="1979">
        <f>IF(Construction!$F$31=Construction!$R$22,Oeko!CJ469,Oeko!EW469)</f>
        <v>7.4068482190984319</v>
      </c>
      <c r="X469" s="1998">
        <f>IF(Construction!$F$31=Construction!$R$22,Oeko!CK469,Oeko!EX469)</f>
        <v>5.6926477329216363</v>
      </c>
      <c r="Y469" s="1998">
        <f>IF(Construction!$F$31=Construction!$R$22,Oeko!CL469,Oeko!EY469)</f>
        <v>5.7803787295006233</v>
      </c>
      <c r="Z469" s="1998">
        <f>IF(Construction!$F$31=Construction!$R$22,Oeko!CM469,Oeko!EZ469)</f>
        <v>5.8023114786453691</v>
      </c>
      <c r="AA469" s="1998">
        <f>IF(Construction!$F$31=Construction!$R$22,Oeko!CN469,Oeko!FA469)</f>
        <v>5.8242442277901167</v>
      </c>
      <c r="AB469" s="1998">
        <f>IF(Construction!$F$31=Construction!$R$22,Oeko!CO469,Oeko!FB469)</f>
        <v>5.864454267888819</v>
      </c>
      <c r="AC469" s="1979">
        <f>IF(Construction!$F$31=Construction!$R$22,Oeko!CP469,Oeko!FC469)</f>
        <v>5.3156657933661879</v>
      </c>
      <c r="AD469" s="1979">
        <f>IF(Construction!$F$31=Construction!$R$22,Oeko!CQ469,Oeko!FD469)</f>
        <v>5.3887749571820098</v>
      </c>
      <c r="AE469" s="1979">
        <f>IF(Construction!$F$31=Construction!$R$22,Oeko!CR469,Oeko!FE469)</f>
        <v>5.4131446784539516</v>
      </c>
      <c r="AF469" s="1979">
        <f>IF(Construction!$F$31=Construction!$R$22,Oeko!CS469,Oeko!FF469)</f>
        <v>5.4375143997258917</v>
      </c>
      <c r="AG469" s="1979">
        <f>IF(Construction!$F$31=Construction!$R$22,Oeko!CT469,Oeko!FG469)</f>
        <v>5.4821922220577832</v>
      </c>
      <c r="AH469" s="1998">
        <f>IF(Construction!$F$31=Construction!$R$22,Oeko!CU469,Oeko!FH469)</f>
        <v>10.546382886271003</v>
      </c>
      <c r="AI469" s="1998">
        <f>IF(Construction!$F$31=Construction!$R$22,Oeko!CV469,Oeko!FI469)</f>
        <v>10.643861771358766</v>
      </c>
      <c r="AJ469" s="1998">
        <f>IF(Construction!$F$31=Construction!$R$22,Oeko!CW469,Oeko!FJ469)</f>
        <v>10.733217416022546</v>
      </c>
      <c r="AK469" s="1998">
        <f>IF(Construction!$F$31=Construction!$R$22,Oeko!CX469,Oeko!FK469)</f>
        <v>10.83069630111031</v>
      </c>
      <c r="AL469" s="1998">
        <f>IF(Construction!$F$31=Construction!$R$22,Oeko!CY469,Oeko!FL469)</f>
        <v>11.066270273405738</v>
      </c>
      <c r="AM469" s="1979">
        <f>IF(Construction!$F$31=Construction!$R$22,Oeko!CZ469,Oeko!FM469)</f>
        <v>17.572075833712891</v>
      </c>
      <c r="AN469" s="1979">
        <f>IF(Construction!$F$31=Construction!$R$22,Oeko!DA469,Oeko!FN469)</f>
        <v>5.6586761757033024</v>
      </c>
      <c r="AO469" s="1979">
        <f>IF(Construction!$F$31=Construction!$R$22,Oeko!DB469,Oeko!FO469)</f>
        <v>5.7331608225809401</v>
      </c>
      <c r="AP469" s="1979">
        <f>IF(Construction!$F$31=Construction!$R$22,Oeko!DC469,Oeko!FP469)</f>
        <v>5.8306397076687029</v>
      </c>
      <c r="AQ469" s="1979">
        <f>IF(Construction!$F$31=Construction!$R$22,Oeko!DD469,Oeko!FQ469)</f>
        <v>5.9281185927564666</v>
      </c>
      <c r="AR469" s="1998">
        <f>IF(Construction!$F$31=Construction!$R$22,Oeko!DE469,Oeko!FR469)</f>
        <v>76.2796505561451</v>
      </c>
      <c r="AS469" s="1998">
        <f>IF(Construction!$F$31=Construction!$R$22,Oeko!DF469,Oeko!FS469)</f>
        <v>77.064244432354897</v>
      </c>
      <c r="AT469" s="1998">
        <f>IF(Construction!$F$31=Construction!$R$22,Oeko!DG469,Oeko!FT469)</f>
        <v>77.783455485547208</v>
      </c>
      <c r="AU469" s="1998">
        <f>IF(Construction!$F$31=Construction!$R$22,Oeko!DH469,Oeko!FU469)</f>
        <v>78.568049361756991</v>
      </c>
      <c r="AV469" s="1998">
        <f>IF(Construction!$F$31=Construction!$R$22,Oeko!DI469,Oeko!FV469)</f>
        <v>80.464151229263976</v>
      </c>
      <c r="AW469" s="1979">
        <f>IF(Construction!$F$31=Construction!$R$22,Oeko!DJ469,Oeko!FW469)</f>
        <v>61.883385754727939</v>
      </c>
      <c r="AX469" s="1979">
        <f>IF(Construction!$F$31=Construction!$R$22,Oeko!DK469,Oeko!FX469)</f>
        <v>63.057943860464732</v>
      </c>
      <c r="AY469" s="1979">
        <f>IF(Construction!$F$31=Construction!$R$22,Oeko!DL469,Oeko!FY469)</f>
        <v>64.13462212405679</v>
      </c>
      <c r="AZ469" s="1979">
        <f>IF(Construction!$F$31=Construction!$R$22,Oeko!DM469,Oeko!FZ469)</f>
        <v>65.309180229793569</v>
      </c>
      <c r="BA469" s="1979">
        <f>IF(Construction!$F$31=Construction!$R$22,Oeko!DN469,Oeko!GA469)</f>
        <v>68.147695651990816</v>
      </c>
      <c r="BB469" s="1998">
        <f>IF(Construction!$F$31=Construction!$R$22,Oeko!DO469,Oeko!GB469)</f>
        <v>5.2738723650377413</v>
      </c>
      <c r="BC469" s="1998">
        <f>IF(Construction!$F$31=Construction!$R$22,Oeko!DP469,Oeko!GC469)</f>
        <v>5.3892749448206008</v>
      </c>
      <c r="BD469" s="1998">
        <f>IF(Construction!$F$31=Construction!$R$22,Oeko!DQ469,Oeko!GD469)</f>
        <v>5.5046775246034603</v>
      </c>
      <c r="BE469" s="1998">
        <f>IF(Construction!$F$31=Construction!$R$22,Oeko!DR469,Oeko!GE469)</f>
        <v>5.6200801043863198</v>
      </c>
      <c r="BF469" s="1998">
        <f>IF(Construction!$F$31=Construction!$R$22,Oeko!DS469,Oeko!GF469)</f>
        <v>5.7354826841691793</v>
      </c>
      <c r="BG469" s="1979">
        <f>IF(Construction!$F$31=Construction!$R$22,Oeko!DT469,Oeko!GG469)</f>
        <v>6.0167310805217209</v>
      </c>
      <c r="BH469" s="1979">
        <f>IF(Construction!$F$31=Construction!$R$22,Oeko!DU469,Oeko!GH469)</f>
        <v>6.1317087014036318</v>
      </c>
      <c r="BI469" s="1979">
        <f>IF(Construction!$F$31=Construction!$R$22,Oeko!DV469,Oeko!GI469)</f>
        <v>6.2466863222855418</v>
      </c>
      <c r="BJ469" s="1979">
        <f>IF(Construction!$F$31=Construction!$R$22,Oeko!DW469,Oeko!GJ469)</f>
        <v>6.3616639431674509</v>
      </c>
      <c r="BK469" s="2021">
        <f>IF(Construction!$F$31=Construction!$R$22,Oeko!DX469,Oeko!GK469)</f>
        <v>6.4766415640493609</v>
      </c>
      <c r="BN469" s="2022"/>
      <c r="BO469" s="2">
        <v>7</v>
      </c>
      <c r="BP469" s="2" t="s">
        <v>4333</v>
      </c>
      <c r="BQ469" s="1998">
        <v>26.025466211004211</v>
      </c>
      <c r="BR469" s="1998">
        <v>5.8025114910885058</v>
      </c>
      <c r="BS469" s="1998">
        <v>5.862180593219791</v>
      </c>
      <c r="BT469" s="1998">
        <v>5.9474746176715847</v>
      </c>
      <c r="BU469" s="1998">
        <v>6.0327686421233775</v>
      </c>
      <c r="BV469" s="1979">
        <v>57.856819291120452</v>
      </c>
      <c r="BW469" s="1979">
        <v>9.959523446362704</v>
      </c>
      <c r="BX469" s="1979">
        <v>10.054381023273745</v>
      </c>
      <c r="BY469" s="1979">
        <v>10.200599350905387</v>
      </c>
      <c r="BZ469" s="1979">
        <v>10.346817678537034</v>
      </c>
      <c r="CA469" s="1998">
        <v>5.8012455961896361</v>
      </c>
      <c r="CB469" s="1998">
        <v>5.8847989262648621</v>
      </c>
      <c r="CC469" s="1998">
        <v>5.8987244812773998</v>
      </c>
      <c r="CD469" s="1998">
        <v>5.9126500362899366</v>
      </c>
      <c r="CE469" s="1998">
        <v>5.9381802204795893</v>
      </c>
      <c r="CF469" s="1979">
        <v>7.1920900503894556</v>
      </c>
      <c r="CG469" s="1979">
        <v>7.3017537961131875</v>
      </c>
      <c r="CH469" s="1979">
        <v>7.3291697325441216</v>
      </c>
      <c r="CI469" s="1979">
        <v>7.3565856689750548</v>
      </c>
      <c r="CJ469" s="1979">
        <v>7.4068482190984319</v>
      </c>
      <c r="CK469" s="1998">
        <v>5.6926477329216363</v>
      </c>
      <c r="CL469" s="1998">
        <v>5.7803787295006233</v>
      </c>
      <c r="CM469" s="1998">
        <v>5.8023114786453691</v>
      </c>
      <c r="CN469" s="1998">
        <v>5.8242442277901167</v>
      </c>
      <c r="CO469" s="1998">
        <v>5.864454267888819</v>
      </c>
      <c r="CP469" s="1979">
        <v>5.3156657933661879</v>
      </c>
      <c r="CQ469" s="1979">
        <v>5.3887749571820098</v>
      </c>
      <c r="CR469" s="1979">
        <v>5.4131446784539516</v>
      </c>
      <c r="CS469" s="1979">
        <v>5.4375143997258917</v>
      </c>
      <c r="CT469" s="1979">
        <v>5.4821922220577832</v>
      </c>
      <c r="CU469" s="1998">
        <v>10.546382886271003</v>
      </c>
      <c r="CV469" s="1998">
        <v>10.643861771358766</v>
      </c>
      <c r="CW469" s="1998">
        <v>10.733217416022546</v>
      </c>
      <c r="CX469" s="1998">
        <v>10.83069630111031</v>
      </c>
      <c r="CY469" s="1998">
        <v>11.066270273405738</v>
      </c>
      <c r="CZ469" s="1979">
        <v>17.572075833712891</v>
      </c>
      <c r="DA469" s="1979">
        <v>5.6586761757033024</v>
      </c>
      <c r="DB469" s="1979">
        <v>5.7331608225809401</v>
      </c>
      <c r="DC469" s="1979">
        <v>5.8306397076687029</v>
      </c>
      <c r="DD469" s="1979">
        <v>5.9281185927564666</v>
      </c>
      <c r="DE469" s="1998">
        <v>76.2796505561451</v>
      </c>
      <c r="DF469" s="1998">
        <v>77.064244432354897</v>
      </c>
      <c r="DG469" s="1998">
        <v>77.783455485547208</v>
      </c>
      <c r="DH469" s="1998">
        <v>78.568049361756991</v>
      </c>
      <c r="DI469" s="1998">
        <v>80.464151229263976</v>
      </c>
      <c r="DJ469" s="1979">
        <v>61.883385754727939</v>
      </c>
      <c r="DK469" s="1979">
        <v>63.057943860464732</v>
      </c>
      <c r="DL469" s="1979">
        <v>64.13462212405679</v>
      </c>
      <c r="DM469" s="1979">
        <v>65.309180229793569</v>
      </c>
      <c r="DN469" s="1979">
        <v>68.147695651990816</v>
      </c>
      <c r="DO469" s="1998">
        <v>5.2738723650377413</v>
      </c>
      <c r="DP469" s="1998">
        <v>5.3892749448206008</v>
      </c>
      <c r="DQ469" s="1998">
        <v>5.5046775246034603</v>
      </c>
      <c r="DR469" s="1998">
        <v>5.6200801043863198</v>
      </c>
      <c r="DS469" s="1998">
        <v>5.7354826841691793</v>
      </c>
      <c r="DT469" s="1979">
        <v>6.0167310805217209</v>
      </c>
      <c r="DU469" s="1979">
        <v>6.1317087014036318</v>
      </c>
      <c r="DV469" s="1979">
        <v>6.2466863222855418</v>
      </c>
      <c r="DW469" s="1979">
        <v>6.3616639431674509</v>
      </c>
      <c r="DX469" s="2021">
        <v>6.4766415640493609</v>
      </c>
      <c r="EA469" s="2022"/>
      <c r="EB469" s="2">
        <v>7</v>
      </c>
      <c r="EC469" s="2" t="s">
        <v>4333</v>
      </c>
      <c r="ED469" s="1998">
        <v>26.117997670691562</v>
      </c>
      <c r="EE469" s="1998">
        <v>5.8950429507758555</v>
      </c>
      <c r="EF469" s="1998">
        <v>5.9547120529071424</v>
      </c>
      <c r="EG469" s="1998">
        <v>6.0400060773589361</v>
      </c>
      <c r="EH469" s="1998">
        <v>6.1253001018107289</v>
      </c>
      <c r="EI469" s="1979">
        <v>58.331067035372712</v>
      </c>
      <c r="EJ469" s="1979">
        <v>10.433771190614967</v>
      </c>
      <c r="EK469" s="1979">
        <v>10.528628767526008</v>
      </c>
      <c r="EL469" s="1979">
        <v>10.674847095157652</v>
      </c>
      <c r="EM469" s="1979">
        <v>10.8210654227893</v>
      </c>
      <c r="EN469" s="1998">
        <v>5.9104145534164223</v>
      </c>
      <c r="EO469" s="1998">
        <v>5.9939678834916474</v>
      </c>
      <c r="EP469" s="1998">
        <v>6.0078934385041851</v>
      </c>
      <c r="EQ469" s="1998">
        <v>6.0218189935167228</v>
      </c>
      <c r="ER469" s="1998">
        <v>6.0473491777063755</v>
      </c>
      <c r="ES469" s="1979">
        <v>7.37683679392872</v>
      </c>
      <c r="ET469" s="1979">
        <v>7.4865005396524529</v>
      </c>
      <c r="EU469" s="1979">
        <v>7.513916476083387</v>
      </c>
      <c r="EV469" s="1979">
        <v>7.5413324125143202</v>
      </c>
      <c r="EW469" s="1979">
        <v>7.5915949626376982</v>
      </c>
      <c r="EX469" s="1998">
        <v>5.8384568219929847</v>
      </c>
      <c r="EY469" s="1998">
        <v>5.9261878185719707</v>
      </c>
      <c r="EZ469" s="1998">
        <v>5.9481205677167175</v>
      </c>
      <c r="FA469" s="1998">
        <v>5.9700533168614642</v>
      </c>
      <c r="FB469" s="1998">
        <v>6.0102633569601664</v>
      </c>
      <c r="FC469" s="1979">
        <v>5.4099262145840292</v>
      </c>
      <c r="FD469" s="1979">
        <v>5.483035378399852</v>
      </c>
      <c r="FE469" s="1979">
        <v>5.507405099671792</v>
      </c>
      <c r="FF469" s="1979">
        <v>5.531774820943733</v>
      </c>
      <c r="FG469" s="1979">
        <v>5.5764526432756245</v>
      </c>
      <c r="FH469" s="1998">
        <v>10.858437572662986</v>
      </c>
      <c r="FI469" s="1998">
        <v>10.95591645775075</v>
      </c>
      <c r="FJ469" s="1998">
        <v>11.045272102414531</v>
      </c>
      <c r="FK469" s="1998">
        <v>11.142750987502295</v>
      </c>
      <c r="FL469" s="1998">
        <v>11.378324959797721</v>
      </c>
      <c r="FM469" s="1979">
        <v>17.809199705839021</v>
      </c>
      <c r="FN469" s="1979">
        <v>5.895800047829435</v>
      </c>
      <c r="FO469" s="1979">
        <v>5.9702846947070718</v>
      </c>
      <c r="FP469" s="1979">
        <v>6.0677635797948355</v>
      </c>
      <c r="FQ469" s="1979">
        <v>6.1652424648825974</v>
      </c>
      <c r="FR469" s="1998">
        <v>78.887643690660752</v>
      </c>
      <c r="FS469" s="1998">
        <v>79.67223756687055</v>
      </c>
      <c r="FT469" s="1998">
        <v>80.39144862006286</v>
      </c>
      <c r="FU469" s="1998">
        <v>81.176042496272643</v>
      </c>
      <c r="FV469" s="1998">
        <v>83.072144363779628</v>
      </c>
      <c r="FW469" s="1979">
        <v>65.160915626492155</v>
      </c>
      <c r="FX469" s="1979">
        <v>66.335473732228948</v>
      </c>
      <c r="FY469" s="1979">
        <v>67.412151995820992</v>
      </c>
      <c r="FZ469" s="1979">
        <v>68.586710101557784</v>
      </c>
      <c r="GA469" s="1979">
        <v>71.425225523755017</v>
      </c>
      <c r="GB469" s="1998">
        <v>5.3662246370138336</v>
      </c>
      <c r="GC469" s="1998">
        <v>5.4816272167966922</v>
      </c>
      <c r="GD469" s="1998">
        <v>5.5970297965795517</v>
      </c>
      <c r="GE469" s="1998">
        <v>5.7124323763624112</v>
      </c>
      <c r="GF469" s="1998">
        <v>5.8278349561452716</v>
      </c>
      <c r="GG469" s="1979">
        <v>6.1087432741384484</v>
      </c>
      <c r="GH469" s="1979">
        <v>6.2237208950203566</v>
      </c>
      <c r="GI469" s="1979">
        <v>6.3386985159022675</v>
      </c>
      <c r="GJ469" s="1979">
        <v>6.4536761367841784</v>
      </c>
      <c r="GK469" s="2021">
        <v>6.5686537576660866</v>
      </c>
    </row>
    <row r="470" spans="1:193">
      <c r="A470" s="2020"/>
      <c r="B470" s="2">
        <v>8</v>
      </c>
      <c r="C470" s="2" t="s">
        <v>4334</v>
      </c>
      <c r="D470" s="1998">
        <f>IF(Construction!$F$31=Construction!$R$22,Oeko!BQ470,Oeko!ED470)</f>
        <v>29.233878302007504</v>
      </c>
      <c r="E470" s="1998">
        <f>IF(Construction!$F$31=Construction!$R$22,Oeko!BR470,Oeko!EE470)</f>
        <v>5.9646862704366761</v>
      </c>
      <c r="F470" s="1998">
        <f>IF(Construction!$F$31=Construction!$R$22,Oeko!BS470,Oeko!EF470)</f>
        <v>6.0226439848311832</v>
      </c>
      <c r="G470" s="1998">
        <f>IF(Construction!$F$31=Construction!$R$22,Oeko!BT470,Oeko!EG470)</f>
        <v>6.1079380092829743</v>
      </c>
      <c r="H470" s="1998">
        <f>IF(Construction!$F$31=Construction!$R$22,Oeko!BU470,Oeko!EH470)</f>
        <v>6.1932320337347671</v>
      </c>
      <c r="I470" s="1979">
        <f>IF(Construction!$F$31=Construction!$R$22,Oeko!BV470,Oeko!EI470)</f>
        <v>55.800940415169052</v>
      </c>
      <c r="J470" s="1979">
        <f>IF(Construction!$F$31=Construction!$R$22,Oeko!BW470,Oeko!EJ470)</f>
        <v>9.8447966581846007</v>
      </c>
      <c r="K470" s="1979">
        <f>IF(Construction!$F$31=Construction!$R$22,Oeko!BX470,Oeko!EK470)</f>
        <v>9.9407447817400332</v>
      </c>
      <c r="L470" s="1979">
        <f>IF(Construction!$F$31=Construction!$R$22,Oeko!BY470,Oeko!EL470)</f>
        <v>10.086963109371677</v>
      </c>
      <c r="M470" s="1979">
        <f>IF(Construction!$F$31=Construction!$R$22,Oeko!BZ470,Oeko!EM470)</f>
        <v>10.233181437003321</v>
      </c>
      <c r="N470" s="1998">
        <f>IF(Construction!$F$31=Construction!$R$22,Oeko!CA470,Oeko!EN470)</f>
        <v>5.7846704401309363</v>
      </c>
      <c r="O470" s="1998">
        <f>IF(Construction!$F$31=Construction!$R$22,Oeko!CB470,Oeko!EO470)</f>
        <v>5.8682237702061615</v>
      </c>
      <c r="P470" s="1998">
        <f>IF(Construction!$F$31=Construction!$R$22,Oeko!CC470,Oeko!EP470)</f>
        <v>5.884934436221207</v>
      </c>
      <c r="Q470" s="1998">
        <f>IF(Construction!$F$31=Construction!$R$22,Oeko!CD470,Oeko!EQ470)</f>
        <v>5.9016451022362526</v>
      </c>
      <c r="R470" s="1998">
        <f>IF(Construction!$F$31=Construction!$R$22,Oeko!CE470,Oeko!ER470)</f>
        <v>5.9322813232638349</v>
      </c>
      <c r="S470" s="1979">
        <f>IF(Construction!$F$31=Construction!$R$22,Oeko!CF470,Oeko!ES470)</f>
        <v>7.7319890238370093</v>
      </c>
      <c r="T470" s="1979">
        <f>IF(Construction!$F$31=Construction!$R$22,Oeko!CG470,Oeko!ET470)</f>
        <v>7.841652769560743</v>
      </c>
      <c r="U470" s="1979">
        <f>IF(Construction!$F$31=Construction!$R$22,Oeko!CH470,Oeko!EU470)</f>
        <v>7.8690687059916771</v>
      </c>
      <c r="V470" s="1979">
        <f>IF(Construction!$F$31=Construction!$R$22,Oeko!CI470,Oeko!EV470)</f>
        <v>7.8964846424226094</v>
      </c>
      <c r="W470" s="1979">
        <f>IF(Construction!$F$31=Construction!$R$22,Oeko!CJ470,Oeko!EW470)</f>
        <v>7.9467471925459883</v>
      </c>
      <c r="X470" s="1998">
        <f>IF(Construction!$F$31=Construction!$R$22,Oeko!CK470,Oeko!EX470)</f>
        <v>6.1245669116796799</v>
      </c>
      <c r="Y470" s="1998">
        <f>IF(Construction!$F$31=Construction!$R$22,Oeko!CL470,Oeko!EY470)</f>
        <v>6.2122979082586678</v>
      </c>
      <c r="Z470" s="1998">
        <f>IF(Construction!$F$31=Construction!$R$22,Oeko!CM470,Oeko!EZ470)</f>
        <v>6.2342306574034136</v>
      </c>
      <c r="AA470" s="1998">
        <f>IF(Construction!$F$31=Construction!$R$22,Oeko!CN470,Oeko!FA470)</f>
        <v>6.2561634065481604</v>
      </c>
      <c r="AB470" s="1998">
        <f>IF(Construction!$F$31=Construction!$R$22,Oeko!CO470,Oeko!FB470)</f>
        <v>6.2963734466468617</v>
      </c>
      <c r="AC470" s="1979">
        <f>IF(Construction!$F$31=Construction!$R$22,Oeko!CP470,Oeko!FC470)</f>
        <v>5.6281654575838935</v>
      </c>
      <c r="AD470" s="1979">
        <f>IF(Construction!$F$31=Construction!$R$22,Oeko!CQ470,Oeko!FD470)</f>
        <v>5.7012746213997172</v>
      </c>
      <c r="AE470" s="1979">
        <f>IF(Construction!$F$31=Construction!$R$22,Oeko!CR470,Oeko!FE470)</f>
        <v>5.7256443426716581</v>
      </c>
      <c r="AF470" s="1979">
        <f>IF(Construction!$F$31=Construction!$R$22,Oeko!CS470,Oeko!FF470)</f>
        <v>5.7500140639435973</v>
      </c>
      <c r="AG470" s="1979">
        <f>IF(Construction!$F$31=Construction!$R$22,Oeko!CT470,Oeko!FG470)</f>
        <v>5.7946918862754897</v>
      </c>
      <c r="AH470" s="1998">
        <f>IF(Construction!$F$31=Construction!$R$22,Oeko!CU470,Oeko!FH470)</f>
        <v>10.779301890656868</v>
      </c>
      <c r="AI470" s="1998">
        <f>IF(Construction!$F$31=Construction!$R$22,Oeko!CV470,Oeko!FI470)</f>
        <v>10.876780775744631</v>
      </c>
      <c r="AJ470" s="1998">
        <f>IF(Construction!$F$31=Construction!$R$22,Oeko!CW470,Oeko!FJ470)</f>
        <v>10.966136420408413</v>
      </c>
      <c r="AK470" s="1998">
        <f>IF(Construction!$F$31=Construction!$R$22,Oeko!CX470,Oeko!FK470)</f>
        <v>11.063615305496176</v>
      </c>
      <c r="AL470" s="1998">
        <f>IF(Construction!$F$31=Construction!$R$22,Oeko!CY470,Oeko!FL470)</f>
        <v>11.299189277791601</v>
      </c>
      <c r="AM470" s="1979">
        <f>IF(Construction!$F$31=Construction!$R$22,Oeko!CZ470,Oeko!FM470)</f>
        <v>21.812326015362672</v>
      </c>
      <c r="AN470" s="1979">
        <f>IF(Construction!$F$31=Construction!$R$22,Oeko!DA470,Oeko!FN470)</f>
        <v>5.8953001763206387</v>
      </c>
      <c r="AO470" s="1979">
        <f>IF(Construction!$F$31=Construction!$R$22,Oeko!DB470,Oeko!FO470)</f>
        <v>5.9675355707442206</v>
      </c>
      <c r="AP470" s="1979">
        <f>IF(Construction!$F$31=Construction!$R$22,Oeko!DC470,Oeko!FP470)</f>
        <v>6.0650144558319825</v>
      </c>
      <c r="AQ470" s="1979">
        <f>IF(Construction!$F$31=Construction!$R$22,Oeko!DD470,Oeko!FQ470)</f>
        <v>6.1624933409197453</v>
      </c>
      <c r="AR470" s="1998">
        <f>IF(Construction!$F$31=Construction!$R$22,Oeko!DE470,Oeko!FR470)</f>
        <v>70.610688179762619</v>
      </c>
      <c r="AS470" s="1998">
        <f>IF(Construction!$F$31=Construction!$R$22,Oeko!DF470,Oeko!FS470)</f>
        <v>71.787578994077293</v>
      </c>
      <c r="AT470" s="1998">
        <f>IF(Construction!$F$31=Construction!$R$22,Oeko!DG470,Oeko!FT470)</f>
        <v>72.866395573865759</v>
      </c>
      <c r="AU470" s="1998">
        <f>IF(Construction!$F$31=Construction!$R$22,Oeko!DH470,Oeko!FU470)</f>
        <v>74.043286388180448</v>
      </c>
      <c r="AV470" s="1998">
        <f>IF(Construction!$F$31=Construction!$R$22,Oeko!DI470,Oeko!FV470)</f>
        <v>76.887439189440911</v>
      </c>
      <c r="AW470" s="1979">
        <f>IF(Construction!$F$31=Construction!$R$22,Oeko!DJ470,Oeko!FW470)</f>
        <v>71.541732991232237</v>
      </c>
      <c r="AX470" s="1979">
        <f>IF(Construction!$F$31=Construction!$R$22,Oeko!DK470,Oeko!FX470)</f>
        <v>72.716291096969016</v>
      </c>
      <c r="AY470" s="1979">
        <f>IF(Construction!$F$31=Construction!$R$22,Oeko!DL470,Oeko!FY470)</f>
        <v>73.792969360561074</v>
      </c>
      <c r="AZ470" s="1979">
        <f>IF(Construction!$F$31=Construction!$R$22,Oeko!DM470,Oeko!FZ470)</f>
        <v>74.967527466297852</v>
      </c>
      <c r="BA470" s="1979">
        <f>IF(Construction!$F$31=Construction!$R$22,Oeko!DN470,Oeko!GA470)</f>
        <v>77.806042888495099</v>
      </c>
      <c r="BB470" s="1998">
        <f>IF(Construction!$F$31=Construction!$R$22,Oeko!DO470,Oeko!GB470)</f>
        <v>5.6019155247231289</v>
      </c>
      <c r="BC470" s="1998">
        <f>IF(Construction!$F$31=Construction!$R$22,Oeko!DP470,Oeko!GC470)</f>
        <v>5.7173181045059884</v>
      </c>
      <c r="BD470" s="1998">
        <f>IF(Construction!$F$31=Construction!$R$22,Oeko!DQ470,Oeko!GD470)</f>
        <v>5.8327206842888479</v>
      </c>
      <c r="BE470" s="1998">
        <f>IF(Construction!$F$31=Construction!$R$22,Oeko!DR470,Oeko!GE470)</f>
        <v>5.9481232640717074</v>
      </c>
      <c r="BF470" s="1998">
        <f>IF(Construction!$F$31=Construction!$R$22,Oeko!DS470,Oeko!GF470)</f>
        <v>6.0635258438545669</v>
      </c>
      <c r="BG470" s="1979">
        <f>IF(Construction!$F$31=Construction!$R$22,Oeko!DT470,Oeko!GG470)</f>
        <v>6.3027118562843354</v>
      </c>
      <c r="BH470" s="1979">
        <f>IF(Construction!$F$31=Construction!$R$22,Oeko!DU470,Oeko!GH470)</f>
        <v>6.4176894771662454</v>
      </c>
      <c r="BI470" s="1979">
        <f>IF(Construction!$F$31=Construction!$R$22,Oeko!DV470,Oeko!GI470)</f>
        <v>6.5326670980481545</v>
      </c>
      <c r="BJ470" s="1979">
        <f>IF(Construction!$F$31=Construction!$R$22,Oeko!DW470,Oeko!GJ470)</f>
        <v>6.6476447189300636</v>
      </c>
      <c r="BK470" s="2021">
        <f>IF(Construction!$F$31=Construction!$R$22,Oeko!DX470,Oeko!GK470)</f>
        <v>6.7626223398119736</v>
      </c>
      <c r="BN470" s="2022"/>
      <c r="BO470" s="2">
        <v>8</v>
      </c>
      <c r="BP470" s="2" t="s">
        <v>4334</v>
      </c>
      <c r="BQ470" s="1998">
        <v>29.233878302007504</v>
      </c>
      <c r="BR470" s="1998">
        <v>5.9646862704366761</v>
      </c>
      <c r="BS470" s="1998">
        <v>6.0226439848311832</v>
      </c>
      <c r="BT470" s="1998">
        <v>6.1079380092829743</v>
      </c>
      <c r="BU470" s="1998">
        <v>6.1932320337347671</v>
      </c>
      <c r="BV470" s="1979">
        <v>55.800940415169052</v>
      </c>
      <c r="BW470" s="1979">
        <v>9.8447966581846007</v>
      </c>
      <c r="BX470" s="1979">
        <v>9.9407447817400332</v>
      </c>
      <c r="BY470" s="1979">
        <v>10.086963109371677</v>
      </c>
      <c r="BZ470" s="1979">
        <v>10.233181437003321</v>
      </c>
      <c r="CA470" s="1998">
        <v>5.7846704401309363</v>
      </c>
      <c r="CB470" s="1998">
        <v>5.8682237702061615</v>
      </c>
      <c r="CC470" s="1998">
        <v>5.884934436221207</v>
      </c>
      <c r="CD470" s="1998">
        <v>5.9016451022362526</v>
      </c>
      <c r="CE470" s="1998">
        <v>5.9322813232638349</v>
      </c>
      <c r="CF470" s="1979">
        <v>7.7319890238370093</v>
      </c>
      <c r="CG470" s="1979">
        <v>7.841652769560743</v>
      </c>
      <c r="CH470" s="1979">
        <v>7.8690687059916771</v>
      </c>
      <c r="CI470" s="1979">
        <v>7.8964846424226094</v>
      </c>
      <c r="CJ470" s="1979">
        <v>7.9467471925459883</v>
      </c>
      <c r="CK470" s="1998">
        <v>6.1245669116796799</v>
      </c>
      <c r="CL470" s="1998">
        <v>6.2122979082586678</v>
      </c>
      <c r="CM470" s="1998">
        <v>6.2342306574034136</v>
      </c>
      <c r="CN470" s="1998">
        <v>6.2561634065481604</v>
      </c>
      <c r="CO470" s="1998">
        <v>6.2963734466468617</v>
      </c>
      <c r="CP470" s="1979">
        <v>5.6281654575838935</v>
      </c>
      <c r="CQ470" s="1979">
        <v>5.7012746213997172</v>
      </c>
      <c r="CR470" s="1979">
        <v>5.7256443426716581</v>
      </c>
      <c r="CS470" s="1979">
        <v>5.7500140639435973</v>
      </c>
      <c r="CT470" s="1979">
        <v>5.7946918862754897</v>
      </c>
      <c r="CU470" s="1998">
        <v>10.779301890656868</v>
      </c>
      <c r="CV470" s="1998">
        <v>10.876780775744631</v>
      </c>
      <c r="CW470" s="1998">
        <v>10.966136420408413</v>
      </c>
      <c r="CX470" s="1998">
        <v>11.063615305496176</v>
      </c>
      <c r="CY470" s="1998">
        <v>11.299189277791601</v>
      </c>
      <c r="CZ470" s="1979">
        <v>21.812326015362672</v>
      </c>
      <c r="DA470" s="1979">
        <v>5.8953001763206387</v>
      </c>
      <c r="DB470" s="1979">
        <v>5.9675355707442206</v>
      </c>
      <c r="DC470" s="1979">
        <v>6.0650144558319825</v>
      </c>
      <c r="DD470" s="1979">
        <v>6.1624933409197453</v>
      </c>
      <c r="DE470" s="1998">
        <v>70.610688179762619</v>
      </c>
      <c r="DF470" s="1998">
        <v>71.787578994077293</v>
      </c>
      <c r="DG470" s="1998">
        <v>72.866395573865759</v>
      </c>
      <c r="DH470" s="1998">
        <v>74.043286388180448</v>
      </c>
      <c r="DI470" s="1998">
        <v>76.887439189440911</v>
      </c>
      <c r="DJ470" s="1979">
        <v>71.541732991232237</v>
      </c>
      <c r="DK470" s="1979">
        <v>72.716291096969016</v>
      </c>
      <c r="DL470" s="1979">
        <v>73.792969360561074</v>
      </c>
      <c r="DM470" s="1979">
        <v>74.967527466297852</v>
      </c>
      <c r="DN470" s="1979">
        <v>77.806042888495099</v>
      </c>
      <c r="DO470" s="1998">
        <v>5.6019155247231289</v>
      </c>
      <c r="DP470" s="1998">
        <v>5.7173181045059884</v>
      </c>
      <c r="DQ470" s="1998">
        <v>5.8327206842888479</v>
      </c>
      <c r="DR470" s="1998">
        <v>5.9481232640717074</v>
      </c>
      <c r="DS470" s="1998">
        <v>6.0635258438545669</v>
      </c>
      <c r="DT470" s="1979">
        <v>6.3027118562843354</v>
      </c>
      <c r="DU470" s="1979">
        <v>6.4176894771662454</v>
      </c>
      <c r="DV470" s="1979">
        <v>6.5326670980481545</v>
      </c>
      <c r="DW470" s="1979">
        <v>6.6476447189300636</v>
      </c>
      <c r="DX470" s="2021">
        <v>6.7626223398119736</v>
      </c>
      <c r="EA470" s="2022"/>
      <c r="EB470" s="2">
        <v>8</v>
      </c>
      <c r="EC470" s="2" t="s">
        <v>4334</v>
      </c>
      <c r="ED470" s="1998">
        <v>29.331452566158784</v>
      </c>
      <c r="EE470" s="1998">
        <v>6.0622605345879572</v>
      </c>
      <c r="EF470" s="1998">
        <v>6.1202182489824626</v>
      </c>
      <c r="EG470" s="1998">
        <v>6.2055122734342554</v>
      </c>
      <c r="EH470" s="1998">
        <v>6.2908062978860482</v>
      </c>
      <c r="EI470" s="1979">
        <v>56.265547889069488</v>
      </c>
      <c r="EJ470" s="1979">
        <v>10.309404132085037</v>
      </c>
      <c r="EK470" s="1979">
        <v>10.405352255640471</v>
      </c>
      <c r="EL470" s="1979">
        <v>10.551570583272117</v>
      </c>
      <c r="EM470" s="1979">
        <v>10.697788910903759</v>
      </c>
      <c r="EN470" s="1998">
        <v>5.9200014734508368</v>
      </c>
      <c r="EO470" s="1998">
        <v>6.003554803526062</v>
      </c>
      <c r="EP470" s="1998">
        <v>6.0202654695411075</v>
      </c>
      <c r="EQ470" s="1998">
        <v>6.0369761355561531</v>
      </c>
      <c r="ER470" s="1998">
        <v>6.0676123565837354</v>
      </c>
      <c r="ES470" s="1979">
        <v>7.9381100542969598</v>
      </c>
      <c r="ET470" s="1979">
        <v>8.0477738000206944</v>
      </c>
      <c r="EU470" s="1979">
        <v>8.0751897364516285</v>
      </c>
      <c r="EV470" s="1979">
        <v>8.1026056728825608</v>
      </c>
      <c r="EW470" s="1979">
        <v>8.1528682230059388</v>
      </c>
      <c r="EX470" s="1998">
        <v>6.2862824468315388</v>
      </c>
      <c r="EY470" s="1998">
        <v>6.3740134434105258</v>
      </c>
      <c r="EZ470" s="1998">
        <v>6.3959461925552725</v>
      </c>
      <c r="FA470" s="1998">
        <v>6.4178789417000193</v>
      </c>
      <c r="FB470" s="1998">
        <v>6.4580889817987215</v>
      </c>
      <c r="FC470" s="1979">
        <v>5.7224258788017357</v>
      </c>
      <c r="FD470" s="1979">
        <v>5.7955350426175594</v>
      </c>
      <c r="FE470" s="1979">
        <v>5.8199047638894985</v>
      </c>
      <c r="FF470" s="1979">
        <v>5.8442744851614385</v>
      </c>
      <c r="FG470" s="1979">
        <v>5.888952307493331</v>
      </c>
      <c r="FH470" s="1998">
        <v>11.098272423170814</v>
      </c>
      <c r="FI470" s="1998">
        <v>11.195751308258577</v>
      </c>
      <c r="FJ470" s="1998">
        <v>11.285106952922359</v>
      </c>
      <c r="FK470" s="1998">
        <v>11.382585838010122</v>
      </c>
      <c r="FL470" s="1998">
        <v>11.618159810305547</v>
      </c>
      <c r="FM470" s="1979">
        <v>22.08921600269008</v>
      </c>
      <c r="FN470" s="1979">
        <v>6.1721901636480467</v>
      </c>
      <c r="FO470" s="1979">
        <v>6.2444255580716286</v>
      </c>
      <c r="FP470" s="1979">
        <v>6.3419044431593905</v>
      </c>
      <c r="FQ470" s="1979">
        <v>6.4393833282471533</v>
      </c>
      <c r="FR470" s="1998">
        <v>73.903872237801025</v>
      </c>
      <c r="FS470" s="1998">
        <v>75.080763052115714</v>
      </c>
      <c r="FT470" s="1998">
        <v>76.15957963190418</v>
      </c>
      <c r="FU470" s="1998">
        <v>77.336470446218854</v>
      </c>
      <c r="FV470" s="1998">
        <v>80.180623247479318</v>
      </c>
      <c r="FW470" s="1979">
        <v>74.819262862996439</v>
      </c>
      <c r="FX470" s="1979">
        <v>75.993820968733218</v>
      </c>
      <c r="FY470" s="1979">
        <v>77.07049923232529</v>
      </c>
      <c r="FZ470" s="1979">
        <v>78.245057338062068</v>
      </c>
      <c r="GA470" s="1979">
        <v>81.083572760259301</v>
      </c>
      <c r="GB470" s="1998">
        <v>5.6942677966992212</v>
      </c>
      <c r="GC470" s="1998">
        <v>5.8096703764820807</v>
      </c>
      <c r="GD470" s="1998">
        <v>5.9250729562649402</v>
      </c>
      <c r="GE470" s="1998">
        <v>6.0404755360477989</v>
      </c>
      <c r="GF470" s="1998">
        <v>6.1558781158306584</v>
      </c>
      <c r="GG470" s="1979">
        <v>6.3947240499010611</v>
      </c>
      <c r="GH470" s="1979">
        <v>6.5097016707829711</v>
      </c>
      <c r="GI470" s="1979">
        <v>6.6246792916648811</v>
      </c>
      <c r="GJ470" s="1979">
        <v>6.7396569125467902</v>
      </c>
      <c r="GK470" s="2021">
        <v>6.8546345334287002</v>
      </c>
    </row>
    <row r="471" spans="1:193">
      <c r="A471" s="2020"/>
      <c r="B471" s="2">
        <v>9</v>
      </c>
      <c r="C471" s="2" t="s">
        <v>4335</v>
      </c>
      <c r="D471" s="1998">
        <f>IF(Construction!$F$31=Construction!$R$22,Oeko!BQ471,Oeko!ED471)</f>
        <v>30.730388145760884</v>
      </c>
      <c r="E471" s="1998">
        <f>IF(Construction!$F$31=Construction!$R$22,Oeko!BR471,Oeko!EE471)</f>
        <v>6.0313296209641862</v>
      </c>
      <c r="F471" s="1998">
        <f>IF(Construction!$F$31=Construction!$R$22,Oeko!BS471,Oeko!EF471)</f>
        <v>6.0884840309108146</v>
      </c>
      <c r="G471" s="1998">
        <f>IF(Construction!$F$31=Construction!$R$22,Oeko!BT471,Oeko!EG471)</f>
        <v>6.1737780553626065</v>
      </c>
      <c r="H471" s="1998">
        <f>IF(Construction!$F$31=Construction!$R$22,Oeko!BU471,Oeko!EH471)</f>
        <v>6.2590720798143993</v>
      </c>
      <c r="I471" s="1979">
        <f>IF(Construction!$F$31=Construction!$R$22,Oeko!BV471,Oeko!EI471)</f>
        <v>60.369560139505502</v>
      </c>
      <c r="J471" s="1979">
        <f>IF(Construction!$F$31=Construction!$R$22,Oeko!BW471,Oeko!EJ471)</f>
        <v>10.099745076358159</v>
      </c>
      <c r="K471" s="1979">
        <f>IF(Construction!$F$31=Construction!$R$22,Oeko!BX471,Oeko!EK471)</f>
        <v>10.193269762926057</v>
      </c>
      <c r="L471" s="1979">
        <f>IF(Construction!$F$31=Construction!$R$22,Oeko!BY471,Oeko!EL471)</f>
        <v>10.339488090557701</v>
      </c>
      <c r="M471" s="1979">
        <f>IF(Construction!$F$31=Construction!$R$22,Oeko!BZ471,Oeko!EM471)</f>
        <v>10.485706418189347</v>
      </c>
      <c r="N471" s="1998">
        <f>IF(Construction!$F$31=Construction!$R$22,Oeko!CA471,Oeko!EN471)</f>
        <v>5.7342975293720535</v>
      </c>
      <c r="O471" s="1998">
        <f>IF(Construction!$F$31=Construction!$R$22,Oeko!CB471,Oeko!EO471)</f>
        <v>5.8178508594472778</v>
      </c>
      <c r="P471" s="1998">
        <f>IF(Construction!$F$31=Construction!$R$22,Oeko!CC471,Oeko!EP471)</f>
        <v>5.8387391919660852</v>
      </c>
      <c r="Q471" s="1998">
        <f>IF(Construction!$F$31=Construction!$R$22,Oeko!CD471,Oeko!EQ471)</f>
        <v>5.8596275244848917</v>
      </c>
      <c r="R471" s="1998">
        <f>IF(Construction!$F$31=Construction!$R$22,Oeko!CE471,Oeko!ER471)</f>
        <v>5.8979228007693703</v>
      </c>
      <c r="S471" s="1979">
        <f>IF(Construction!$F$31=Construction!$R$22,Oeko!CF471,Oeko!ES471)</f>
        <v>8.133774306402632</v>
      </c>
      <c r="T471" s="1979">
        <f>IF(Construction!$F$31=Construction!$R$22,Oeko!CG471,Oeko!ET471)</f>
        <v>8.2434380521263666</v>
      </c>
      <c r="U471" s="1979">
        <f>IF(Construction!$F$31=Construction!$R$22,Oeko!CH471,Oeko!EU471)</f>
        <v>8.2708539885572989</v>
      </c>
      <c r="V471" s="1979">
        <f>IF(Construction!$F$31=Construction!$R$22,Oeko!CI471,Oeko!EV471)</f>
        <v>8.2982699249882312</v>
      </c>
      <c r="W471" s="1979">
        <f>IF(Construction!$F$31=Construction!$R$22,Oeko!CJ471,Oeko!EW471)</f>
        <v>8.348532475111611</v>
      </c>
      <c r="X471" s="1998">
        <f>IF(Construction!$F$31=Construction!$R$22,Oeko!CK471,Oeko!EX471)</f>
        <v>6.3405265010587026</v>
      </c>
      <c r="Y471" s="1998">
        <f>IF(Construction!$F$31=Construction!$R$22,Oeko!CL471,Oeko!EY471)</f>
        <v>6.4282574976376887</v>
      </c>
      <c r="Z471" s="1998">
        <f>IF(Construction!$F$31=Construction!$R$22,Oeko!CM471,Oeko!EZ471)</f>
        <v>6.4501902467824355</v>
      </c>
      <c r="AA471" s="1998">
        <f>IF(Construction!$F$31=Construction!$R$22,Oeko!CN471,Oeko!FA471)</f>
        <v>6.4721229959271822</v>
      </c>
      <c r="AB471" s="1998">
        <f>IF(Construction!$F$31=Construction!$R$22,Oeko!CO471,Oeko!FB471)</f>
        <v>6.5123330360258844</v>
      </c>
      <c r="AC471" s="1979">
        <f>IF(Construction!$F$31=Construction!$R$22,Oeko!CP471,Oeko!FC471)</f>
        <v>5.7844152896927481</v>
      </c>
      <c r="AD471" s="1979">
        <f>IF(Construction!$F$31=Construction!$R$22,Oeko!CQ471,Oeko!FD471)</f>
        <v>5.85752445350857</v>
      </c>
      <c r="AE471" s="1979">
        <f>IF(Construction!$F$31=Construction!$R$22,Oeko!CR471,Oeko!FE471)</f>
        <v>5.8818941747805109</v>
      </c>
      <c r="AF471" s="1979">
        <f>IF(Construction!$F$31=Construction!$R$22,Oeko!CS471,Oeko!FF471)</f>
        <v>5.9062638960524501</v>
      </c>
      <c r="AG471" s="1979">
        <f>IF(Construction!$F$31=Construction!$R$22,Oeko!CT471,Oeko!FG471)</f>
        <v>5.9509417183843425</v>
      </c>
      <c r="AH471" s="1998">
        <f>IF(Construction!$F$31=Construction!$R$22,Oeko!CU471,Oeko!FH471)</f>
        <v>11.187464717390199</v>
      </c>
      <c r="AI471" s="1998">
        <f>IF(Construction!$F$31=Construction!$R$22,Oeko!CV471,Oeko!FI471)</f>
        <v>11.284943602477961</v>
      </c>
      <c r="AJ471" s="1998">
        <f>IF(Construction!$F$31=Construction!$R$22,Oeko!CW471,Oeko!FJ471)</f>
        <v>11.374299247141746</v>
      </c>
      <c r="AK471" s="1998">
        <f>IF(Construction!$F$31=Construction!$R$22,Oeko!CX471,Oeko!FK471)</f>
        <v>11.471778132229506</v>
      </c>
      <c r="AL471" s="1998">
        <f>IF(Construction!$F$31=Construction!$R$22,Oeko!CY471,Oeko!FL471)</f>
        <v>11.707352104524935</v>
      </c>
      <c r="AM471" s="1979">
        <f>IF(Construction!$F$31=Construction!$R$22,Oeko!CZ471,Oeko!FM471)</f>
        <v>25.581437287940258</v>
      </c>
      <c r="AN471" s="1979">
        <f>IF(Construction!$F$31=Construction!$R$22,Oeko!DA471,Oeko!FN471)</f>
        <v>6.1056326213138252</v>
      </c>
      <c r="AO471" s="1979">
        <f>IF(Construction!$F$31=Construction!$R$22,Oeko!DB471,Oeko!FO471)</f>
        <v>6.1758686802226901</v>
      </c>
      <c r="AP471" s="1979">
        <f>IF(Construction!$F$31=Construction!$R$22,Oeko!DC471,Oeko!FP471)</f>
        <v>6.2733475653104538</v>
      </c>
      <c r="AQ471" s="1979">
        <f>IF(Construction!$F$31=Construction!$R$22,Oeko!DD471,Oeko!FQ471)</f>
        <v>6.3708264503982175</v>
      </c>
      <c r="AR471" s="1998">
        <f>IF(Construction!$F$31=Construction!$R$22,Oeko!DE471,Oeko!FR471)</f>
        <v>75.138166933297214</v>
      </c>
      <c r="AS471" s="1998">
        <f>IF(Construction!$F$31=Construction!$R$22,Oeko!DF471,Oeko!FS471)</f>
        <v>76.315057747611903</v>
      </c>
      <c r="AT471" s="1998">
        <f>IF(Construction!$F$31=Construction!$R$22,Oeko!DG471,Oeko!FT471)</f>
        <v>77.393874327400354</v>
      </c>
      <c r="AU471" s="1998">
        <f>IF(Construction!$F$31=Construction!$R$22,Oeko!DH471,Oeko!FU471)</f>
        <v>78.570765141715043</v>
      </c>
      <c r="AV471" s="1998">
        <f>IF(Construction!$F$31=Construction!$R$22,Oeko!DI471,Oeko!FV471)</f>
        <v>81.414917942975507</v>
      </c>
      <c r="AW471" s="1979">
        <f>IF(Construction!$F$31=Construction!$R$22,Oeko!DJ471,Oeko!FW471)</f>
        <v>77.638128442245062</v>
      </c>
      <c r="AX471" s="1979">
        <f>IF(Construction!$F$31=Construction!$R$22,Oeko!DK471,Oeko!FX471)</f>
        <v>78.812686547981841</v>
      </c>
      <c r="AY471" s="1979">
        <f>IF(Construction!$F$31=Construction!$R$22,Oeko!DL471,Oeko!FY471)</f>
        <v>79.889364811573898</v>
      </c>
      <c r="AZ471" s="1979">
        <f>IF(Construction!$F$31=Construction!$R$22,Oeko!DM471,Oeko!FZ471)</f>
        <v>81.063922917310677</v>
      </c>
      <c r="BA471" s="1979">
        <f>IF(Construction!$F$31=Construction!$R$22,Oeko!DN471,Oeko!GA471)</f>
        <v>83.902438339507924</v>
      </c>
      <c r="BB471" s="1998">
        <f>IF(Construction!$F$31=Construction!$R$22,Oeko!DO471,Oeko!GB471)</f>
        <v>5.2555340947382323</v>
      </c>
      <c r="BC471" s="1998">
        <f>IF(Construction!$F$31=Construction!$R$22,Oeko!DP471,Oeko!GC471)</f>
        <v>5.4286379644125216</v>
      </c>
      <c r="BD471" s="1998">
        <f>IF(Construction!$F$31=Construction!$R$22,Oeko!DQ471,Oeko!GD471)</f>
        <v>5.6017418340868108</v>
      </c>
      <c r="BE471" s="1998">
        <f>IF(Construction!$F$31=Construction!$R$22,Oeko!DR471,Oeko!GE471)</f>
        <v>5.7748457037610983</v>
      </c>
      <c r="BF471" s="1998">
        <f>IF(Construction!$F$31=Construction!$R$22,Oeko!DS471,Oeko!GF471)</f>
        <v>5.9479495734353884</v>
      </c>
      <c r="BG471" s="1979">
        <f>IF(Construction!$F$31=Construction!$R$22,Oeko!DT471,Oeko!GG471)</f>
        <v>6.1210235287514152</v>
      </c>
      <c r="BH471" s="1979">
        <f>IF(Construction!$F$31=Construction!$R$22,Oeko!DU471,Oeko!GH471)</f>
        <v>6.2934899600742789</v>
      </c>
      <c r="BI471" s="1979">
        <f>IF(Construction!$F$31=Construction!$R$22,Oeko!DV471,Oeko!GI471)</f>
        <v>6.4659563913971443</v>
      </c>
      <c r="BJ471" s="1979">
        <f>IF(Construction!$F$31=Construction!$R$22,Oeko!DW471,Oeko!GJ471)</f>
        <v>6.6384228227200097</v>
      </c>
      <c r="BK471" s="2021">
        <f>IF(Construction!$F$31=Construction!$R$22,Oeko!DX471,Oeko!GK471)</f>
        <v>6.8108892540428743</v>
      </c>
      <c r="BN471" s="2022"/>
      <c r="BO471" s="2">
        <v>9</v>
      </c>
      <c r="BP471" s="2" t="s">
        <v>4335</v>
      </c>
      <c r="BQ471" s="1998">
        <v>30.730388145760884</v>
      </c>
      <c r="BR471" s="1998">
        <v>6.0313296209641862</v>
      </c>
      <c r="BS471" s="1998">
        <v>6.0884840309108146</v>
      </c>
      <c r="BT471" s="1998">
        <v>6.1737780553626065</v>
      </c>
      <c r="BU471" s="1998">
        <v>6.2590720798143993</v>
      </c>
      <c r="BV471" s="1979">
        <v>60.369560139505502</v>
      </c>
      <c r="BW471" s="1979">
        <v>10.099745076358159</v>
      </c>
      <c r="BX471" s="1979">
        <v>10.193269762926057</v>
      </c>
      <c r="BY471" s="1979">
        <v>10.339488090557701</v>
      </c>
      <c r="BZ471" s="1979">
        <v>10.485706418189347</v>
      </c>
      <c r="CA471" s="1998">
        <v>5.7342975293720535</v>
      </c>
      <c r="CB471" s="1998">
        <v>5.8178508594472778</v>
      </c>
      <c r="CC471" s="1998">
        <v>5.8387391919660852</v>
      </c>
      <c r="CD471" s="1998">
        <v>5.8596275244848917</v>
      </c>
      <c r="CE471" s="1998">
        <v>5.8979228007693703</v>
      </c>
      <c r="CF471" s="1979">
        <v>8.133774306402632</v>
      </c>
      <c r="CG471" s="1979">
        <v>8.2434380521263666</v>
      </c>
      <c r="CH471" s="1979">
        <v>8.2708539885572989</v>
      </c>
      <c r="CI471" s="1979">
        <v>8.2982699249882312</v>
      </c>
      <c r="CJ471" s="1979">
        <v>8.348532475111611</v>
      </c>
      <c r="CK471" s="1998">
        <v>6.3405265010587026</v>
      </c>
      <c r="CL471" s="1998">
        <v>6.4282574976376887</v>
      </c>
      <c r="CM471" s="1998">
        <v>6.4501902467824355</v>
      </c>
      <c r="CN471" s="1998">
        <v>6.4721229959271822</v>
      </c>
      <c r="CO471" s="1998">
        <v>6.5123330360258844</v>
      </c>
      <c r="CP471" s="1979">
        <v>5.7844152896927481</v>
      </c>
      <c r="CQ471" s="1979">
        <v>5.85752445350857</v>
      </c>
      <c r="CR471" s="1979">
        <v>5.8818941747805109</v>
      </c>
      <c r="CS471" s="1979">
        <v>5.9062638960524501</v>
      </c>
      <c r="CT471" s="1979">
        <v>5.9509417183843425</v>
      </c>
      <c r="CU471" s="1998">
        <v>11.187464717390199</v>
      </c>
      <c r="CV471" s="1998">
        <v>11.284943602477961</v>
      </c>
      <c r="CW471" s="1998">
        <v>11.374299247141746</v>
      </c>
      <c r="CX471" s="1998">
        <v>11.471778132229506</v>
      </c>
      <c r="CY471" s="1998">
        <v>11.707352104524935</v>
      </c>
      <c r="CZ471" s="1979">
        <v>25.581437287940258</v>
      </c>
      <c r="DA471" s="1979">
        <v>6.1056326213138252</v>
      </c>
      <c r="DB471" s="1979">
        <v>6.1758686802226901</v>
      </c>
      <c r="DC471" s="1979">
        <v>6.2733475653104538</v>
      </c>
      <c r="DD471" s="1979">
        <v>6.3708264503982175</v>
      </c>
      <c r="DE471" s="1998">
        <v>75.138166933297214</v>
      </c>
      <c r="DF471" s="1998">
        <v>76.315057747611903</v>
      </c>
      <c r="DG471" s="1998">
        <v>77.393874327400354</v>
      </c>
      <c r="DH471" s="1998">
        <v>78.570765141715043</v>
      </c>
      <c r="DI471" s="1998">
        <v>81.414917942975507</v>
      </c>
      <c r="DJ471" s="1979">
        <v>77.638128442245062</v>
      </c>
      <c r="DK471" s="1979">
        <v>78.812686547981841</v>
      </c>
      <c r="DL471" s="1979">
        <v>79.889364811573898</v>
      </c>
      <c r="DM471" s="1979">
        <v>81.063922917310677</v>
      </c>
      <c r="DN471" s="1979">
        <v>83.902438339507924</v>
      </c>
      <c r="DO471" s="1998">
        <v>5.2555340947382323</v>
      </c>
      <c r="DP471" s="1998">
        <v>5.4286379644125216</v>
      </c>
      <c r="DQ471" s="1998">
        <v>5.6017418340868108</v>
      </c>
      <c r="DR471" s="1998">
        <v>5.7748457037610983</v>
      </c>
      <c r="DS471" s="1998">
        <v>5.9479495734353884</v>
      </c>
      <c r="DT471" s="1979">
        <v>6.1210235287514152</v>
      </c>
      <c r="DU471" s="1979">
        <v>6.2934899600742789</v>
      </c>
      <c r="DV471" s="1979">
        <v>6.4659563913971443</v>
      </c>
      <c r="DW471" s="1979">
        <v>6.6384228227200097</v>
      </c>
      <c r="DX471" s="2021">
        <v>6.8108892540428743</v>
      </c>
      <c r="EA471" s="2022"/>
      <c r="EB471" s="2">
        <v>9</v>
      </c>
      <c r="EC471" s="2" t="s">
        <v>4335</v>
      </c>
      <c r="ED471" s="1998">
        <v>30.830329440578907</v>
      </c>
      <c r="EE471" s="1998">
        <v>6.131270915782209</v>
      </c>
      <c r="EF471" s="1998">
        <v>6.1884253257288373</v>
      </c>
      <c r="EG471" s="1998">
        <v>6.273719350180631</v>
      </c>
      <c r="EH471" s="1998">
        <v>6.3590133746324229</v>
      </c>
      <c r="EI471" s="1979">
        <v>60.85559043640999</v>
      </c>
      <c r="EJ471" s="1979">
        <v>10.585775373262653</v>
      </c>
      <c r="EK471" s="1979">
        <v>10.679300059830551</v>
      </c>
      <c r="EL471" s="1979">
        <v>10.825518387462195</v>
      </c>
      <c r="EM471" s="1979">
        <v>10.97173671509384</v>
      </c>
      <c r="EN471" s="1998">
        <v>5.9110358191555061</v>
      </c>
      <c r="EO471" s="1998">
        <v>5.9945891492307304</v>
      </c>
      <c r="EP471" s="1998">
        <v>6.0154774817495369</v>
      </c>
      <c r="EQ471" s="1998">
        <v>6.0363658142683434</v>
      </c>
      <c r="ER471" s="1998">
        <v>6.074661090552822</v>
      </c>
      <c r="ES471" s="1979">
        <v>8.3558017829430931</v>
      </c>
      <c r="ET471" s="1979">
        <v>8.4654655286668277</v>
      </c>
      <c r="EU471" s="1979">
        <v>8.49288146509776</v>
      </c>
      <c r="EV471" s="1979">
        <v>8.5202974015286941</v>
      </c>
      <c r="EW471" s="1979">
        <v>8.5705599516520721</v>
      </c>
      <c r="EX471" s="1998">
        <v>6.5101952592508168</v>
      </c>
      <c r="EY471" s="1998">
        <v>6.597926255829802</v>
      </c>
      <c r="EZ471" s="1998">
        <v>6.6198590049745496</v>
      </c>
      <c r="FA471" s="1998">
        <v>6.6417917541192972</v>
      </c>
      <c r="FB471" s="1998">
        <v>6.6820017942179994</v>
      </c>
      <c r="FC471" s="1979">
        <v>5.8786757109105885</v>
      </c>
      <c r="FD471" s="1979">
        <v>5.9517848747264104</v>
      </c>
      <c r="FE471" s="1979">
        <v>5.9761545959983513</v>
      </c>
      <c r="FF471" s="1979">
        <v>6.0005243172702922</v>
      </c>
      <c r="FG471" s="1979">
        <v>6.0452021396021829</v>
      </c>
      <c r="FH471" s="1998">
        <v>11.518554446917866</v>
      </c>
      <c r="FI471" s="1998">
        <v>11.61603333200563</v>
      </c>
      <c r="FJ471" s="1998">
        <v>11.705388976669411</v>
      </c>
      <c r="FK471" s="1998">
        <v>11.802867861757173</v>
      </c>
      <c r="FL471" s="1998">
        <v>12.0384418340526</v>
      </c>
      <c r="FM471" s="1979">
        <v>25.893674933224357</v>
      </c>
      <c r="FN471" s="1979">
        <v>6.4178702665979239</v>
      </c>
      <c r="FO471" s="1979">
        <v>6.4881063255067888</v>
      </c>
      <c r="FP471" s="1979">
        <v>6.5855852105945516</v>
      </c>
      <c r="FQ471" s="1979">
        <v>6.6830640956823153</v>
      </c>
      <c r="FR471" s="1998">
        <v>78.623394122149961</v>
      </c>
      <c r="FS471" s="1998">
        <v>79.800284936464635</v>
      </c>
      <c r="FT471" s="1998">
        <v>80.879101516253101</v>
      </c>
      <c r="FU471" s="1998">
        <v>82.055992330567776</v>
      </c>
      <c r="FV471" s="1998">
        <v>84.900145131828239</v>
      </c>
      <c r="FW471" s="1979">
        <v>81.159039245080862</v>
      </c>
      <c r="FX471" s="1979">
        <v>82.333597350817655</v>
      </c>
      <c r="FY471" s="1979">
        <v>83.410275614409699</v>
      </c>
      <c r="FZ471" s="1979">
        <v>84.584833720146491</v>
      </c>
      <c r="GA471" s="1979">
        <v>87.423349142343724</v>
      </c>
      <c r="GB471" s="1998">
        <v>5.3940625027023703</v>
      </c>
      <c r="GC471" s="1998">
        <v>5.5671663723766596</v>
      </c>
      <c r="GD471" s="1998">
        <v>5.7402702420509479</v>
      </c>
      <c r="GE471" s="1998">
        <v>5.9133741117252372</v>
      </c>
      <c r="GF471" s="1998">
        <v>6.0864779813995264</v>
      </c>
      <c r="GG471" s="1979">
        <v>6.2590418191765034</v>
      </c>
      <c r="GH471" s="1979">
        <v>6.4315082504993688</v>
      </c>
      <c r="GI471" s="1979">
        <v>6.6039746818222334</v>
      </c>
      <c r="GJ471" s="1979">
        <v>6.7764411131450979</v>
      </c>
      <c r="GK471" s="2021">
        <v>6.9489075444679624</v>
      </c>
    </row>
    <row r="472" spans="1:193">
      <c r="A472" s="2020"/>
      <c r="B472" s="2">
        <v>10</v>
      </c>
      <c r="C472" s="2" t="s">
        <v>4336</v>
      </c>
      <c r="D472" s="1998">
        <f>IF(Construction!$F$31=Construction!$R$22,Oeko!BQ472,Oeko!ED472)</f>
        <v>34.01661397527554</v>
      </c>
      <c r="E472" s="1998">
        <f>IF(Construction!$F$31=Construction!$R$22,Oeko!BR472,Oeko!EE472)</f>
        <v>6.1978467379860236</v>
      </c>
      <c r="F472" s="1998">
        <f>IF(Construction!$F$31=Construction!$R$22,Oeko!BS472,Oeko!EF472)</f>
        <v>6.2532484836827393</v>
      </c>
      <c r="G472" s="1998">
        <f>IF(Construction!$F$31=Construction!$R$22,Oeko!BT472,Oeko!EG472)</f>
        <v>6.338542508134533</v>
      </c>
      <c r="H472" s="1998">
        <f>IF(Construction!$F$31=Construction!$R$22,Oeko!BU472,Oeko!EH472)</f>
        <v>6.4238365325863258</v>
      </c>
      <c r="I472" s="1979">
        <f>IF(Construction!$F$31=Construction!$R$22,Oeko!BV472,Oeko!EI472)</f>
        <v>34.63581001201041</v>
      </c>
      <c r="J472" s="1979">
        <f>IF(Construction!$F$31=Construction!$R$22,Oeko!BW472,Oeko!EJ472)</f>
        <v>8.0911871327590621</v>
      </c>
      <c r="K472" s="1979">
        <f>IF(Construction!$F$31=Construction!$R$22,Oeko!BX472,Oeko!EK472)</f>
        <v>8.1980407227583978</v>
      </c>
      <c r="L472" s="1979">
        <f>IF(Construction!$F$31=Construction!$R$22,Oeko!BY472,Oeko!EL472)</f>
        <v>8.3442590503900416</v>
      </c>
      <c r="M472" s="1979">
        <f>IF(Construction!$F$31=Construction!$R$22,Oeko!BZ472,Oeko!EM472)</f>
        <v>8.4904773780216853</v>
      </c>
      <c r="N472" s="1998">
        <f>IF(Construction!$F$31=Construction!$R$22,Oeko!CA472,Oeko!EN472)</f>
        <v>5.4122476958461379</v>
      </c>
      <c r="O472" s="1998">
        <f>IF(Construction!$F$31=Construction!$R$22,Oeko!CB472,Oeko!EO472)</f>
        <v>5.4958010259213639</v>
      </c>
      <c r="P472" s="1998">
        <f>IF(Construction!$F$31=Construction!$R$22,Oeko!CC472,Oeko!EP472)</f>
        <v>5.5236521359464392</v>
      </c>
      <c r="Q472" s="1998">
        <f>IF(Construction!$F$31=Construction!$R$22,Oeko!CD472,Oeko!EQ472)</f>
        <v>5.5515032459715146</v>
      </c>
      <c r="R472" s="1998">
        <f>IF(Construction!$F$31=Construction!$R$22,Oeko!CE472,Oeko!ER472)</f>
        <v>5.6025636143508182</v>
      </c>
      <c r="S472" s="1979">
        <f>IF(Construction!$F$31=Construction!$R$22,Oeko!CF472,Oeko!ES472)</f>
        <v>8.3848901080061466</v>
      </c>
      <c r="T472" s="1979">
        <f>IF(Construction!$F$31=Construction!$R$22,Oeko!CG472,Oeko!ET472)</f>
        <v>8.4945538537298795</v>
      </c>
      <c r="U472" s="1979">
        <f>IF(Construction!$F$31=Construction!$R$22,Oeko!CH472,Oeko!EU472)</f>
        <v>8.5219697901608136</v>
      </c>
      <c r="V472" s="1979">
        <f>IF(Construction!$F$31=Construction!$R$22,Oeko!CI472,Oeko!EV472)</f>
        <v>8.5493857265917459</v>
      </c>
      <c r="W472" s="1979">
        <f>IF(Construction!$F$31=Construction!$R$22,Oeko!CJ472,Oeko!EW472)</f>
        <v>8.5996482767151239</v>
      </c>
      <c r="X472" s="1998">
        <f>IF(Construction!$F$31=Construction!$R$22,Oeko!CK472,Oeko!EX472)</f>
        <v>6.1106329881033394</v>
      </c>
      <c r="Y472" s="1998">
        <f>IF(Construction!$F$31=Construction!$R$22,Oeko!CL472,Oeko!EY472)</f>
        <v>6.1983639846823273</v>
      </c>
      <c r="Z472" s="1998">
        <f>IF(Construction!$F$31=Construction!$R$22,Oeko!CM472,Oeko!EZ472)</f>
        <v>6.2276076502086557</v>
      </c>
      <c r="AA472" s="1998">
        <f>IF(Construction!$F$31=Construction!$R$22,Oeko!CN472,Oeko!FA472)</f>
        <v>6.256851315734985</v>
      </c>
      <c r="AB472" s="1998">
        <f>IF(Construction!$F$31=Construction!$R$22,Oeko!CO472,Oeko!FB472)</f>
        <v>6.3104647025332552</v>
      </c>
      <c r="AC472" s="1979">
        <f>IF(Construction!$F$31=Construction!$R$22,Oeko!CP472,Oeko!FC472)</f>
        <v>6.1750398699648796</v>
      </c>
      <c r="AD472" s="1979">
        <f>IF(Construction!$F$31=Construction!$R$22,Oeko!CQ472,Oeko!FD472)</f>
        <v>6.2481490337807024</v>
      </c>
      <c r="AE472" s="1979">
        <f>IF(Construction!$F$31=Construction!$R$22,Oeko!CR472,Oeko!FE472)</f>
        <v>6.2725187550526442</v>
      </c>
      <c r="AF472" s="1979">
        <f>IF(Construction!$F$31=Construction!$R$22,Oeko!CS472,Oeko!FF472)</f>
        <v>6.2968884763245843</v>
      </c>
      <c r="AG472" s="1979">
        <f>IF(Construction!$F$31=Construction!$R$22,Oeko!CT472,Oeko!FG472)</f>
        <v>6.3415662986564758</v>
      </c>
      <c r="AH472" s="1998">
        <f>IF(Construction!$F$31=Construction!$R$22,Oeko!CU472,Oeko!FH472)</f>
        <v>9.5648476534402072</v>
      </c>
      <c r="AI472" s="1998">
        <f>IF(Construction!$F$31=Construction!$R$22,Oeko!CV472,Oeko!FI472)</f>
        <v>9.7110659810718527</v>
      </c>
      <c r="AJ472" s="1998">
        <f>IF(Construction!$F$31=Construction!$R$22,Oeko!CW472,Oeko!FJ472)</f>
        <v>9.8450994480675256</v>
      </c>
      <c r="AK472" s="1998">
        <f>IF(Construction!$F$31=Construction!$R$22,Oeko!CX472,Oeko!FK472)</f>
        <v>9.9913177756991693</v>
      </c>
      <c r="AL472" s="1998">
        <f>IF(Construction!$F$31=Construction!$R$22,Oeko!CY472,Oeko!FL472)</f>
        <v>10.34467873414231</v>
      </c>
      <c r="AM472" s="1979">
        <f>IF(Construction!$F$31=Construction!$R$22,Oeko!CZ472,Oeko!FM472)</f>
        <v>19.725656497859042</v>
      </c>
      <c r="AN472" s="1979">
        <f>IF(Construction!$F$31=Construction!$R$22,Oeko!DA472,Oeko!FN472)</f>
        <v>5.5880200726092042</v>
      </c>
      <c r="AO472" s="1979">
        <f>IF(Construction!$F$31=Construction!$R$22,Oeko!DB472,Oeko!FO472)</f>
        <v>5.6612551347901423</v>
      </c>
      <c r="AP472" s="1979">
        <f>IF(Construction!$F$31=Construction!$R$22,Oeko!DC472,Oeko!FP472)</f>
        <v>5.758734019877906</v>
      </c>
      <c r="AQ472" s="1979">
        <f>IF(Construction!$F$31=Construction!$R$22,Oeko!DD472,Oeko!FQ472)</f>
        <v>5.8562129049656697</v>
      </c>
      <c r="AR472" s="1998">
        <f>IF(Construction!$F$31=Construction!$R$22,Oeko!DE472,Oeko!FR472)</f>
        <v>82.180911661017717</v>
      </c>
      <c r="AS472" s="1998">
        <f>IF(Construction!$F$31=Construction!$R$22,Oeko!DF472,Oeko!FS472)</f>
        <v>83.357802475332392</v>
      </c>
      <c r="AT472" s="1998">
        <f>IF(Construction!$F$31=Construction!$R$22,Oeko!DG472,Oeko!FT472)</f>
        <v>84.436619055120843</v>
      </c>
      <c r="AU472" s="1998">
        <f>IF(Construction!$F$31=Construction!$R$22,Oeko!DH472,Oeko!FU472)</f>
        <v>85.613509869435532</v>
      </c>
      <c r="AV472" s="1998">
        <f>IF(Construction!$F$31=Construction!$R$22,Oeko!DI472,Oeko!FV472)</f>
        <v>88.457662670695981</v>
      </c>
      <c r="AW472" s="1979">
        <f>IF(Construction!$F$31=Construction!$R$22,Oeko!DJ472,Oeko!FW472)</f>
        <v>82.972474461881291</v>
      </c>
      <c r="AX472" s="1979">
        <f>IF(Construction!$F$31=Construction!$R$22,Oeko!DK472,Oeko!FX472)</f>
        <v>84.147032567618083</v>
      </c>
      <c r="AY472" s="1979">
        <f>IF(Construction!$F$31=Construction!$R$22,Oeko!DL472,Oeko!FY472)</f>
        <v>85.223710831210127</v>
      </c>
      <c r="AZ472" s="1979">
        <f>IF(Construction!$F$31=Construction!$R$22,Oeko!DM472,Oeko!FZ472)</f>
        <v>86.398268936946906</v>
      </c>
      <c r="BA472" s="1979">
        <f>IF(Construction!$F$31=Construction!$R$22,Oeko!DN472,Oeko!GA472)</f>
        <v>89.236784359144139</v>
      </c>
      <c r="BB472" s="1998">
        <f>IF(Construction!$F$31=Construction!$R$22,Oeko!DO472,Oeko!GB472)</f>
        <v>5.5835772544236191</v>
      </c>
      <c r="BC472" s="1998">
        <f>IF(Construction!$F$31=Construction!$R$22,Oeko!DP472,Oeko!GC472)</f>
        <v>5.7566811240979074</v>
      </c>
      <c r="BD472" s="1998">
        <f>IF(Construction!$F$31=Construction!$R$22,Oeko!DQ472,Oeko!GD472)</f>
        <v>5.9297849937721976</v>
      </c>
      <c r="BE472" s="1998">
        <f>IF(Construction!$F$31=Construction!$R$22,Oeko!DR472,Oeko!GE472)</f>
        <v>6.1028888634464868</v>
      </c>
      <c r="BF472" s="1998">
        <f>IF(Construction!$F$31=Construction!$R$22,Oeko!DS472,Oeko!GF472)</f>
        <v>6.2759927331207761</v>
      </c>
      <c r="BG472" s="1979">
        <f>IF(Construction!$F$31=Construction!$R$22,Oeko!DT472,Oeko!GG472)</f>
        <v>6.415175183821531</v>
      </c>
      <c r="BH472" s="1979">
        <f>IF(Construction!$F$31=Construction!$R$22,Oeko!DU472,Oeko!GH472)</f>
        <v>6.5876416151443955</v>
      </c>
      <c r="BI472" s="1979">
        <f>IF(Construction!$F$31=Construction!$R$22,Oeko!DV472,Oeko!GI472)</f>
        <v>6.76010804646726</v>
      </c>
      <c r="BJ472" s="1979">
        <f>IF(Construction!$F$31=Construction!$R$22,Oeko!DW472,Oeko!GJ472)</f>
        <v>6.9325744777901246</v>
      </c>
      <c r="BK472" s="2021">
        <f>IF(Construction!$F$31=Construction!$R$22,Oeko!DX472,Oeko!GK472)</f>
        <v>7.1050409091129891</v>
      </c>
      <c r="BN472" s="2022"/>
      <c r="BO472" s="2">
        <v>10</v>
      </c>
      <c r="BP472" s="2" t="s">
        <v>4336</v>
      </c>
      <c r="BQ472" s="1998">
        <v>34.01661397527554</v>
      </c>
      <c r="BR472" s="1998">
        <v>6.1978467379860236</v>
      </c>
      <c r="BS472" s="1998">
        <v>6.2532484836827393</v>
      </c>
      <c r="BT472" s="1998">
        <v>6.338542508134533</v>
      </c>
      <c r="BU472" s="1998">
        <v>6.4238365325863258</v>
      </c>
      <c r="BV472" s="1979">
        <v>34.63581001201041</v>
      </c>
      <c r="BW472" s="1979">
        <v>8.0911871327590621</v>
      </c>
      <c r="BX472" s="1979">
        <v>8.1980407227583978</v>
      </c>
      <c r="BY472" s="1979">
        <v>8.3442590503900416</v>
      </c>
      <c r="BZ472" s="1979">
        <v>8.4904773780216853</v>
      </c>
      <c r="CA472" s="1998">
        <v>5.4122476958461379</v>
      </c>
      <c r="CB472" s="1998">
        <v>5.4958010259213639</v>
      </c>
      <c r="CC472" s="1998">
        <v>5.5236521359464392</v>
      </c>
      <c r="CD472" s="1998">
        <v>5.5515032459715146</v>
      </c>
      <c r="CE472" s="1998">
        <v>5.6025636143508182</v>
      </c>
      <c r="CF472" s="1979">
        <v>8.3848901080061466</v>
      </c>
      <c r="CG472" s="1979">
        <v>8.4945538537298795</v>
      </c>
      <c r="CH472" s="1979">
        <v>8.5219697901608136</v>
      </c>
      <c r="CI472" s="1979">
        <v>8.5493857265917459</v>
      </c>
      <c r="CJ472" s="1979">
        <v>8.5996482767151239</v>
      </c>
      <c r="CK472" s="1998">
        <v>6.1106329881033394</v>
      </c>
      <c r="CL472" s="1998">
        <v>6.1983639846823273</v>
      </c>
      <c r="CM472" s="1998">
        <v>6.2276076502086557</v>
      </c>
      <c r="CN472" s="1998">
        <v>6.256851315734985</v>
      </c>
      <c r="CO472" s="1998">
        <v>6.3104647025332552</v>
      </c>
      <c r="CP472" s="1979">
        <v>6.1750398699648796</v>
      </c>
      <c r="CQ472" s="1979">
        <v>6.2481490337807024</v>
      </c>
      <c r="CR472" s="1979">
        <v>6.2725187550526442</v>
      </c>
      <c r="CS472" s="1979">
        <v>6.2968884763245843</v>
      </c>
      <c r="CT472" s="1979">
        <v>6.3415662986564758</v>
      </c>
      <c r="CU472" s="1998">
        <v>9.5648476534402072</v>
      </c>
      <c r="CV472" s="1998">
        <v>9.7110659810718527</v>
      </c>
      <c r="CW472" s="1998">
        <v>9.8450994480675256</v>
      </c>
      <c r="CX472" s="1998">
        <v>9.9913177756991693</v>
      </c>
      <c r="CY472" s="1998">
        <v>10.34467873414231</v>
      </c>
      <c r="CZ472" s="1979">
        <v>19.725656497859042</v>
      </c>
      <c r="DA472" s="1979">
        <v>5.5880200726092042</v>
      </c>
      <c r="DB472" s="1979">
        <v>5.6612551347901423</v>
      </c>
      <c r="DC472" s="1979">
        <v>5.758734019877906</v>
      </c>
      <c r="DD472" s="1979">
        <v>5.8562129049656697</v>
      </c>
      <c r="DE472" s="1998">
        <v>82.180911661017717</v>
      </c>
      <c r="DF472" s="1998">
        <v>83.357802475332392</v>
      </c>
      <c r="DG472" s="1998">
        <v>84.436619055120843</v>
      </c>
      <c r="DH472" s="1998">
        <v>85.613509869435532</v>
      </c>
      <c r="DI472" s="1998">
        <v>88.457662670695981</v>
      </c>
      <c r="DJ472" s="1979">
        <v>82.972474461881291</v>
      </c>
      <c r="DK472" s="1979">
        <v>84.147032567618083</v>
      </c>
      <c r="DL472" s="1979">
        <v>85.223710831210127</v>
      </c>
      <c r="DM472" s="1979">
        <v>86.398268936946906</v>
      </c>
      <c r="DN472" s="1979">
        <v>89.236784359144139</v>
      </c>
      <c r="DO472" s="1998">
        <v>5.5835772544236191</v>
      </c>
      <c r="DP472" s="1998">
        <v>5.7566811240979074</v>
      </c>
      <c r="DQ472" s="1998">
        <v>5.9297849937721976</v>
      </c>
      <c r="DR472" s="1998">
        <v>6.1028888634464868</v>
      </c>
      <c r="DS472" s="1998">
        <v>6.2759927331207761</v>
      </c>
      <c r="DT472" s="1979">
        <v>6.415175183821531</v>
      </c>
      <c r="DU472" s="1979">
        <v>6.5876416151443955</v>
      </c>
      <c r="DV472" s="1979">
        <v>6.76010804646726</v>
      </c>
      <c r="DW472" s="1979">
        <v>6.9325744777901246</v>
      </c>
      <c r="DX472" s="2021">
        <v>7.1050409091129891</v>
      </c>
      <c r="EA472" s="2022"/>
      <c r="EB472" s="2">
        <v>10</v>
      </c>
      <c r="EC472" s="2" t="s">
        <v>4336</v>
      </c>
      <c r="ED472" s="1998">
        <v>34.121719700639183</v>
      </c>
      <c r="EE472" s="1998">
        <v>6.3029524633496683</v>
      </c>
      <c r="EF472" s="1998">
        <v>6.3583542090463832</v>
      </c>
      <c r="EG472" s="1998">
        <v>6.4436482334981759</v>
      </c>
      <c r="EH472" s="1998">
        <v>6.5289422579499696</v>
      </c>
      <c r="EI472" s="1979">
        <v>35.254394026252498</v>
      </c>
      <c r="EJ472" s="1979">
        <v>8.7097711470011419</v>
      </c>
      <c r="EK472" s="1979">
        <v>8.8166247370004793</v>
      </c>
      <c r="EL472" s="1979">
        <v>8.9628430646321249</v>
      </c>
      <c r="EM472" s="1979">
        <v>9.1090613922637687</v>
      </c>
      <c r="EN472" s="1998">
        <v>5.6478987488907402</v>
      </c>
      <c r="EO472" s="1998">
        <v>5.7314520789659662</v>
      </c>
      <c r="EP472" s="1998">
        <v>5.7593031889910415</v>
      </c>
      <c r="EQ472" s="1998">
        <v>5.787154299016116</v>
      </c>
      <c r="ER472" s="1998">
        <v>5.8382146673954205</v>
      </c>
      <c r="ES472" s="1979">
        <v>8.6168591133469281</v>
      </c>
      <c r="ET472" s="1979">
        <v>8.7265228590706609</v>
      </c>
      <c r="EU472" s="1979">
        <v>8.753938795501595</v>
      </c>
      <c r="EV472" s="1979">
        <v>8.7813547319325274</v>
      </c>
      <c r="EW472" s="1979">
        <v>8.8316172820559053</v>
      </c>
      <c r="EX472" s="1998">
        <v>6.3448112220664141</v>
      </c>
      <c r="EY472" s="1998">
        <v>6.4325422186454011</v>
      </c>
      <c r="EZ472" s="1998">
        <v>6.4617858841717295</v>
      </c>
      <c r="FA472" s="1998">
        <v>6.4910295496980588</v>
      </c>
      <c r="FB472" s="1998">
        <v>6.544642936496329</v>
      </c>
      <c r="FC472" s="1979">
        <v>6.2693002911827227</v>
      </c>
      <c r="FD472" s="1979">
        <v>6.3424094549985437</v>
      </c>
      <c r="FE472" s="1979">
        <v>6.3667791762704846</v>
      </c>
      <c r="FF472" s="1979">
        <v>6.3911488975424255</v>
      </c>
      <c r="FG472" s="1979">
        <v>6.4358267198743171</v>
      </c>
      <c r="FH472" s="1998">
        <v>10.043303452211124</v>
      </c>
      <c r="FI472" s="1998">
        <v>10.189521779842767</v>
      </c>
      <c r="FJ472" s="1998">
        <v>10.323555246838442</v>
      </c>
      <c r="FK472" s="1998">
        <v>10.469773574470086</v>
      </c>
      <c r="FL472" s="1998">
        <v>10.823134532913224</v>
      </c>
      <c r="FM472" s="1979">
        <v>20.165538463542298</v>
      </c>
      <c r="FN472" s="1979">
        <v>6.0279020382924617</v>
      </c>
      <c r="FO472" s="1979">
        <v>6.1011371004734007</v>
      </c>
      <c r="FP472" s="1979">
        <v>6.1986159855611644</v>
      </c>
      <c r="FQ472" s="1979">
        <v>6.2960948706489273</v>
      </c>
      <c r="FR472" s="1998">
        <v>85.964872608914973</v>
      </c>
      <c r="FS472" s="1998">
        <v>87.141763423229648</v>
      </c>
      <c r="FT472" s="1998">
        <v>88.2205800030181</v>
      </c>
      <c r="FU472" s="1998">
        <v>89.397470817332774</v>
      </c>
      <c r="FV472" s="1998">
        <v>92.241623618593252</v>
      </c>
      <c r="FW472" s="1979">
        <v>86.706343579404759</v>
      </c>
      <c r="FX472" s="1979">
        <v>87.880901685141538</v>
      </c>
      <c r="FY472" s="1979">
        <v>88.957579948733596</v>
      </c>
      <c r="FZ472" s="1979">
        <v>90.132138054470374</v>
      </c>
      <c r="GA472" s="1979">
        <v>92.970653476667607</v>
      </c>
      <c r="GB472" s="1998">
        <v>5.722105662387758</v>
      </c>
      <c r="GC472" s="1998">
        <v>5.8952095320620455</v>
      </c>
      <c r="GD472" s="1998">
        <v>6.0683134017363356</v>
      </c>
      <c r="GE472" s="1998">
        <v>6.2414172714106249</v>
      </c>
      <c r="GF472" s="1998">
        <v>6.4145211410849141</v>
      </c>
      <c r="GG472" s="1979">
        <v>6.5531934742466191</v>
      </c>
      <c r="GH472" s="1979">
        <v>6.7256599055694837</v>
      </c>
      <c r="GI472" s="1979">
        <v>6.8981263368923482</v>
      </c>
      <c r="GJ472" s="1979">
        <v>7.0705927682152145</v>
      </c>
      <c r="GK472" s="2021">
        <v>7.2430591995380791</v>
      </c>
    </row>
    <row r="473" spans="1:193">
      <c r="A473" s="2020"/>
      <c r="B473" s="2">
        <v>11</v>
      </c>
      <c r="C473" s="2" t="s">
        <v>4337</v>
      </c>
      <c r="D473" s="1998">
        <f>IF(Construction!$F$31=Construction!$R$22,Oeko!BQ473,Oeko!ED473)</f>
        <v>33.127296427133594</v>
      </c>
      <c r="E473" s="1998">
        <f>IF(Construction!$F$31=Construction!$R$22,Oeko!BR473,Oeko!EE473)</f>
        <v>6.0836420026702145</v>
      </c>
      <c r="F473" s="1998">
        <f>IF(Construction!$F$31=Construction!$R$22,Oeko!BS473,Oeko!EF473)</f>
        <v>6.1394792097006272</v>
      </c>
      <c r="G473" s="1998">
        <f>IF(Construction!$F$31=Construction!$R$22,Oeko!BT473,Oeko!EG473)</f>
        <v>6.2247732341524191</v>
      </c>
      <c r="H473" s="1998">
        <f>IF(Construction!$F$31=Construction!$R$22,Oeko!BU473,Oeko!EH473)</f>
        <v>6.310067258604211</v>
      </c>
      <c r="I473" s="1979">
        <f>IF(Construction!$F$31=Construction!$R$22,Oeko!BV473,Oeko!EI473)</f>
        <v>40.861655811850248</v>
      </c>
      <c r="J473" s="1979">
        <f>IF(Construction!$F$31=Construction!$R$22,Oeko!BW473,Oeko!EJ473)</f>
        <v>8.5109083843483706</v>
      </c>
      <c r="K473" s="1979">
        <f>IF(Construction!$F$31=Construction!$R$22,Oeko!BX473,Oeko!EK473)</f>
        <v>8.6145000714381474</v>
      </c>
      <c r="L473" s="1979">
        <f>IF(Construction!$F$31=Construction!$R$22,Oeko!BY473,Oeko!EL473)</f>
        <v>8.760718399069793</v>
      </c>
      <c r="M473" s="1979">
        <f>IF(Construction!$F$31=Construction!$R$22,Oeko!BZ473,Oeko!EM473)</f>
        <v>8.9069367267014385</v>
      </c>
      <c r="N473" s="1998">
        <f>IF(Construction!$F$31=Construction!$R$22,Oeko!CA473,Oeko!EN473)</f>
        <v>5.5312951869766938</v>
      </c>
      <c r="O473" s="1998">
        <f>IF(Construction!$F$31=Construction!$R$22,Oeko!CB473,Oeko!EO473)</f>
        <v>5.6148485170519189</v>
      </c>
      <c r="P473" s="1998">
        <f>IF(Construction!$F$31=Construction!$R$22,Oeko!CC473,Oeko!EP473)</f>
        <v>5.6426996270769942</v>
      </c>
      <c r="Q473" s="1998">
        <f>IF(Construction!$F$31=Construction!$R$22,Oeko!CD473,Oeko!EQ473)</f>
        <v>5.6705507371020705</v>
      </c>
      <c r="R473" s="1998">
        <f>IF(Construction!$F$31=Construction!$R$22,Oeko!CE473,Oeko!ER473)</f>
        <v>5.7216111054813741</v>
      </c>
      <c r="S473" s="1979">
        <f>IF(Construction!$F$31=Construction!$R$22,Oeko!CF473,Oeko!ES473)</f>
        <v>8.1017084801720021</v>
      </c>
      <c r="T473" s="1979">
        <f>IF(Construction!$F$31=Construction!$R$22,Oeko!CG473,Oeko!ET473)</f>
        <v>8.2113722258957349</v>
      </c>
      <c r="U473" s="1979">
        <f>IF(Construction!$F$31=Construction!$R$22,Oeko!CH473,Oeko!EU473)</f>
        <v>8.2479268078036458</v>
      </c>
      <c r="V473" s="1979">
        <f>IF(Construction!$F$31=Construction!$R$22,Oeko!CI473,Oeko!EV473)</f>
        <v>8.2844813897115586</v>
      </c>
      <c r="W473" s="1979">
        <f>IF(Construction!$F$31=Construction!$R$22,Oeko!CJ473,Oeko!EW473)</f>
        <v>8.3514981232093941</v>
      </c>
      <c r="X473" s="1998">
        <f>IF(Construction!$F$31=Construction!$R$22,Oeko!CK473,Oeko!EX473)</f>
        <v>6.3505880874133638</v>
      </c>
      <c r="Y473" s="1998">
        <f>IF(Construction!$F$31=Construction!$R$22,Oeko!CL473,Oeko!EY473)</f>
        <v>6.4383190839923508</v>
      </c>
      <c r="Z473" s="1998">
        <f>IF(Construction!$F$31=Construction!$R$22,Oeko!CM473,Oeko!EZ473)</f>
        <v>6.4675627495186809</v>
      </c>
      <c r="AA473" s="1998">
        <f>IF(Construction!$F$31=Construction!$R$22,Oeko!CN473,Oeko!FA473)</f>
        <v>6.4968064150450093</v>
      </c>
      <c r="AB473" s="1998">
        <f>IF(Construction!$F$31=Construction!$R$22,Oeko!CO473,Oeko!FB473)</f>
        <v>6.5504198018432795</v>
      </c>
      <c r="AC473" s="1979">
        <f>IF(Construction!$F$31=Construction!$R$22,Oeko!CP473,Oeko!FC473)</f>
        <v>5.8041609666460054</v>
      </c>
      <c r="AD473" s="1979">
        <f>IF(Construction!$F$31=Construction!$R$22,Oeko!CQ473,Oeko!FD473)</f>
        <v>5.8772701304618282</v>
      </c>
      <c r="AE473" s="1979">
        <f>IF(Construction!$F$31=Construction!$R$22,Oeko!CR473,Oeko!FE473)</f>
        <v>5.9138247123697392</v>
      </c>
      <c r="AF473" s="1979">
        <f>IF(Construction!$F$31=Construction!$R$22,Oeko!CS473,Oeko!FF473)</f>
        <v>5.950379294277651</v>
      </c>
      <c r="AG473" s="1979">
        <f>IF(Construction!$F$31=Construction!$R$22,Oeko!CT473,Oeko!FG473)</f>
        <v>6.0173960277754874</v>
      </c>
      <c r="AH473" s="1998">
        <f>IF(Construction!$F$31=Construction!$R$22,Oeko!CU473,Oeko!FH473)</f>
        <v>9.870969773490204</v>
      </c>
      <c r="AI473" s="1998">
        <f>IF(Construction!$F$31=Construction!$R$22,Oeko!CV473,Oeko!FI473)</f>
        <v>10.017188101121848</v>
      </c>
      <c r="AJ473" s="1998">
        <f>IF(Construction!$F$31=Construction!$R$22,Oeko!CW473,Oeko!FJ473)</f>
        <v>10.151221568117524</v>
      </c>
      <c r="AK473" s="1998">
        <f>IF(Construction!$F$31=Construction!$R$22,Oeko!CX473,Oeko!FK473)</f>
        <v>10.297439895749168</v>
      </c>
      <c r="AL473" s="1998">
        <f>IF(Construction!$F$31=Construction!$R$22,Oeko!CY473,Oeko!FL473)</f>
        <v>10.650800854192308</v>
      </c>
      <c r="AM473" s="1979">
        <f>IF(Construction!$F$31=Construction!$R$22,Oeko!CZ473,Oeko!FM473)</f>
        <v>23.545811259355311</v>
      </c>
      <c r="AN473" s="1979">
        <f>IF(Construction!$F$31=Construction!$R$22,Oeko!DA473,Oeko!FN473)</f>
        <v>5.8493960065210739</v>
      </c>
      <c r="AO473" s="1979">
        <f>IF(Construction!$F$31=Construction!$R$22,Oeko!DB473,Oeko!FO473)</f>
        <v>5.9206317331872969</v>
      </c>
      <c r="AP473" s="1979">
        <f>IF(Construction!$F$31=Construction!$R$22,Oeko!DC473,Oeko!FP473)</f>
        <v>6.0181106182750606</v>
      </c>
      <c r="AQ473" s="1979">
        <f>IF(Construction!$F$31=Construction!$R$22,Oeko!DD473,Oeko!FQ473)</f>
        <v>6.1155895033628225</v>
      </c>
      <c r="AR473" s="1998">
        <f>IF(Construction!$F$31=Construction!$R$22,Oeko!DE473,Oeko!FR473)</f>
        <v>87.211443609389477</v>
      </c>
      <c r="AS473" s="1998">
        <f>IF(Construction!$F$31=Construction!$R$22,Oeko!DF473,Oeko!FS473)</f>
        <v>88.388334423704137</v>
      </c>
      <c r="AT473" s="1998">
        <f>IF(Construction!$F$31=Construction!$R$22,Oeko!DG473,Oeko!FT473)</f>
        <v>89.467151003492617</v>
      </c>
      <c r="AU473" s="1998">
        <f>IF(Construction!$F$31=Construction!$R$22,Oeko!DH473,Oeko!FU473)</f>
        <v>90.644041817807292</v>
      </c>
      <c r="AV473" s="1998">
        <f>IF(Construction!$F$31=Construction!$R$22,Oeko!DI473,Oeko!FV473)</f>
        <v>93.488194619067755</v>
      </c>
      <c r="AW473" s="1979">
        <f>IF(Construction!$F$31=Construction!$R$22,Oeko!DJ473,Oeko!FW473)</f>
        <v>87.239951277590251</v>
      </c>
      <c r="AX473" s="1979">
        <f>IF(Construction!$F$31=Construction!$R$22,Oeko!DK473,Oeko!FX473)</f>
        <v>88.414509383327044</v>
      </c>
      <c r="AY473" s="1979">
        <f>IF(Construction!$F$31=Construction!$R$22,Oeko!DL473,Oeko!FY473)</f>
        <v>89.491187646919087</v>
      </c>
      <c r="AZ473" s="1979">
        <f>IF(Construction!$F$31=Construction!$R$22,Oeko!DM473,Oeko!FZ473)</f>
        <v>90.66574575265588</v>
      </c>
      <c r="BA473" s="1979">
        <f>IF(Construction!$F$31=Construction!$R$22,Oeko!DN473,Oeko!GA473)</f>
        <v>93.504261174853127</v>
      </c>
      <c r="BB473" s="1998">
        <f>IF(Construction!$F$31=Construction!$R$22,Oeko!DO473,Oeko!GB473)</f>
        <v>5.9936312040303541</v>
      </c>
      <c r="BC473" s="1998">
        <f>IF(Construction!$F$31=Construction!$R$22,Oeko!DP473,Oeko!GC473)</f>
        <v>6.1667350737046416</v>
      </c>
      <c r="BD473" s="1998">
        <f>IF(Construction!$F$31=Construction!$R$22,Oeko!DQ473,Oeko!GD473)</f>
        <v>6.3398389433789335</v>
      </c>
      <c r="BE473" s="1998">
        <f>IF(Construction!$F$31=Construction!$R$22,Oeko!DR473,Oeko!GE473)</f>
        <v>6.512942813053221</v>
      </c>
      <c r="BF473" s="1998">
        <f>IF(Construction!$F$31=Construction!$R$22,Oeko!DS473,Oeko!GF473)</f>
        <v>6.6860466827275102</v>
      </c>
      <c r="BG473" s="1979">
        <f>IF(Construction!$F$31=Construction!$R$22,Oeko!DT473,Oeko!GG473)</f>
        <v>6.6848142009691385</v>
      </c>
      <c r="BH473" s="1979">
        <f>IF(Construction!$F$31=Construction!$R$22,Oeko!DU473,Oeko!GH473)</f>
        <v>6.857280632292003</v>
      </c>
      <c r="BI473" s="1979">
        <f>IF(Construction!$F$31=Construction!$R$22,Oeko!DV473,Oeko!GI473)</f>
        <v>7.0297470636148676</v>
      </c>
      <c r="BJ473" s="1979">
        <f>IF(Construction!$F$31=Construction!$R$22,Oeko!DW473,Oeko!GJ473)</f>
        <v>7.2022134949377321</v>
      </c>
      <c r="BK473" s="2021">
        <f>IF(Construction!$F$31=Construction!$R$22,Oeko!DX473,Oeko!GK473)</f>
        <v>7.3746799262605967</v>
      </c>
      <c r="BN473" s="2022"/>
      <c r="BO473" s="2">
        <v>11</v>
      </c>
      <c r="BP473" s="2" t="s">
        <v>4337</v>
      </c>
      <c r="BQ473" s="1998">
        <v>33.127296427133594</v>
      </c>
      <c r="BR473" s="1998">
        <v>6.0836420026702145</v>
      </c>
      <c r="BS473" s="1998">
        <v>6.1394792097006272</v>
      </c>
      <c r="BT473" s="1998">
        <v>6.2247732341524191</v>
      </c>
      <c r="BU473" s="1998">
        <v>6.310067258604211</v>
      </c>
      <c r="BV473" s="1979">
        <v>40.861655811850248</v>
      </c>
      <c r="BW473" s="1979">
        <v>8.5109083843483706</v>
      </c>
      <c r="BX473" s="1979">
        <v>8.6145000714381474</v>
      </c>
      <c r="BY473" s="1979">
        <v>8.760718399069793</v>
      </c>
      <c r="BZ473" s="1979">
        <v>8.9069367267014385</v>
      </c>
      <c r="CA473" s="1998">
        <v>5.5312951869766938</v>
      </c>
      <c r="CB473" s="1998">
        <v>5.6148485170519189</v>
      </c>
      <c r="CC473" s="1998">
        <v>5.6426996270769942</v>
      </c>
      <c r="CD473" s="1998">
        <v>5.6705507371020705</v>
      </c>
      <c r="CE473" s="1998">
        <v>5.7216111054813741</v>
      </c>
      <c r="CF473" s="1979">
        <v>8.1017084801720021</v>
      </c>
      <c r="CG473" s="1979">
        <v>8.2113722258957349</v>
      </c>
      <c r="CH473" s="1979">
        <v>8.2479268078036458</v>
      </c>
      <c r="CI473" s="1979">
        <v>8.2844813897115586</v>
      </c>
      <c r="CJ473" s="1979">
        <v>8.3514981232093941</v>
      </c>
      <c r="CK473" s="1998">
        <v>6.3505880874133638</v>
      </c>
      <c r="CL473" s="1998">
        <v>6.4383190839923508</v>
      </c>
      <c r="CM473" s="1998">
        <v>6.4675627495186809</v>
      </c>
      <c r="CN473" s="1998">
        <v>6.4968064150450093</v>
      </c>
      <c r="CO473" s="1998">
        <v>6.5504198018432795</v>
      </c>
      <c r="CP473" s="1979">
        <v>5.8041609666460054</v>
      </c>
      <c r="CQ473" s="1979">
        <v>5.8772701304618282</v>
      </c>
      <c r="CR473" s="1979">
        <v>5.9138247123697392</v>
      </c>
      <c r="CS473" s="1979">
        <v>5.950379294277651</v>
      </c>
      <c r="CT473" s="1979">
        <v>6.0173960277754874</v>
      </c>
      <c r="CU473" s="1998">
        <v>9.870969773490204</v>
      </c>
      <c r="CV473" s="1998">
        <v>10.017188101121848</v>
      </c>
      <c r="CW473" s="1998">
        <v>10.151221568117524</v>
      </c>
      <c r="CX473" s="1998">
        <v>10.297439895749168</v>
      </c>
      <c r="CY473" s="1998">
        <v>10.650800854192308</v>
      </c>
      <c r="CZ473" s="1979">
        <v>23.545811259355311</v>
      </c>
      <c r="DA473" s="1979">
        <v>5.8493960065210739</v>
      </c>
      <c r="DB473" s="1979">
        <v>5.9206317331872969</v>
      </c>
      <c r="DC473" s="1979">
        <v>6.0181106182750606</v>
      </c>
      <c r="DD473" s="1979">
        <v>6.1155895033628225</v>
      </c>
      <c r="DE473" s="1998">
        <v>87.211443609389477</v>
      </c>
      <c r="DF473" s="1998">
        <v>88.388334423704137</v>
      </c>
      <c r="DG473" s="1998">
        <v>89.467151003492617</v>
      </c>
      <c r="DH473" s="1998">
        <v>90.644041817807292</v>
      </c>
      <c r="DI473" s="1998">
        <v>93.488194619067755</v>
      </c>
      <c r="DJ473" s="1979">
        <v>87.239951277590251</v>
      </c>
      <c r="DK473" s="1979">
        <v>88.414509383327044</v>
      </c>
      <c r="DL473" s="1979">
        <v>89.491187646919087</v>
      </c>
      <c r="DM473" s="1979">
        <v>90.66574575265588</v>
      </c>
      <c r="DN473" s="1979">
        <v>93.504261174853127</v>
      </c>
      <c r="DO473" s="1998">
        <v>5.9936312040303541</v>
      </c>
      <c r="DP473" s="1998">
        <v>6.1667350737046416</v>
      </c>
      <c r="DQ473" s="1998">
        <v>6.3398389433789335</v>
      </c>
      <c r="DR473" s="1998">
        <v>6.512942813053221</v>
      </c>
      <c r="DS473" s="1998">
        <v>6.6860466827275102</v>
      </c>
      <c r="DT473" s="1979">
        <v>6.6848142009691385</v>
      </c>
      <c r="DU473" s="1979">
        <v>6.857280632292003</v>
      </c>
      <c r="DV473" s="1979">
        <v>7.0297470636148676</v>
      </c>
      <c r="DW473" s="1979">
        <v>7.2022134949377321</v>
      </c>
      <c r="DX473" s="2021">
        <v>7.3746799262605967</v>
      </c>
      <c r="EA473" s="2022"/>
      <c r="EB473" s="2">
        <v>11</v>
      </c>
      <c r="EC473" s="2" t="s">
        <v>4337</v>
      </c>
      <c r="ED473" s="1998">
        <v>33.249919773391177</v>
      </c>
      <c r="EE473" s="1998">
        <v>6.2062653489277988</v>
      </c>
      <c r="EF473" s="1998">
        <v>6.2621025559582115</v>
      </c>
      <c r="EG473" s="1998">
        <v>6.3473965804100043</v>
      </c>
      <c r="EH473" s="1998">
        <v>6.4326906048617953</v>
      </c>
      <c r="EI473" s="1979">
        <v>41.473353918698173</v>
      </c>
      <c r="EJ473" s="1979">
        <v>9.1226064911962919</v>
      </c>
      <c r="EK473" s="1979">
        <v>9.2261981782860687</v>
      </c>
      <c r="EL473" s="1979">
        <v>9.3724165059177125</v>
      </c>
      <c r="EM473" s="1979">
        <v>9.518634833549358</v>
      </c>
      <c r="EN473" s="1998">
        <v>5.7770455708660657</v>
      </c>
      <c r="EO473" s="1998">
        <v>5.86059890094129</v>
      </c>
      <c r="EP473" s="1998">
        <v>5.8884500109663653</v>
      </c>
      <c r="EQ473" s="1998">
        <v>5.9163011209914416</v>
      </c>
      <c r="ER473" s="1998">
        <v>5.9673614893707452</v>
      </c>
      <c r="ES473" s="1979">
        <v>8.4242558590268022</v>
      </c>
      <c r="ET473" s="1979">
        <v>8.533919604750535</v>
      </c>
      <c r="EU473" s="1979">
        <v>8.570474186658446</v>
      </c>
      <c r="EV473" s="1979">
        <v>8.6070287685663587</v>
      </c>
      <c r="EW473" s="1979">
        <v>8.6740455020641942</v>
      </c>
      <c r="EX473" s="1998">
        <v>6.598021693110196</v>
      </c>
      <c r="EY473" s="1998">
        <v>6.6857526896891839</v>
      </c>
      <c r="EZ473" s="1998">
        <v>6.7149963552155141</v>
      </c>
      <c r="FA473" s="1998">
        <v>6.7442400207418425</v>
      </c>
      <c r="FB473" s="1998">
        <v>6.7978534075401118</v>
      </c>
      <c r="FC473" s="1979">
        <v>5.9455515984727674</v>
      </c>
      <c r="FD473" s="1979">
        <v>6.0186607622885884</v>
      </c>
      <c r="FE473" s="1979">
        <v>6.0552153441965002</v>
      </c>
      <c r="FF473" s="1979">
        <v>6.0917699261044111</v>
      </c>
      <c r="FG473" s="1979">
        <v>6.1587866596022485</v>
      </c>
      <c r="FH473" s="1998">
        <v>10.367604367781706</v>
      </c>
      <c r="FI473" s="1998">
        <v>10.513822695413349</v>
      </c>
      <c r="FJ473" s="1998">
        <v>10.647856162409024</v>
      </c>
      <c r="FK473" s="1998">
        <v>10.79407449004067</v>
      </c>
      <c r="FL473" s="1998">
        <v>11.14743544848381</v>
      </c>
      <c r="FM473" s="1979">
        <v>23.985693225038567</v>
      </c>
      <c r="FN473" s="1979">
        <v>6.2892779722043315</v>
      </c>
      <c r="FO473" s="1979">
        <v>6.3605136988705544</v>
      </c>
      <c r="FP473" s="1979">
        <v>6.4579925839583181</v>
      </c>
      <c r="FQ473" s="1979">
        <v>6.5554714690460809</v>
      </c>
      <c r="FR473" s="1998">
        <v>91.208785813747099</v>
      </c>
      <c r="FS473" s="1998">
        <v>92.385676628061788</v>
      </c>
      <c r="FT473" s="1998">
        <v>93.464493207850253</v>
      </c>
      <c r="FU473" s="1998">
        <v>94.641384022164928</v>
      </c>
      <c r="FV473" s="1998">
        <v>97.485536823425392</v>
      </c>
      <c r="FW473" s="1979">
        <v>91.144187046863834</v>
      </c>
      <c r="FX473" s="1979">
        <v>92.318745152600627</v>
      </c>
      <c r="FY473" s="1979">
        <v>93.395423416192671</v>
      </c>
      <c r="FZ473" s="1979">
        <v>94.569981521929463</v>
      </c>
      <c r="GA473" s="1979">
        <v>97.408496944126711</v>
      </c>
      <c r="GB473" s="1998">
        <v>6.1321596119944921</v>
      </c>
      <c r="GC473" s="1998">
        <v>6.3052634816687805</v>
      </c>
      <c r="GD473" s="1998">
        <v>6.4783673513430715</v>
      </c>
      <c r="GE473" s="1998">
        <v>6.6514712210173599</v>
      </c>
      <c r="GF473" s="1998">
        <v>6.8245750906916482</v>
      </c>
      <c r="GG473" s="1979">
        <v>6.8228324913942267</v>
      </c>
      <c r="GH473" s="1979">
        <v>6.9952989227170912</v>
      </c>
      <c r="GI473" s="1979">
        <v>7.1677653540399575</v>
      </c>
      <c r="GJ473" s="1979">
        <v>7.3402317853628221</v>
      </c>
      <c r="GK473" s="2021">
        <v>7.5126982166856866</v>
      </c>
    </row>
    <row r="474" spans="1:193">
      <c r="A474" s="2020"/>
      <c r="B474" s="2">
        <v>12</v>
      </c>
      <c r="C474" s="2" t="s">
        <v>4338</v>
      </c>
      <c r="D474" s="1998">
        <f>IF(Construction!$F$31=Construction!$R$22,Oeko!BQ474,Oeko!ED474)</f>
        <v>35.966891052153763</v>
      </c>
      <c r="E474" s="1998">
        <f>IF(Construction!$F$31=Construction!$R$22,Oeko!BR474,Oeko!EE474)</f>
        <v>6.1584429248965966</v>
      </c>
      <c r="F474" s="1998">
        <f>IF(Construction!$F$31=Construction!$R$22,Oeko!BS474,Oeko!EF474)</f>
        <v>6.2127268602828112</v>
      </c>
      <c r="G474" s="1998">
        <f>IF(Construction!$F$31=Construction!$R$22,Oeko!BT474,Oeko!EG474)</f>
        <v>6.2980208847346049</v>
      </c>
      <c r="H474" s="1998">
        <f>IF(Construction!$F$31=Construction!$R$22,Oeko!BU474,Oeko!EH474)</f>
        <v>6.3833149091863977</v>
      </c>
      <c r="I474" s="1979">
        <f>IF(Construction!$F$31=Construction!$R$22,Oeko!BV474,Oeko!EI474)</f>
        <v>43.953946154112323</v>
      </c>
      <c r="J474" s="1979">
        <f>IF(Construction!$F$31=Construction!$R$22,Oeko!BW474,Oeko!EJ474)</f>
        <v>8.6834713418415319</v>
      </c>
      <c r="K474" s="1979">
        <f>IF(Construction!$F$31=Construction!$R$22,Oeko!BX474,Oeko!EK474)</f>
        <v>8.7854227149538264</v>
      </c>
      <c r="L474" s="1979">
        <f>IF(Construction!$F$31=Construction!$R$22,Oeko!BY474,Oeko!EL474)</f>
        <v>8.931641042585472</v>
      </c>
      <c r="M474" s="1979">
        <f>IF(Construction!$F$31=Construction!$R$22,Oeko!BZ474,Oeko!EM474)</f>
        <v>9.077859370217114</v>
      </c>
      <c r="N474" s="1998">
        <f>IF(Construction!$F$31=Construction!$R$22,Oeko!CA474,Oeko!EN474)</f>
        <v>4.8574336471422264</v>
      </c>
      <c r="O474" s="1998">
        <f>IF(Construction!$F$31=Construction!$R$22,Oeko!CB474,Oeko!EO474)</f>
        <v>4.9409869772174506</v>
      </c>
      <c r="P474" s="1998">
        <f>IF(Construction!$F$31=Construction!$R$22,Oeko!CC474,Oeko!EP474)</f>
        <v>4.9827636422550636</v>
      </c>
      <c r="Q474" s="1998">
        <f>IF(Construction!$F$31=Construction!$R$22,Oeko!CD474,Oeko!EQ474)</f>
        <v>5.0245403072926766</v>
      </c>
      <c r="R474" s="1998">
        <f>IF(Construction!$F$31=Construction!$R$22,Oeko!CE474,Oeko!ER474)</f>
        <v>5.1011308598616338</v>
      </c>
      <c r="S474" s="1979">
        <f>IF(Construction!$F$31=Construction!$R$22,Oeko!CF474,Oeko!ES474)</f>
        <v>7.499493228163808</v>
      </c>
      <c r="T474" s="1979">
        <f>IF(Construction!$F$31=Construction!$R$22,Oeko!CG474,Oeko!ET474)</f>
        <v>7.6091569738875426</v>
      </c>
      <c r="U474" s="1979">
        <f>IF(Construction!$F$31=Construction!$R$22,Oeko!CH474,Oeko!EU474)</f>
        <v>7.6639888467494099</v>
      </c>
      <c r="V474" s="1979">
        <f>IF(Construction!$F$31=Construction!$R$22,Oeko!CI474,Oeko!EV474)</f>
        <v>7.7188207196112764</v>
      </c>
      <c r="W474" s="1979">
        <f>IF(Construction!$F$31=Construction!$R$22,Oeko!CJ474,Oeko!EW474)</f>
        <v>7.8193458198580315</v>
      </c>
      <c r="X474" s="1998">
        <f>IF(Construction!$F$31=Construction!$R$22,Oeko!CK474,Oeko!EX474)</f>
        <v>5.7948190217786317</v>
      </c>
      <c r="Y474" s="1998">
        <f>IF(Construction!$F$31=Construction!$R$22,Oeko!CL474,Oeko!EY474)</f>
        <v>5.8825500183576178</v>
      </c>
      <c r="Z474" s="1998">
        <f>IF(Construction!$F$31=Construction!$R$22,Oeko!CM474,Oeko!EZ474)</f>
        <v>5.9264155166471113</v>
      </c>
      <c r="AA474" s="1998">
        <f>IF(Construction!$F$31=Construction!$R$22,Oeko!CN474,Oeko!FA474)</f>
        <v>5.9702810149366039</v>
      </c>
      <c r="AB474" s="1998">
        <f>IF(Construction!$F$31=Construction!$R$22,Oeko!CO474,Oeko!FB474)</f>
        <v>6.0507010951340092</v>
      </c>
      <c r="AC474" s="1979">
        <f>IF(Construction!$F$31=Construction!$R$22,Oeko!CP474,Oeko!FC474)</f>
        <v>6.2469203126820547</v>
      </c>
      <c r="AD474" s="1979">
        <f>IF(Construction!$F$31=Construction!$R$22,Oeko!CQ474,Oeko!FD474)</f>
        <v>6.3200294764978748</v>
      </c>
      <c r="AE474" s="1979">
        <f>IF(Construction!$F$31=Construction!$R$22,Oeko!CR474,Oeko!FE474)</f>
        <v>6.3931386403136985</v>
      </c>
      <c r="AF474" s="1979">
        <f>IF(Construction!$F$31=Construction!$R$22,Oeko!CS474,Oeko!FF474)</f>
        <v>6.4662478041295213</v>
      </c>
      <c r="AG474" s="1979">
        <f>IF(Construction!$F$31=Construction!$R$22,Oeko!CT474,Oeko!FG474)</f>
        <v>6.600281271125195</v>
      </c>
      <c r="AH474" s="1998">
        <f>IF(Construction!$F$31=Construction!$R$22,Oeko!CU474,Oeko!FH474)</f>
        <v>11.210254048708943</v>
      </c>
      <c r="AI474" s="1998">
        <f>IF(Construction!$F$31=Construction!$R$22,Oeko!CV474,Oeko!FI474)</f>
        <v>11.356472376340589</v>
      </c>
      <c r="AJ474" s="1998">
        <f>IF(Construction!$F$31=Construction!$R$22,Oeko!CW474,Oeko!FJ474)</f>
        <v>11.490505843336265</v>
      </c>
      <c r="AK474" s="1998">
        <f>IF(Construction!$F$31=Construction!$R$22,Oeko!CX474,Oeko!FK474)</f>
        <v>11.636724170967909</v>
      </c>
      <c r="AL474" s="1998">
        <f>IF(Construction!$F$31=Construction!$R$22,Oeko!CY474,Oeko!FL474)</f>
        <v>11.990085129411048</v>
      </c>
      <c r="AM474" s="1979">
        <f>IF(Construction!$F$31=Construction!$R$22,Oeko!CZ474,Oeko!FM474)</f>
        <v>28.972792175231714</v>
      </c>
      <c r="AN474" s="1979">
        <f>IF(Construction!$F$31=Construction!$R$22,Oeko!DA474,Oeko!FN474)</f>
        <v>6.1924071687054791</v>
      </c>
      <c r="AO474" s="1979">
        <f>IF(Construction!$F$31=Construction!$R$22,Oeko!DB474,Oeko!FO474)</f>
        <v>6.2607867017792529</v>
      </c>
      <c r="AP474" s="1979">
        <f>IF(Construction!$F$31=Construction!$R$22,Oeko!DC474,Oeko!FP474)</f>
        <v>6.3582655868670166</v>
      </c>
      <c r="AQ474" s="1979">
        <f>IF(Construction!$F$31=Construction!$R$22,Oeko!DD474,Oeko!FQ474)</f>
        <v>6.4557444719547785</v>
      </c>
      <c r="AR474" s="1998">
        <f>IF(Construction!$F$31=Construction!$R$22,Oeko!DE474,Oeko!FR474)</f>
        <v>100.29082667515608</v>
      </c>
      <c r="AS474" s="1998">
        <f>IF(Construction!$F$31=Construction!$R$22,Oeko!DF474,Oeko!FS474)</f>
        <v>101.46771748947077</v>
      </c>
      <c r="AT474" s="1998">
        <f>IF(Construction!$F$31=Construction!$R$22,Oeko!DG474,Oeko!FT474)</f>
        <v>102.54653406925922</v>
      </c>
      <c r="AU474" s="1998">
        <f>IF(Construction!$F$31=Construction!$R$22,Oeko!DH474,Oeko!FU474)</f>
        <v>103.72342488357391</v>
      </c>
      <c r="AV474" s="1998">
        <f>IF(Construction!$F$31=Construction!$R$22,Oeko!DI474,Oeko!FV474)</f>
        <v>106.56757768483438</v>
      </c>
      <c r="AW474" s="1979">
        <f>IF(Construction!$F$31=Construction!$R$22,Oeko!DJ474,Oeko!FW474)</f>
        <v>103.24298933649894</v>
      </c>
      <c r="AX474" s="1979">
        <f>IF(Construction!$F$31=Construction!$R$22,Oeko!DK474,Oeko!FX474)</f>
        <v>104.41754744223573</v>
      </c>
      <c r="AY474" s="1979">
        <f>IF(Construction!$F$31=Construction!$R$22,Oeko!DL474,Oeko!FY474)</f>
        <v>105.49422570582777</v>
      </c>
      <c r="AZ474" s="1979">
        <f>IF(Construction!$F$31=Construction!$R$22,Oeko!DM474,Oeko!FZ474)</f>
        <v>106.66878381156455</v>
      </c>
      <c r="BA474" s="1979">
        <f>IF(Construction!$F$31=Construction!$R$22,Oeko!DN474,Oeko!GA474)</f>
        <v>109.50729923376178</v>
      </c>
      <c r="BB474" s="1998">
        <f>IF(Construction!$F$31=Construction!$R$22,Oeko!DO474,Oeko!GB474)</f>
        <v>4.9075527704403994</v>
      </c>
      <c r="BC474" s="1998">
        <f>IF(Construction!$F$31=Construction!$R$22,Oeko!DP474,Oeko!GC474)</f>
        <v>5.2537605097889788</v>
      </c>
      <c r="BD474" s="1998">
        <f>IF(Construction!$F$31=Construction!$R$22,Oeko!DQ474,Oeko!GD474)</f>
        <v>5.5999682491375573</v>
      </c>
      <c r="BE474" s="1998">
        <f>IF(Construction!$F$31=Construction!$R$22,Oeko!DR474,Oeko!GE474)</f>
        <v>5.9461759884861349</v>
      </c>
      <c r="BF474" s="1998">
        <f>IF(Construction!$F$31=Construction!$R$22,Oeko!DS474,Oeko!GF474)</f>
        <v>6.2923837278347126</v>
      </c>
      <c r="BG474" s="1979">
        <f>IF(Construction!$F$31=Construction!$R$22,Oeko!DT474,Oeko!GG474)</f>
        <v>6.066211304602847</v>
      </c>
      <c r="BH474" s="1979">
        <f>IF(Construction!$F$31=Construction!$R$22,Oeko!DU474,Oeko!GH474)</f>
        <v>6.4111441672485769</v>
      </c>
      <c r="BI474" s="1979">
        <f>IF(Construction!$F$31=Construction!$R$22,Oeko!DV474,Oeko!GI474)</f>
        <v>6.756077029894306</v>
      </c>
      <c r="BJ474" s="1979">
        <f>IF(Construction!$F$31=Construction!$R$22,Oeko!DW474,Oeko!GJ474)</f>
        <v>7.101009892540036</v>
      </c>
      <c r="BK474" s="2021">
        <f>IF(Construction!$F$31=Construction!$R$22,Oeko!DX474,Oeko!GK474)</f>
        <v>7.4459427551857651</v>
      </c>
      <c r="BN474" s="2022"/>
      <c r="BO474" s="2">
        <v>12</v>
      </c>
      <c r="BP474" s="2" t="s">
        <v>4338</v>
      </c>
      <c r="BQ474" s="1998">
        <v>35.966891052153763</v>
      </c>
      <c r="BR474" s="1998">
        <v>6.1584429248965966</v>
      </c>
      <c r="BS474" s="1998">
        <v>6.2127268602828112</v>
      </c>
      <c r="BT474" s="1998">
        <v>6.2980208847346049</v>
      </c>
      <c r="BU474" s="1998">
        <v>6.3833149091863977</v>
      </c>
      <c r="BV474" s="1979">
        <v>43.953946154112323</v>
      </c>
      <c r="BW474" s="1979">
        <v>8.6834713418415319</v>
      </c>
      <c r="BX474" s="1979">
        <v>8.7854227149538264</v>
      </c>
      <c r="BY474" s="1979">
        <v>8.931641042585472</v>
      </c>
      <c r="BZ474" s="1979">
        <v>9.077859370217114</v>
      </c>
      <c r="CA474" s="1998">
        <v>4.8574336471422264</v>
      </c>
      <c r="CB474" s="1998">
        <v>4.9409869772174506</v>
      </c>
      <c r="CC474" s="1998">
        <v>4.9827636422550636</v>
      </c>
      <c r="CD474" s="1998">
        <v>5.0245403072926766</v>
      </c>
      <c r="CE474" s="1998">
        <v>5.1011308598616338</v>
      </c>
      <c r="CF474" s="1979">
        <v>7.499493228163808</v>
      </c>
      <c r="CG474" s="1979">
        <v>7.6091569738875426</v>
      </c>
      <c r="CH474" s="1979">
        <v>7.6639888467494099</v>
      </c>
      <c r="CI474" s="1979">
        <v>7.7188207196112764</v>
      </c>
      <c r="CJ474" s="1979">
        <v>7.8193458198580315</v>
      </c>
      <c r="CK474" s="1998">
        <v>5.7948190217786317</v>
      </c>
      <c r="CL474" s="1998">
        <v>5.8825500183576178</v>
      </c>
      <c r="CM474" s="1998">
        <v>5.9264155166471113</v>
      </c>
      <c r="CN474" s="1998">
        <v>5.9702810149366039</v>
      </c>
      <c r="CO474" s="1998">
        <v>6.0507010951340092</v>
      </c>
      <c r="CP474" s="1979">
        <v>6.2469203126820547</v>
      </c>
      <c r="CQ474" s="1979">
        <v>6.3200294764978748</v>
      </c>
      <c r="CR474" s="1979">
        <v>6.3931386403136985</v>
      </c>
      <c r="CS474" s="1979">
        <v>6.4662478041295213</v>
      </c>
      <c r="CT474" s="1979">
        <v>6.600281271125195</v>
      </c>
      <c r="CU474" s="1998">
        <v>11.210254048708943</v>
      </c>
      <c r="CV474" s="1998">
        <v>11.356472376340589</v>
      </c>
      <c r="CW474" s="1998">
        <v>11.490505843336265</v>
      </c>
      <c r="CX474" s="1998">
        <v>11.636724170967909</v>
      </c>
      <c r="CY474" s="1998">
        <v>11.990085129411048</v>
      </c>
      <c r="CZ474" s="1979">
        <v>28.972792175231714</v>
      </c>
      <c r="DA474" s="1979">
        <v>6.1924071687054791</v>
      </c>
      <c r="DB474" s="1979">
        <v>6.2607867017792529</v>
      </c>
      <c r="DC474" s="1979">
        <v>6.3582655868670166</v>
      </c>
      <c r="DD474" s="1979">
        <v>6.4557444719547785</v>
      </c>
      <c r="DE474" s="1998">
        <v>100.29082667515608</v>
      </c>
      <c r="DF474" s="1998">
        <v>101.46771748947077</v>
      </c>
      <c r="DG474" s="1998">
        <v>102.54653406925922</v>
      </c>
      <c r="DH474" s="1998">
        <v>103.72342488357391</v>
      </c>
      <c r="DI474" s="1998">
        <v>106.56757768483438</v>
      </c>
      <c r="DJ474" s="1979">
        <v>103.24298933649894</v>
      </c>
      <c r="DK474" s="1979">
        <v>104.41754744223573</v>
      </c>
      <c r="DL474" s="1979">
        <v>105.49422570582777</v>
      </c>
      <c r="DM474" s="1979">
        <v>106.66878381156455</v>
      </c>
      <c r="DN474" s="1979">
        <v>109.50729923376178</v>
      </c>
      <c r="DO474" s="1998">
        <v>4.9075527704403994</v>
      </c>
      <c r="DP474" s="1998">
        <v>5.2537605097889788</v>
      </c>
      <c r="DQ474" s="1998">
        <v>5.5999682491375573</v>
      </c>
      <c r="DR474" s="1998">
        <v>5.9461759884861349</v>
      </c>
      <c r="DS474" s="1998">
        <v>6.2923837278347126</v>
      </c>
      <c r="DT474" s="1979">
        <v>6.066211304602847</v>
      </c>
      <c r="DU474" s="1979">
        <v>6.4111441672485769</v>
      </c>
      <c r="DV474" s="1979">
        <v>6.756077029894306</v>
      </c>
      <c r="DW474" s="1979">
        <v>7.101009892540036</v>
      </c>
      <c r="DX474" s="2021">
        <v>7.4459427551857651</v>
      </c>
      <c r="EA474" s="2022"/>
      <c r="EB474" s="2">
        <v>12</v>
      </c>
      <c r="EC474" s="2" t="s">
        <v>4338</v>
      </c>
      <c r="ED474" s="1998">
        <v>36.123599002428421</v>
      </c>
      <c r="EE474" s="1998">
        <v>6.3151508751712573</v>
      </c>
      <c r="EF474" s="1998">
        <v>6.3694348105574736</v>
      </c>
      <c r="EG474" s="1998">
        <v>6.4547288350092655</v>
      </c>
      <c r="EH474" s="1998">
        <v>6.5400228594610583</v>
      </c>
      <c r="EI474" s="1979">
        <v>44.588844472026722</v>
      </c>
      <c r="EJ474" s="1979">
        <v>9.318369659755934</v>
      </c>
      <c r="EK474" s="1979">
        <v>9.420321032868225</v>
      </c>
      <c r="EL474" s="1979">
        <v>9.5665393604998705</v>
      </c>
      <c r="EM474" s="1979">
        <v>9.7127576881315125</v>
      </c>
      <c r="EN474" s="1998">
        <v>5.226059222976283</v>
      </c>
      <c r="EO474" s="1998">
        <v>5.3096125530515073</v>
      </c>
      <c r="EP474" s="1998">
        <v>5.3513892180891212</v>
      </c>
      <c r="EQ474" s="1998">
        <v>5.3931658831267342</v>
      </c>
      <c r="ER474" s="1998">
        <v>5.4697564356956905</v>
      </c>
      <c r="ES474" s="1979">
        <v>8.0031973540466463</v>
      </c>
      <c r="ET474" s="1979">
        <v>8.1128610997703809</v>
      </c>
      <c r="EU474" s="1979">
        <v>8.1676929726322491</v>
      </c>
      <c r="EV474" s="1979">
        <v>8.2225248454941138</v>
      </c>
      <c r="EW474" s="1979">
        <v>8.3230499457408698</v>
      </c>
      <c r="EX474" s="1998">
        <v>6.1977823224849029</v>
      </c>
      <c r="EY474" s="1998">
        <v>6.285513319063889</v>
      </c>
      <c r="EZ474" s="1998">
        <v>6.3293788173533825</v>
      </c>
      <c r="FA474" s="1998">
        <v>6.3732443156428751</v>
      </c>
      <c r="FB474" s="1998">
        <v>6.4536643958402804</v>
      </c>
      <c r="FC474" s="1979">
        <v>6.5297015763355786</v>
      </c>
      <c r="FD474" s="1979">
        <v>6.6028107401513987</v>
      </c>
      <c r="FE474" s="1979">
        <v>6.6759199039672223</v>
      </c>
      <c r="FF474" s="1979">
        <v>6.7490290677830451</v>
      </c>
      <c r="FG474" s="1979">
        <v>6.8830625347787189</v>
      </c>
      <c r="FH474" s="1998">
        <v>11.786420873402998</v>
      </c>
      <c r="FI474" s="1998">
        <v>11.932639201034643</v>
      </c>
      <c r="FJ474" s="1998">
        <v>12.06667266803032</v>
      </c>
      <c r="FK474" s="1998">
        <v>12.212890995661963</v>
      </c>
      <c r="FL474" s="1998">
        <v>12.566251954105104</v>
      </c>
      <c r="FM474" s="1979">
        <v>29.448021798871665</v>
      </c>
      <c r="FN474" s="1979">
        <v>6.6676367923454292</v>
      </c>
      <c r="FO474" s="1979">
        <v>6.736016325419202</v>
      </c>
      <c r="FP474" s="1979">
        <v>6.8334952105069657</v>
      </c>
      <c r="FQ474" s="1979">
        <v>6.9309740955947285</v>
      </c>
      <c r="FR474" s="1998">
        <v>104.84296014631069</v>
      </c>
      <c r="FS474" s="1998">
        <v>106.01985096062538</v>
      </c>
      <c r="FT474" s="1998">
        <v>107.09866754041383</v>
      </c>
      <c r="FU474" s="1998">
        <v>108.2755583547285</v>
      </c>
      <c r="FV474" s="1998">
        <v>111.11971115598897</v>
      </c>
      <c r="FW474" s="1979">
        <v>107.78610004983547</v>
      </c>
      <c r="FX474" s="1979">
        <v>108.96065815557225</v>
      </c>
      <c r="FY474" s="1979">
        <v>110.0373364191643</v>
      </c>
      <c r="FZ474" s="1979">
        <v>111.2118945249011</v>
      </c>
      <c r="GA474" s="1979">
        <v>114.05040994709833</v>
      </c>
      <c r="GB474" s="1998">
        <v>5.1846095863686763</v>
      </c>
      <c r="GC474" s="1998">
        <v>5.5308173257172548</v>
      </c>
      <c r="GD474" s="1998">
        <v>5.8770250650658333</v>
      </c>
      <c r="GE474" s="1998">
        <v>6.2232328044144118</v>
      </c>
      <c r="GF474" s="1998">
        <v>6.5694405437629886</v>
      </c>
      <c r="GG474" s="1979">
        <v>6.3422478854530251</v>
      </c>
      <c r="GH474" s="1979">
        <v>6.6871807480987551</v>
      </c>
      <c r="GI474" s="1979">
        <v>7.032113610744485</v>
      </c>
      <c r="GJ474" s="1979">
        <v>7.3770464733902141</v>
      </c>
      <c r="GK474" s="2021">
        <v>7.7219793360359432</v>
      </c>
    </row>
    <row r="475" spans="1:193">
      <c r="A475" s="2020"/>
      <c r="B475" s="2">
        <v>13</v>
      </c>
      <c r="C475" s="2" t="str">
        <f>CONCATENATE($U$8," ",EI$7)</f>
        <v xml:space="preserve">Proportion de fenêtres </v>
      </c>
      <c r="D475" s="1998">
        <f>IF(Construction!$F$31=Construction!$R$22,Oeko!BQ475,Oeko!ED475)</f>
        <v>0</v>
      </c>
      <c r="E475" s="1998">
        <f>IF(Construction!$F$31=Construction!$R$22,Oeko!BR475,Oeko!EE475)</f>
        <v>0</v>
      </c>
      <c r="F475" s="1998">
        <f>IF(Construction!$F$31=Construction!$R$22,Oeko!BS475,Oeko!EF475)</f>
        <v>0</v>
      </c>
      <c r="G475" s="1998">
        <f>IF(Construction!$F$31=Construction!$R$22,Oeko!BT475,Oeko!EG475)</f>
        <v>0</v>
      </c>
      <c r="H475" s="1998">
        <f>IF(Construction!$F$31=Construction!$R$22,Oeko!BU475,Oeko!EH475)</f>
        <v>0</v>
      </c>
      <c r="I475" s="1979">
        <f>IF(Construction!$F$31=Construction!$R$22,Oeko!BV475,Oeko!EI475)</f>
        <v>0</v>
      </c>
      <c r="J475" s="1979">
        <f>IF(Construction!$F$31=Construction!$R$22,Oeko!BW475,Oeko!EJ475)</f>
        <v>0</v>
      </c>
      <c r="K475" s="1979">
        <f>IF(Construction!$F$31=Construction!$R$22,Oeko!BX475,Oeko!EK475)</f>
        <v>0</v>
      </c>
      <c r="L475" s="1979">
        <f>IF(Construction!$F$31=Construction!$R$22,Oeko!BY475,Oeko!EL475)</f>
        <v>0</v>
      </c>
      <c r="M475" s="1979">
        <f>IF(Construction!$F$31=Construction!$R$22,Oeko!BZ475,Oeko!EM475)</f>
        <v>0</v>
      </c>
      <c r="N475" s="1998">
        <f>IF(Construction!$F$31=Construction!$R$22,Oeko!CA475,Oeko!EN475)</f>
        <v>0</v>
      </c>
      <c r="O475" s="1998">
        <f>IF(Construction!$F$31=Construction!$R$22,Oeko!CB475,Oeko!EO475)</f>
        <v>0</v>
      </c>
      <c r="P475" s="1998">
        <f>IF(Construction!$F$31=Construction!$R$22,Oeko!CC475,Oeko!EP475)</f>
        <v>0</v>
      </c>
      <c r="Q475" s="1998">
        <f>IF(Construction!$F$31=Construction!$R$22,Oeko!CD475,Oeko!EQ475)</f>
        <v>0</v>
      </c>
      <c r="R475" s="1998">
        <f>IF(Construction!$F$31=Construction!$R$22,Oeko!CE475,Oeko!ER475)</f>
        <v>0</v>
      </c>
      <c r="S475" s="1979">
        <f>IF(Construction!$F$31=Construction!$R$22,Oeko!CF475,Oeko!ES475)</f>
        <v>0</v>
      </c>
      <c r="T475" s="1979">
        <f>IF(Construction!$F$31=Construction!$R$22,Oeko!CG475,Oeko!ET475)</f>
        <v>0</v>
      </c>
      <c r="U475" s="1979">
        <f>IF(Construction!$F$31=Construction!$R$22,Oeko!CH475,Oeko!EU475)</f>
        <v>0</v>
      </c>
      <c r="V475" s="1979">
        <f>IF(Construction!$F$31=Construction!$R$22,Oeko!CI475,Oeko!EV475)</f>
        <v>0</v>
      </c>
      <c r="W475" s="1979">
        <f>IF(Construction!$F$31=Construction!$R$22,Oeko!CJ475,Oeko!EW475)</f>
        <v>0</v>
      </c>
      <c r="X475" s="1998">
        <f>IF(Construction!$F$31=Construction!$R$22,Oeko!CK475,Oeko!EX475)</f>
        <v>6.7692399534423702</v>
      </c>
      <c r="Y475" s="1998">
        <f>IF(Construction!$F$31=Construction!$R$22,Oeko!CL475,Oeko!EY475)</f>
        <v>6.8569709500213571</v>
      </c>
      <c r="Z475" s="1998">
        <f>IF(Construction!$F$31=Construction!$R$22,Oeko!CM475,Oeko!EZ475)</f>
        <v>6.8715927827845213</v>
      </c>
      <c r="AA475" s="1998">
        <f>IF(Construction!$F$31=Construction!$R$22,Oeko!CN475,Oeko!FA475)</f>
        <v>6.8862146155476864</v>
      </c>
      <c r="AB475" s="1998">
        <f>IF(Construction!$F$31=Construction!$R$22,Oeko!CO475,Oeko!FB475)</f>
        <v>6.9130213089468215</v>
      </c>
      <c r="AC475" s="1979">
        <f>IF(Construction!$F$31=Construction!$R$22,Oeko!CP475,Oeko!FC475)</f>
        <v>0</v>
      </c>
      <c r="AD475" s="1979">
        <f>IF(Construction!$F$31=Construction!$R$22,Oeko!CQ475,Oeko!FD475)</f>
        <v>0</v>
      </c>
      <c r="AE475" s="1979">
        <f>IF(Construction!$F$31=Construction!$R$22,Oeko!CR475,Oeko!FE475)</f>
        <v>0</v>
      </c>
      <c r="AF475" s="1979">
        <f>IF(Construction!$F$31=Construction!$R$22,Oeko!CS475,Oeko!FF475)</f>
        <v>0</v>
      </c>
      <c r="AG475" s="1979">
        <f>IF(Construction!$F$31=Construction!$R$22,Oeko!CT475,Oeko!FG475)</f>
        <v>0</v>
      </c>
      <c r="AH475" s="1998">
        <f>IF(Construction!$F$31=Construction!$R$22,Oeko!CU475,Oeko!FH475)</f>
        <v>11.669437228783941</v>
      </c>
      <c r="AI475" s="1998">
        <f>IF(Construction!$F$31=Construction!$R$22,Oeko!CV475,Oeko!FI475)</f>
        <v>11.815655556415585</v>
      </c>
      <c r="AJ475" s="1998">
        <f>IF(Construction!$F$31=Construction!$R$22,Oeko!CW475,Oeko!FJ475)</f>
        <v>11.949689023411258</v>
      </c>
      <c r="AK475" s="1998">
        <f>IF(Construction!$F$31=Construction!$R$22,Oeko!CX475,Oeko!FK475)</f>
        <v>12.095907351042904</v>
      </c>
      <c r="AL475" s="1998">
        <f>IF(Construction!$F$31=Construction!$R$22,Oeko!CY475,Oeko!FL475)</f>
        <v>12.449268309486042</v>
      </c>
      <c r="AM475" s="1979">
        <f>IF(Construction!$F$31=Construction!$R$22,Oeko!CZ475,Oeko!FM475)</f>
        <v>23.696881651651463</v>
      </c>
      <c r="AN475" s="1979">
        <f>IF(Construction!$F$31=Construction!$R$22,Oeko!DA475,Oeko!FN475)</f>
        <v>6.0004663988172302</v>
      </c>
      <c r="AO475" s="1979">
        <f>IF(Construction!$F$31=Construction!$R$22,Oeko!DB475,Oeko!FO475)</f>
        <v>6.0717021254834549</v>
      </c>
      <c r="AP475" s="1979">
        <f>IF(Construction!$F$31=Construction!$R$22,Oeko!DC475,Oeko!FP475)</f>
        <v>6.1691810105712186</v>
      </c>
      <c r="AQ475" s="1979">
        <f>IF(Construction!$F$31=Construction!$R$22,Oeko!DD475,Oeko!FQ475)</f>
        <v>6.2666598956589805</v>
      </c>
      <c r="AR475" s="1998">
        <f>IF(Construction!$F$31=Construction!$R$22,Oeko!DE475,Oeko!FR475)</f>
        <v>75.138166933297228</v>
      </c>
      <c r="AS475" s="1998">
        <f>IF(Construction!$F$31=Construction!$R$22,Oeko!DF475,Oeko!FS475)</f>
        <v>76.315057747611903</v>
      </c>
      <c r="AT475" s="1998">
        <f>IF(Construction!$F$31=Construction!$R$22,Oeko!DG475,Oeko!FT475)</f>
        <v>77.39387432740034</v>
      </c>
      <c r="AU475" s="1998">
        <f>IF(Construction!$F$31=Construction!$R$22,Oeko!DH475,Oeko!FU475)</f>
        <v>78.570765141715029</v>
      </c>
      <c r="AV475" s="1998">
        <f>IF(Construction!$F$31=Construction!$R$22,Oeko!DI475,Oeko!FV475)</f>
        <v>81.414917942975492</v>
      </c>
      <c r="AW475" s="1979">
        <f>IF(Construction!$F$31=Construction!$R$22,Oeko!DJ475,Oeko!FW475)</f>
        <v>76.244666624870703</v>
      </c>
      <c r="AX475" s="1979">
        <f>IF(Construction!$F$31=Construction!$R$22,Oeko!DK475,Oeko!FX475)</f>
        <v>77.419224730607482</v>
      </c>
      <c r="AY475" s="1979">
        <f>IF(Construction!$F$31=Construction!$R$22,Oeko!DL475,Oeko!FY475)</f>
        <v>78.49590299419954</v>
      </c>
      <c r="AZ475" s="1979">
        <f>IF(Construction!$F$31=Construction!$R$22,Oeko!DM475,Oeko!FZ475)</f>
        <v>79.670461099936333</v>
      </c>
      <c r="BA475" s="1979">
        <f>IF(Construction!$F$31=Construction!$R$22,Oeko!DN475,Oeko!GA475)</f>
        <v>82.508976522133551</v>
      </c>
      <c r="BB475" s="1998">
        <f>IF(Construction!$F$31=Construction!$R$22,Oeko!DO475,Oeko!GB475)</f>
        <v>6.0395527499580997</v>
      </c>
      <c r="BC475" s="1998">
        <f>IF(Construction!$F$31=Construction!$R$22,Oeko!DP475,Oeko!GC475)</f>
        <v>6.3857604893066764</v>
      </c>
      <c r="BD475" s="1998">
        <f>IF(Construction!$F$31=Construction!$R$22,Oeko!DQ475,Oeko!GD475)</f>
        <v>6.7319682286552549</v>
      </c>
      <c r="BE475" s="1998">
        <f>IF(Construction!$F$31=Construction!$R$22,Oeko!DR475,Oeko!GE475)</f>
        <v>7.0781759680038334</v>
      </c>
      <c r="BF475" s="1998">
        <f>IF(Construction!$F$31=Construction!$R$22,Oeko!DS475,Oeko!GF475)</f>
        <v>7.4243837073524119</v>
      </c>
      <c r="BG475" s="1979">
        <f>IF(Construction!$F$31=Construction!$R$22,Oeko!DT475,Oeko!GG475)</f>
        <v>7.7330706833335077</v>
      </c>
      <c r="BH475" s="1979">
        <f>IF(Construction!$F$31=Construction!$R$22,Oeko!DU475,Oeko!GH475)</f>
        <v>8.0780035459792359</v>
      </c>
      <c r="BI475" s="1979">
        <f>IF(Construction!$F$31=Construction!$R$22,Oeko!DV475,Oeko!GI475)</f>
        <v>8.4229364086249667</v>
      </c>
      <c r="BJ475" s="1979">
        <f>IF(Construction!$F$31=Construction!$R$22,Oeko!DW475,Oeko!GJ475)</f>
        <v>8.7678692712706958</v>
      </c>
      <c r="BK475" s="2021">
        <f>IF(Construction!$F$31=Construction!$R$22,Oeko!DX475,Oeko!GK475)</f>
        <v>9.1128021339164249</v>
      </c>
      <c r="BN475" s="2022"/>
      <c r="BO475" s="2">
        <v>13</v>
      </c>
      <c r="BP475" s="2" t="str">
        <f>CONCATENATE($U$8," ",GV$7)</f>
        <v xml:space="preserve">Proportion de fenêtres </v>
      </c>
      <c r="BQ475" s="1998">
        <v>0</v>
      </c>
      <c r="BR475" s="1998">
        <v>0</v>
      </c>
      <c r="BS475" s="1998">
        <v>0</v>
      </c>
      <c r="BT475" s="1998">
        <v>0</v>
      </c>
      <c r="BU475" s="1998">
        <v>0</v>
      </c>
      <c r="BV475" s="1979">
        <v>0</v>
      </c>
      <c r="BW475" s="1979">
        <v>0</v>
      </c>
      <c r="BX475" s="1979">
        <v>0</v>
      </c>
      <c r="BY475" s="1979">
        <v>0</v>
      </c>
      <c r="BZ475" s="1979">
        <v>0</v>
      </c>
      <c r="CA475" s="1998">
        <v>0</v>
      </c>
      <c r="CB475" s="1998">
        <v>0</v>
      </c>
      <c r="CC475" s="1998">
        <v>0</v>
      </c>
      <c r="CD475" s="1998">
        <v>0</v>
      </c>
      <c r="CE475" s="1998">
        <v>0</v>
      </c>
      <c r="CF475" s="1979">
        <v>0</v>
      </c>
      <c r="CG475" s="1979">
        <v>0</v>
      </c>
      <c r="CH475" s="1979">
        <v>0</v>
      </c>
      <c r="CI475" s="1979">
        <v>0</v>
      </c>
      <c r="CJ475" s="1979">
        <v>0</v>
      </c>
      <c r="CK475" s="1998">
        <v>6.7692399534423702</v>
      </c>
      <c r="CL475" s="1998">
        <v>6.8569709500213571</v>
      </c>
      <c r="CM475" s="1998">
        <v>6.8715927827845213</v>
      </c>
      <c r="CN475" s="1998">
        <v>6.8862146155476864</v>
      </c>
      <c r="CO475" s="1998">
        <v>6.9130213089468215</v>
      </c>
      <c r="CP475" s="1979">
        <v>0</v>
      </c>
      <c r="CQ475" s="1979">
        <v>0</v>
      </c>
      <c r="CR475" s="1979">
        <v>0</v>
      </c>
      <c r="CS475" s="1979">
        <v>0</v>
      </c>
      <c r="CT475" s="1979">
        <v>0</v>
      </c>
      <c r="CU475" s="1998">
        <v>11.669437228783941</v>
      </c>
      <c r="CV475" s="1998">
        <v>11.815655556415585</v>
      </c>
      <c r="CW475" s="1998">
        <v>11.949689023411258</v>
      </c>
      <c r="CX475" s="1998">
        <v>12.095907351042904</v>
      </c>
      <c r="CY475" s="1998">
        <v>12.449268309486042</v>
      </c>
      <c r="CZ475" s="1979">
        <v>23.696881651651463</v>
      </c>
      <c r="DA475" s="1979">
        <v>6.0004663988172302</v>
      </c>
      <c r="DB475" s="1979">
        <v>6.0717021254834549</v>
      </c>
      <c r="DC475" s="1979">
        <v>6.1691810105712186</v>
      </c>
      <c r="DD475" s="1979">
        <v>6.2666598956589805</v>
      </c>
      <c r="DE475" s="1998">
        <v>75.138166933297228</v>
      </c>
      <c r="DF475" s="1998">
        <v>76.315057747611903</v>
      </c>
      <c r="DG475" s="1998">
        <v>77.39387432740034</v>
      </c>
      <c r="DH475" s="1998">
        <v>78.570765141715029</v>
      </c>
      <c r="DI475" s="1998">
        <v>81.414917942975492</v>
      </c>
      <c r="DJ475" s="1979">
        <v>76.244666624870703</v>
      </c>
      <c r="DK475" s="1979">
        <v>77.419224730607482</v>
      </c>
      <c r="DL475" s="1979">
        <v>78.49590299419954</v>
      </c>
      <c r="DM475" s="1979">
        <v>79.670461099936333</v>
      </c>
      <c r="DN475" s="1979">
        <v>82.508976522133551</v>
      </c>
      <c r="DO475" s="1998">
        <v>6.0395527499580997</v>
      </c>
      <c r="DP475" s="1998">
        <v>6.3857604893066764</v>
      </c>
      <c r="DQ475" s="1998">
        <v>6.7319682286552549</v>
      </c>
      <c r="DR475" s="1998">
        <v>7.0781759680038334</v>
      </c>
      <c r="DS475" s="1998">
        <v>7.4243837073524119</v>
      </c>
      <c r="DT475" s="1979">
        <v>7.7330706833335077</v>
      </c>
      <c r="DU475" s="1979">
        <v>8.0780035459792359</v>
      </c>
      <c r="DV475" s="1979">
        <v>8.4229364086249667</v>
      </c>
      <c r="DW475" s="1979">
        <v>8.7678692712706958</v>
      </c>
      <c r="DX475" s="2021">
        <v>9.1128021339164249</v>
      </c>
      <c r="EA475" s="2022"/>
      <c r="EB475" s="2">
        <v>13</v>
      </c>
      <c r="EC475" s="2" t="str">
        <f>CONCATENATE($U$8," ",JI$7)</f>
        <v xml:space="preserve">Proportion de fenêtres </v>
      </c>
      <c r="ED475" s="1998">
        <v>0</v>
      </c>
      <c r="EE475" s="1998">
        <v>0</v>
      </c>
      <c r="EF475" s="1998">
        <v>0</v>
      </c>
      <c r="EG475" s="1998">
        <v>0</v>
      </c>
      <c r="EH475" s="1998">
        <v>0</v>
      </c>
      <c r="EI475" s="1979">
        <v>0</v>
      </c>
      <c r="EJ475" s="1979">
        <v>0</v>
      </c>
      <c r="EK475" s="1979">
        <v>0</v>
      </c>
      <c r="EL475" s="1979">
        <v>0</v>
      </c>
      <c r="EM475" s="1979">
        <v>0</v>
      </c>
      <c r="EN475" s="1998">
        <v>0</v>
      </c>
      <c r="EO475" s="1998">
        <v>0</v>
      </c>
      <c r="EP475" s="1998">
        <v>0</v>
      </c>
      <c r="EQ475" s="1998">
        <v>0</v>
      </c>
      <c r="ER475" s="1998">
        <v>0</v>
      </c>
      <c r="ES475" s="1979">
        <v>0</v>
      </c>
      <c r="ET475" s="1979">
        <v>0</v>
      </c>
      <c r="EU475" s="1979">
        <v>0</v>
      </c>
      <c r="EV475" s="1979">
        <v>0</v>
      </c>
      <c r="EW475" s="1979">
        <v>0</v>
      </c>
      <c r="EX475" s="1998">
        <v>6.8617498239804524</v>
      </c>
      <c r="EY475" s="1998">
        <v>6.9494808205594385</v>
      </c>
      <c r="EZ475" s="1998">
        <v>6.9641026533226027</v>
      </c>
      <c r="FA475" s="1998">
        <v>6.9787244860857678</v>
      </c>
      <c r="FB475" s="1998">
        <v>7.0055311794849029</v>
      </c>
      <c r="FC475" s="1979">
        <v>0</v>
      </c>
      <c r="FD475" s="1979">
        <v>0</v>
      </c>
      <c r="FE475" s="1979">
        <v>0</v>
      </c>
      <c r="FF475" s="1979">
        <v>0</v>
      </c>
      <c r="FG475" s="1979">
        <v>0</v>
      </c>
      <c r="FH475" s="1998">
        <v>12.147893027554856</v>
      </c>
      <c r="FI475" s="1998">
        <v>12.294111355186502</v>
      </c>
      <c r="FJ475" s="1998">
        <v>12.428144822182173</v>
      </c>
      <c r="FK475" s="1998">
        <v>12.574363149813822</v>
      </c>
      <c r="FL475" s="1998">
        <v>12.92772410825696</v>
      </c>
      <c r="FM475" s="1979">
        <v>23.903076323065488</v>
      </c>
      <c r="FN475" s="1979">
        <v>6.2066610702312577</v>
      </c>
      <c r="FO475" s="1979">
        <v>6.2778967968974824</v>
      </c>
      <c r="FP475" s="1979">
        <v>6.3753756819852461</v>
      </c>
      <c r="FQ475" s="1979">
        <v>6.472854567073008</v>
      </c>
      <c r="FR475" s="1998">
        <v>78.431350991335634</v>
      </c>
      <c r="FS475" s="1998">
        <v>79.608241805650323</v>
      </c>
      <c r="FT475" s="1998">
        <v>80.68705838543876</v>
      </c>
      <c r="FU475" s="1998">
        <v>81.863949199753435</v>
      </c>
      <c r="FV475" s="1998">
        <v>84.708102001013899</v>
      </c>
      <c r="FW475" s="1979">
        <v>79.522196496634919</v>
      </c>
      <c r="FX475" s="1979">
        <v>80.696754602371698</v>
      </c>
      <c r="FY475" s="1979">
        <v>81.773432865963741</v>
      </c>
      <c r="FZ475" s="1979">
        <v>82.947990971700534</v>
      </c>
      <c r="GA475" s="1979">
        <v>85.786506393897753</v>
      </c>
      <c r="GB475" s="1998">
        <v>6.3166095658863766</v>
      </c>
      <c r="GC475" s="1998">
        <v>6.6628173052349533</v>
      </c>
      <c r="GD475" s="1998">
        <v>7.0090250445835318</v>
      </c>
      <c r="GE475" s="1998">
        <v>7.3552327839321103</v>
      </c>
      <c r="GF475" s="1998">
        <v>7.7014405232806897</v>
      </c>
      <c r="GG475" s="1979">
        <v>8.0091072641836849</v>
      </c>
      <c r="GH475" s="1979">
        <v>8.354040126829414</v>
      </c>
      <c r="GI475" s="1979">
        <v>8.6989729894751449</v>
      </c>
      <c r="GJ475" s="1979">
        <v>9.0439058521208739</v>
      </c>
      <c r="GK475" s="2021">
        <v>9.3888387147666048</v>
      </c>
    </row>
    <row r="476" spans="1:193">
      <c r="A476" s="2020"/>
      <c r="B476" s="2">
        <v>14</v>
      </c>
      <c r="C476" s="2" t="str">
        <f>CONCATENATE($U$8," ",EI$8)</f>
        <v xml:space="preserve">Proportion de fenêtres </v>
      </c>
      <c r="D476" s="1998">
        <f>IF(Construction!$F$31=Construction!$R$22,Oeko!BQ476,Oeko!ED476)</f>
        <v>0</v>
      </c>
      <c r="E476" s="1998">
        <f>IF(Construction!$F$31=Construction!$R$22,Oeko!BR476,Oeko!EE476)</f>
        <v>0</v>
      </c>
      <c r="F476" s="1998">
        <f>IF(Construction!$F$31=Construction!$R$22,Oeko!BS476,Oeko!EF476)</f>
        <v>0</v>
      </c>
      <c r="G476" s="1998">
        <f>IF(Construction!$F$31=Construction!$R$22,Oeko!BT476,Oeko!EG476)</f>
        <v>0</v>
      </c>
      <c r="H476" s="1998">
        <f>IF(Construction!$F$31=Construction!$R$22,Oeko!BU476,Oeko!EH476)</f>
        <v>0</v>
      </c>
      <c r="I476" s="1979">
        <f>IF(Construction!$F$31=Construction!$R$22,Oeko!BV476,Oeko!EI476)</f>
        <v>0</v>
      </c>
      <c r="J476" s="1979">
        <f>IF(Construction!$F$31=Construction!$R$22,Oeko!BW476,Oeko!EJ476)</f>
        <v>0</v>
      </c>
      <c r="K476" s="1979">
        <f>IF(Construction!$F$31=Construction!$R$22,Oeko!BX476,Oeko!EK476)</f>
        <v>0</v>
      </c>
      <c r="L476" s="1979">
        <f>IF(Construction!$F$31=Construction!$R$22,Oeko!BY476,Oeko!EL476)</f>
        <v>0</v>
      </c>
      <c r="M476" s="1979">
        <f>IF(Construction!$F$31=Construction!$R$22,Oeko!BZ476,Oeko!EM476)</f>
        <v>0</v>
      </c>
      <c r="N476" s="1998">
        <f>IF(Construction!$F$31=Construction!$R$22,Oeko!CA476,Oeko!EN476)</f>
        <v>0</v>
      </c>
      <c r="O476" s="1998">
        <f>IF(Construction!$F$31=Construction!$R$22,Oeko!CB476,Oeko!EO476)</f>
        <v>0</v>
      </c>
      <c r="P476" s="1998">
        <f>IF(Construction!$F$31=Construction!$R$22,Oeko!CC476,Oeko!EP476)</f>
        <v>0</v>
      </c>
      <c r="Q476" s="1998">
        <f>IF(Construction!$F$31=Construction!$R$22,Oeko!CD476,Oeko!EQ476)</f>
        <v>0</v>
      </c>
      <c r="R476" s="1998">
        <f>IF(Construction!$F$31=Construction!$R$22,Oeko!CE476,Oeko!ER476)</f>
        <v>0</v>
      </c>
      <c r="S476" s="1979">
        <f>IF(Construction!$F$31=Construction!$R$22,Oeko!CF476,Oeko!ES476)</f>
        <v>0</v>
      </c>
      <c r="T476" s="1979">
        <f>IF(Construction!$F$31=Construction!$R$22,Oeko!CG476,Oeko!ET476)</f>
        <v>0</v>
      </c>
      <c r="U476" s="1979">
        <f>IF(Construction!$F$31=Construction!$R$22,Oeko!CH476,Oeko!EU476)</f>
        <v>0</v>
      </c>
      <c r="V476" s="1979">
        <f>IF(Construction!$F$31=Construction!$R$22,Oeko!CI476,Oeko!EV476)</f>
        <v>0</v>
      </c>
      <c r="W476" s="1979">
        <f>IF(Construction!$F$31=Construction!$R$22,Oeko!CJ476,Oeko!EW476)</f>
        <v>0</v>
      </c>
      <c r="X476" s="1998">
        <f>IF(Construction!$F$31=Construction!$R$22,Oeko!CK476,Oeko!EX476)</f>
        <v>6.5717911860101212</v>
      </c>
      <c r="Y476" s="1998">
        <f>IF(Construction!$F$31=Construction!$R$22,Oeko!CL476,Oeko!EY476)</f>
        <v>6.6595221825891073</v>
      </c>
      <c r="Z476" s="1998">
        <f>IF(Construction!$F$31=Construction!$R$22,Oeko!CM476,Oeko!EZ476)</f>
        <v>6.6741440153522733</v>
      </c>
      <c r="AA476" s="1998">
        <f>IF(Construction!$F$31=Construction!$R$22,Oeko!CN476,Oeko!FA476)</f>
        <v>6.6887658481154375</v>
      </c>
      <c r="AB476" s="1998">
        <f>IF(Construction!$F$31=Construction!$R$22,Oeko!CO476,Oeko!FB476)</f>
        <v>6.7155725415145726</v>
      </c>
      <c r="AC476" s="1979">
        <f>IF(Construction!$F$31=Construction!$R$22,Oeko!CP476,Oeko!FC476)</f>
        <v>0</v>
      </c>
      <c r="AD476" s="1979">
        <f>IF(Construction!$F$31=Construction!$R$22,Oeko!CQ476,Oeko!FD476)</f>
        <v>0</v>
      </c>
      <c r="AE476" s="1979">
        <f>IF(Construction!$F$31=Construction!$R$22,Oeko!CR476,Oeko!FE476)</f>
        <v>0</v>
      </c>
      <c r="AF476" s="1979">
        <f>IF(Construction!$F$31=Construction!$R$22,Oeko!CS476,Oeko!FF476)</f>
        <v>0</v>
      </c>
      <c r="AG476" s="1979">
        <f>IF(Construction!$F$31=Construction!$R$22,Oeko!CT476,Oeko!FG476)</f>
        <v>0</v>
      </c>
      <c r="AH476" s="1998">
        <f>IF(Construction!$F$31=Construction!$R$22,Oeko!CU476,Oeko!FH476)</f>
        <v>11.248519313715194</v>
      </c>
      <c r="AI476" s="1998">
        <f>IF(Construction!$F$31=Construction!$R$22,Oeko!CV476,Oeko!FI476)</f>
        <v>11.394737641346838</v>
      </c>
      <c r="AJ476" s="1998">
        <f>IF(Construction!$F$31=Construction!$R$22,Oeko!CW476,Oeko!FJ476)</f>
        <v>11.528771108342513</v>
      </c>
      <c r="AK476" s="1998">
        <f>IF(Construction!$F$31=Construction!$R$22,Oeko!CX476,Oeko!FK476)</f>
        <v>11.674989435974156</v>
      </c>
      <c r="AL476" s="1998">
        <f>IF(Construction!$F$31=Construction!$R$22,Oeko!CY476,Oeko!FL476)</f>
        <v>12.028350394417298</v>
      </c>
      <c r="AM476" s="1979">
        <f>IF(Construction!$F$31=Construction!$R$22,Oeko!CZ476,Oeko!FM476)</f>
        <v>21.812326015362672</v>
      </c>
      <c r="AN476" s="1979">
        <f>IF(Construction!$F$31=Construction!$R$22,Oeko!DA476,Oeko!FN476)</f>
        <v>5.8953001763206379</v>
      </c>
      <c r="AO476" s="1979">
        <f>IF(Construction!$F$31=Construction!$R$22,Oeko!DB476,Oeko!FO476)</f>
        <v>5.9675355707442206</v>
      </c>
      <c r="AP476" s="1979">
        <f>IF(Construction!$F$31=Construction!$R$22,Oeko!DC476,Oeko!FP476)</f>
        <v>6.0650144558319825</v>
      </c>
      <c r="AQ476" s="1979">
        <f>IF(Construction!$F$31=Construction!$R$22,Oeko!DD476,Oeko!FQ476)</f>
        <v>6.1624933409197453</v>
      </c>
      <c r="AR476" s="1998">
        <f>IF(Construction!$F$31=Construction!$R$22,Oeko!DE476,Oeko!FR476)</f>
        <v>73.629007348785692</v>
      </c>
      <c r="AS476" s="1998">
        <f>IF(Construction!$F$31=Construction!$R$22,Oeko!DF476,Oeko!FS476)</f>
        <v>74.805898163100366</v>
      </c>
      <c r="AT476" s="1998">
        <f>IF(Construction!$F$31=Construction!$R$22,Oeko!DG476,Oeko!FT476)</f>
        <v>75.884714742888818</v>
      </c>
      <c r="AU476" s="1998">
        <f>IF(Construction!$F$31=Construction!$R$22,Oeko!DH476,Oeko!FU476)</f>
        <v>77.061605557203507</v>
      </c>
      <c r="AV476" s="1998">
        <f>IF(Construction!$F$31=Construction!$R$22,Oeko!DI476,Oeko!FV476)</f>
        <v>79.90575835846397</v>
      </c>
      <c r="AW476" s="1979">
        <f>IF(Construction!$F$31=Construction!$R$22,Oeko!DJ476,Oeko!FW476)</f>
        <v>74.677022080324534</v>
      </c>
      <c r="AX476" s="1979">
        <f>IF(Construction!$F$31=Construction!$R$22,Oeko!DK476,Oeko!FX476)</f>
        <v>75.851580186061327</v>
      </c>
      <c r="AY476" s="1979">
        <f>IF(Construction!$F$31=Construction!$R$22,Oeko!DL476,Oeko!FY476)</f>
        <v>76.928258449653384</v>
      </c>
      <c r="AZ476" s="1979">
        <f>IF(Construction!$F$31=Construction!$R$22,Oeko!DM476,Oeko!FZ476)</f>
        <v>78.102816555390163</v>
      </c>
      <c r="BA476" s="1979">
        <f>IF(Construction!$F$31=Construction!$R$22,Oeko!DN476,Oeko!GA476)</f>
        <v>80.941331977587396</v>
      </c>
      <c r="BB476" s="1998">
        <f>IF(Construction!$F$31=Construction!$R$22,Oeko!DO476,Oeko!GB476)</f>
        <v>5.8654375344327772</v>
      </c>
      <c r="BC476" s="1998">
        <f>IF(Construction!$F$31=Construction!$R$22,Oeko!DP476,Oeko!GC476)</f>
        <v>6.2116452737813557</v>
      </c>
      <c r="BD476" s="1998">
        <f>IF(Construction!$F$31=Construction!$R$22,Oeko!DQ476,Oeko!GD476)</f>
        <v>6.5578530131299342</v>
      </c>
      <c r="BE476" s="1998">
        <f>IF(Construction!$F$31=Construction!$R$22,Oeko!DR476,Oeko!GE476)</f>
        <v>6.9040607524785127</v>
      </c>
      <c r="BF476" s="1998">
        <f>IF(Construction!$F$31=Construction!$R$22,Oeko!DS476,Oeko!GF476)</f>
        <v>7.2502684918270921</v>
      </c>
      <c r="BG476" s="1979">
        <f>IF(Construction!$F$31=Construction!$R$22,Oeko!DT476,Oeko!GG476)</f>
        <v>7.3996988075873764</v>
      </c>
      <c r="BH476" s="1979">
        <f>IF(Construction!$F$31=Construction!$R$22,Oeko!DU476,Oeko!GH476)</f>
        <v>7.7446316702331046</v>
      </c>
      <c r="BI476" s="1979">
        <f>IF(Construction!$F$31=Construction!$R$22,Oeko!DV476,Oeko!GI476)</f>
        <v>8.0895645328788355</v>
      </c>
      <c r="BJ476" s="1979">
        <f>IF(Construction!$F$31=Construction!$R$22,Oeko!DW476,Oeko!GJ476)</f>
        <v>8.4344973955245646</v>
      </c>
      <c r="BK476" s="2021">
        <f>IF(Construction!$F$31=Construction!$R$22,Oeko!DX476,Oeko!GK476)</f>
        <v>8.7794302581702937</v>
      </c>
      <c r="BN476" s="2022"/>
      <c r="BO476" s="2">
        <v>14</v>
      </c>
      <c r="BP476" s="2" t="str">
        <f>CONCATENATE($U$8," ",GV$8)</f>
        <v xml:space="preserve">Proportion de fenêtres </v>
      </c>
      <c r="BQ476" s="1998">
        <v>0</v>
      </c>
      <c r="BR476" s="1998">
        <v>0</v>
      </c>
      <c r="BS476" s="1998">
        <v>0</v>
      </c>
      <c r="BT476" s="1998">
        <v>0</v>
      </c>
      <c r="BU476" s="1998">
        <v>0</v>
      </c>
      <c r="BV476" s="1979">
        <v>0</v>
      </c>
      <c r="BW476" s="1979">
        <v>0</v>
      </c>
      <c r="BX476" s="1979">
        <v>0</v>
      </c>
      <c r="BY476" s="1979">
        <v>0</v>
      </c>
      <c r="BZ476" s="1979">
        <v>0</v>
      </c>
      <c r="CA476" s="1998">
        <v>0</v>
      </c>
      <c r="CB476" s="1998">
        <v>0</v>
      </c>
      <c r="CC476" s="1998">
        <v>0</v>
      </c>
      <c r="CD476" s="1998">
        <v>0</v>
      </c>
      <c r="CE476" s="1998">
        <v>0</v>
      </c>
      <c r="CF476" s="1979">
        <v>0</v>
      </c>
      <c r="CG476" s="1979">
        <v>0</v>
      </c>
      <c r="CH476" s="1979">
        <v>0</v>
      </c>
      <c r="CI476" s="1979">
        <v>0</v>
      </c>
      <c r="CJ476" s="1979">
        <v>0</v>
      </c>
      <c r="CK476" s="1998">
        <v>6.5717911860101212</v>
      </c>
      <c r="CL476" s="1998">
        <v>6.6595221825891073</v>
      </c>
      <c r="CM476" s="1998">
        <v>6.6741440153522733</v>
      </c>
      <c r="CN476" s="1998">
        <v>6.6887658481154375</v>
      </c>
      <c r="CO476" s="1998">
        <v>6.7155725415145726</v>
      </c>
      <c r="CP476" s="1979">
        <v>0</v>
      </c>
      <c r="CQ476" s="1979">
        <v>0</v>
      </c>
      <c r="CR476" s="1979">
        <v>0</v>
      </c>
      <c r="CS476" s="1979">
        <v>0</v>
      </c>
      <c r="CT476" s="1979">
        <v>0</v>
      </c>
      <c r="CU476" s="1998">
        <v>11.248519313715194</v>
      </c>
      <c r="CV476" s="1998">
        <v>11.394737641346838</v>
      </c>
      <c r="CW476" s="1998">
        <v>11.528771108342513</v>
      </c>
      <c r="CX476" s="1998">
        <v>11.674989435974156</v>
      </c>
      <c r="CY476" s="1998">
        <v>12.028350394417298</v>
      </c>
      <c r="CZ476" s="1979">
        <v>21.812326015362672</v>
      </c>
      <c r="DA476" s="1979">
        <v>5.8953001763206379</v>
      </c>
      <c r="DB476" s="1979">
        <v>5.9675355707442206</v>
      </c>
      <c r="DC476" s="1979">
        <v>6.0650144558319825</v>
      </c>
      <c r="DD476" s="1979">
        <v>6.1624933409197453</v>
      </c>
      <c r="DE476" s="1998">
        <v>73.629007348785692</v>
      </c>
      <c r="DF476" s="1998">
        <v>74.805898163100366</v>
      </c>
      <c r="DG476" s="1998">
        <v>75.884714742888818</v>
      </c>
      <c r="DH476" s="1998">
        <v>77.061605557203507</v>
      </c>
      <c r="DI476" s="1998">
        <v>79.90575835846397</v>
      </c>
      <c r="DJ476" s="1979">
        <v>74.677022080324534</v>
      </c>
      <c r="DK476" s="1979">
        <v>75.851580186061327</v>
      </c>
      <c r="DL476" s="1979">
        <v>76.928258449653384</v>
      </c>
      <c r="DM476" s="1979">
        <v>78.102816555390163</v>
      </c>
      <c r="DN476" s="1979">
        <v>80.941331977587396</v>
      </c>
      <c r="DO476" s="1998">
        <v>5.8654375344327772</v>
      </c>
      <c r="DP476" s="1998">
        <v>6.2116452737813557</v>
      </c>
      <c r="DQ476" s="1998">
        <v>6.5578530131299342</v>
      </c>
      <c r="DR476" s="1998">
        <v>6.9040607524785127</v>
      </c>
      <c r="DS476" s="1998">
        <v>7.2502684918270921</v>
      </c>
      <c r="DT476" s="1979">
        <v>7.3996988075873764</v>
      </c>
      <c r="DU476" s="1979">
        <v>7.7446316702331046</v>
      </c>
      <c r="DV476" s="1979">
        <v>8.0895645328788355</v>
      </c>
      <c r="DW476" s="1979">
        <v>8.4344973955245646</v>
      </c>
      <c r="DX476" s="2021">
        <v>8.7794302581702937</v>
      </c>
      <c r="EA476" s="2022"/>
      <c r="EB476" s="2">
        <v>14</v>
      </c>
      <c r="EC476" s="2" t="str">
        <f>CONCATENATE($U$8," ",JI$8)</f>
        <v xml:space="preserve">Proportion de fenêtres </v>
      </c>
      <c r="ED476" s="1998">
        <v>0</v>
      </c>
      <c r="EE476" s="1998">
        <v>0</v>
      </c>
      <c r="EF476" s="1998">
        <v>0</v>
      </c>
      <c r="EG476" s="1998">
        <v>0</v>
      </c>
      <c r="EH476" s="1998">
        <v>0</v>
      </c>
      <c r="EI476" s="1979">
        <v>0</v>
      </c>
      <c r="EJ476" s="1979">
        <v>0</v>
      </c>
      <c r="EK476" s="1979">
        <v>0</v>
      </c>
      <c r="EL476" s="1979">
        <v>0</v>
      </c>
      <c r="EM476" s="1979">
        <v>0</v>
      </c>
      <c r="EN476" s="1998">
        <v>0</v>
      </c>
      <c r="EO476" s="1998">
        <v>0</v>
      </c>
      <c r="EP476" s="1998">
        <v>0</v>
      </c>
      <c r="EQ476" s="1998">
        <v>0</v>
      </c>
      <c r="ER476" s="1998">
        <v>0</v>
      </c>
      <c r="ES476" s="1979">
        <v>0</v>
      </c>
      <c r="ET476" s="1979">
        <v>0</v>
      </c>
      <c r="EU476" s="1979">
        <v>0</v>
      </c>
      <c r="EV476" s="1979">
        <v>0</v>
      </c>
      <c r="EW476" s="1979">
        <v>0</v>
      </c>
      <c r="EX476" s="1998">
        <v>6.6643010565482026</v>
      </c>
      <c r="EY476" s="1998">
        <v>6.7520320531271896</v>
      </c>
      <c r="EZ476" s="1998">
        <v>6.7666538858903547</v>
      </c>
      <c r="FA476" s="1998">
        <v>6.7812757186535189</v>
      </c>
      <c r="FB476" s="1998">
        <v>6.808082412052654</v>
      </c>
      <c r="FC476" s="1979">
        <v>0</v>
      </c>
      <c r="FD476" s="1979">
        <v>0</v>
      </c>
      <c r="FE476" s="1979">
        <v>0</v>
      </c>
      <c r="FF476" s="1979">
        <v>0</v>
      </c>
      <c r="FG476" s="1979">
        <v>0</v>
      </c>
      <c r="FH476" s="1998">
        <v>11.726975112486111</v>
      </c>
      <c r="FI476" s="1998">
        <v>11.873193440117754</v>
      </c>
      <c r="FJ476" s="1998">
        <v>12.007226907113429</v>
      </c>
      <c r="FK476" s="1998">
        <v>12.153445234745073</v>
      </c>
      <c r="FL476" s="1998">
        <v>12.506806193188215</v>
      </c>
      <c r="FM476" s="1979">
        <v>22.0185206867767</v>
      </c>
      <c r="FN476" s="1979">
        <v>6.1014948477346653</v>
      </c>
      <c r="FO476" s="1979">
        <v>6.1737302421582481</v>
      </c>
      <c r="FP476" s="1979">
        <v>6.27120912724601</v>
      </c>
      <c r="FQ476" s="1979">
        <v>6.3686880123337719</v>
      </c>
      <c r="FR476" s="1998">
        <v>76.922191406824098</v>
      </c>
      <c r="FS476" s="1998">
        <v>78.099082221138787</v>
      </c>
      <c r="FT476" s="1998">
        <v>79.177898800927238</v>
      </c>
      <c r="FU476" s="1998">
        <v>80.354789615241913</v>
      </c>
      <c r="FV476" s="1998">
        <v>83.198942416502376</v>
      </c>
      <c r="FW476" s="1979">
        <v>77.954551952088764</v>
      </c>
      <c r="FX476" s="1979">
        <v>79.129110057825542</v>
      </c>
      <c r="FY476" s="1979">
        <v>80.2057883214176</v>
      </c>
      <c r="FZ476" s="1979">
        <v>81.380346427154379</v>
      </c>
      <c r="GA476" s="1979">
        <v>84.218861849351597</v>
      </c>
      <c r="GB476" s="1998">
        <v>6.1424943503610541</v>
      </c>
      <c r="GC476" s="1998">
        <v>6.4887020897096326</v>
      </c>
      <c r="GD476" s="1998">
        <v>6.8349098290582111</v>
      </c>
      <c r="GE476" s="1998">
        <v>7.1811175684067896</v>
      </c>
      <c r="GF476" s="1998">
        <v>7.5273253077553672</v>
      </c>
      <c r="GG476" s="1979">
        <v>7.6757353884375537</v>
      </c>
      <c r="GH476" s="1979">
        <v>8.0206682510832827</v>
      </c>
      <c r="GI476" s="1979">
        <v>8.3656011137290136</v>
      </c>
      <c r="GJ476" s="1979">
        <v>8.7105339763747427</v>
      </c>
      <c r="GK476" s="2021">
        <v>9.0554668390204736</v>
      </c>
    </row>
    <row r="477" spans="1:193">
      <c r="A477" s="2020"/>
      <c r="B477" s="2">
        <v>15</v>
      </c>
      <c r="C477" s="2" t="str">
        <f>CONCATENATE($U$8," ",EI$9)</f>
        <v xml:space="preserve">Proportion de fenêtres </v>
      </c>
      <c r="D477" s="1998">
        <f>IF(Construction!$F$31=Construction!$R$22,Oeko!BQ477,Oeko!ED477)</f>
        <v>0</v>
      </c>
      <c r="E477" s="1998">
        <f>IF(Construction!$F$31=Construction!$R$22,Oeko!BR477,Oeko!EE477)</f>
        <v>0</v>
      </c>
      <c r="F477" s="1998">
        <f>IF(Construction!$F$31=Construction!$R$22,Oeko!BS477,Oeko!EF477)</f>
        <v>0</v>
      </c>
      <c r="G477" s="1998">
        <f>IF(Construction!$F$31=Construction!$R$22,Oeko!BT477,Oeko!EG477)</f>
        <v>0</v>
      </c>
      <c r="H477" s="1998">
        <f>IF(Construction!$F$31=Construction!$R$22,Oeko!BU477,Oeko!EH477)</f>
        <v>0</v>
      </c>
      <c r="I477" s="1979">
        <f>IF(Construction!$F$31=Construction!$R$22,Oeko!BV477,Oeko!EI477)</f>
        <v>0</v>
      </c>
      <c r="J477" s="1979">
        <f>IF(Construction!$F$31=Construction!$R$22,Oeko!BW477,Oeko!EJ477)</f>
        <v>0</v>
      </c>
      <c r="K477" s="1979">
        <f>IF(Construction!$F$31=Construction!$R$22,Oeko!BX477,Oeko!EK477)</f>
        <v>0</v>
      </c>
      <c r="L477" s="1979">
        <f>IF(Construction!$F$31=Construction!$R$22,Oeko!BY477,Oeko!EL477)</f>
        <v>0</v>
      </c>
      <c r="M477" s="1979">
        <f>IF(Construction!$F$31=Construction!$R$22,Oeko!BZ477,Oeko!EM477)</f>
        <v>0</v>
      </c>
      <c r="N477" s="1998">
        <f>IF(Construction!$F$31=Construction!$R$22,Oeko!CA477,Oeko!EN477)</f>
        <v>0</v>
      </c>
      <c r="O477" s="1998">
        <f>IF(Construction!$F$31=Construction!$R$22,Oeko!CB477,Oeko!EO477)</f>
        <v>0</v>
      </c>
      <c r="P477" s="1998">
        <f>IF(Construction!$F$31=Construction!$R$22,Oeko!CC477,Oeko!EP477)</f>
        <v>0</v>
      </c>
      <c r="Q477" s="1998">
        <f>IF(Construction!$F$31=Construction!$R$22,Oeko!CD477,Oeko!EQ477)</f>
        <v>0</v>
      </c>
      <c r="R477" s="1998">
        <f>IF(Construction!$F$31=Construction!$R$22,Oeko!CE477,Oeko!ER477)</f>
        <v>0</v>
      </c>
      <c r="S477" s="1979">
        <f>IF(Construction!$F$31=Construction!$R$22,Oeko!CF477,Oeko!ES477)</f>
        <v>0</v>
      </c>
      <c r="T477" s="1979">
        <f>IF(Construction!$F$31=Construction!$R$22,Oeko!CG477,Oeko!ET477)</f>
        <v>0</v>
      </c>
      <c r="U477" s="1979">
        <f>IF(Construction!$F$31=Construction!$R$22,Oeko!CH477,Oeko!EU477)</f>
        <v>0</v>
      </c>
      <c r="V477" s="1979">
        <f>IF(Construction!$F$31=Construction!$R$22,Oeko!CI477,Oeko!EV477)</f>
        <v>0</v>
      </c>
      <c r="W477" s="1979">
        <f>IF(Construction!$F$31=Construction!$R$22,Oeko!CJ477,Oeko!EW477)</f>
        <v>0</v>
      </c>
      <c r="X477" s="1998">
        <f>IF(Construction!$F$31=Construction!$R$22,Oeko!CK477,Oeko!EX477)</f>
        <v>6.3743424185778723</v>
      </c>
      <c r="Y477" s="1998">
        <f>IF(Construction!$F$31=Construction!$R$22,Oeko!CL477,Oeko!EY477)</f>
        <v>6.4620734151568602</v>
      </c>
      <c r="Z477" s="1998">
        <f>IF(Construction!$F$31=Construction!$R$22,Oeko!CM477,Oeko!EZ477)</f>
        <v>6.4766952479200244</v>
      </c>
      <c r="AA477" s="1998">
        <f>IF(Construction!$F$31=Construction!$R$22,Oeko!CN477,Oeko!FA477)</f>
        <v>6.4913170806831886</v>
      </c>
      <c r="AB477" s="1998">
        <f>IF(Construction!$F$31=Construction!$R$22,Oeko!CO477,Oeko!FB477)</f>
        <v>6.5181237740823228</v>
      </c>
      <c r="AC477" s="1979">
        <f>IF(Construction!$F$31=Construction!$R$22,Oeko!CP477,Oeko!FC477)</f>
        <v>0</v>
      </c>
      <c r="AD477" s="1979">
        <f>IF(Construction!$F$31=Construction!$R$22,Oeko!CQ477,Oeko!FD477)</f>
        <v>0</v>
      </c>
      <c r="AE477" s="1979">
        <f>IF(Construction!$F$31=Construction!$R$22,Oeko!CR477,Oeko!FE477)</f>
        <v>0</v>
      </c>
      <c r="AF477" s="1979">
        <f>IF(Construction!$F$31=Construction!$R$22,Oeko!CS477,Oeko!FF477)</f>
        <v>0</v>
      </c>
      <c r="AG477" s="1979">
        <f>IF(Construction!$F$31=Construction!$R$22,Oeko!CT477,Oeko!FG477)</f>
        <v>0</v>
      </c>
      <c r="AH477" s="1998">
        <f>IF(Construction!$F$31=Construction!$R$22,Oeko!CU477,Oeko!FH477)</f>
        <v>10.827601398646447</v>
      </c>
      <c r="AI477" s="1998">
        <f>IF(Construction!$F$31=Construction!$R$22,Oeko!CV477,Oeko!FI477)</f>
        <v>10.973819726278093</v>
      </c>
      <c r="AJ477" s="1998">
        <f>IF(Construction!$F$31=Construction!$R$22,Oeko!CW477,Oeko!FJ477)</f>
        <v>11.107853193273765</v>
      </c>
      <c r="AK477" s="1998">
        <f>IF(Construction!$F$31=Construction!$R$22,Oeko!CX477,Oeko!FK477)</f>
        <v>11.254071520905411</v>
      </c>
      <c r="AL477" s="1998">
        <f>IF(Construction!$F$31=Construction!$R$22,Oeko!CY477,Oeko!FL477)</f>
        <v>11.607432479348549</v>
      </c>
      <c r="AM477" s="1979">
        <f>IF(Construction!$F$31=Construction!$R$22,Oeko!CZ477,Oeko!FM477)</f>
        <v>19.92777037907388</v>
      </c>
      <c r="AN477" s="1979">
        <f>IF(Construction!$F$31=Construction!$R$22,Oeko!DA477,Oeko!FN477)</f>
        <v>5.7901339538240437</v>
      </c>
      <c r="AO477" s="1979">
        <f>IF(Construction!$F$31=Construction!$R$22,Oeko!DB477,Oeko!FO477)</f>
        <v>5.8633690160049845</v>
      </c>
      <c r="AP477" s="1979">
        <f>IF(Construction!$F$31=Construction!$R$22,Oeko!DC477,Oeko!FP477)</f>
        <v>5.9608479010927464</v>
      </c>
      <c r="AQ477" s="1979">
        <f>IF(Construction!$F$31=Construction!$R$22,Oeko!DD477,Oeko!FQ477)</f>
        <v>6.0583267861805101</v>
      </c>
      <c r="AR477" s="1998">
        <f>IF(Construction!$F$31=Construction!$R$22,Oeko!DE477,Oeko!FR477)</f>
        <v>72.119847764274155</v>
      </c>
      <c r="AS477" s="1998">
        <f>IF(Construction!$F$31=Construction!$R$22,Oeko!DF477,Oeko!FS477)</f>
        <v>73.29673857858883</v>
      </c>
      <c r="AT477" s="1998">
        <f>IF(Construction!$F$31=Construction!$R$22,Oeko!DG477,Oeko!FT477)</f>
        <v>74.375555158377296</v>
      </c>
      <c r="AU477" s="1998">
        <f>IF(Construction!$F$31=Construction!$R$22,Oeko!DH477,Oeko!FU477)</f>
        <v>75.552445972691984</v>
      </c>
      <c r="AV477" s="1998">
        <f>IF(Construction!$F$31=Construction!$R$22,Oeko!DI477,Oeko!FV477)</f>
        <v>78.396598773952448</v>
      </c>
      <c r="AW477" s="1979">
        <f>IF(Construction!$F$31=Construction!$R$22,Oeko!DJ477,Oeko!FW477)</f>
        <v>73.109377535778393</v>
      </c>
      <c r="AX477" s="1979">
        <f>IF(Construction!$F$31=Construction!$R$22,Oeko!DK477,Oeko!FX477)</f>
        <v>74.283935641515171</v>
      </c>
      <c r="AY477" s="1979">
        <f>IF(Construction!$F$31=Construction!$R$22,Oeko!DL477,Oeko!FY477)</f>
        <v>75.360613905107229</v>
      </c>
      <c r="AZ477" s="1979">
        <f>IF(Construction!$F$31=Construction!$R$22,Oeko!DM477,Oeko!FZ477)</f>
        <v>76.535172010844008</v>
      </c>
      <c r="BA477" s="1979">
        <f>IF(Construction!$F$31=Construction!$R$22,Oeko!DN477,Oeko!GA477)</f>
        <v>79.373687433041241</v>
      </c>
      <c r="BB477" s="1998">
        <f>IF(Construction!$F$31=Construction!$R$22,Oeko!DO477,Oeko!GB477)</f>
        <v>5.6913223189074573</v>
      </c>
      <c r="BC477" s="1998">
        <f>IF(Construction!$F$31=Construction!$R$22,Oeko!DP477,Oeko!GC477)</f>
        <v>6.0375300582560358</v>
      </c>
      <c r="BD477" s="1998">
        <f>IF(Construction!$F$31=Construction!$R$22,Oeko!DQ477,Oeko!GD477)</f>
        <v>6.3837377976046144</v>
      </c>
      <c r="BE477" s="1998">
        <f>IF(Construction!$F$31=Construction!$R$22,Oeko!DR477,Oeko!GE477)</f>
        <v>6.7299455369531929</v>
      </c>
      <c r="BF477" s="1998">
        <f>IF(Construction!$F$31=Construction!$R$22,Oeko!DS477,Oeko!GF477)</f>
        <v>7.0761532763017687</v>
      </c>
      <c r="BG477" s="1979">
        <f>IF(Construction!$F$31=Construction!$R$22,Oeko!DT477,Oeko!GG477)</f>
        <v>7.0663269318412443</v>
      </c>
      <c r="BH477" s="1979">
        <f>IF(Construction!$F$31=Construction!$R$22,Oeko!DU477,Oeko!GH477)</f>
        <v>7.4112597944869725</v>
      </c>
      <c r="BI477" s="1979">
        <f>IF(Construction!$F$31=Construction!$R$22,Oeko!DV477,Oeko!GI477)</f>
        <v>7.7561926571327033</v>
      </c>
      <c r="BJ477" s="1979">
        <f>IF(Construction!$F$31=Construction!$R$22,Oeko!DW477,Oeko!GJ477)</f>
        <v>8.1011255197784333</v>
      </c>
      <c r="BK477" s="2021">
        <f>IF(Construction!$F$31=Construction!$R$22,Oeko!DX477,Oeko!GK477)</f>
        <v>8.4460583824241606</v>
      </c>
      <c r="BN477" s="2022"/>
      <c r="BO477" s="2">
        <v>15</v>
      </c>
      <c r="BP477" s="2" t="str">
        <f>CONCATENATE($U$8," ",GV$9)</f>
        <v xml:space="preserve">Proportion de fenêtres </v>
      </c>
      <c r="BQ477" s="1998">
        <v>0</v>
      </c>
      <c r="BR477" s="1998">
        <v>0</v>
      </c>
      <c r="BS477" s="1998">
        <v>0</v>
      </c>
      <c r="BT477" s="1998">
        <v>0</v>
      </c>
      <c r="BU477" s="1998">
        <v>0</v>
      </c>
      <c r="BV477" s="1979">
        <v>0</v>
      </c>
      <c r="BW477" s="1979">
        <v>0</v>
      </c>
      <c r="BX477" s="1979">
        <v>0</v>
      </c>
      <c r="BY477" s="1979">
        <v>0</v>
      </c>
      <c r="BZ477" s="1979">
        <v>0</v>
      </c>
      <c r="CA477" s="1998">
        <v>0</v>
      </c>
      <c r="CB477" s="1998">
        <v>0</v>
      </c>
      <c r="CC477" s="1998">
        <v>0</v>
      </c>
      <c r="CD477" s="1998">
        <v>0</v>
      </c>
      <c r="CE477" s="1998">
        <v>0</v>
      </c>
      <c r="CF477" s="1979">
        <v>0</v>
      </c>
      <c r="CG477" s="1979">
        <v>0</v>
      </c>
      <c r="CH477" s="1979">
        <v>0</v>
      </c>
      <c r="CI477" s="1979">
        <v>0</v>
      </c>
      <c r="CJ477" s="1979">
        <v>0</v>
      </c>
      <c r="CK477" s="1998">
        <v>6.3743424185778723</v>
      </c>
      <c r="CL477" s="1998">
        <v>6.4620734151568602</v>
      </c>
      <c r="CM477" s="1998">
        <v>6.4766952479200244</v>
      </c>
      <c r="CN477" s="1998">
        <v>6.4913170806831886</v>
      </c>
      <c r="CO477" s="1998">
        <v>6.5181237740823228</v>
      </c>
      <c r="CP477" s="1979">
        <v>0</v>
      </c>
      <c r="CQ477" s="1979">
        <v>0</v>
      </c>
      <c r="CR477" s="1979">
        <v>0</v>
      </c>
      <c r="CS477" s="1979">
        <v>0</v>
      </c>
      <c r="CT477" s="1979">
        <v>0</v>
      </c>
      <c r="CU477" s="1998">
        <v>10.827601398646447</v>
      </c>
      <c r="CV477" s="1998">
        <v>10.973819726278093</v>
      </c>
      <c r="CW477" s="1998">
        <v>11.107853193273765</v>
      </c>
      <c r="CX477" s="1998">
        <v>11.254071520905411</v>
      </c>
      <c r="CY477" s="1998">
        <v>11.607432479348549</v>
      </c>
      <c r="CZ477" s="1979">
        <v>19.92777037907388</v>
      </c>
      <c r="DA477" s="1979">
        <v>5.7901339538240437</v>
      </c>
      <c r="DB477" s="1979">
        <v>5.8633690160049845</v>
      </c>
      <c r="DC477" s="1979">
        <v>5.9608479010927464</v>
      </c>
      <c r="DD477" s="1979">
        <v>6.0583267861805101</v>
      </c>
      <c r="DE477" s="1998">
        <v>72.119847764274155</v>
      </c>
      <c r="DF477" s="1998">
        <v>73.29673857858883</v>
      </c>
      <c r="DG477" s="1998">
        <v>74.375555158377296</v>
      </c>
      <c r="DH477" s="1998">
        <v>75.552445972691984</v>
      </c>
      <c r="DI477" s="1998">
        <v>78.396598773952448</v>
      </c>
      <c r="DJ477" s="1979">
        <v>73.109377535778393</v>
      </c>
      <c r="DK477" s="1979">
        <v>74.283935641515171</v>
      </c>
      <c r="DL477" s="1979">
        <v>75.360613905107229</v>
      </c>
      <c r="DM477" s="1979">
        <v>76.535172010844008</v>
      </c>
      <c r="DN477" s="1979">
        <v>79.373687433041241</v>
      </c>
      <c r="DO477" s="1998">
        <v>5.6913223189074573</v>
      </c>
      <c r="DP477" s="1998">
        <v>6.0375300582560358</v>
      </c>
      <c r="DQ477" s="1998">
        <v>6.3837377976046144</v>
      </c>
      <c r="DR477" s="1998">
        <v>6.7299455369531929</v>
      </c>
      <c r="DS477" s="1998">
        <v>7.0761532763017687</v>
      </c>
      <c r="DT477" s="1979">
        <v>7.0663269318412443</v>
      </c>
      <c r="DU477" s="1979">
        <v>7.4112597944869725</v>
      </c>
      <c r="DV477" s="1979">
        <v>7.7561926571327033</v>
      </c>
      <c r="DW477" s="1979">
        <v>8.1011255197784333</v>
      </c>
      <c r="DX477" s="2021">
        <v>8.4460583824241606</v>
      </c>
      <c r="EA477" s="2022"/>
      <c r="EB477" s="2">
        <v>15</v>
      </c>
      <c r="EC477" s="2" t="str">
        <f>CONCATENATE($U$8," ",JI$9)</f>
        <v xml:space="preserve">Proportion de fenêtres </v>
      </c>
      <c r="ED477" s="1998">
        <v>0</v>
      </c>
      <c r="EE477" s="1998">
        <v>0</v>
      </c>
      <c r="EF477" s="1998">
        <v>0</v>
      </c>
      <c r="EG477" s="1998">
        <v>0</v>
      </c>
      <c r="EH477" s="1998">
        <v>0</v>
      </c>
      <c r="EI477" s="1979">
        <v>0</v>
      </c>
      <c r="EJ477" s="1979">
        <v>0</v>
      </c>
      <c r="EK477" s="1979">
        <v>0</v>
      </c>
      <c r="EL477" s="1979">
        <v>0</v>
      </c>
      <c r="EM477" s="1979">
        <v>0</v>
      </c>
      <c r="EN477" s="1998">
        <v>0</v>
      </c>
      <c r="EO477" s="1998">
        <v>0</v>
      </c>
      <c r="EP477" s="1998">
        <v>0</v>
      </c>
      <c r="EQ477" s="1998">
        <v>0</v>
      </c>
      <c r="ER477" s="1998">
        <v>0</v>
      </c>
      <c r="ES477" s="1979">
        <v>0</v>
      </c>
      <c r="ET477" s="1979">
        <v>0</v>
      </c>
      <c r="EU477" s="1979">
        <v>0</v>
      </c>
      <c r="EV477" s="1979">
        <v>0</v>
      </c>
      <c r="EW477" s="1979">
        <v>0</v>
      </c>
      <c r="EX477" s="1998">
        <v>6.4668522891159537</v>
      </c>
      <c r="EY477" s="1998">
        <v>6.5545832856949415</v>
      </c>
      <c r="EZ477" s="1998">
        <v>6.5692051184581057</v>
      </c>
      <c r="FA477" s="1998">
        <v>6.5838269512212699</v>
      </c>
      <c r="FB477" s="1998">
        <v>6.6106336446204041</v>
      </c>
      <c r="FC477" s="1979">
        <v>0</v>
      </c>
      <c r="FD477" s="1979">
        <v>0</v>
      </c>
      <c r="FE477" s="1979">
        <v>0</v>
      </c>
      <c r="FF477" s="1979">
        <v>0</v>
      </c>
      <c r="FG477" s="1979">
        <v>0</v>
      </c>
      <c r="FH477" s="1998">
        <v>11.306057197417363</v>
      </c>
      <c r="FI477" s="1998">
        <v>11.452275525049009</v>
      </c>
      <c r="FJ477" s="1998">
        <v>11.586308992044682</v>
      </c>
      <c r="FK477" s="1998">
        <v>11.732527319676327</v>
      </c>
      <c r="FL477" s="1998">
        <v>12.085888278119466</v>
      </c>
      <c r="FM477" s="1979">
        <v>20.133965050487909</v>
      </c>
      <c r="FN477" s="1979">
        <v>5.9963286252380712</v>
      </c>
      <c r="FO477" s="1979">
        <v>6.0695636874190111</v>
      </c>
      <c r="FP477" s="1979">
        <v>6.1670425725067739</v>
      </c>
      <c r="FQ477" s="1979">
        <v>6.2645214575945376</v>
      </c>
      <c r="FR477" s="1998">
        <v>75.413031822312561</v>
      </c>
      <c r="FS477" s="1998">
        <v>76.58992263662725</v>
      </c>
      <c r="FT477" s="1998">
        <v>77.668739216415716</v>
      </c>
      <c r="FU477" s="1998">
        <v>78.845630030730391</v>
      </c>
      <c r="FV477" s="1998">
        <v>81.689782831990854</v>
      </c>
      <c r="FW477" s="1979">
        <v>76.386907407542594</v>
      </c>
      <c r="FX477" s="1979">
        <v>77.561465513279387</v>
      </c>
      <c r="FY477" s="1979">
        <v>78.638143776871445</v>
      </c>
      <c r="FZ477" s="1979">
        <v>79.812701882608224</v>
      </c>
      <c r="GA477" s="1979">
        <v>82.651217304805456</v>
      </c>
      <c r="GB477" s="1998">
        <v>5.9683791348357333</v>
      </c>
      <c r="GC477" s="1998">
        <v>6.3145868741843119</v>
      </c>
      <c r="GD477" s="1998">
        <v>6.6607946135328904</v>
      </c>
      <c r="GE477" s="1998">
        <v>7.0070023528814689</v>
      </c>
      <c r="GF477" s="1998">
        <v>7.3532100922300456</v>
      </c>
      <c r="GG477" s="1979">
        <v>7.3423635126914224</v>
      </c>
      <c r="GH477" s="1979">
        <v>7.6872963753371506</v>
      </c>
      <c r="GI477" s="1979">
        <v>8.0322292379828824</v>
      </c>
      <c r="GJ477" s="1979">
        <v>8.3771621006286097</v>
      </c>
      <c r="GK477" s="2021">
        <v>8.7220949632743405</v>
      </c>
    </row>
    <row r="478" spans="1:193">
      <c r="A478" s="2020"/>
      <c r="B478" s="2">
        <v>16</v>
      </c>
      <c r="C478" s="2" t="str">
        <f>CONCATENATE($U$8," ",EI$10)</f>
        <v xml:space="preserve">Proportion de fenêtres </v>
      </c>
      <c r="D478" s="1998">
        <f>IF(Construction!$F$31=Construction!$R$22,Oeko!BQ478,Oeko!ED478)</f>
        <v>34.584209323866588</v>
      </c>
      <c r="E478" s="1998">
        <f>IF(Construction!$F$31=Construction!$R$22,Oeko!BR478,Oeko!EE478)</f>
        <v>6.2379551062038878</v>
      </c>
      <c r="F478" s="1998">
        <f>IF(Construction!$F$31=Construction!$R$22,Oeko!BS478,Oeko!EF478)</f>
        <v>6.2930605077037569</v>
      </c>
      <c r="G478" s="1998">
        <f>IF(Construction!$F$31=Construction!$R$22,Oeko!BT478,Oeko!EG478)</f>
        <v>6.3783545321555506</v>
      </c>
      <c r="H478" s="1998">
        <f>IF(Construction!$F$31=Construction!$R$22,Oeko!BU478,Oeko!EH478)</f>
        <v>6.4636485566073425</v>
      </c>
      <c r="I478" s="1979">
        <f>IF(Construction!$F$31=Construction!$R$22,Oeko!BV478,Oeko!EI478)</f>
        <v>54.62870185616773</v>
      </c>
      <c r="J478" s="1979">
        <f>IF(Construction!$F$31=Construction!$R$22,Oeko!BW478,Oeko!EJ478)</f>
        <v>9.2791681266124471</v>
      </c>
      <c r="K478" s="1979">
        <f>IF(Construction!$F$31=Construction!$R$22,Oeko!BX478,Oeko!EK478)</f>
        <v>9.3754570459942492</v>
      </c>
      <c r="L478" s="1979">
        <f>IF(Construction!$F$31=Construction!$R$22,Oeko!BY478,Oeko!EL478)</f>
        <v>9.5216753736258948</v>
      </c>
      <c r="M478" s="1979">
        <f>IF(Construction!$F$31=Construction!$R$22,Oeko!BZ478,Oeko!EM478)</f>
        <v>9.6678937012575403</v>
      </c>
      <c r="N478" s="1998">
        <f>IF(Construction!$F$31=Construction!$R$22,Oeko!CA478,Oeko!EN478)</f>
        <v>6.2486222460826966</v>
      </c>
      <c r="O478" s="1998">
        <f>IF(Construction!$F$31=Construction!$R$22,Oeko!CB478,Oeko!EO478)</f>
        <v>6.3321755761579217</v>
      </c>
      <c r="P478" s="1998">
        <f>IF(Construction!$F$31=Construction!$R$22,Oeko!CC478,Oeko!EP478)</f>
        <v>6.3426197424173258</v>
      </c>
      <c r="Q478" s="1998">
        <f>IF(Construction!$F$31=Construction!$R$22,Oeko!CD478,Oeko!EQ478)</f>
        <v>6.3530639086767282</v>
      </c>
      <c r="R478" s="1998">
        <f>IF(Construction!$F$31=Construction!$R$22,Oeko!CE478,Oeko!ER478)</f>
        <v>6.3722115468189671</v>
      </c>
      <c r="S478" s="1979">
        <f>IF(Construction!$F$31=Construction!$R$22,Oeko!CF478,Oeko!ES478)</f>
        <v>9.0838502819990783</v>
      </c>
      <c r="T478" s="1979">
        <f>IF(Construction!$F$31=Construction!$R$22,Oeko!CG478,Oeko!ET478)</f>
        <v>9.1935140277228129</v>
      </c>
      <c r="U478" s="1979">
        <f>IF(Construction!$F$31=Construction!$R$22,Oeko!CH478,Oeko!EU478)</f>
        <v>9.2300686096307238</v>
      </c>
      <c r="V478" s="1979">
        <f>IF(Construction!$F$31=Construction!$R$22,Oeko!CI478,Oeko!EV478)</f>
        <v>9.266623191538633</v>
      </c>
      <c r="W478" s="1979">
        <f>IF(Construction!$F$31=Construction!$R$22,Oeko!CJ478,Oeko!EW478)</f>
        <v>9.3336399250364703</v>
      </c>
      <c r="X478" s="1998">
        <f>IF(Construction!$F$31=Construction!$R$22,Oeko!CK478,Oeko!EX478)</f>
        <v>6.1768936511456243</v>
      </c>
      <c r="Y478" s="1998">
        <f>IF(Construction!$F$31=Construction!$R$22,Oeko!CL478,Oeko!EY478)</f>
        <v>6.2646246477246113</v>
      </c>
      <c r="Z478" s="1998">
        <f>IF(Construction!$F$31=Construction!$R$22,Oeko!CM478,Oeko!EZ478)</f>
        <v>6.2792464804877763</v>
      </c>
      <c r="AA478" s="1998">
        <f>IF(Construction!$F$31=Construction!$R$22,Oeko!CN478,Oeko!FA478)</f>
        <v>6.2938683132509405</v>
      </c>
      <c r="AB478" s="1998">
        <f>IF(Construction!$F$31=Construction!$R$22,Oeko!CO478,Oeko!FB478)</f>
        <v>6.3206750066500756</v>
      </c>
      <c r="AC478" s="1979">
        <f>IF(Construction!$F$31=Construction!$R$22,Oeko!CP478,Oeko!FC478)</f>
        <v>4.9962114293016446</v>
      </c>
      <c r="AD478" s="1979">
        <f>IF(Construction!$F$31=Construction!$R$22,Oeko!CQ478,Oeko!FD478)</f>
        <v>5.0693205931174674</v>
      </c>
      <c r="AE478" s="1979">
        <f>IF(Construction!$F$31=Construction!$R$22,Oeko!CR478,Oeko!FE478)</f>
        <v>5.1424297569332893</v>
      </c>
      <c r="AF478" s="1979">
        <f>IF(Construction!$F$31=Construction!$R$22,Oeko!CS478,Oeko!FF478)</f>
        <v>5.2155389207491112</v>
      </c>
      <c r="AG478" s="1979">
        <f>IF(Construction!$F$31=Construction!$R$22,Oeko!CT478,Oeko!FG478)</f>
        <v>5.3495723877447849</v>
      </c>
      <c r="AH478" s="1998">
        <f>IF(Construction!$F$31=Construction!$R$22,Oeko!CU478,Oeko!FH478)</f>
        <v>10.406683483577702</v>
      </c>
      <c r="AI478" s="1998">
        <f>IF(Construction!$F$31=Construction!$R$22,Oeko!CV478,Oeko!FI478)</f>
        <v>10.552901811209345</v>
      </c>
      <c r="AJ478" s="1998">
        <f>IF(Construction!$F$31=Construction!$R$22,Oeko!CW478,Oeko!FJ478)</f>
        <v>10.686935278205018</v>
      </c>
      <c r="AK478" s="1998">
        <f>IF(Construction!$F$31=Construction!$R$22,Oeko!CX478,Oeko!FK478)</f>
        <v>10.833153605836662</v>
      </c>
      <c r="AL478" s="1998">
        <f>IF(Construction!$F$31=Construction!$R$22,Oeko!CY478,Oeko!FL478)</f>
        <v>11.186514564279804</v>
      </c>
      <c r="AM478" s="1979">
        <f>IF(Construction!$F$31=Construction!$R$22,Oeko!CZ478,Oeko!FM478)</f>
        <v>18.043214742785089</v>
      </c>
      <c r="AN478" s="1979">
        <f>IF(Construction!$F$31=Construction!$R$22,Oeko!DA478,Oeko!FN478)</f>
        <v>5.6849677313274523</v>
      </c>
      <c r="AO478" s="1979">
        <f>IF(Construction!$F$31=Construction!$R$22,Oeko!DB478,Oeko!FO478)</f>
        <v>5.7592024612657484</v>
      </c>
      <c r="AP478" s="1979">
        <f>IF(Construction!$F$31=Construction!$R$22,Oeko!DC478,Oeko!FP478)</f>
        <v>5.8566813463535121</v>
      </c>
      <c r="AQ478" s="1979">
        <f>IF(Construction!$F$31=Construction!$R$22,Oeko!DD478,Oeko!FQ478)</f>
        <v>5.9541602314412758</v>
      </c>
      <c r="AR478" s="1998">
        <f>IF(Construction!$F$31=Construction!$R$22,Oeko!DE478,Oeko!FR478)</f>
        <v>70.610688179762619</v>
      </c>
      <c r="AS478" s="1998">
        <f>IF(Construction!$F$31=Construction!$R$22,Oeko!DF478,Oeko!FS478)</f>
        <v>71.787578994077293</v>
      </c>
      <c r="AT478" s="1998">
        <f>IF(Construction!$F$31=Construction!$R$22,Oeko!DG478,Oeko!FT478)</f>
        <v>72.866395573865759</v>
      </c>
      <c r="AU478" s="1998">
        <f>IF(Construction!$F$31=Construction!$R$22,Oeko!DH478,Oeko!FU478)</f>
        <v>74.043286388180448</v>
      </c>
      <c r="AV478" s="1998">
        <f>IF(Construction!$F$31=Construction!$R$22,Oeko!DI478,Oeko!FV478)</f>
        <v>76.887439189440911</v>
      </c>
      <c r="AW478" s="1979">
        <f>IF(Construction!$F$31=Construction!$R$22,Oeko!DJ478,Oeko!FW478)</f>
        <v>71.541732991232237</v>
      </c>
      <c r="AX478" s="1979">
        <f>IF(Construction!$F$31=Construction!$R$22,Oeko!DK478,Oeko!FX478)</f>
        <v>72.716291096969016</v>
      </c>
      <c r="AY478" s="1979">
        <f>IF(Construction!$F$31=Construction!$R$22,Oeko!DL478,Oeko!FY478)</f>
        <v>73.792969360561074</v>
      </c>
      <c r="AZ478" s="1979">
        <f>IF(Construction!$F$31=Construction!$R$22,Oeko!DM478,Oeko!FZ478)</f>
        <v>74.967527466297852</v>
      </c>
      <c r="BA478" s="1979">
        <f>IF(Construction!$F$31=Construction!$R$22,Oeko!DN478,Oeko!GA478)</f>
        <v>77.806042888495099</v>
      </c>
      <c r="BB478" s="1998">
        <f>IF(Construction!$F$31=Construction!$R$22,Oeko!DO478,Oeko!GB478)</f>
        <v>5.5172071033821366</v>
      </c>
      <c r="BC478" s="1998">
        <f>IF(Construction!$F$31=Construction!$R$22,Oeko!DP478,Oeko!GC478)</f>
        <v>5.8634148427307142</v>
      </c>
      <c r="BD478" s="1998">
        <f>IF(Construction!$F$31=Construction!$R$22,Oeko!DQ478,Oeko!GD478)</f>
        <v>6.2096225820792919</v>
      </c>
      <c r="BE478" s="1998">
        <f>IF(Construction!$F$31=Construction!$R$22,Oeko!DR478,Oeko!GE478)</f>
        <v>6.5558303214278721</v>
      </c>
      <c r="BF478" s="1998">
        <f>IF(Construction!$F$31=Construction!$R$22,Oeko!DS478,Oeko!GF478)</f>
        <v>6.902038060776448</v>
      </c>
      <c r="BG478" s="1979">
        <f>IF(Construction!$F$31=Construction!$R$22,Oeko!DT478,Oeko!GG478)</f>
        <v>6.7329550560951121</v>
      </c>
      <c r="BH478" s="1979">
        <f>IF(Construction!$F$31=Construction!$R$22,Oeko!DU478,Oeko!GH478)</f>
        <v>7.0778879187408403</v>
      </c>
      <c r="BI478" s="1979">
        <f>IF(Construction!$F$31=Construction!$R$22,Oeko!DV478,Oeko!GI478)</f>
        <v>7.4228207813865712</v>
      </c>
      <c r="BJ478" s="1979">
        <f>IF(Construction!$F$31=Construction!$R$22,Oeko!DW478,Oeko!GJ478)</f>
        <v>7.7677536440323003</v>
      </c>
      <c r="BK478" s="2021">
        <f>IF(Construction!$F$31=Construction!$R$22,Oeko!DX478,Oeko!GK478)</f>
        <v>8.1126865066780294</v>
      </c>
      <c r="BN478" s="2022"/>
      <c r="BO478" s="2">
        <v>16</v>
      </c>
      <c r="BP478" s="2" t="str">
        <f>CONCATENATE($U$8," ",GV$10)</f>
        <v xml:space="preserve">Proportion de fenêtres </v>
      </c>
      <c r="BQ478" s="1998">
        <v>34.584209323866588</v>
      </c>
      <c r="BR478" s="1998">
        <v>6.2379551062038878</v>
      </c>
      <c r="BS478" s="1998">
        <v>6.2930605077037569</v>
      </c>
      <c r="BT478" s="1998">
        <v>6.3783545321555506</v>
      </c>
      <c r="BU478" s="1998">
        <v>6.4636485566073425</v>
      </c>
      <c r="BV478" s="1979">
        <v>54.62870185616773</v>
      </c>
      <c r="BW478" s="1979">
        <v>9.2791681266124471</v>
      </c>
      <c r="BX478" s="1979">
        <v>9.3754570459942492</v>
      </c>
      <c r="BY478" s="1979">
        <v>9.5216753736258948</v>
      </c>
      <c r="BZ478" s="1979">
        <v>9.6678937012575403</v>
      </c>
      <c r="CA478" s="1998">
        <v>6.2486222460826966</v>
      </c>
      <c r="CB478" s="1998">
        <v>6.3321755761579217</v>
      </c>
      <c r="CC478" s="1998">
        <v>6.3426197424173258</v>
      </c>
      <c r="CD478" s="1998">
        <v>6.3530639086767282</v>
      </c>
      <c r="CE478" s="1998">
        <v>6.3722115468189671</v>
      </c>
      <c r="CF478" s="1979">
        <v>9.0838502819990783</v>
      </c>
      <c r="CG478" s="1979">
        <v>9.1935140277228129</v>
      </c>
      <c r="CH478" s="1979">
        <v>9.2300686096307238</v>
      </c>
      <c r="CI478" s="1979">
        <v>9.266623191538633</v>
      </c>
      <c r="CJ478" s="1979">
        <v>9.3336399250364703</v>
      </c>
      <c r="CK478" s="1998">
        <v>6.1768936511456243</v>
      </c>
      <c r="CL478" s="1998">
        <v>6.2646246477246113</v>
      </c>
      <c r="CM478" s="1998">
        <v>6.2792464804877763</v>
      </c>
      <c r="CN478" s="1998">
        <v>6.2938683132509405</v>
      </c>
      <c r="CO478" s="1998">
        <v>6.3206750066500756</v>
      </c>
      <c r="CP478" s="1979">
        <v>4.9962114293016446</v>
      </c>
      <c r="CQ478" s="1979">
        <v>5.0693205931174674</v>
      </c>
      <c r="CR478" s="1979">
        <v>5.1424297569332893</v>
      </c>
      <c r="CS478" s="1979">
        <v>5.2155389207491112</v>
      </c>
      <c r="CT478" s="1979">
        <v>5.3495723877447849</v>
      </c>
      <c r="CU478" s="1998">
        <v>10.406683483577702</v>
      </c>
      <c r="CV478" s="1998">
        <v>10.552901811209345</v>
      </c>
      <c r="CW478" s="1998">
        <v>10.686935278205018</v>
      </c>
      <c r="CX478" s="1998">
        <v>10.833153605836662</v>
      </c>
      <c r="CY478" s="1998">
        <v>11.186514564279804</v>
      </c>
      <c r="CZ478" s="1979">
        <v>18.043214742785089</v>
      </c>
      <c r="DA478" s="1979">
        <v>5.6849677313274523</v>
      </c>
      <c r="DB478" s="1979">
        <v>5.7592024612657484</v>
      </c>
      <c r="DC478" s="1979">
        <v>5.8566813463535121</v>
      </c>
      <c r="DD478" s="1979">
        <v>5.9541602314412758</v>
      </c>
      <c r="DE478" s="1998">
        <v>70.610688179762619</v>
      </c>
      <c r="DF478" s="1998">
        <v>71.787578994077293</v>
      </c>
      <c r="DG478" s="1998">
        <v>72.866395573865759</v>
      </c>
      <c r="DH478" s="1998">
        <v>74.043286388180448</v>
      </c>
      <c r="DI478" s="1998">
        <v>76.887439189440911</v>
      </c>
      <c r="DJ478" s="1979">
        <v>71.541732991232237</v>
      </c>
      <c r="DK478" s="1979">
        <v>72.716291096969016</v>
      </c>
      <c r="DL478" s="1979">
        <v>73.792969360561074</v>
      </c>
      <c r="DM478" s="1979">
        <v>74.967527466297852</v>
      </c>
      <c r="DN478" s="1979">
        <v>77.806042888495099</v>
      </c>
      <c r="DO478" s="1998">
        <v>5.5172071033821366</v>
      </c>
      <c r="DP478" s="1998">
        <v>5.8634148427307142</v>
      </c>
      <c r="DQ478" s="1998">
        <v>6.2096225820792919</v>
      </c>
      <c r="DR478" s="1998">
        <v>6.5558303214278721</v>
      </c>
      <c r="DS478" s="1998">
        <v>6.902038060776448</v>
      </c>
      <c r="DT478" s="1979">
        <v>6.7329550560951121</v>
      </c>
      <c r="DU478" s="1979">
        <v>7.0778879187408403</v>
      </c>
      <c r="DV478" s="1979">
        <v>7.4228207813865712</v>
      </c>
      <c r="DW478" s="1979">
        <v>7.7677536440323003</v>
      </c>
      <c r="DX478" s="2021">
        <v>8.1126865066780294</v>
      </c>
      <c r="EA478" s="2022"/>
      <c r="EB478" s="2">
        <v>16</v>
      </c>
      <c r="EC478" s="2" t="str">
        <f>CONCATENATE($U$8," ",JI$10)</f>
        <v xml:space="preserve">Proportion de fenêtres </v>
      </c>
      <c r="ED478" s="1998">
        <v>34.676740783553946</v>
      </c>
      <c r="EE478" s="1998">
        <v>6.3304865658912375</v>
      </c>
      <c r="EF478" s="1998">
        <v>6.3855919673911083</v>
      </c>
      <c r="EG478" s="1998">
        <v>6.470885991842902</v>
      </c>
      <c r="EH478" s="1998">
        <v>6.556180016294693</v>
      </c>
      <c r="EI478" s="1979">
        <v>55.240399963015655</v>
      </c>
      <c r="EJ478" s="1979">
        <v>9.8908662334603683</v>
      </c>
      <c r="EK478" s="1979">
        <v>9.9871551528421705</v>
      </c>
      <c r="EL478" s="1979">
        <v>10.133373480473816</v>
      </c>
      <c r="EM478" s="1979">
        <v>10.279591808105462</v>
      </c>
      <c r="EN478" s="1998">
        <v>6.326711714935997</v>
      </c>
      <c r="EO478" s="1998">
        <v>6.4102650450112231</v>
      </c>
      <c r="EP478" s="1998">
        <v>6.4207092112706263</v>
      </c>
      <c r="EQ478" s="1998">
        <v>6.4311533775300287</v>
      </c>
      <c r="ER478" s="1998">
        <v>6.4503010156722684</v>
      </c>
      <c r="ES478" s="1979">
        <v>9.4063976608538784</v>
      </c>
      <c r="ET478" s="1979">
        <v>9.5160614065776112</v>
      </c>
      <c r="EU478" s="1979">
        <v>9.552615988485524</v>
      </c>
      <c r="EV478" s="1979">
        <v>9.5891705703934331</v>
      </c>
      <c r="EW478" s="1979">
        <v>9.6561873038912687</v>
      </c>
      <c r="EX478" s="1998">
        <v>6.2694035216837056</v>
      </c>
      <c r="EY478" s="1998">
        <v>6.3571345182626926</v>
      </c>
      <c r="EZ478" s="1998">
        <v>6.3717563510258577</v>
      </c>
      <c r="FA478" s="1998">
        <v>6.3863781837890219</v>
      </c>
      <c r="FB478" s="1998">
        <v>6.413184877188157</v>
      </c>
      <c r="FC478" s="1979">
        <v>5.2789926929551676</v>
      </c>
      <c r="FD478" s="1979">
        <v>5.3521018567709895</v>
      </c>
      <c r="FE478" s="1979">
        <v>5.4252110205868123</v>
      </c>
      <c r="FF478" s="1979">
        <v>5.4983201844026341</v>
      </c>
      <c r="FG478" s="1979">
        <v>5.6323536513983097</v>
      </c>
      <c r="FH478" s="1998">
        <v>10.885139282348616</v>
      </c>
      <c r="FI478" s="1998">
        <v>11.03135760998026</v>
      </c>
      <c r="FJ478" s="1998">
        <v>11.165391076975936</v>
      </c>
      <c r="FK478" s="1998">
        <v>11.31160940460758</v>
      </c>
      <c r="FL478" s="1998">
        <v>11.66497036305072</v>
      </c>
      <c r="FM478" s="1979">
        <v>18.249409414199114</v>
      </c>
      <c r="FN478" s="1979">
        <v>5.8911624027414797</v>
      </c>
      <c r="FO478" s="1979">
        <v>5.9653971326797759</v>
      </c>
      <c r="FP478" s="1979">
        <v>6.0628760177675396</v>
      </c>
      <c r="FQ478" s="1979">
        <v>6.1603549028553033</v>
      </c>
      <c r="FR478" s="1998">
        <v>73.903872237801025</v>
      </c>
      <c r="FS478" s="1998">
        <v>75.080763052115714</v>
      </c>
      <c r="FT478" s="1998">
        <v>76.15957963190418</v>
      </c>
      <c r="FU478" s="1998">
        <v>77.336470446218854</v>
      </c>
      <c r="FV478" s="1998">
        <v>80.180623247479318</v>
      </c>
      <c r="FW478" s="1979">
        <v>74.819262862996439</v>
      </c>
      <c r="FX478" s="1979">
        <v>75.993820968733218</v>
      </c>
      <c r="FY478" s="1979">
        <v>77.07049923232529</v>
      </c>
      <c r="FZ478" s="1979">
        <v>78.245057338062068</v>
      </c>
      <c r="GA478" s="1979">
        <v>81.083572760259301</v>
      </c>
      <c r="GB478" s="1998">
        <v>5.7942639193104126</v>
      </c>
      <c r="GC478" s="1998">
        <v>6.1404716586589911</v>
      </c>
      <c r="GD478" s="1998">
        <v>6.4866793980075688</v>
      </c>
      <c r="GE478" s="1998">
        <v>6.8328871373561473</v>
      </c>
      <c r="GF478" s="1998">
        <v>7.1790948767047249</v>
      </c>
      <c r="GG478" s="1979">
        <v>7.0089916369452903</v>
      </c>
      <c r="GH478" s="1979">
        <v>7.3539244995910185</v>
      </c>
      <c r="GI478" s="1979">
        <v>7.6988573622367493</v>
      </c>
      <c r="GJ478" s="1979">
        <v>8.0437902248824784</v>
      </c>
      <c r="GK478" s="2021">
        <v>8.3887230875282075</v>
      </c>
    </row>
    <row r="479" spans="1:193">
      <c r="A479" s="2020"/>
      <c r="B479" s="2">
        <v>17</v>
      </c>
      <c r="C479" s="2" t="str">
        <f>CONCATENATE($U$8," ",EI$11)</f>
        <v xml:space="preserve">Proportion de fenêtres </v>
      </c>
      <c r="D479" s="1998">
        <f>IF(Construction!$F$31=Construction!$R$22,Oeko!BQ479,Oeko!ED479)</f>
        <v>30.282506241033477</v>
      </c>
      <c r="E479" s="1998">
        <f>IF(Construction!$F$31=Construction!$R$22,Oeko!BR479,Oeko!EE479)</f>
        <v>5.9979017722442727</v>
      </c>
      <c r="F479" s="1998">
        <f>IF(Construction!$F$31=Construction!$R$22,Oeko!BS479,Oeko!EF479)</f>
        <v>6.0552890240598511</v>
      </c>
      <c r="G479" s="1998">
        <f>IF(Construction!$F$31=Construction!$R$22,Oeko!BT479,Oeko!EG479)</f>
        <v>6.140583048511643</v>
      </c>
      <c r="H479" s="1998">
        <f>IF(Construction!$F$31=Construction!$R$22,Oeko!BU479,Oeko!EH479)</f>
        <v>6.2258770729634367</v>
      </c>
      <c r="I479" s="1979">
        <f>IF(Construction!$F$31=Construction!$R$22,Oeko!BV479,Oeko!EI479)</f>
        <v>47.745178834008996</v>
      </c>
      <c r="J479" s="1979">
        <f>IF(Construction!$F$31=Construction!$R$22,Oeko!BW479,Oeko!EJ479)</f>
        <v>8.8950382554804097</v>
      </c>
      <c r="K479" s="1979">
        <f>IF(Construction!$F$31=Construction!$R$22,Oeko!BX479,Oeko!EK479)</f>
        <v>8.9949785587161983</v>
      </c>
      <c r="L479" s="1979">
        <f>IF(Construction!$F$31=Construction!$R$22,Oeko!BY479,Oeko!EL479)</f>
        <v>9.1411968863478439</v>
      </c>
      <c r="M479" s="1979">
        <f>IF(Construction!$F$31=Construction!$R$22,Oeko!BZ479,Oeko!EM479)</f>
        <v>9.2874152139794877</v>
      </c>
      <c r="N479" s="1998">
        <f>IF(Construction!$F$31=Construction!$R$22,Oeko!CA479,Oeko!EN479)</f>
        <v>6.0209439192955108</v>
      </c>
      <c r="O479" s="1998">
        <f>IF(Construction!$F$31=Construction!$R$22,Oeko!CB479,Oeko!EO479)</f>
        <v>6.1044972493707359</v>
      </c>
      <c r="P479" s="1998">
        <f>IF(Construction!$F$31=Construction!$R$22,Oeko!CC479,Oeko!EP479)</f>
        <v>6.1149414156301392</v>
      </c>
      <c r="Q479" s="1998">
        <f>IF(Construction!$F$31=Construction!$R$22,Oeko!CD479,Oeko!EQ479)</f>
        <v>6.1253855818895415</v>
      </c>
      <c r="R479" s="1998">
        <f>IF(Construction!$F$31=Construction!$R$22,Oeko!CE479,Oeko!ER479)</f>
        <v>6.1445332200317822</v>
      </c>
      <c r="S479" s="1979">
        <f>IF(Construction!$F$31=Construction!$R$22,Oeko!CF479,Oeko!ES479)</f>
        <v>8.5927793810855402</v>
      </c>
      <c r="T479" s="1979">
        <f>IF(Construction!$F$31=Construction!$R$22,Oeko!CG479,Oeko!ET479)</f>
        <v>8.702443126809273</v>
      </c>
      <c r="U479" s="1979">
        <f>IF(Construction!$F$31=Construction!$R$22,Oeko!CH479,Oeko!EU479)</f>
        <v>8.738997708717184</v>
      </c>
      <c r="V479" s="1979">
        <f>IF(Construction!$F$31=Construction!$R$22,Oeko!CI479,Oeko!EV479)</f>
        <v>8.7755522906250949</v>
      </c>
      <c r="W479" s="1979">
        <f>IF(Construction!$F$31=Construction!$R$22,Oeko!CJ479,Oeko!EW479)</f>
        <v>8.8425690241229322</v>
      </c>
      <c r="X479" s="1998">
        <f>IF(Construction!$F$31=Construction!$R$22,Oeko!CK479,Oeko!EX479)</f>
        <v>5.9794448837133762</v>
      </c>
      <c r="Y479" s="1998">
        <f>IF(Construction!$F$31=Construction!$R$22,Oeko!CL479,Oeko!EY479)</f>
        <v>6.0671758802923623</v>
      </c>
      <c r="Z479" s="1998">
        <f>IF(Construction!$F$31=Construction!$R$22,Oeko!CM479,Oeko!EZ479)</f>
        <v>6.0817977130555274</v>
      </c>
      <c r="AA479" s="1998">
        <f>IF(Construction!$F$31=Construction!$R$22,Oeko!CN479,Oeko!FA479)</f>
        <v>6.0964195458186916</v>
      </c>
      <c r="AB479" s="1998">
        <f>IF(Construction!$F$31=Construction!$R$22,Oeko!CO479,Oeko!FB479)</f>
        <v>6.1232262392178267</v>
      </c>
      <c r="AC479" s="1979">
        <f>IF(Construction!$F$31=Construction!$R$22,Oeko!CP479,Oeko!FC479)</f>
        <v>4.7852741559546921</v>
      </c>
      <c r="AD479" s="1979">
        <f>IF(Construction!$F$31=Construction!$R$22,Oeko!CQ479,Oeko!FD479)</f>
        <v>4.858383319770514</v>
      </c>
      <c r="AE479" s="1979">
        <f>IF(Construction!$F$31=Construction!$R$22,Oeko!CR479,Oeko!FE479)</f>
        <v>4.9314924835863359</v>
      </c>
      <c r="AF479" s="1979">
        <f>IF(Construction!$F$31=Construction!$R$22,Oeko!CS479,Oeko!FF479)</f>
        <v>5.0046016474021586</v>
      </c>
      <c r="AG479" s="1979">
        <f>IF(Construction!$F$31=Construction!$R$22,Oeko!CT479,Oeko!FG479)</f>
        <v>5.1386351143978342</v>
      </c>
      <c r="AH479" s="1998">
        <f>IF(Construction!$F$31=Construction!$R$22,Oeko!CU479,Oeko!FH479)</f>
        <v>9.9857655685089544</v>
      </c>
      <c r="AI479" s="1998">
        <f>IF(Construction!$F$31=Construction!$R$22,Oeko!CV479,Oeko!FI479)</f>
        <v>10.131983896140598</v>
      </c>
      <c r="AJ479" s="1998">
        <f>IF(Construction!$F$31=Construction!$R$22,Oeko!CW479,Oeko!FJ479)</f>
        <v>10.266017363136271</v>
      </c>
      <c r="AK479" s="1998">
        <f>IF(Construction!$F$31=Construction!$R$22,Oeko!CX479,Oeko!FK479)</f>
        <v>10.412235690767917</v>
      </c>
      <c r="AL479" s="1998">
        <f>IF(Construction!$F$31=Construction!$R$22,Oeko!CY479,Oeko!FL479)</f>
        <v>10.765596649211055</v>
      </c>
      <c r="AM479" s="1979">
        <f>IF(Construction!$F$31=Construction!$R$22,Oeko!CZ479,Oeko!FM479)</f>
        <v>16.158659106496298</v>
      </c>
      <c r="AN479" s="1979">
        <f>IF(Construction!$F$31=Construction!$R$22,Oeko!DA479,Oeko!FN479)</f>
        <v>5.5798015088308581</v>
      </c>
      <c r="AO479" s="1979">
        <f>IF(Construction!$F$31=Construction!$R$22,Oeko!DB479,Oeko!FO479)</f>
        <v>5.6550359065265123</v>
      </c>
      <c r="AP479" s="1979">
        <f>IF(Construction!$F$31=Construction!$R$22,Oeko!DC479,Oeko!FP479)</f>
        <v>5.752514791614276</v>
      </c>
      <c r="AQ479" s="1979">
        <f>IF(Construction!$F$31=Construction!$R$22,Oeko!DD479,Oeko!FQ479)</f>
        <v>5.8499936767020397</v>
      </c>
      <c r="AR479" s="1998">
        <f>IF(Construction!$F$31=Construction!$R$22,Oeko!DE479,Oeko!FR479)</f>
        <v>69.101528595251082</v>
      </c>
      <c r="AS479" s="1998">
        <f>IF(Construction!$F$31=Construction!$R$22,Oeko!DF479,Oeko!FS479)</f>
        <v>70.278419409565757</v>
      </c>
      <c r="AT479" s="1998">
        <f>IF(Construction!$F$31=Construction!$R$22,Oeko!DG479,Oeko!FT479)</f>
        <v>71.357235989354223</v>
      </c>
      <c r="AU479" s="1998">
        <f>IF(Construction!$F$31=Construction!$R$22,Oeko!DH479,Oeko!FU479)</f>
        <v>72.534126803668912</v>
      </c>
      <c r="AV479" s="1998">
        <f>IF(Construction!$F$31=Construction!$R$22,Oeko!DI479,Oeko!FV479)</f>
        <v>75.378279604929375</v>
      </c>
      <c r="AW479" s="1979">
        <f>IF(Construction!$F$31=Construction!$R$22,Oeko!DJ479,Oeko!FW479)</f>
        <v>69.974088446686082</v>
      </c>
      <c r="AX479" s="1979">
        <f>IF(Construction!$F$31=Construction!$R$22,Oeko!DK479,Oeko!FX479)</f>
        <v>71.148646552422861</v>
      </c>
      <c r="AY479" s="1979">
        <f>IF(Construction!$F$31=Construction!$R$22,Oeko!DL479,Oeko!FY479)</f>
        <v>72.225324816014918</v>
      </c>
      <c r="AZ479" s="1979">
        <f>IF(Construction!$F$31=Construction!$R$22,Oeko!DM479,Oeko!FZ479)</f>
        <v>73.399882921751697</v>
      </c>
      <c r="BA479" s="1979">
        <f>IF(Construction!$F$31=Construction!$R$22,Oeko!DN479,Oeko!GA479)</f>
        <v>76.23839834394893</v>
      </c>
      <c r="BB479" s="1998">
        <f>IF(Construction!$F$31=Construction!$R$22,Oeko!DO479,Oeko!GB479)</f>
        <v>5.3430918878568141</v>
      </c>
      <c r="BC479" s="1998">
        <f>IF(Construction!$F$31=Construction!$R$22,Oeko!DP479,Oeko!GC479)</f>
        <v>5.6892996272053917</v>
      </c>
      <c r="BD479" s="1998">
        <f>IF(Construction!$F$31=Construction!$R$22,Oeko!DQ479,Oeko!GD479)</f>
        <v>6.0355073665539702</v>
      </c>
      <c r="BE479" s="1998">
        <f>IF(Construction!$F$31=Construction!$R$22,Oeko!DR479,Oeko!GE479)</f>
        <v>6.3817151059025496</v>
      </c>
      <c r="BF479" s="1998">
        <f>IF(Construction!$F$31=Construction!$R$22,Oeko!DS479,Oeko!GF479)</f>
        <v>6.7279228452511282</v>
      </c>
      <c r="BG479" s="1979">
        <f>IF(Construction!$F$31=Construction!$R$22,Oeko!DT479,Oeko!GG479)</f>
        <v>6.3995831803489809</v>
      </c>
      <c r="BH479" s="1979">
        <f>IF(Construction!$F$31=Construction!$R$22,Oeko!DU479,Oeko!GH479)</f>
        <v>6.7445160429947091</v>
      </c>
      <c r="BI479" s="1979">
        <f>IF(Construction!$F$31=Construction!$R$22,Oeko!DV479,Oeko!GI479)</f>
        <v>7.0894489056404391</v>
      </c>
      <c r="BJ479" s="1979">
        <f>IF(Construction!$F$31=Construction!$R$22,Oeko!DW479,Oeko!GJ479)</f>
        <v>7.4343817682861681</v>
      </c>
      <c r="BK479" s="2021">
        <f>IF(Construction!$F$31=Construction!$R$22,Oeko!DX479,Oeko!GK479)</f>
        <v>7.7793146309318972</v>
      </c>
      <c r="BN479" s="2022"/>
      <c r="BO479" s="2">
        <v>17</v>
      </c>
      <c r="BP479" s="2" t="str">
        <f>CONCATENATE($U$8," ",GV$11)</f>
        <v xml:space="preserve">Proportion de fenêtres </v>
      </c>
      <c r="BQ479" s="1998">
        <v>30.282506241033477</v>
      </c>
      <c r="BR479" s="1998">
        <v>5.9979017722442727</v>
      </c>
      <c r="BS479" s="1998">
        <v>6.0552890240598511</v>
      </c>
      <c r="BT479" s="1998">
        <v>6.140583048511643</v>
      </c>
      <c r="BU479" s="1998">
        <v>6.2258770729634367</v>
      </c>
      <c r="BV479" s="1979">
        <v>47.745178834008996</v>
      </c>
      <c r="BW479" s="1979">
        <v>8.8950382554804097</v>
      </c>
      <c r="BX479" s="1979">
        <v>8.9949785587161983</v>
      </c>
      <c r="BY479" s="1979">
        <v>9.1411968863478439</v>
      </c>
      <c r="BZ479" s="1979">
        <v>9.2874152139794877</v>
      </c>
      <c r="CA479" s="1998">
        <v>6.0209439192955108</v>
      </c>
      <c r="CB479" s="1998">
        <v>6.1044972493707359</v>
      </c>
      <c r="CC479" s="1998">
        <v>6.1149414156301392</v>
      </c>
      <c r="CD479" s="1998">
        <v>6.1253855818895415</v>
      </c>
      <c r="CE479" s="1998">
        <v>6.1445332200317822</v>
      </c>
      <c r="CF479" s="1979">
        <v>8.5927793810855402</v>
      </c>
      <c r="CG479" s="1979">
        <v>8.702443126809273</v>
      </c>
      <c r="CH479" s="1979">
        <v>8.738997708717184</v>
      </c>
      <c r="CI479" s="1979">
        <v>8.7755522906250949</v>
      </c>
      <c r="CJ479" s="1979">
        <v>8.8425690241229322</v>
      </c>
      <c r="CK479" s="1998">
        <v>5.9794448837133762</v>
      </c>
      <c r="CL479" s="1998">
        <v>6.0671758802923623</v>
      </c>
      <c r="CM479" s="1998">
        <v>6.0817977130555274</v>
      </c>
      <c r="CN479" s="1998">
        <v>6.0964195458186916</v>
      </c>
      <c r="CO479" s="1998">
        <v>6.1232262392178267</v>
      </c>
      <c r="CP479" s="1979">
        <v>4.7852741559546921</v>
      </c>
      <c r="CQ479" s="1979">
        <v>4.858383319770514</v>
      </c>
      <c r="CR479" s="1979">
        <v>4.9314924835863359</v>
      </c>
      <c r="CS479" s="1979">
        <v>5.0046016474021586</v>
      </c>
      <c r="CT479" s="1979">
        <v>5.1386351143978342</v>
      </c>
      <c r="CU479" s="1998">
        <v>9.9857655685089544</v>
      </c>
      <c r="CV479" s="1998">
        <v>10.131983896140598</v>
      </c>
      <c r="CW479" s="1998">
        <v>10.266017363136271</v>
      </c>
      <c r="CX479" s="1998">
        <v>10.412235690767917</v>
      </c>
      <c r="CY479" s="1998">
        <v>10.765596649211055</v>
      </c>
      <c r="CZ479" s="1979">
        <v>16.158659106496298</v>
      </c>
      <c r="DA479" s="1979">
        <v>5.5798015088308581</v>
      </c>
      <c r="DB479" s="1979">
        <v>5.6550359065265123</v>
      </c>
      <c r="DC479" s="1979">
        <v>5.752514791614276</v>
      </c>
      <c r="DD479" s="1979">
        <v>5.8499936767020397</v>
      </c>
      <c r="DE479" s="1998">
        <v>69.101528595251082</v>
      </c>
      <c r="DF479" s="1998">
        <v>70.278419409565757</v>
      </c>
      <c r="DG479" s="1998">
        <v>71.357235989354223</v>
      </c>
      <c r="DH479" s="1998">
        <v>72.534126803668912</v>
      </c>
      <c r="DI479" s="1998">
        <v>75.378279604929375</v>
      </c>
      <c r="DJ479" s="1979">
        <v>69.974088446686082</v>
      </c>
      <c r="DK479" s="1979">
        <v>71.148646552422861</v>
      </c>
      <c r="DL479" s="1979">
        <v>72.225324816014918</v>
      </c>
      <c r="DM479" s="1979">
        <v>73.399882921751697</v>
      </c>
      <c r="DN479" s="1979">
        <v>76.23839834394893</v>
      </c>
      <c r="DO479" s="1998">
        <v>5.3430918878568141</v>
      </c>
      <c r="DP479" s="1998">
        <v>5.6892996272053917</v>
      </c>
      <c r="DQ479" s="1998">
        <v>6.0355073665539702</v>
      </c>
      <c r="DR479" s="1998">
        <v>6.3817151059025496</v>
      </c>
      <c r="DS479" s="1998">
        <v>6.7279228452511282</v>
      </c>
      <c r="DT479" s="1979">
        <v>6.3995831803489809</v>
      </c>
      <c r="DU479" s="1979">
        <v>6.7445160429947091</v>
      </c>
      <c r="DV479" s="1979">
        <v>7.0894489056404391</v>
      </c>
      <c r="DW479" s="1979">
        <v>7.4343817682861681</v>
      </c>
      <c r="DX479" s="2021">
        <v>7.7793146309318972</v>
      </c>
      <c r="EA479" s="2022"/>
      <c r="EB479" s="2">
        <v>17</v>
      </c>
      <c r="EC479" s="2" t="str">
        <f>CONCATENATE($U$8," ",JI$11)</f>
        <v xml:space="preserve">Proportion de fenêtres </v>
      </c>
      <c r="ED479" s="1998">
        <v>30.375037700720828</v>
      </c>
      <c r="EE479" s="1998">
        <v>6.0904332319316241</v>
      </c>
      <c r="EF479" s="1998">
        <v>6.1478204837472026</v>
      </c>
      <c r="EG479" s="1998">
        <v>6.2331145081989936</v>
      </c>
      <c r="EH479" s="1998">
        <v>6.3184085326507864</v>
      </c>
      <c r="EI479" s="1979">
        <v>48.356876940856914</v>
      </c>
      <c r="EJ479" s="1979">
        <v>9.5067363623283292</v>
      </c>
      <c r="EK479" s="1979">
        <v>9.6066766655641196</v>
      </c>
      <c r="EL479" s="1979">
        <v>9.7528949931957651</v>
      </c>
      <c r="EM479" s="1979">
        <v>9.8991133208274107</v>
      </c>
      <c r="EN479" s="1998">
        <v>6.0990333881488112</v>
      </c>
      <c r="EO479" s="1998">
        <v>6.1825867182240373</v>
      </c>
      <c r="EP479" s="1998">
        <v>6.1930308844834396</v>
      </c>
      <c r="EQ479" s="1998">
        <v>6.2034750507428429</v>
      </c>
      <c r="ER479" s="1998">
        <v>6.2226226888850826</v>
      </c>
      <c r="ES479" s="1979">
        <v>8.9153267599403403</v>
      </c>
      <c r="ET479" s="1979">
        <v>9.0249905056640731</v>
      </c>
      <c r="EU479" s="1979">
        <v>9.0615450875719841</v>
      </c>
      <c r="EV479" s="1979">
        <v>9.098099669479895</v>
      </c>
      <c r="EW479" s="1979">
        <v>9.1651164029777323</v>
      </c>
      <c r="EX479" s="1998">
        <v>6.0719547542514576</v>
      </c>
      <c r="EY479" s="1998">
        <v>6.1596857508304437</v>
      </c>
      <c r="EZ479" s="1998">
        <v>6.1743075835936088</v>
      </c>
      <c r="FA479" s="1998">
        <v>6.188929416356773</v>
      </c>
      <c r="FB479" s="1998">
        <v>6.2157361097559081</v>
      </c>
      <c r="FC479" s="1979">
        <v>5.0680554196082168</v>
      </c>
      <c r="FD479" s="1979">
        <v>5.1411645834240387</v>
      </c>
      <c r="FE479" s="1979">
        <v>5.2142737472398606</v>
      </c>
      <c r="FF479" s="1979">
        <v>5.2873829110556834</v>
      </c>
      <c r="FG479" s="1979">
        <v>5.4214163780513571</v>
      </c>
      <c r="FH479" s="1998">
        <v>10.464221367279869</v>
      </c>
      <c r="FI479" s="1998">
        <v>10.610439694911515</v>
      </c>
      <c r="FJ479" s="1998">
        <v>10.744473161907189</v>
      </c>
      <c r="FK479" s="1998">
        <v>10.890691489538835</v>
      </c>
      <c r="FL479" s="1998">
        <v>11.244052447981973</v>
      </c>
      <c r="FM479" s="1979">
        <v>16.364853777910323</v>
      </c>
      <c r="FN479" s="1979">
        <v>5.7859961802448856</v>
      </c>
      <c r="FO479" s="1979">
        <v>5.8612305779405407</v>
      </c>
      <c r="FP479" s="1979">
        <v>5.9587094630283044</v>
      </c>
      <c r="FQ479" s="1979">
        <v>6.0561883481160681</v>
      </c>
      <c r="FR479" s="1998">
        <v>72.394712653289488</v>
      </c>
      <c r="FS479" s="1998">
        <v>73.571603467604163</v>
      </c>
      <c r="FT479" s="1998">
        <v>74.650420047392643</v>
      </c>
      <c r="FU479" s="1998">
        <v>75.827310861707318</v>
      </c>
      <c r="FV479" s="1998">
        <v>78.671463662967781</v>
      </c>
      <c r="FW479" s="1979">
        <v>73.251618318450298</v>
      </c>
      <c r="FX479" s="1979">
        <v>74.426176424187076</v>
      </c>
      <c r="FY479" s="1979">
        <v>75.502854687779134</v>
      </c>
      <c r="FZ479" s="1979">
        <v>76.677412793515913</v>
      </c>
      <c r="GA479" s="1979">
        <v>79.515928215713146</v>
      </c>
      <c r="GB479" s="1998">
        <v>5.620148703785091</v>
      </c>
      <c r="GC479" s="1998">
        <v>5.9663564431336686</v>
      </c>
      <c r="GD479" s="1998">
        <v>6.3125641824822472</v>
      </c>
      <c r="GE479" s="1998">
        <v>6.6587719218308266</v>
      </c>
      <c r="GF479" s="1998">
        <v>7.0049796611794051</v>
      </c>
      <c r="GG479" s="1979">
        <v>6.675619761199159</v>
      </c>
      <c r="GH479" s="1979">
        <v>7.0205526238448872</v>
      </c>
      <c r="GI479" s="1979">
        <v>7.3654854864906172</v>
      </c>
      <c r="GJ479" s="1979">
        <v>7.7104183491363463</v>
      </c>
      <c r="GK479" s="2021">
        <v>8.0553512117820762</v>
      </c>
    </row>
    <row r="480" spans="1:193">
      <c r="A480" s="2020"/>
      <c r="B480" s="2">
        <v>18</v>
      </c>
      <c r="C480" s="2" t="str">
        <f>CONCATENATE($U$8," ",EI$12)</f>
        <v xml:space="preserve">Proportion de fenêtres </v>
      </c>
      <c r="D480" s="1998">
        <f>IF(Construction!$F$31=Construction!$R$22,Oeko!BQ480,Oeko!ED480)</f>
        <v>25.980803158200363</v>
      </c>
      <c r="E480" s="1998">
        <f>IF(Construction!$F$31=Construction!$R$22,Oeko!BR480,Oeko!EE480)</f>
        <v>5.7578484382846575</v>
      </c>
      <c r="F480" s="1998">
        <f>IF(Construction!$F$31=Construction!$R$22,Oeko!BS480,Oeko!EF480)</f>
        <v>5.8175175404159436</v>
      </c>
      <c r="G480" s="1998">
        <f>IF(Construction!$F$31=Construction!$R$22,Oeko!BT480,Oeko!EG480)</f>
        <v>5.9028115648677373</v>
      </c>
      <c r="H480" s="1998">
        <f>IF(Construction!$F$31=Construction!$R$22,Oeko!BU480,Oeko!EH480)</f>
        <v>5.9881055893195301</v>
      </c>
      <c r="I480" s="1979">
        <f>IF(Construction!$F$31=Construction!$R$22,Oeko!BV480,Oeko!EI480)</f>
        <v>40.861655811850248</v>
      </c>
      <c r="J480" s="1979">
        <f>IF(Construction!$F$31=Construction!$R$22,Oeko!BW480,Oeko!EJ480)</f>
        <v>8.5109083843483706</v>
      </c>
      <c r="K480" s="1979">
        <f>IF(Construction!$F$31=Construction!$R$22,Oeko!BX480,Oeko!EK480)</f>
        <v>8.6145000714381474</v>
      </c>
      <c r="L480" s="1979">
        <f>IF(Construction!$F$31=Construction!$R$22,Oeko!BY480,Oeko!EL480)</f>
        <v>8.760718399069793</v>
      </c>
      <c r="M480" s="1979">
        <f>IF(Construction!$F$31=Construction!$R$22,Oeko!BZ480,Oeko!EM480)</f>
        <v>8.9069367267014385</v>
      </c>
      <c r="N480" s="1998">
        <f>IF(Construction!$F$31=Construction!$R$22,Oeko!CA480,Oeko!EN480)</f>
        <v>5.7932655925083241</v>
      </c>
      <c r="O480" s="1998">
        <f>IF(Construction!$F$31=Construction!$R$22,Oeko!CB480,Oeko!EO480)</f>
        <v>5.8768189225835501</v>
      </c>
      <c r="P480" s="1998">
        <f>IF(Construction!$F$31=Construction!$R$22,Oeko!CC480,Oeko!EP480)</f>
        <v>5.8872630888429525</v>
      </c>
      <c r="Q480" s="1998">
        <f>IF(Construction!$F$31=Construction!$R$22,Oeko!CD480,Oeko!EQ480)</f>
        <v>5.8977072551023557</v>
      </c>
      <c r="R480" s="1998">
        <f>IF(Construction!$F$31=Construction!$R$22,Oeko!CE480,Oeko!ER480)</f>
        <v>5.9168548932445955</v>
      </c>
      <c r="S480" s="1979">
        <f>IF(Construction!$F$31=Construction!$R$22,Oeko!CF480,Oeko!ES480)</f>
        <v>8.1017084801720021</v>
      </c>
      <c r="T480" s="1979">
        <f>IF(Construction!$F$31=Construction!$R$22,Oeko!CG480,Oeko!ET480)</f>
        <v>8.2113722258957349</v>
      </c>
      <c r="U480" s="1979">
        <f>IF(Construction!$F$31=Construction!$R$22,Oeko!CH480,Oeko!EU480)</f>
        <v>8.2479268078036458</v>
      </c>
      <c r="V480" s="1979">
        <f>IF(Construction!$F$31=Construction!$R$22,Oeko!CI480,Oeko!EV480)</f>
        <v>8.2844813897115586</v>
      </c>
      <c r="W480" s="1979">
        <f>IF(Construction!$F$31=Construction!$R$22,Oeko!CJ480,Oeko!EW480)</f>
        <v>8.3514981232093941</v>
      </c>
      <c r="X480" s="1998">
        <f>IF(Construction!$F$31=Construction!$R$22,Oeko!CK480,Oeko!EX480)</f>
        <v>5.7819961162811264</v>
      </c>
      <c r="Y480" s="1998">
        <f>IF(Construction!$F$31=Construction!$R$22,Oeko!CL480,Oeko!EY480)</f>
        <v>5.8697271128601143</v>
      </c>
      <c r="Z480" s="1998">
        <f>IF(Construction!$F$31=Construction!$R$22,Oeko!CM480,Oeko!EZ480)</f>
        <v>5.8843489456232794</v>
      </c>
      <c r="AA480" s="1998">
        <f>IF(Construction!$F$31=Construction!$R$22,Oeko!CN480,Oeko!FA480)</f>
        <v>5.8989707783864436</v>
      </c>
      <c r="AB480" s="1998">
        <f>IF(Construction!$F$31=Construction!$R$22,Oeko!CO480,Oeko!FB480)</f>
        <v>5.9257774717855778</v>
      </c>
      <c r="AC480" s="1979">
        <f>IF(Construction!$F$31=Construction!$R$22,Oeko!CP480,Oeko!FC480)</f>
        <v>4.5743368826077413</v>
      </c>
      <c r="AD480" s="1979">
        <f>IF(Construction!$F$31=Construction!$R$22,Oeko!CQ480,Oeko!FD480)</f>
        <v>4.6474460464235632</v>
      </c>
      <c r="AE480" s="1979">
        <f>IF(Construction!$F$31=Construction!$R$22,Oeko!CR480,Oeko!FE480)</f>
        <v>4.7205552102393851</v>
      </c>
      <c r="AF480" s="1979">
        <f>IF(Construction!$F$31=Construction!$R$22,Oeko!CS480,Oeko!FF480)</f>
        <v>4.793664374055207</v>
      </c>
      <c r="AG480" s="1979">
        <f>IF(Construction!$F$31=Construction!$R$22,Oeko!CT480,Oeko!FG480)</f>
        <v>4.9276978410508807</v>
      </c>
      <c r="AH480" s="1998">
        <f>IF(Construction!$F$31=Construction!$R$22,Oeko!CU480,Oeko!FH480)</f>
        <v>9.5648476534402072</v>
      </c>
      <c r="AI480" s="1998">
        <f>IF(Construction!$F$31=Construction!$R$22,Oeko!CV480,Oeko!FI480)</f>
        <v>9.7110659810718527</v>
      </c>
      <c r="AJ480" s="1998">
        <f>IF(Construction!$F$31=Construction!$R$22,Oeko!CW480,Oeko!FJ480)</f>
        <v>9.8450994480675256</v>
      </c>
      <c r="AK480" s="1998">
        <f>IF(Construction!$F$31=Construction!$R$22,Oeko!CX480,Oeko!FK480)</f>
        <v>9.9913177756991693</v>
      </c>
      <c r="AL480" s="1998">
        <f>IF(Construction!$F$31=Construction!$R$22,Oeko!CY480,Oeko!FL480)</f>
        <v>10.34467873414231</v>
      </c>
      <c r="AM480" s="1979">
        <f>IF(Construction!$F$31=Construction!$R$22,Oeko!CZ480,Oeko!FM480)</f>
        <v>14.274103470207503</v>
      </c>
      <c r="AN480" s="1979">
        <f>IF(Construction!$F$31=Construction!$R$22,Oeko!DA480,Oeko!FN480)</f>
        <v>5.4746352863342649</v>
      </c>
      <c r="AO480" s="1979">
        <f>IF(Construction!$F$31=Construction!$R$22,Oeko!DB480,Oeko!FO480)</f>
        <v>5.550869351787278</v>
      </c>
      <c r="AP480" s="1979">
        <f>IF(Construction!$F$31=Construction!$R$22,Oeko!DC480,Oeko!FP480)</f>
        <v>5.6483482368750417</v>
      </c>
      <c r="AQ480" s="1979">
        <f>IF(Construction!$F$31=Construction!$R$22,Oeko!DD480,Oeko!FQ480)</f>
        <v>5.7458271219628045</v>
      </c>
      <c r="AR480" s="1998">
        <f>IF(Construction!$F$31=Construction!$R$22,Oeko!DE480,Oeko!FR480)</f>
        <v>67.59236901073956</v>
      </c>
      <c r="AS480" s="1998">
        <f>IF(Construction!$F$31=Construction!$R$22,Oeko!DF480,Oeko!FS480)</f>
        <v>68.769259825054235</v>
      </c>
      <c r="AT480" s="1998">
        <f>IF(Construction!$F$31=Construction!$R$22,Oeko!DG480,Oeko!FT480)</f>
        <v>69.848076404842686</v>
      </c>
      <c r="AU480" s="1998">
        <f>IF(Construction!$F$31=Construction!$R$22,Oeko!DH480,Oeko!FU480)</f>
        <v>71.024967219157361</v>
      </c>
      <c r="AV480" s="1998">
        <f>IF(Construction!$F$31=Construction!$R$22,Oeko!DI480,Oeko!FV480)</f>
        <v>73.869120020417824</v>
      </c>
      <c r="AW480" s="1979">
        <f>IF(Construction!$F$31=Construction!$R$22,Oeko!DJ480,Oeko!FW480)</f>
        <v>68.406443902139927</v>
      </c>
      <c r="AX480" s="1979">
        <f>IF(Construction!$F$31=Construction!$R$22,Oeko!DK480,Oeko!FX480)</f>
        <v>69.581002007876705</v>
      </c>
      <c r="AY480" s="1979">
        <f>IF(Construction!$F$31=Construction!$R$22,Oeko!DL480,Oeko!FY480)</f>
        <v>70.657680271468763</v>
      </c>
      <c r="AZ480" s="1979">
        <f>IF(Construction!$F$31=Construction!$R$22,Oeko!DM480,Oeko!FZ480)</f>
        <v>71.832238377205542</v>
      </c>
      <c r="BA480" s="1979">
        <f>IF(Construction!$F$31=Construction!$R$22,Oeko!DN480,Oeko!GA480)</f>
        <v>74.670753799402775</v>
      </c>
      <c r="BB480" s="1998">
        <f>IF(Construction!$F$31=Construction!$R$22,Oeko!DO480,Oeko!GB480)</f>
        <v>5.1689766723314934</v>
      </c>
      <c r="BC480" s="1998">
        <f>IF(Construction!$F$31=Construction!$R$22,Oeko!DP480,Oeko!GC480)</f>
        <v>5.5151844116800719</v>
      </c>
      <c r="BD480" s="1998">
        <f>IF(Construction!$F$31=Construction!$R$22,Oeko!DQ480,Oeko!GD480)</f>
        <v>5.8613921510286504</v>
      </c>
      <c r="BE480" s="1998">
        <f>IF(Construction!$F$31=Construction!$R$22,Oeko!DR480,Oeko!GE480)</f>
        <v>6.2075998903772289</v>
      </c>
      <c r="BF480" s="1998">
        <f>IF(Construction!$F$31=Construction!$R$22,Oeko!DS480,Oeko!GF480)</f>
        <v>6.5538076297258074</v>
      </c>
      <c r="BG480" s="1979">
        <f>IF(Construction!$F$31=Construction!$R$22,Oeko!DT480,Oeko!GG480)</f>
        <v>6.066211304602847</v>
      </c>
      <c r="BH480" s="1979">
        <f>IF(Construction!$F$31=Construction!$R$22,Oeko!DU480,Oeko!GH480)</f>
        <v>6.4111441672485769</v>
      </c>
      <c r="BI480" s="1979">
        <f>IF(Construction!$F$31=Construction!$R$22,Oeko!DV480,Oeko!GI480)</f>
        <v>6.756077029894306</v>
      </c>
      <c r="BJ480" s="1979">
        <f>IF(Construction!$F$31=Construction!$R$22,Oeko!DW480,Oeko!GJ480)</f>
        <v>7.101009892540036</v>
      </c>
      <c r="BK480" s="2021">
        <f>IF(Construction!$F$31=Construction!$R$22,Oeko!DX480,Oeko!GK480)</f>
        <v>7.4459427551857651</v>
      </c>
      <c r="BN480" s="2022"/>
      <c r="BO480" s="2">
        <v>18</v>
      </c>
      <c r="BP480" s="2" t="str">
        <f>CONCATENATE($U$8," ",GV$12)</f>
        <v xml:space="preserve">Proportion de fenêtres </v>
      </c>
      <c r="BQ480" s="1998">
        <v>25.980803158200363</v>
      </c>
      <c r="BR480" s="1998">
        <v>5.7578484382846575</v>
      </c>
      <c r="BS480" s="1998">
        <v>5.8175175404159436</v>
      </c>
      <c r="BT480" s="1998">
        <v>5.9028115648677373</v>
      </c>
      <c r="BU480" s="1998">
        <v>5.9881055893195301</v>
      </c>
      <c r="BV480" s="1979">
        <v>40.861655811850248</v>
      </c>
      <c r="BW480" s="1979">
        <v>8.5109083843483706</v>
      </c>
      <c r="BX480" s="1979">
        <v>8.6145000714381474</v>
      </c>
      <c r="BY480" s="1979">
        <v>8.760718399069793</v>
      </c>
      <c r="BZ480" s="1979">
        <v>8.9069367267014385</v>
      </c>
      <c r="CA480" s="1998">
        <v>5.7932655925083241</v>
      </c>
      <c r="CB480" s="1998">
        <v>5.8768189225835501</v>
      </c>
      <c r="CC480" s="1998">
        <v>5.8872630888429525</v>
      </c>
      <c r="CD480" s="1998">
        <v>5.8977072551023557</v>
      </c>
      <c r="CE480" s="1998">
        <v>5.9168548932445955</v>
      </c>
      <c r="CF480" s="1979">
        <v>8.1017084801720021</v>
      </c>
      <c r="CG480" s="1979">
        <v>8.2113722258957349</v>
      </c>
      <c r="CH480" s="1979">
        <v>8.2479268078036458</v>
      </c>
      <c r="CI480" s="1979">
        <v>8.2844813897115586</v>
      </c>
      <c r="CJ480" s="1979">
        <v>8.3514981232093941</v>
      </c>
      <c r="CK480" s="1998">
        <v>5.7819961162811264</v>
      </c>
      <c r="CL480" s="1998">
        <v>5.8697271128601143</v>
      </c>
      <c r="CM480" s="1998">
        <v>5.8843489456232794</v>
      </c>
      <c r="CN480" s="1998">
        <v>5.8989707783864436</v>
      </c>
      <c r="CO480" s="1998">
        <v>5.9257774717855778</v>
      </c>
      <c r="CP480" s="1979">
        <v>4.5743368826077413</v>
      </c>
      <c r="CQ480" s="1979">
        <v>4.6474460464235632</v>
      </c>
      <c r="CR480" s="1979">
        <v>4.7205552102393851</v>
      </c>
      <c r="CS480" s="1979">
        <v>4.793664374055207</v>
      </c>
      <c r="CT480" s="1979">
        <v>4.9276978410508807</v>
      </c>
      <c r="CU480" s="1998">
        <v>9.5648476534402072</v>
      </c>
      <c r="CV480" s="1998">
        <v>9.7110659810718527</v>
      </c>
      <c r="CW480" s="1998">
        <v>9.8450994480675256</v>
      </c>
      <c r="CX480" s="1998">
        <v>9.9913177756991693</v>
      </c>
      <c r="CY480" s="1998">
        <v>10.34467873414231</v>
      </c>
      <c r="CZ480" s="1979">
        <v>14.274103470207503</v>
      </c>
      <c r="DA480" s="1979">
        <v>5.4746352863342649</v>
      </c>
      <c r="DB480" s="1979">
        <v>5.550869351787278</v>
      </c>
      <c r="DC480" s="1979">
        <v>5.6483482368750417</v>
      </c>
      <c r="DD480" s="1979">
        <v>5.7458271219628045</v>
      </c>
      <c r="DE480" s="1998">
        <v>67.59236901073956</v>
      </c>
      <c r="DF480" s="1998">
        <v>68.769259825054235</v>
      </c>
      <c r="DG480" s="1998">
        <v>69.848076404842686</v>
      </c>
      <c r="DH480" s="1998">
        <v>71.024967219157361</v>
      </c>
      <c r="DI480" s="1998">
        <v>73.869120020417824</v>
      </c>
      <c r="DJ480" s="1979">
        <v>68.406443902139927</v>
      </c>
      <c r="DK480" s="1979">
        <v>69.581002007876705</v>
      </c>
      <c r="DL480" s="1979">
        <v>70.657680271468763</v>
      </c>
      <c r="DM480" s="1979">
        <v>71.832238377205542</v>
      </c>
      <c r="DN480" s="1979">
        <v>74.670753799402775</v>
      </c>
      <c r="DO480" s="1998">
        <v>5.1689766723314934</v>
      </c>
      <c r="DP480" s="1998">
        <v>5.5151844116800719</v>
      </c>
      <c r="DQ480" s="1998">
        <v>5.8613921510286504</v>
      </c>
      <c r="DR480" s="1998">
        <v>6.2075998903772289</v>
      </c>
      <c r="DS480" s="1998">
        <v>6.5538076297258074</v>
      </c>
      <c r="DT480" s="1979">
        <v>6.066211304602847</v>
      </c>
      <c r="DU480" s="1979">
        <v>6.4111441672485769</v>
      </c>
      <c r="DV480" s="1979">
        <v>6.756077029894306</v>
      </c>
      <c r="DW480" s="1979">
        <v>7.101009892540036</v>
      </c>
      <c r="DX480" s="2021">
        <v>7.4459427551857651</v>
      </c>
      <c r="EA480" s="2022"/>
      <c r="EB480" s="2">
        <v>18</v>
      </c>
      <c r="EC480" s="2" t="str">
        <f>CONCATENATE($U$8," ",JI$12)</f>
        <v xml:space="preserve">Proportion de fenêtres </v>
      </c>
      <c r="ED480" s="1998">
        <v>26.07333461788771</v>
      </c>
      <c r="EE480" s="1998">
        <v>5.8503798979720081</v>
      </c>
      <c r="EF480" s="1998">
        <v>5.9100490001032941</v>
      </c>
      <c r="EG480" s="1998">
        <v>5.9953430245550869</v>
      </c>
      <c r="EH480" s="1998">
        <v>6.0806370490068806</v>
      </c>
      <c r="EI480" s="1979">
        <v>41.473353918698173</v>
      </c>
      <c r="EJ480" s="1979">
        <v>9.1226064911962919</v>
      </c>
      <c r="EK480" s="1979">
        <v>9.2261981782860687</v>
      </c>
      <c r="EL480" s="1979">
        <v>9.3724165059177125</v>
      </c>
      <c r="EM480" s="1979">
        <v>9.518634833549358</v>
      </c>
      <c r="EN480" s="1998">
        <v>5.8713550613616245</v>
      </c>
      <c r="EO480" s="1998">
        <v>5.9549083914368506</v>
      </c>
      <c r="EP480" s="1998">
        <v>5.9653525576962538</v>
      </c>
      <c r="EQ480" s="1998">
        <v>5.9757967239556571</v>
      </c>
      <c r="ER480" s="1998">
        <v>5.9949443620978959</v>
      </c>
      <c r="ES480" s="1979">
        <v>8.4242558590268022</v>
      </c>
      <c r="ET480" s="1979">
        <v>8.533919604750535</v>
      </c>
      <c r="EU480" s="1979">
        <v>8.570474186658446</v>
      </c>
      <c r="EV480" s="1979">
        <v>8.6070287685663587</v>
      </c>
      <c r="EW480" s="1979">
        <v>8.6740455020641942</v>
      </c>
      <c r="EX480" s="1998">
        <v>5.8745059868192078</v>
      </c>
      <c r="EY480" s="1998">
        <v>5.9622369833981956</v>
      </c>
      <c r="EZ480" s="1998">
        <v>5.9768588161613607</v>
      </c>
      <c r="FA480" s="1998">
        <v>5.9914806489245249</v>
      </c>
      <c r="FB480" s="1998">
        <v>6.0182873423236591</v>
      </c>
      <c r="FC480" s="1979">
        <v>4.857118146261266</v>
      </c>
      <c r="FD480" s="1979">
        <v>4.9302273100770879</v>
      </c>
      <c r="FE480" s="1979">
        <v>5.0033364738929098</v>
      </c>
      <c r="FF480" s="1979">
        <v>5.0764456377087317</v>
      </c>
      <c r="FG480" s="1979">
        <v>5.2104791047044055</v>
      </c>
      <c r="FH480" s="1998">
        <v>10.043303452211124</v>
      </c>
      <c r="FI480" s="1998">
        <v>10.189521779842767</v>
      </c>
      <c r="FJ480" s="1998">
        <v>10.323555246838442</v>
      </c>
      <c r="FK480" s="1998">
        <v>10.469773574470086</v>
      </c>
      <c r="FL480" s="1998">
        <v>10.823134532913224</v>
      </c>
      <c r="FM480" s="1979">
        <v>14.48029814162153</v>
      </c>
      <c r="FN480" s="1979">
        <v>5.6808299577482924</v>
      </c>
      <c r="FO480" s="1979">
        <v>5.7570640232013064</v>
      </c>
      <c r="FP480" s="1979">
        <v>5.8545429082890683</v>
      </c>
      <c r="FQ480" s="1979">
        <v>5.9520217933768311</v>
      </c>
      <c r="FR480" s="1998">
        <v>70.885553068777966</v>
      </c>
      <c r="FS480" s="1998">
        <v>72.062443883092655</v>
      </c>
      <c r="FT480" s="1998">
        <v>73.141260462881107</v>
      </c>
      <c r="FU480" s="1998">
        <v>74.318151277195781</v>
      </c>
      <c r="FV480" s="1998">
        <v>77.162304078456245</v>
      </c>
      <c r="FW480" s="1979">
        <v>71.683973773904142</v>
      </c>
      <c r="FX480" s="1979">
        <v>72.858531879640921</v>
      </c>
      <c r="FY480" s="1979">
        <v>73.935210143232965</v>
      </c>
      <c r="FZ480" s="1979">
        <v>75.109768248969758</v>
      </c>
      <c r="GA480" s="1979">
        <v>77.94828367116699</v>
      </c>
      <c r="GB480" s="1998">
        <v>5.4460334882597703</v>
      </c>
      <c r="GC480" s="1998">
        <v>5.7922412276083488</v>
      </c>
      <c r="GD480" s="1998">
        <v>6.1384489669569273</v>
      </c>
      <c r="GE480" s="1998">
        <v>6.4846567063055058</v>
      </c>
      <c r="GF480" s="1998">
        <v>6.8308644456540826</v>
      </c>
      <c r="GG480" s="1979">
        <v>6.3422478854530251</v>
      </c>
      <c r="GH480" s="1979">
        <v>6.6871807480987551</v>
      </c>
      <c r="GI480" s="1979">
        <v>7.032113610744485</v>
      </c>
      <c r="GJ480" s="1979">
        <v>7.3770464733902141</v>
      </c>
      <c r="GK480" s="2021">
        <v>7.7219793360359432</v>
      </c>
    </row>
    <row r="481" spans="1:193">
      <c r="A481" s="2020"/>
      <c r="B481" s="2">
        <v>19</v>
      </c>
      <c r="C481" s="2" t="str">
        <f>CONCATENATE($U$8," ",EI$13)</f>
        <v xml:space="preserve">Proportion de fenêtres </v>
      </c>
      <c r="D481" s="1998">
        <f>IF(Construction!$F$31=Construction!$R$22,Oeko!BQ481,Oeko!ED481)</f>
        <v>21.679100075367252</v>
      </c>
      <c r="E481" s="1998">
        <f>IF(Construction!$F$31=Construction!$R$22,Oeko!BR481,Oeko!EE481)</f>
        <v>5.5177951043250433</v>
      </c>
      <c r="F481" s="1998">
        <f>IF(Construction!$F$31=Construction!$R$22,Oeko!BS481,Oeko!EF481)</f>
        <v>5.5797460567720378</v>
      </c>
      <c r="G481" s="1998">
        <f>IF(Construction!$F$31=Construction!$R$22,Oeko!BT481,Oeko!EG481)</f>
        <v>5.6650400812238297</v>
      </c>
      <c r="H481" s="1998">
        <f>IF(Construction!$F$31=Construction!$R$22,Oeko!BU481,Oeko!EH481)</f>
        <v>5.7503341056756234</v>
      </c>
      <c r="I481" s="1979">
        <f>IF(Construction!$F$31=Construction!$R$22,Oeko!BV481,Oeko!EI481)</f>
        <v>33.978132789691514</v>
      </c>
      <c r="J481" s="1979">
        <f>IF(Construction!$F$31=Construction!$R$22,Oeko!BW481,Oeko!EJ481)</f>
        <v>8.1267785132163368</v>
      </c>
      <c r="K481" s="1979">
        <f>IF(Construction!$F$31=Construction!$R$22,Oeko!BX481,Oeko!EK481)</f>
        <v>8.2340215841600966</v>
      </c>
      <c r="L481" s="1979">
        <f>IF(Construction!$F$31=Construction!$R$22,Oeko!BY481,Oeko!EL481)</f>
        <v>8.3802399117917421</v>
      </c>
      <c r="M481" s="1979">
        <f>IF(Construction!$F$31=Construction!$R$22,Oeko!BZ481,Oeko!EM481)</f>
        <v>8.5264582394233841</v>
      </c>
      <c r="N481" s="1998">
        <f>IF(Construction!$F$31=Construction!$R$22,Oeko!CA481,Oeko!EN481)</f>
        <v>5.5655872657211383</v>
      </c>
      <c r="O481" s="1998">
        <f>IF(Construction!$F$31=Construction!$R$22,Oeko!CB481,Oeko!EO481)</f>
        <v>5.6491405957963643</v>
      </c>
      <c r="P481" s="1998">
        <f>IF(Construction!$F$31=Construction!$R$22,Oeko!CC481,Oeko!EP481)</f>
        <v>5.6595847620557667</v>
      </c>
      <c r="Q481" s="1998">
        <f>IF(Construction!$F$31=Construction!$R$22,Oeko!CD481,Oeko!EQ481)</f>
        <v>5.6700289283151708</v>
      </c>
      <c r="R481" s="1998">
        <f>IF(Construction!$F$31=Construction!$R$22,Oeko!CE481,Oeko!ER481)</f>
        <v>5.6891765664574097</v>
      </c>
      <c r="S481" s="1979">
        <f>IF(Construction!$F$31=Construction!$R$22,Oeko!CF481,Oeko!ES481)</f>
        <v>7.610637579258464</v>
      </c>
      <c r="T481" s="1979">
        <f>IF(Construction!$F$31=Construction!$R$22,Oeko!CG481,Oeko!ET481)</f>
        <v>7.7203013249821968</v>
      </c>
      <c r="U481" s="1979">
        <f>IF(Construction!$F$31=Construction!$R$22,Oeko!CH481,Oeko!EU481)</f>
        <v>7.7568559068901086</v>
      </c>
      <c r="V481" s="1979">
        <f>IF(Construction!$F$31=Construction!$R$22,Oeko!CI481,Oeko!EV481)</f>
        <v>7.7934104887980205</v>
      </c>
      <c r="W481" s="1979">
        <f>IF(Construction!$F$31=Construction!$R$22,Oeko!CJ481,Oeko!EW481)</f>
        <v>7.8604272222958569</v>
      </c>
      <c r="X481" s="1998">
        <f>IF(Construction!$F$31=Construction!$R$22,Oeko!CK481,Oeko!EX481)</f>
        <v>5.5845473488488784</v>
      </c>
      <c r="Y481" s="1998">
        <f>IF(Construction!$F$31=Construction!$R$22,Oeko!CL481,Oeko!EY481)</f>
        <v>5.6722783454278654</v>
      </c>
      <c r="Z481" s="1998">
        <f>IF(Construction!$F$31=Construction!$R$22,Oeko!CM481,Oeko!EZ481)</f>
        <v>5.6869001781910296</v>
      </c>
      <c r="AA481" s="1998">
        <f>IF(Construction!$F$31=Construction!$R$22,Oeko!CN481,Oeko!FA481)</f>
        <v>5.7015220109541946</v>
      </c>
      <c r="AB481" s="1998">
        <f>IF(Construction!$F$31=Construction!$R$22,Oeko!CO481,Oeko!FB481)</f>
        <v>5.7283287043533289</v>
      </c>
      <c r="AC481" s="1979">
        <f>IF(Construction!$F$31=Construction!$R$22,Oeko!CP481,Oeko!FC481)</f>
        <v>4.3633996092607896</v>
      </c>
      <c r="AD481" s="1979">
        <f>IF(Construction!$F$31=Construction!$R$22,Oeko!CQ481,Oeko!FD481)</f>
        <v>4.4365087730766124</v>
      </c>
      <c r="AE481" s="1979">
        <f>IF(Construction!$F$31=Construction!$R$22,Oeko!CR481,Oeko!FE481)</f>
        <v>4.5096179368924343</v>
      </c>
      <c r="AF481" s="1979">
        <f>IF(Construction!$F$31=Construction!$R$22,Oeko!CS481,Oeko!FF481)</f>
        <v>4.5827271007082562</v>
      </c>
      <c r="AG481" s="1979">
        <f>IF(Construction!$F$31=Construction!$R$22,Oeko!CT481,Oeko!FG481)</f>
        <v>4.7167605677039299</v>
      </c>
      <c r="AH481" s="1998">
        <f>IF(Construction!$F$31=Construction!$R$22,Oeko!CU481,Oeko!FH481)</f>
        <v>9.1439297383714617</v>
      </c>
      <c r="AI481" s="1998">
        <f>IF(Construction!$F$31=Construction!$R$22,Oeko!CV481,Oeko!FI481)</f>
        <v>9.2901480660031037</v>
      </c>
      <c r="AJ481" s="1998">
        <f>IF(Construction!$F$31=Construction!$R$22,Oeko!CW481,Oeko!FJ481)</f>
        <v>9.4241815329987784</v>
      </c>
      <c r="AK481" s="1998">
        <f>IF(Construction!$F$31=Construction!$R$22,Oeko!CX481,Oeko!FK481)</f>
        <v>9.5703998606304239</v>
      </c>
      <c r="AL481" s="1998">
        <f>IF(Construction!$F$31=Construction!$R$22,Oeko!CY481,Oeko!FL481)</f>
        <v>9.9237608190735624</v>
      </c>
      <c r="AM481" s="1979">
        <f>IF(Construction!$F$31=Construction!$R$22,Oeko!CZ481,Oeko!FM481)</f>
        <v>12.38954783391871</v>
      </c>
      <c r="AN481" s="1979">
        <f>IF(Construction!$F$31=Construction!$R$22,Oeko!DA481,Oeko!FN481)</f>
        <v>5.3694690638376725</v>
      </c>
      <c r="AO481" s="1979">
        <f>IF(Construction!$F$31=Construction!$R$22,Oeko!DB481,Oeko!FO481)</f>
        <v>5.4467027970480437</v>
      </c>
      <c r="AP481" s="1979">
        <f>IF(Construction!$F$31=Construction!$R$22,Oeko!DC481,Oeko!FP481)</f>
        <v>5.5441816821358056</v>
      </c>
      <c r="AQ481" s="1979">
        <f>IF(Construction!$F$31=Construction!$R$22,Oeko!DD481,Oeko!FQ481)</f>
        <v>5.6416605672235685</v>
      </c>
      <c r="AR481" s="1998">
        <f>IF(Construction!$F$31=Construction!$R$22,Oeko!DE481,Oeko!FR481)</f>
        <v>66.083209426228024</v>
      </c>
      <c r="AS481" s="1998">
        <f>IF(Construction!$F$31=Construction!$R$22,Oeko!DF481,Oeko!FS481)</f>
        <v>67.260100240542712</v>
      </c>
      <c r="AT481" s="1998">
        <f>IF(Construction!$F$31=Construction!$R$22,Oeko!DG481,Oeko!FT481)</f>
        <v>68.338916820331164</v>
      </c>
      <c r="AU481" s="1998">
        <f>IF(Construction!$F$31=Construction!$R$22,Oeko!DH481,Oeko!FU481)</f>
        <v>69.515807634645839</v>
      </c>
      <c r="AV481" s="1998">
        <f>IF(Construction!$F$31=Construction!$R$22,Oeko!DI481,Oeko!FV481)</f>
        <v>72.359960435906288</v>
      </c>
      <c r="AW481" s="1979">
        <f>IF(Construction!$F$31=Construction!$R$22,Oeko!DJ481,Oeko!FW481)</f>
        <v>66.838799357593771</v>
      </c>
      <c r="AX481" s="1979">
        <f>IF(Construction!$F$31=Construction!$R$22,Oeko!DK481,Oeko!FX481)</f>
        <v>68.013357463330536</v>
      </c>
      <c r="AY481" s="1979">
        <f>IF(Construction!$F$31=Construction!$R$22,Oeko!DL481,Oeko!FY481)</f>
        <v>69.090035726922608</v>
      </c>
      <c r="AZ481" s="1979">
        <f>IF(Construction!$F$31=Construction!$R$22,Oeko!DM481,Oeko!FZ481)</f>
        <v>70.264593832659386</v>
      </c>
      <c r="BA481" s="1979">
        <f>IF(Construction!$F$31=Construction!$R$22,Oeko!DN481,Oeko!GA481)</f>
        <v>73.103109254856619</v>
      </c>
      <c r="BB481" s="1998">
        <f>IF(Construction!$F$31=Construction!$R$22,Oeko!DO481,Oeko!GB481)</f>
        <v>4.9948614568061727</v>
      </c>
      <c r="BC481" s="1998">
        <f>IF(Construction!$F$31=Construction!$R$22,Oeko!DP481,Oeko!GC481)</f>
        <v>5.3410691961547494</v>
      </c>
      <c r="BD481" s="1998">
        <f>IF(Construction!$F$31=Construction!$R$22,Oeko!DQ481,Oeko!GD481)</f>
        <v>5.6872769355033297</v>
      </c>
      <c r="BE481" s="1998">
        <f>IF(Construction!$F$31=Construction!$R$22,Oeko!DR481,Oeko!GE481)</f>
        <v>6.0334846748519082</v>
      </c>
      <c r="BF481" s="1998">
        <f>IF(Construction!$F$31=Construction!$R$22,Oeko!DS481,Oeko!GF481)</f>
        <v>6.3796924142004867</v>
      </c>
      <c r="BG481" s="1979">
        <f>IF(Construction!$F$31=Construction!$R$22,Oeko!DT481,Oeko!GG481)</f>
        <v>5.7328394288567148</v>
      </c>
      <c r="BH481" s="1979">
        <f>IF(Construction!$F$31=Construction!$R$22,Oeko!DU481,Oeko!GH481)</f>
        <v>6.0777722915024448</v>
      </c>
      <c r="BI481" s="1979">
        <f>IF(Construction!$F$31=Construction!$R$22,Oeko!DV481,Oeko!GI481)</f>
        <v>6.4227051541481739</v>
      </c>
      <c r="BJ481" s="1979">
        <f>IF(Construction!$F$31=Construction!$R$22,Oeko!DW481,Oeko!GJ481)</f>
        <v>6.7676380167939039</v>
      </c>
      <c r="BK481" s="2021">
        <f>IF(Construction!$F$31=Construction!$R$22,Oeko!DX481,Oeko!GK481)</f>
        <v>7.1125708794396338</v>
      </c>
      <c r="BN481" s="2022"/>
      <c r="BO481" s="2">
        <v>19</v>
      </c>
      <c r="BP481" s="2" t="str">
        <f>CONCATENATE($U$8," ",GV$13)</f>
        <v xml:space="preserve">Proportion de fenêtres </v>
      </c>
      <c r="BQ481" s="1998">
        <v>21.679100075367252</v>
      </c>
      <c r="BR481" s="1998">
        <v>5.5177951043250433</v>
      </c>
      <c r="BS481" s="1998">
        <v>5.5797460567720378</v>
      </c>
      <c r="BT481" s="1998">
        <v>5.6650400812238297</v>
      </c>
      <c r="BU481" s="1998">
        <v>5.7503341056756234</v>
      </c>
      <c r="BV481" s="1979">
        <v>33.978132789691514</v>
      </c>
      <c r="BW481" s="1979">
        <v>8.1267785132163368</v>
      </c>
      <c r="BX481" s="1979">
        <v>8.2340215841600966</v>
      </c>
      <c r="BY481" s="1979">
        <v>8.3802399117917421</v>
      </c>
      <c r="BZ481" s="1979">
        <v>8.5264582394233841</v>
      </c>
      <c r="CA481" s="1998">
        <v>5.5655872657211383</v>
      </c>
      <c r="CB481" s="1998">
        <v>5.6491405957963643</v>
      </c>
      <c r="CC481" s="1998">
        <v>5.6595847620557667</v>
      </c>
      <c r="CD481" s="1998">
        <v>5.6700289283151708</v>
      </c>
      <c r="CE481" s="1998">
        <v>5.6891765664574097</v>
      </c>
      <c r="CF481" s="1979">
        <v>7.610637579258464</v>
      </c>
      <c r="CG481" s="1979">
        <v>7.7203013249821968</v>
      </c>
      <c r="CH481" s="1979">
        <v>7.7568559068901086</v>
      </c>
      <c r="CI481" s="1979">
        <v>7.7934104887980205</v>
      </c>
      <c r="CJ481" s="1979">
        <v>7.8604272222958569</v>
      </c>
      <c r="CK481" s="1998">
        <v>5.5845473488488784</v>
      </c>
      <c r="CL481" s="1998">
        <v>5.6722783454278654</v>
      </c>
      <c r="CM481" s="1998">
        <v>5.6869001781910296</v>
      </c>
      <c r="CN481" s="1998">
        <v>5.7015220109541946</v>
      </c>
      <c r="CO481" s="1998">
        <v>5.7283287043533289</v>
      </c>
      <c r="CP481" s="1979">
        <v>4.3633996092607896</v>
      </c>
      <c r="CQ481" s="1979">
        <v>4.4365087730766124</v>
      </c>
      <c r="CR481" s="1979">
        <v>4.5096179368924343</v>
      </c>
      <c r="CS481" s="1979">
        <v>4.5827271007082562</v>
      </c>
      <c r="CT481" s="1979">
        <v>4.7167605677039299</v>
      </c>
      <c r="CU481" s="1998">
        <v>9.1439297383714617</v>
      </c>
      <c r="CV481" s="1998">
        <v>9.2901480660031037</v>
      </c>
      <c r="CW481" s="1998">
        <v>9.4241815329987784</v>
      </c>
      <c r="CX481" s="1998">
        <v>9.5703998606304239</v>
      </c>
      <c r="CY481" s="1998">
        <v>9.9237608190735624</v>
      </c>
      <c r="CZ481" s="1979">
        <v>12.38954783391871</v>
      </c>
      <c r="DA481" s="1979">
        <v>5.3694690638376725</v>
      </c>
      <c r="DB481" s="1979">
        <v>5.4467027970480437</v>
      </c>
      <c r="DC481" s="1979">
        <v>5.5441816821358056</v>
      </c>
      <c r="DD481" s="1979">
        <v>5.6416605672235685</v>
      </c>
      <c r="DE481" s="1998">
        <v>66.083209426228024</v>
      </c>
      <c r="DF481" s="1998">
        <v>67.260100240542712</v>
      </c>
      <c r="DG481" s="1998">
        <v>68.338916820331164</v>
      </c>
      <c r="DH481" s="1998">
        <v>69.515807634645839</v>
      </c>
      <c r="DI481" s="1998">
        <v>72.359960435906288</v>
      </c>
      <c r="DJ481" s="1979">
        <v>66.838799357593771</v>
      </c>
      <c r="DK481" s="1979">
        <v>68.013357463330536</v>
      </c>
      <c r="DL481" s="1979">
        <v>69.090035726922608</v>
      </c>
      <c r="DM481" s="1979">
        <v>70.264593832659386</v>
      </c>
      <c r="DN481" s="1979">
        <v>73.103109254856619</v>
      </c>
      <c r="DO481" s="1998">
        <v>4.9948614568061727</v>
      </c>
      <c r="DP481" s="1998">
        <v>5.3410691961547494</v>
      </c>
      <c r="DQ481" s="1998">
        <v>5.6872769355033297</v>
      </c>
      <c r="DR481" s="1998">
        <v>6.0334846748519082</v>
      </c>
      <c r="DS481" s="1998">
        <v>6.3796924142004867</v>
      </c>
      <c r="DT481" s="1979">
        <v>5.7328394288567148</v>
      </c>
      <c r="DU481" s="1979">
        <v>6.0777722915024448</v>
      </c>
      <c r="DV481" s="1979">
        <v>6.4227051541481739</v>
      </c>
      <c r="DW481" s="1979">
        <v>6.7676380167939039</v>
      </c>
      <c r="DX481" s="2021">
        <v>7.1125708794396338</v>
      </c>
      <c r="EA481" s="2022"/>
      <c r="EB481" s="2">
        <v>19</v>
      </c>
      <c r="EC481" s="2" t="str">
        <f>CONCATENATE($U$8," ",JI$13)</f>
        <v xml:space="preserve">Proportion de fenêtres </v>
      </c>
      <c r="ED481" s="1998">
        <v>21.771631535054599</v>
      </c>
      <c r="EE481" s="1998">
        <v>5.6103265640123947</v>
      </c>
      <c r="EF481" s="1998">
        <v>5.6722775164593884</v>
      </c>
      <c r="EG481" s="1998">
        <v>5.7575715409111803</v>
      </c>
      <c r="EH481" s="1998">
        <v>5.8428655653629731</v>
      </c>
      <c r="EI481" s="1979">
        <v>34.589830896539432</v>
      </c>
      <c r="EJ481" s="1979">
        <v>8.7384766200642563</v>
      </c>
      <c r="EK481" s="1979">
        <v>8.8457196910080178</v>
      </c>
      <c r="EL481" s="1979">
        <v>8.9919380186396634</v>
      </c>
      <c r="EM481" s="1979">
        <v>9.1381563462713054</v>
      </c>
      <c r="EN481" s="1998">
        <v>5.6436767345744405</v>
      </c>
      <c r="EO481" s="1998">
        <v>5.7272300646496657</v>
      </c>
      <c r="EP481" s="1998">
        <v>5.737674230909068</v>
      </c>
      <c r="EQ481" s="1998">
        <v>5.7481183971684713</v>
      </c>
      <c r="ER481" s="1998">
        <v>5.7672660353107101</v>
      </c>
      <c r="ES481" s="1979">
        <v>7.9331849581132641</v>
      </c>
      <c r="ET481" s="1979">
        <v>8.0428487038369969</v>
      </c>
      <c r="EU481" s="1979">
        <v>8.0794032857449078</v>
      </c>
      <c r="EV481" s="1979">
        <v>8.1159578676528206</v>
      </c>
      <c r="EW481" s="1979">
        <v>8.1829746011506561</v>
      </c>
      <c r="EX481" s="1998">
        <v>5.6770572193869597</v>
      </c>
      <c r="EY481" s="1998">
        <v>5.7647882159659467</v>
      </c>
      <c r="EZ481" s="1998">
        <v>5.7794100487291109</v>
      </c>
      <c r="FA481" s="1998">
        <v>5.794031881492276</v>
      </c>
      <c r="FB481" s="1998">
        <v>5.8208385748914102</v>
      </c>
      <c r="FC481" s="1979">
        <v>4.6461808729143126</v>
      </c>
      <c r="FD481" s="1979">
        <v>4.7192900367301345</v>
      </c>
      <c r="FE481" s="1979">
        <v>4.7923992005459572</v>
      </c>
      <c r="FF481" s="1979">
        <v>4.8655083643617791</v>
      </c>
      <c r="FG481" s="1979">
        <v>4.9995418313574529</v>
      </c>
      <c r="FH481" s="1998">
        <v>9.6223855371423763</v>
      </c>
      <c r="FI481" s="1998">
        <v>9.7686038647740201</v>
      </c>
      <c r="FJ481" s="1998">
        <v>9.9026373317696947</v>
      </c>
      <c r="FK481" s="1998">
        <v>10.048855659401339</v>
      </c>
      <c r="FL481" s="1998">
        <v>10.402216617844479</v>
      </c>
      <c r="FM481" s="1979">
        <v>12.595742505332737</v>
      </c>
      <c r="FN481" s="1979">
        <v>5.5756637352517</v>
      </c>
      <c r="FO481" s="1979">
        <v>5.6528974684620703</v>
      </c>
      <c r="FP481" s="1979">
        <v>5.7503763535498331</v>
      </c>
      <c r="FQ481" s="1979">
        <v>5.8478552386375959</v>
      </c>
      <c r="FR481" s="1998">
        <v>69.37639348426643</v>
      </c>
      <c r="FS481" s="1998">
        <v>70.553284298581104</v>
      </c>
      <c r="FT481" s="1998">
        <v>71.632100878369585</v>
      </c>
      <c r="FU481" s="1998">
        <v>72.808991692684231</v>
      </c>
      <c r="FV481" s="1998">
        <v>75.653144493944708</v>
      </c>
      <c r="FW481" s="1979">
        <v>70.116329229357973</v>
      </c>
      <c r="FX481" s="1979">
        <v>71.290887335094766</v>
      </c>
      <c r="FY481" s="1979">
        <v>72.367565598686824</v>
      </c>
      <c r="FZ481" s="1979">
        <v>73.542123704423602</v>
      </c>
      <c r="GA481" s="1979">
        <v>76.380639126620821</v>
      </c>
      <c r="GB481" s="1998">
        <v>5.2719182727344496</v>
      </c>
      <c r="GC481" s="1998">
        <v>5.6181260120830263</v>
      </c>
      <c r="GD481" s="1998">
        <v>5.9643337514316048</v>
      </c>
      <c r="GE481" s="1998">
        <v>6.3105414907801833</v>
      </c>
      <c r="GF481" s="1998">
        <v>6.6567492301287619</v>
      </c>
      <c r="GG481" s="1979">
        <v>6.008876009706893</v>
      </c>
      <c r="GH481" s="1979">
        <v>6.3538088723526229</v>
      </c>
      <c r="GI481" s="1979">
        <v>6.6987417349983529</v>
      </c>
      <c r="GJ481" s="1979">
        <v>7.043674597644082</v>
      </c>
      <c r="GK481" s="2021">
        <v>7.388607460289812</v>
      </c>
    </row>
    <row r="482" spans="1:193">
      <c r="A482" s="2020"/>
      <c r="B482" s="2">
        <v>20</v>
      </c>
      <c r="C482" s="2" t="str">
        <f>CONCATENATE($U$8," ",EI$14)</f>
        <v xml:space="preserve">Proportion de fenêtres </v>
      </c>
      <c r="D482" s="1998">
        <f>IF(Construction!$F$31=Construction!$R$22,Oeko!BQ482,Oeko!ED482)</f>
        <v>17.377396992534131</v>
      </c>
      <c r="E482" s="1998">
        <f>IF(Construction!$F$31=Construction!$R$22,Oeko!BR482,Oeko!EE482)</f>
        <v>5.2777417703654272</v>
      </c>
      <c r="F482" s="1998">
        <f>IF(Construction!$F$31=Construction!$R$22,Oeko!BS482,Oeko!EF482)</f>
        <v>5.3419745731281303</v>
      </c>
      <c r="G482" s="1998">
        <f>IF(Construction!$F$31=Construction!$R$22,Oeko!BT482,Oeko!EG482)</f>
        <v>5.427268597579924</v>
      </c>
      <c r="H482" s="1998">
        <f>IF(Construction!$F$31=Construction!$R$22,Oeko!BU482,Oeko!EH482)</f>
        <v>5.5125626220317168</v>
      </c>
      <c r="I482" s="1979">
        <f>IF(Construction!$F$31=Construction!$R$22,Oeko!BV482,Oeko!EI482)</f>
        <v>27.094609767532774</v>
      </c>
      <c r="J482" s="1979">
        <f>IF(Construction!$F$31=Construction!$R$22,Oeko!BW482,Oeko!EJ482)</f>
        <v>7.7426486420842977</v>
      </c>
      <c r="K482" s="1979">
        <f>IF(Construction!$F$31=Construction!$R$22,Oeko!BX482,Oeko!EK482)</f>
        <v>7.8535430968820465</v>
      </c>
      <c r="L482" s="1979">
        <f>IF(Construction!$F$31=Construction!$R$22,Oeko!BY482,Oeko!EL482)</f>
        <v>7.9997614245136903</v>
      </c>
      <c r="M482" s="1979">
        <f>IF(Construction!$F$31=Construction!$R$22,Oeko!BZ482,Oeko!EM482)</f>
        <v>8.145979752145335</v>
      </c>
      <c r="N482" s="1998">
        <f>IF(Construction!$F$31=Construction!$R$22,Oeko!CA482,Oeko!EN482)</f>
        <v>5.3379089389339516</v>
      </c>
      <c r="O482" s="1998">
        <f>IF(Construction!$F$31=Construction!$R$22,Oeko!CB482,Oeko!EO482)</f>
        <v>5.4214622690091776</v>
      </c>
      <c r="P482" s="1998">
        <f>IF(Construction!$F$31=Construction!$R$22,Oeko!CC482,Oeko!EP482)</f>
        <v>5.4319064352685817</v>
      </c>
      <c r="Q482" s="1998">
        <f>IF(Construction!$F$31=Construction!$R$22,Oeko!CD482,Oeko!EQ482)</f>
        <v>5.4423506015279841</v>
      </c>
      <c r="R482" s="1998">
        <f>IF(Construction!$F$31=Construction!$R$22,Oeko!CE482,Oeko!ER482)</f>
        <v>5.461498239670223</v>
      </c>
      <c r="S482" s="1979">
        <f>IF(Construction!$F$31=Construction!$R$22,Oeko!CF482,Oeko!ES482)</f>
        <v>7.1195666783449258</v>
      </c>
      <c r="T482" s="1979">
        <f>IF(Construction!$F$31=Construction!$R$22,Oeko!CG482,Oeko!ET482)</f>
        <v>7.2292304240686587</v>
      </c>
      <c r="U482" s="1979">
        <f>IF(Construction!$F$31=Construction!$R$22,Oeko!CH482,Oeko!EU482)</f>
        <v>7.2657850059765705</v>
      </c>
      <c r="V482" s="1979">
        <f>IF(Construction!$F$31=Construction!$R$22,Oeko!CI482,Oeko!EV482)</f>
        <v>7.3023395878844823</v>
      </c>
      <c r="W482" s="1979">
        <f>IF(Construction!$F$31=Construction!$R$22,Oeko!CJ482,Oeko!EW482)</f>
        <v>7.3693563213823188</v>
      </c>
      <c r="X482" s="1998">
        <f>IF(Construction!$F$31=Construction!$R$22,Oeko!CK482,Oeko!EX482)</f>
        <v>5.3870985814166295</v>
      </c>
      <c r="Y482" s="1998">
        <f>IF(Construction!$F$31=Construction!$R$22,Oeko!CL482,Oeko!EY482)</f>
        <v>5.4748295779956182</v>
      </c>
      <c r="Z482" s="1998">
        <f>IF(Construction!$F$31=Construction!$R$22,Oeko!CM482,Oeko!EZ482)</f>
        <v>5.4894514107587824</v>
      </c>
      <c r="AA482" s="1998">
        <f>IF(Construction!$F$31=Construction!$R$22,Oeko!CN482,Oeko!FA482)</f>
        <v>5.5040732435219457</v>
      </c>
      <c r="AB482" s="1998">
        <f>IF(Construction!$F$31=Construction!$R$22,Oeko!CO482,Oeko!FB482)</f>
        <v>5.5308799369210808</v>
      </c>
      <c r="AC482" s="1979">
        <f>IF(Construction!$F$31=Construction!$R$22,Oeko!CP482,Oeko!FC482)</f>
        <v>4.1524623359138371</v>
      </c>
      <c r="AD482" s="1979">
        <f>IF(Construction!$F$31=Construction!$R$22,Oeko!CQ482,Oeko!FD482)</f>
        <v>4.2255714997296598</v>
      </c>
      <c r="AE482" s="1979">
        <f>IF(Construction!$F$31=Construction!$R$22,Oeko!CR482,Oeko!FE482)</f>
        <v>4.2986806635454817</v>
      </c>
      <c r="AF482" s="1979">
        <f>IF(Construction!$F$31=Construction!$R$22,Oeko!CS482,Oeko!FF482)</f>
        <v>4.3717898273613045</v>
      </c>
      <c r="AG482" s="1979">
        <f>IF(Construction!$F$31=Construction!$R$22,Oeko!CT482,Oeko!FG482)</f>
        <v>4.5058232943569791</v>
      </c>
      <c r="AH482" s="1998">
        <f>IF(Construction!$F$31=Construction!$R$22,Oeko!CU482,Oeko!FH482)</f>
        <v>8.7230118233027127</v>
      </c>
      <c r="AI482" s="1998">
        <f>IF(Construction!$F$31=Construction!$R$22,Oeko!CV482,Oeko!FI482)</f>
        <v>8.8692301509343583</v>
      </c>
      <c r="AJ482" s="1998">
        <f>IF(Construction!$F$31=Construction!$R$22,Oeko!CW482,Oeko!FJ482)</f>
        <v>9.0032636179300329</v>
      </c>
      <c r="AK482" s="1998">
        <f>IF(Construction!$F$31=Construction!$R$22,Oeko!CX482,Oeko!FK482)</f>
        <v>9.1494819455616767</v>
      </c>
      <c r="AL482" s="1998">
        <f>IF(Construction!$F$31=Construction!$R$22,Oeko!CY482,Oeko!FL482)</f>
        <v>9.502842904004817</v>
      </c>
      <c r="AM482" s="1979">
        <f>IF(Construction!$F$31=Construction!$R$22,Oeko!CZ482,Oeko!FM482)</f>
        <v>10.504992197629917</v>
      </c>
      <c r="AN482" s="1979">
        <f>IF(Construction!$F$31=Construction!$R$22,Oeko!DA482,Oeko!FN482)</f>
        <v>5.2643028413410784</v>
      </c>
      <c r="AO482" s="1979">
        <f>IF(Construction!$F$31=Construction!$R$22,Oeko!DB482,Oeko!FO482)</f>
        <v>5.3425362423088076</v>
      </c>
      <c r="AP482" s="1979">
        <f>IF(Construction!$F$31=Construction!$R$22,Oeko!DC482,Oeko!FP482)</f>
        <v>5.4400151273965704</v>
      </c>
      <c r="AQ482" s="1979">
        <f>IF(Construction!$F$31=Construction!$R$22,Oeko!DD482,Oeko!FQ482)</f>
        <v>5.5374940124843341</v>
      </c>
      <c r="AR482" s="1998">
        <f>IF(Construction!$F$31=Construction!$R$22,Oeko!DE482,Oeko!FR482)</f>
        <v>64.574049841716501</v>
      </c>
      <c r="AS482" s="1998">
        <f>IF(Construction!$F$31=Construction!$R$22,Oeko!DF482,Oeko!FS482)</f>
        <v>65.750940656031176</v>
      </c>
      <c r="AT482" s="1998">
        <f>IF(Construction!$F$31=Construction!$R$22,Oeko!DG482,Oeko!FT482)</f>
        <v>66.829757235819628</v>
      </c>
      <c r="AU482" s="1998">
        <f>IF(Construction!$F$31=Construction!$R$22,Oeko!DH482,Oeko!FU482)</f>
        <v>68.006648050134302</v>
      </c>
      <c r="AV482" s="1998">
        <f>IF(Construction!$F$31=Construction!$R$22,Oeko!DI482,Oeko!FV482)</f>
        <v>70.850800851394766</v>
      </c>
      <c r="AW482" s="1979">
        <f>IF(Construction!$F$31=Construction!$R$22,Oeko!DJ482,Oeko!FW482)</f>
        <v>65.271154813047616</v>
      </c>
      <c r="AX482" s="1979">
        <f>IF(Construction!$F$31=Construction!$R$22,Oeko!DK482,Oeko!FX482)</f>
        <v>66.44571291878438</v>
      </c>
      <c r="AY482" s="1979">
        <f>IF(Construction!$F$31=Construction!$R$22,Oeko!DL482,Oeko!FY482)</f>
        <v>67.522391182376452</v>
      </c>
      <c r="AZ482" s="1979">
        <f>IF(Construction!$F$31=Construction!$R$22,Oeko!DM482,Oeko!FZ482)</f>
        <v>68.696949288113245</v>
      </c>
      <c r="BA482" s="1979">
        <f>IF(Construction!$F$31=Construction!$R$22,Oeko!DN482,Oeko!GA482)</f>
        <v>71.53546471031045</v>
      </c>
      <c r="BB482" s="1998">
        <f>IF(Construction!$F$31=Construction!$R$22,Oeko!DO482,Oeko!GB482)</f>
        <v>4.8207462412808511</v>
      </c>
      <c r="BC482" s="1998">
        <f>IF(Construction!$F$31=Construction!$R$22,Oeko!DP482,Oeko!GC482)</f>
        <v>5.1669539806294287</v>
      </c>
      <c r="BD482" s="1998">
        <f>IF(Construction!$F$31=Construction!$R$22,Oeko!DQ482,Oeko!GD482)</f>
        <v>5.513161719978009</v>
      </c>
      <c r="BE482" s="1998">
        <f>IF(Construction!$F$31=Construction!$R$22,Oeko!DR482,Oeko!GE482)</f>
        <v>5.8593694593265875</v>
      </c>
      <c r="BF482" s="1998">
        <f>IF(Construction!$F$31=Construction!$R$22,Oeko!DS482,Oeko!GF482)</f>
        <v>6.2055771986751651</v>
      </c>
      <c r="BG482" s="1979">
        <f>IF(Construction!$F$31=Construction!$R$22,Oeko!DT482,Oeko!GG482)</f>
        <v>5.3994675531105827</v>
      </c>
      <c r="BH482" s="1979">
        <f>IF(Construction!$F$31=Construction!$R$22,Oeko!DU482,Oeko!GH482)</f>
        <v>5.7444004157563127</v>
      </c>
      <c r="BI482" s="1979">
        <f>IF(Construction!$F$31=Construction!$R$22,Oeko!DV482,Oeko!GI482)</f>
        <v>6.0893332784020417</v>
      </c>
      <c r="BJ482" s="1979">
        <f>IF(Construction!$F$31=Construction!$R$22,Oeko!DW482,Oeko!GJ482)</f>
        <v>6.4342661410477717</v>
      </c>
      <c r="BK482" s="2021">
        <f>IF(Construction!$F$31=Construction!$R$22,Oeko!DX482,Oeko!GK482)</f>
        <v>6.7791990036935008</v>
      </c>
      <c r="BN482" s="2022"/>
      <c r="BO482" s="2">
        <v>20</v>
      </c>
      <c r="BP482" s="2" t="str">
        <f>CONCATENATE($U$8," ",GV$14)</f>
        <v xml:space="preserve">Proportion de fenêtres </v>
      </c>
      <c r="BQ482" s="1998">
        <v>17.377396992534131</v>
      </c>
      <c r="BR482" s="1998">
        <v>5.2777417703654272</v>
      </c>
      <c r="BS482" s="1998">
        <v>5.3419745731281303</v>
      </c>
      <c r="BT482" s="1998">
        <v>5.427268597579924</v>
      </c>
      <c r="BU482" s="1998">
        <v>5.5125626220317168</v>
      </c>
      <c r="BV482" s="1979">
        <v>27.094609767532774</v>
      </c>
      <c r="BW482" s="1979">
        <v>7.7426486420842977</v>
      </c>
      <c r="BX482" s="1979">
        <v>7.8535430968820465</v>
      </c>
      <c r="BY482" s="1979">
        <v>7.9997614245136903</v>
      </c>
      <c r="BZ482" s="1979">
        <v>8.145979752145335</v>
      </c>
      <c r="CA482" s="1998">
        <v>5.3379089389339516</v>
      </c>
      <c r="CB482" s="1998">
        <v>5.4214622690091776</v>
      </c>
      <c r="CC482" s="1998">
        <v>5.4319064352685817</v>
      </c>
      <c r="CD482" s="1998">
        <v>5.4423506015279841</v>
      </c>
      <c r="CE482" s="1998">
        <v>5.461498239670223</v>
      </c>
      <c r="CF482" s="1979">
        <v>7.1195666783449258</v>
      </c>
      <c r="CG482" s="1979">
        <v>7.2292304240686587</v>
      </c>
      <c r="CH482" s="1979">
        <v>7.2657850059765705</v>
      </c>
      <c r="CI482" s="1979">
        <v>7.3023395878844823</v>
      </c>
      <c r="CJ482" s="1979">
        <v>7.3693563213823188</v>
      </c>
      <c r="CK482" s="1998">
        <v>5.3870985814166295</v>
      </c>
      <c r="CL482" s="1998">
        <v>5.4748295779956182</v>
      </c>
      <c r="CM482" s="1998">
        <v>5.4894514107587824</v>
      </c>
      <c r="CN482" s="1998">
        <v>5.5040732435219457</v>
      </c>
      <c r="CO482" s="1998">
        <v>5.5308799369210808</v>
      </c>
      <c r="CP482" s="1979">
        <v>4.1524623359138371</v>
      </c>
      <c r="CQ482" s="1979">
        <v>4.2255714997296598</v>
      </c>
      <c r="CR482" s="1979">
        <v>4.2986806635454817</v>
      </c>
      <c r="CS482" s="1979">
        <v>4.3717898273613045</v>
      </c>
      <c r="CT482" s="1979">
        <v>4.5058232943569791</v>
      </c>
      <c r="CU482" s="1998">
        <v>8.7230118233027127</v>
      </c>
      <c r="CV482" s="1998">
        <v>8.8692301509343583</v>
      </c>
      <c r="CW482" s="1998">
        <v>9.0032636179300329</v>
      </c>
      <c r="CX482" s="1998">
        <v>9.1494819455616767</v>
      </c>
      <c r="CY482" s="1998">
        <v>9.502842904004817</v>
      </c>
      <c r="CZ482" s="1979">
        <v>10.504992197629917</v>
      </c>
      <c r="DA482" s="1979">
        <v>5.2643028413410784</v>
      </c>
      <c r="DB482" s="1979">
        <v>5.3425362423088076</v>
      </c>
      <c r="DC482" s="1979">
        <v>5.4400151273965704</v>
      </c>
      <c r="DD482" s="1979">
        <v>5.5374940124843341</v>
      </c>
      <c r="DE482" s="1998">
        <v>64.574049841716501</v>
      </c>
      <c r="DF482" s="1998">
        <v>65.750940656031176</v>
      </c>
      <c r="DG482" s="1998">
        <v>66.829757235819628</v>
      </c>
      <c r="DH482" s="1998">
        <v>68.006648050134302</v>
      </c>
      <c r="DI482" s="1998">
        <v>70.850800851394766</v>
      </c>
      <c r="DJ482" s="1979">
        <v>65.271154813047616</v>
      </c>
      <c r="DK482" s="1979">
        <v>66.44571291878438</v>
      </c>
      <c r="DL482" s="1979">
        <v>67.522391182376452</v>
      </c>
      <c r="DM482" s="1979">
        <v>68.696949288113245</v>
      </c>
      <c r="DN482" s="1979">
        <v>71.53546471031045</v>
      </c>
      <c r="DO482" s="1998">
        <v>4.8207462412808511</v>
      </c>
      <c r="DP482" s="1998">
        <v>5.1669539806294287</v>
      </c>
      <c r="DQ482" s="1998">
        <v>5.513161719978009</v>
      </c>
      <c r="DR482" s="1998">
        <v>5.8593694593265875</v>
      </c>
      <c r="DS482" s="1998">
        <v>6.2055771986751651</v>
      </c>
      <c r="DT482" s="1979">
        <v>5.3994675531105827</v>
      </c>
      <c r="DU482" s="1979">
        <v>5.7444004157563127</v>
      </c>
      <c r="DV482" s="1979">
        <v>6.0893332784020417</v>
      </c>
      <c r="DW482" s="1979">
        <v>6.4342661410477717</v>
      </c>
      <c r="DX482" s="2021">
        <v>6.7791990036935008</v>
      </c>
      <c r="EA482" s="2022"/>
      <c r="EB482" s="2">
        <v>20</v>
      </c>
      <c r="EC482" s="2" t="str">
        <f>CONCATENATE($U$8," ",JI$14)</f>
        <v xml:space="preserve">Proportion de fenêtres </v>
      </c>
      <c r="ED482" s="1998">
        <v>17.469928452221485</v>
      </c>
      <c r="EE482" s="1998">
        <v>5.3702732300527787</v>
      </c>
      <c r="EF482" s="1998">
        <v>5.4345060328154808</v>
      </c>
      <c r="EG482" s="1998">
        <v>5.5198000572672736</v>
      </c>
      <c r="EH482" s="1998">
        <v>5.6050940817190673</v>
      </c>
      <c r="EI482" s="1979">
        <v>27.706307874380695</v>
      </c>
      <c r="EJ482" s="1979">
        <v>8.354346748932219</v>
      </c>
      <c r="EK482" s="1979">
        <v>8.4652412037299669</v>
      </c>
      <c r="EL482" s="1979">
        <v>8.6114595313616125</v>
      </c>
      <c r="EM482" s="1979">
        <v>8.757677858993258</v>
      </c>
      <c r="EN482" s="1998">
        <v>5.4159984077872538</v>
      </c>
      <c r="EO482" s="1998">
        <v>5.499551737862479</v>
      </c>
      <c r="EP482" s="1998">
        <v>5.5099959041218822</v>
      </c>
      <c r="EQ482" s="1998">
        <v>5.5204400703812855</v>
      </c>
      <c r="ER482" s="1998">
        <v>5.5395877085235243</v>
      </c>
      <c r="ES482" s="1979">
        <v>7.442114057199726</v>
      </c>
      <c r="ET482" s="1979">
        <v>7.5517778029234588</v>
      </c>
      <c r="EU482" s="1979">
        <v>7.5883323848313706</v>
      </c>
      <c r="EV482" s="1979">
        <v>7.6248869667392825</v>
      </c>
      <c r="EW482" s="1979">
        <v>7.6919037002371189</v>
      </c>
      <c r="EX482" s="1998">
        <v>5.4796084519547117</v>
      </c>
      <c r="EY482" s="1998">
        <v>5.5673394485336996</v>
      </c>
      <c r="EZ482" s="1998">
        <v>5.5819612812968638</v>
      </c>
      <c r="FA482" s="1998">
        <v>5.5965831140600271</v>
      </c>
      <c r="FB482" s="1998">
        <v>5.6233898074591622</v>
      </c>
      <c r="FC482" s="1979">
        <v>4.4352435995673609</v>
      </c>
      <c r="FD482" s="1979">
        <v>4.5083527633831828</v>
      </c>
      <c r="FE482" s="1979">
        <v>4.5814619271990056</v>
      </c>
      <c r="FF482" s="1979">
        <v>4.6545710910148284</v>
      </c>
      <c r="FG482" s="1979">
        <v>4.7886045580105021</v>
      </c>
      <c r="FH482" s="1998">
        <v>9.2014676220736291</v>
      </c>
      <c r="FI482" s="1998">
        <v>9.3476859497052729</v>
      </c>
      <c r="FJ482" s="1998">
        <v>9.4817194167009475</v>
      </c>
      <c r="FK482" s="1998">
        <v>9.6279377443325931</v>
      </c>
      <c r="FL482" s="1998">
        <v>9.9812987027757316</v>
      </c>
      <c r="FM482" s="1979">
        <v>10.711186869043944</v>
      </c>
      <c r="FN482" s="1979">
        <v>5.4704975127551059</v>
      </c>
      <c r="FO482" s="1979">
        <v>5.5487309137228351</v>
      </c>
      <c r="FP482" s="1979">
        <v>5.6462097988105979</v>
      </c>
      <c r="FQ482" s="1979">
        <v>5.7436886838983616</v>
      </c>
      <c r="FR482" s="1998">
        <v>67.867233899754908</v>
      </c>
      <c r="FS482" s="1998">
        <v>69.044124714069582</v>
      </c>
      <c r="FT482" s="1998">
        <v>70.122941293858048</v>
      </c>
      <c r="FU482" s="1998">
        <v>71.299832108172708</v>
      </c>
      <c r="FV482" s="1998">
        <v>74.143984909433186</v>
      </c>
      <c r="FW482" s="1979">
        <v>68.548684684811832</v>
      </c>
      <c r="FX482" s="1979">
        <v>69.723242790548596</v>
      </c>
      <c r="FY482" s="1979">
        <v>70.799921054140668</v>
      </c>
      <c r="FZ482" s="1979">
        <v>71.974479159877447</v>
      </c>
      <c r="GA482" s="1979">
        <v>74.81299458207468</v>
      </c>
      <c r="GB482" s="1998">
        <v>5.097803057209128</v>
      </c>
      <c r="GC482" s="1998">
        <v>5.4440107965577056</v>
      </c>
      <c r="GD482" s="1998">
        <v>5.7902185359062841</v>
      </c>
      <c r="GE482" s="1998">
        <v>6.1364262752548635</v>
      </c>
      <c r="GF482" s="1998">
        <v>6.482634014603442</v>
      </c>
      <c r="GG482" s="1979">
        <v>5.6755041339607608</v>
      </c>
      <c r="GH482" s="1979">
        <v>6.0204369966064908</v>
      </c>
      <c r="GI482" s="1979">
        <v>6.3653698592522199</v>
      </c>
      <c r="GJ482" s="1979">
        <v>6.7103027218979499</v>
      </c>
      <c r="GK482" s="2021">
        <v>7.0552355845436798</v>
      </c>
    </row>
    <row r="483" spans="1:193">
      <c r="A483" s="2020"/>
      <c r="B483" s="2">
        <v>21</v>
      </c>
      <c r="C483" s="2" t="str">
        <f>CONCATENATE($U$8," ",EI$15)</f>
        <v xml:space="preserve">Proportion de fenêtres </v>
      </c>
      <c r="D483" s="1998">
        <f>IF(Construction!$F$31=Construction!$R$22,Oeko!BQ483,Oeko!ED483)</f>
        <v>13.07569390970102</v>
      </c>
      <c r="E483" s="1998">
        <f>IF(Construction!$F$31=Construction!$R$22,Oeko!BR483,Oeko!EE483)</f>
        <v>5.0376884364058139</v>
      </c>
      <c r="F483" s="1998">
        <f>IF(Construction!$F$31=Construction!$R$22,Oeko!BS483,Oeko!EF483)</f>
        <v>5.1042030894842245</v>
      </c>
      <c r="G483" s="1998">
        <f>IF(Construction!$F$31=Construction!$R$22,Oeko!BT483,Oeko!EG483)</f>
        <v>5.1894971139360164</v>
      </c>
      <c r="H483" s="1998">
        <f>IF(Construction!$F$31=Construction!$R$22,Oeko!BU483,Oeko!EH483)</f>
        <v>5.2747911383878083</v>
      </c>
      <c r="I483" s="1979">
        <f>IF(Construction!$F$31=Construction!$R$22,Oeko!BV483,Oeko!EI483)</f>
        <v>20.211086745374029</v>
      </c>
      <c r="J483" s="1979">
        <f>IF(Construction!$F$31=Construction!$R$22,Oeko!BW483,Oeko!EJ483)</f>
        <v>7.3585187709522613</v>
      </c>
      <c r="K483" s="1979">
        <f>IF(Construction!$F$31=Construction!$R$22,Oeko!BX483,Oeko!EK483)</f>
        <v>7.473064609603993</v>
      </c>
      <c r="L483" s="1979">
        <f>IF(Construction!$F$31=Construction!$R$22,Oeko!BY483,Oeko!EL483)</f>
        <v>7.6192829372356385</v>
      </c>
      <c r="M483" s="1979">
        <f>IF(Construction!$F$31=Construction!$R$22,Oeko!BZ483,Oeko!EM483)</f>
        <v>7.7655012648672823</v>
      </c>
      <c r="N483" s="1998">
        <f>IF(Construction!$F$31=Construction!$R$22,Oeko!CA483,Oeko!EN483)</f>
        <v>5.1102306121467675</v>
      </c>
      <c r="O483" s="1998">
        <f>IF(Construction!$F$31=Construction!$R$22,Oeko!CB483,Oeko!EO483)</f>
        <v>5.1937839422219927</v>
      </c>
      <c r="P483" s="1998">
        <f>IF(Construction!$F$31=Construction!$R$22,Oeko!CC483,Oeko!EP483)</f>
        <v>5.2042281084813951</v>
      </c>
      <c r="Q483" s="1998">
        <f>IF(Construction!$F$31=Construction!$R$22,Oeko!CD483,Oeko!EQ483)</f>
        <v>5.2146722747407983</v>
      </c>
      <c r="R483" s="1998">
        <f>IF(Construction!$F$31=Construction!$R$22,Oeko!CE483,Oeko!ER483)</f>
        <v>5.2338199128830372</v>
      </c>
      <c r="S483" s="1979">
        <f>IF(Construction!$F$31=Construction!$R$22,Oeko!CF483,Oeko!ES483)</f>
        <v>6.6284957774313877</v>
      </c>
      <c r="T483" s="1979">
        <f>IF(Construction!$F$31=Construction!$R$22,Oeko!CG483,Oeko!ET483)</f>
        <v>6.7381595231551215</v>
      </c>
      <c r="U483" s="1979">
        <f>IF(Construction!$F$31=Construction!$R$22,Oeko!CH483,Oeko!EU483)</f>
        <v>6.7747141050630324</v>
      </c>
      <c r="V483" s="1979">
        <f>IF(Construction!$F$31=Construction!$R$22,Oeko!CI483,Oeko!EV483)</f>
        <v>6.8112686869709425</v>
      </c>
      <c r="W483" s="1979">
        <f>IF(Construction!$F$31=Construction!$R$22,Oeko!CJ483,Oeko!EW483)</f>
        <v>6.8782854204687789</v>
      </c>
      <c r="X483" s="1998">
        <f>IF(Construction!$F$31=Construction!$R$22,Oeko!CK483,Oeko!EX483)</f>
        <v>5.1896498139843814</v>
      </c>
      <c r="Y483" s="1998">
        <f>IF(Construction!$F$31=Construction!$R$22,Oeko!CL483,Oeko!EY483)</f>
        <v>5.2773808105633684</v>
      </c>
      <c r="Z483" s="1998">
        <f>IF(Construction!$F$31=Construction!$R$22,Oeko!CM483,Oeko!EZ483)</f>
        <v>5.2920026433265344</v>
      </c>
      <c r="AA483" s="1998">
        <f>IF(Construction!$F$31=Construction!$R$22,Oeko!CN483,Oeko!FA483)</f>
        <v>5.3066244760896986</v>
      </c>
      <c r="AB483" s="1998">
        <f>IF(Construction!$F$31=Construction!$R$22,Oeko!CO483,Oeko!FB483)</f>
        <v>5.3334311694888319</v>
      </c>
      <c r="AC483" s="1979">
        <f>IF(Construction!$F$31=Construction!$R$22,Oeko!CP483,Oeko!FC483)</f>
        <v>3.9415250625668858</v>
      </c>
      <c r="AD483" s="1979">
        <f>IF(Construction!$F$31=Construction!$R$22,Oeko!CQ483,Oeko!FD483)</f>
        <v>4.0146342263827082</v>
      </c>
      <c r="AE483" s="1979">
        <f>IF(Construction!$F$31=Construction!$R$22,Oeko!CR483,Oeko!FE483)</f>
        <v>4.0877433901985309</v>
      </c>
      <c r="AF483" s="1979">
        <f>IF(Construction!$F$31=Construction!$R$22,Oeko!CS483,Oeko!FF483)</f>
        <v>4.1608525540143528</v>
      </c>
      <c r="AG483" s="1979">
        <f>IF(Construction!$F$31=Construction!$R$22,Oeko!CT483,Oeko!FG483)</f>
        <v>4.2948860210100266</v>
      </c>
      <c r="AH483" s="1998">
        <f>IF(Construction!$F$31=Construction!$R$22,Oeko!CU483,Oeko!FH483)</f>
        <v>8.3020939082339655</v>
      </c>
      <c r="AI483" s="1998">
        <f>IF(Construction!$F$31=Construction!$R$22,Oeko!CV483,Oeko!FI483)</f>
        <v>8.4483122358656093</v>
      </c>
      <c r="AJ483" s="1998">
        <f>IF(Construction!$F$31=Construction!$R$22,Oeko!CW483,Oeko!FJ483)</f>
        <v>8.5823457028612857</v>
      </c>
      <c r="AK483" s="1998">
        <f>IF(Construction!$F$31=Construction!$R$22,Oeko!CX483,Oeko!FK483)</f>
        <v>8.7285640304929295</v>
      </c>
      <c r="AL483" s="1998">
        <f>IF(Construction!$F$31=Construction!$R$22,Oeko!CY483,Oeko!FL483)</f>
        <v>9.0819249889360698</v>
      </c>
      <c r="AM483" s="1979">
        <f>IF(Construction!$F$31=Construction!$R$22,Oeko!CZ483,Oeko!FM483)</f>
        <v>8.6204365613411227</v>
      </c>
      <c r="AN483" s="1979">
        <f>IF(Construction!$F$31=Construction!$R$22,Oeko!DA483,Oeko!FN483)</f>
        <v>5.159136618844486</v>
      </c>
      <c r="AO483" s="1979">
        <f>IF(Construction!$F$31=Construction!$R$22,Oeko!DB483,Oeko!FO483)</f>
        <v>5.2383696875695724</v>
      </c>
      <c r="AP483" s="1979">
        <f>IF(Construction!$F$31=Construction!$R$22,Oeko!DC483,Oeko!FP483)</f>
        <v>5.3358485726573361</v>
      </c>
      <c r="AQ483" s="1979">
        <f>IF(Construction!$F$31=Construction!$R$22,Oeko!DD483,Oeko!FQ483)</f>
        <v>5.4333274577450981</v>
      </c>
      <c r="AR483" s="1998">
        <f>IF(Construction!$F$31=Construction!$R$22,Oeko!DE483,Oeko!FR483)</f>
        <v>63.064890257204965</v>
      </c>
      <c r="AS483" s="1998">
        <f>IF(Construction!$F$31=Construction!$R$22,Oeko!DF483,Oeko!FS483)</f>
        <v>64.24178107151964</v>
      </c>
      <c r="AT483" s="1998">
        <f>IF(Construction!$F$31=Construction!$R$22,Oeko!DG483,Oeko!FT483)</f>
        <v>65.320597651308091</v>
      </c>
      <c r="AU483" s="1998">
        <f>IF(Construction!$F$31=Construction!$R$22,Oeko!DH483,Oeko!FU483)</f>
        <v>66.497488465622766</v>
      </c>
      <c r="AV483" s="1998">
        <f>IF(Construction!$F$31=Construction!$R$22,Oeko!DI483,Oeko!FV483)</f>
        <v>69.341641266883229</v>
      </c>
      <c r="AW483" s="1979">
        <f>IF(Construction!$F$31=Construction!$R$22,Oeko!DJ483,Oeko!FW483)</f>
        <v>63.703510268501454</v>
      </c>
      <c r="AX483" s="1979">
        <f>IF(Construction!$F$31=Construction!$R$22,Oeko!DK483,Oeko!FX483)</f>
        <v>64.878068374238239</v>
      </c>
      <c r="AY483" s="1979">
        <f>IF(Construction!$F$31=Construction!$R$22,Oeko!DL483,Oeko!FY483)</f>
        <v>65.954746637830297</v>
      </c>
      <c r="AZ483" s="1979">
        <f>IF(Construction!$F$31=Construction!$R$22,Oeko!DM483,Oeko!FZ483)</f>
        <v>67.129304743567076</v>
      </c>
      <c r="BA483" s="1979">
        <f>IF(Construction!$F$31=Construction!$R$22,Oeko!DN483,Oeko!GA483)</f>
        <v>69.967820165764294</v>
      </c>
      <c r="BB483" s="1998">
        <f>IF(Construction!$F$31=Construction!$R$22,Oeko!DO483,Oeko!GB483)</f>
        <v>4.6466310257555303</v>
      </c>
      <c r="BC483" s="1998">
        <f>IF(Construction!$F$31=Construction!$R$22,Oeko!DP483,Oeko!GC483)</f>
        <v>4.992838765104108</v>
      </c>
      <c r="BD483" s="1998">
        <f>IF(Construction!$F$31=Construction!$R$22,Oeko!DQ483,Oeko!GD483)</f>
        <v>5.3390465044526874</v>
      </c>
      <c r="BE483" s="1998">
        <f>IF(Construction!$F$31=Construction!$R$22,Oeko!DR483,Oeko!GE483)</f>
        <v>5.6852542438012659</v>
      </c>
      <c r="BF483" s="1998">
        <f>IF(Construction!$F$31=Construction!$R$22,Oeko!DS483,Oeko!GF483)</f>
        <v>6.0314619831498435</v>
      </c>
      <c r="BG483" s="1979">
        <f>IF(Construction!$F$31=Construction!$R$22,Oeko!DT483,Oeko!GG483)</f>
        <v>5.0660956773644505</v>
      </c>
      <c r="BH483" s="1979">
        <f>IF(Construction!$F$31=Construction!$R$22,Oeko!DU483,Oeko!GH483)</f>
        <v>5.4110285400101796</v>
      </c>
      <c r="BI483" s="1979">
        <f>IF(Construction!$F$31=Construction!$R$22,Oeko!DV483,Oeko!GI483)</f>
        <v>5.7559614026559096</v>
      </c>
      <c r="BJ483" s="1979">
        <f>IF(Construction!$F$31=Construction!$R$22,Oeko!DW483,Oeko!GJ483)</f>
        <v>6.1008942653016396</v>
      </c>
      <c r="BK483" s="2021">
        <f>IF(Construction!$F$31=Construction!$R$22,Oeko!DX483,Oeko!GK483)</f>
        <v>6.4458271279473687</v>
      </c>
      <c r="BN483" s="2022"/>
      <c r="BO483" s="2">
        <v>21</v>
      </c>
      <c r="BP483" s="2" t="str">
        <f>CONCATENATE($U$8," ",GV$15)</f>
        <v xml:space="preserve">Proportion de fenêtres </v>
      </c>
      <c r="BQ483" s="1998">
        <v>13.07569390970102</v>
      </c>
      <c r="BR483" s="1998">
        <v>5.0376884364058139</v>
      </c>
      <c r="BS483" s="1998">
        <v>5.1042030894842245</v>
      </c>
      <c r="BT483" s="1998">
        <v>5.1894971139360164</v>
      </c>
      <c r="BU483" s="1998">
        <v>5.2747911383878083</v>
      </c>
      <c r="BV483" s="1979">
        <v>20.211086745374029</v>
      </c>
      <c r="BW483" s="1979">
        <v>7.3585187709522613</v>
      </c>
      <c r="BX483" s="1979">
        <v>7.473064609603993</v>
      </c>
      <c r="BY483" s="1979">
        <v>7.6192829372356385</v>
      </c>
      <c r="BZ483" s="1979">
        <v>7.7655012648672823</v>
      </c>
      <c r="CA483" s="1998">
        <v>5.1102306121467675</v>
      </c>
      <c r="CB483" s="1998">
        <v>5.1937839422219927</v>
      </c>
      <c r="CC483" s="1998">
        <v>5.2042281084813951</v>
      </c>
      <c r="CD483" s="1998">
        <v>5.2146722747407983</v>
      </c>
      <c r="CE483" s="1998">
        <v>5.2338199128830372</v>
      </c>
      <c r="CF483" s="1979">
        <v>6.6284957774313877</v>
      </c>
      <c r="CG483" s="1979">
        <v>6.7381595231551215</v>
      </c>
      <c r="CH483" s="1979">
        <v>6.7747141050630324</v>
      </c>
      <c r="CI483" s="1979">
        <v>6.8112686869709425</v>
      </c>
      <c r="CJ483" s="1979">
        <v>6.8782854204687789</v>
      </c>
      <c r="CK483" s="1998">
        <v>5.1896498139843814</v>
      </c>
      <c r="CL483" s="1998">
        <v>5.2773808105633684</v>
      </c>
      <c r="CM483" s="1998">
        <v>5.2920026433265344</v>
      </c>
      <c r="CN483" s="1998">
        <v>5.3066244760896986</v>
      </c>
      <c r="CO483" s="1998">
        <v>5.3334311694888319</v>
      </c>
      <c r="CP483" s="1979">
        <v>3.9415250625668858</v>
      </c>
      <c r="CQ483" s="1979">
        <v>4.0146342263827082</v>
      </c>
      <c r="CR483" s="1979">
        <v>4.0877433901985309</v>
      </c>
      <c r="CS483" s="1979">
        <v>4.1608525540143528</v>
      </c>
      <c r="CT483" s="1979">
        <v>4.2948860210100266</v>
      </c>
      <c r="CU483" s="1998">
        <v>8.3020939082339655</v>
      </c>
      <c r="CV483" s="1998">
        <v>8.4483122358656093</v>
      </c>
      <c r="CW483" s="1998">
        <v>8.5823457028612857</v>
      </c>
      <c r="CX483" s="1998">
        <v>8.7285640304929295</v>
      </c>
      <c r="CY483" s="1998">
        <v>9.0819249889360698</v>
      </c>
      <c r="CZ483" s="1979">
        <v>8.6204365613411227</v>
      </c>
      <c r="DA483" s="1979">
        <v>5.159136618844486</v>
      </c>
      <c r="DB483" s="1979">
        <v>5.2383696875695724</v>
      </c>
      <c r="DC483" s="1979">
        <v>5.3358485726573361</v>
      </c>
      <c r="DD483" s="1979">
        <v>5.4333274577450981</v>
      </c>
      <c r="DE483" s="1998">
        <v>63.064890257204965</v>
      </c>
      <c r="DF483" s="1998">
        <v>64.24178107151964</v>
      </c>
      <c r="DG483" s="1998">
        <v>65.320597651308091</v>
      </c>
      <c r="DH483" s="1998">
        <v>66.497488465622766</v>
      </c>
      <c r="DI483" s="1998">
        <v>69.341641266883229</v>
      </c>
      <c r="DJ483" s="1979">
        <v>63.703510268501454</v>
      </c>
      <c r="DK483" s="1979">
        <v>64.878068374238239</v>
      </c>
      <c r="DL483" s="1979">
        <v>65.954746637830297</v>
      </c>
      <c r="DM483" s="1979">
        <v>67.129304743567076</v>
      </c>
      <c r="DN483" s="1979">
        <v>69.967820165764294</v>
      </c>
      <c r="DO483" s="1998">
        <v>4.6466310257555303</v>
      </c>
      <c r="DP483" s="1998">
        <v>4.992838765104108</v>
      </c>
      <c r="DQ483" s="1998">
        <v>5.3390465044526874</v>
      </c>
      <c r="DR483" s="1998">
        <v>5.6852542438012659</v>
      </c>
      <c r="DS483" s="1998">
        <v>6.0314619831498435</v>
      </c>
      <c r="DT483" s="1979">
        <v>5.0660956773644505</v>
      </c>
      <c r="DU483" s="1979">
        <v>5.4110285400101796</v>
      </c>
      <c r="DV483" s="1979">
        <v>5.7559614026559096</v>
      </c>
      <c r="DW483" s="1979">
        <v>6.1008942653016396</v>
      </c>
      <c r="DX483" s="2021">
        <v>6.4458271279473687</v>
      </c>
      <c r="EA483" s="2022"/>
      <c r="EB483" s="2">
        <v>21</v>
      </c>
      <c r="EC483" s="2" t="str">
        <f>CONCATENATE($U$8," ",JI$15)</f>
        <v xml:space="preserve">Proportion de fenêtres </v>
      </c>
      <c r="ED483" s="1998">
        <v>13.16822536938837</v>
      </c>
      <c r="EE483" s="1998">
        <v>5.1302198960931635</v>
      </c>
      <c r="EF483" s="1998">
        <v>5.1967345491715751</v>
      </c>
      <c r="EG483" s="1998">
        <v>5.282028573623367</v>
      </c>
      <c r="EH483" s="1998">
        <v>5.3673225980751598</v>
      </c>
      <c r="EI483" s="1979">
        <v>20.82278485222195</v>
      </c>
      <c r="EJ483" s="1979">
        <v>7.9702168778001816</v>
      </c>
      <c r="EK483" s="1979">
        <v>8.084762716451916</v>
      </c>
      <c r="EL483" s="1979">
        <v>8.2309810440835598</v>
      </c>
      <c r="EM483" s="1979">
        <v>8.3771993717152036</v>
      </c>
      <c r="EN483" s="1998">
        <v>5.188320081000068</v>
      </c>
      <c r="EO483" s="1998">
        <v>5.2718734110752932</v>
      </c>
      <c r="EP483" s="1998">
        <v>5.2823175773346964</v>
      </c>
      <c r="EQ483" s="1998">
        <v>5.2927617435940997</v>
      </c>
      <c r="ER483" s="1998">
        <v>5.3119093817363394</v>
      </c>
      <c r="ES483" s="1979">
        <v>6.951043156286187</v>
      </c>
      <c r="ET483" s="1979">
        <v>7.0607069020099216</v>
      </c>
      <c r="EU483" s="1979">
        <v>7.0972614839178316</v>
      </c>
      <c r="EV483" s="1979">
        <v>7.1338160658257426</v>
      </c>
      <c r="EW483" s="1979">
        <v>7.200832799323579</v>
      </c>
      <c r="EX483" s="1998">
        <v>5.2821596845224628</v>
      </c>
      <c r="EY483" s="1998">
        <v>5.3698906811014497</v>
      </c>
      <c r="EZ483" s="1998">
        <v>5.3845125138646157</v>
      </c>
      <c r="FA483" s="1998">
        <v>5.3991343466277799</v>
      </c>
      <c r="FB483" s="1998">
        <v>5.4259410400269132</v>
      </c>
      <c r="FC483" s="1979">
        <v>4.2243063262204092</v>
      </c>
      <c r="FD483" s="1979">
        <v>4.2974154900362311</v>
      </c>
      <c r="FE483" s="1979">
        <v>4.3705246538520539</v>
      </c>
      <c r="FF483" s="1979">
        <v>4.4436338176678758</v>
      </c>
      <c r="FG483" s="1979">
        <v>4.5776672846635513</v>
      </c>
      <c r="FH483" s="1998">
        <v>8.7805497070048819</v>
      </c>
      <c r="FI483" s="1998">
        <v>8.9267680346365275</v>
      </c>
      <c r="FJ483" s="1998">
        <v>9.0608015016322021</v>
      </c>
      <c r="FK483" s="1998">
        <v>9.2070198292638441</v>
      </c>
      <c r="FL483" s="1998">
        <v>9.5603807877069862</v>
      </c>
      <c r="FM483" s="1979">
        <v>8.8266312327551493</v>
      </c>
      <c r="FN483" s="1979">
        <v>5.3653312902585117</v>
      </c>
      <c r="FO483" s="1979">
        <v>5.4445643589835999</v>
      </c>
      <c r="FP483" s="1979">
        <v>5.5420432440713636</v>
      </c>
      <c r="FQ483" s="1979">
        <v>5.6395221291591255</v>
      </c>
      <c r="FR483" s="1998">
        <v>66.358074315243371</v>
      </c>
      <c r="FS483" s="1998">
        <v>67.534965129558046</v>
      </c>
      <c r="FT483" s="1998">
        <v>68.613781709346497</v>
      </c>
      <c r="FU483" s="1998">
        <v>69.790672523661158</v>
      </c>
      <c r="FV483" s="1998">
        <v>72.63482532492165</v>
      </c>
      <c r="FW483" s="1979">
        <v>66.981040140265677</v>
      </c>
      <c r="FX483" s="1979">
        <v>68.155598246002441</v>
      </c>
      <c r="FY483" s="1979">
        <v>69.232276509594499</v>
      </c>
      <c r="FZ483" s="1979">
        <v>70.406834615331292</v>
      </c>
      <c r="GA483" s="1979">
        <v>73.245350037528524</v>
      </c>
      <c r="GB483" s="1998">
        <v>4.9236878416838064</v>
      </c>
      <c r="GC483" s="1998">
        <v>5.2698955810323858</v>
      </c>
      <c r="GD483" s="1998">
        <v>5.6161033203809643</v>
      </c>
      <c r="GE483" s="1998">
        <v>5.9623110597295428</v>
      </c>
      <c r="GF483" s="1998">
        <v>6.3085187990781195</v>
      </c>
      <c r="GG483" s="1979">
        <v>5.3421322582146287</v>
      </c>
      <c r="GH483" s="1979">
        <v>5.6870651208603586</v>
      </c>
      <c r="GI483" s="1979">
        <v>6.0319979835060877</v>
      </c>
      <c r="GJ483" s="1979">
        <v>6.3769308461518177</v>
      </c>
      <c r="GK483" s="2021">
        <v>6.7218637087975477</v>
      </c>
    </row>
    <row r="484" spans="1:193">
      <c r="A484" s="2020"/>
      <c r="B484" s="2">
        <v>22</v>
      </c>
      <c r="C484" s="2" t="str">
        <f>CONCATENATE($U$8," ",EI$16)</f>
        <v xml:space="preserve">Proportion de fenêtres </v>
      </c>
      <c r="D484" s="1998">
        <f>IF(Construction!$F$31=Construction!$R$22,Oeko!BQ484,Oeko!ED484)</f>
        <v>8.7739908268679034</v>
      </c>
      <c r="E484" s="1998">
        <f>IF(Construction!$F$31=Construction!$R$22,Oeko!BR484,Oeko!EE484)</f>
        <v>4.7976351024461987</v>
      </c>
      <c r="F484" s="1998">
        <f>IF(Construction!$F$31=Construction!$R$22,Oeko!BS484,Oeko!EF484)</f>
        <v>4.866431605840317</v>
      </c>
      <c r="G484" s="1998">
        <f>IF(Construction!$F$31=Construction!$R$22,Oeko!BT484,Oeko!EG484)</f>
        <v>4.9517256302921098</v>
      </c>
      <c r="H484" s="1998">
        <f>IF(Construction!$F$31=Construction!$R$22,Oeko!BU484,Oeko!EH484)</f>
        <v>5.0370196547439026</v>
      </c>
      <c r="I484" s="1979">
        <f>IF(Construction!$F$31=Construction!$R$22,Oeko!BV484,Oeko!EI484)</f>
        <v>13.327563723215286</v>
      </c>
      <c r="J484" s="1979">
        <f>IF(Construction!$F$31=Construction!$R$22,Oeko!BW484,Oeko!EJ484)</f>
        <v>6.9743888998202248</v>
      </c>
      <c r="K484" s="1979">
        <f>IF(Construction!$F$31=Construction!$R$22,Oeko!BX484,Oeko!EK484)</f>
        <v>7.092586122325943</v>
      </c>
      <c r="L484" s="1979">
        <f>IF(Construction!$F$31=Construction!$R$22,Oeko!BY484,Oeko!EL484)</f>
        <v>7.2388044499575877</v>
      </c>
      <c r="M484" s="1979">
        <f>IF(Construction!$F$31=Construction!$R$22,Oeko!BZ484,Oeko!EM484)</f>
        <v>7.3850227775892314</v>
      </c>
      <c r="N484" s="1998">
        <f>IF(Construction!$F$31=Construction!$R$22,Oeko!CA484,Oeko!EN484)</f>
        <v>4.8825522853595817</v>
      </c>
      <c r="O484" s="1998">
        <f>IF(Construction!$F$31=Construction!$R$22,Oeko!CB484,Oeko!EO484)</f>
        <v>4.9661056154348069</v>
      </c>
      <c r="P484" s="1998">
        <f>IF(Construction!$F$31=Construction!$R$22,Oeko!CC484,Oeko!EP484)</f>
        <v>4.9765497816942093</v>
      </c>
      <c r="Q484" s="1998">
        <f>IF(Construction!$F$31=Construction!$R$22,Oeko!CD484,Oeko!EQ484)</f>
        <v>4.9869939479536116</v>
      </c>
      <c r="R484" s="1998">
        <f>IF(Construction!$F$31=Construction!$R$22,Oeko!CE484,Oeko!ER484)</f>
        <v>5.0061415860958531</v>
      </c>
      <c r="S484" s="1979">
        <f>IF(Construction!$F$31=Construction!$R$22,Oeko!CF484,Oeko!ES484)</f>
        <v>6.1374248765178496</v>
      </c>
      <c r="T484" s="1979">
        <f>IF(Construction!$F$31=Construction!$R$22,Oeko!CG484,Oeko!ET484)</f>
        <v>6.2470886222415825</v>
      </c>
      <c r="U484" s="1979">
        <f>IF(Construction!$F$31=Construction!$R$22,Oeko!CH484,Oeko!EU484)</f>
        <v>6.2836432041494934</v>
      </c>
      <c r="V484" s="1979">
        <f>IF(Construction!$F$31=Construction!$R$22,Oeko!CI484,Oeko!EV484)</f>
        <v>6.3201977860574052</v>
      </c>
      <c r="W484" s="1979">
        <f>IF(Construction!$F$31=Construction!$R$22,Oeko!CJ484,Oeko!EW484)</f>
        <v>6.3872145195552417</v>
      </c>
      <c r="X484" s="1998">
        <f>IF(Construction!$F$31=Construction!$R$22,Oeko!CK484,Oeko!EX484)</f>
        <v>4.9922010465521334</v>
      </c>
      <c r="Y484" s="1998">
        <f>IF(Construction!$F$31=Construction!$R$22,Oeko!CL484,Oeko!EY484)</f>
        <v>5.0799320431311203</v>
      </c>
      <c r="Z484" s="1998">
        <f>IF(Construction!$F$31=Construction!$R$22,Oeko!CM484,Oeko!EZ484)</f>
        <v>5.0945538758942845</v>
      </c>
      <c r="AA484" s="1998">
        <f>IF(Construction!$F$31=Construction!$R$22,Oeko!CN484,Oeko!FA484)</f>
        <v>5.1091757086574496</v>
      </c>
      <c r="AB484" s="1998">
        <f>IF(Construction!$F$31=Construction!$R$22,Oeko!CO484,Oeko!FB484)</f>
        <v>5.1359824020565839</v>
      </c>
      <c r="AC484" s="1979">
        <f>IF(Construction!$F$31=Construction!$R$22,Oeko!CP484,Oeko!FC484)</f>
        <v>3.7305877892199351</v>
      </c>
      <c r="AD484" s="1979">
        <f>IF(Construction!$F$31=Construction!$R$22,Oeko!CQ484,Oeko!FD484)</f>
        <v>3.8036969530357569</v>
      </c>
      <c r="AE484" s="1979">
        <f>IF(Construction!$F$31=Construction!$R$22,Oeko!CR484,Oeko!FE484)</f>
        <v>3.8768061168515788</v>
      </c>
      <c r="AF484" s="1979">
        <f>IF(Construction!$F$31=Construction!$R$22,Oeko!CS484,Oeko!FF484)</f>
        <v>3.9499152806674016</v>
      </c>
      <c r="AG484" s="1979">
        <f>IF(Construction!$F$31=Construction!$R$22,Oeko!CT484,Oeko!FG484)</f>
        <v>4.0839487476630758</v>
      </c>
      <c r="AH484" s="1998">
        <f>IF(Construction!$F$31=Construction!$R$22,Oeko!CU484,Oeko!FH484)</f>
        <v>7.8811759931652192</v>
      </c>
      <c r="AI484" s="1998">
        <f>IF(Construction!$F$31=Construction!$R$22,Oeko!CV484,Oeko!FI484)</f>
        <v>8.0273943207968639</v>
      </c>
      <c r="AJ484" s="1998">
        <f>IF(Construction!$F$31=Construction!$R$22,Oeko!CW484,Oeko!FJ484)</f>
        <v>8.1614277877925385</v>
      </c>
      <c r="AK484" s="1998">
        <f>IF(Construction!$F$31=Construction!$R$22,Oeko!CX484,Oeko!FK484)</f>
        <v>8.3076461154241823</v>
      </c>
      <c r="AL484" s="1998">
        <f>IF(Construction!$F$31=Construction!$R$22,Oeko!CY484,Oeko!FL484)</f>
        <v>8.6610070738673226</v>
      </c>
      <c r="AM484" s="1979">
        <f>IF(Construction!$F$31=Construction!$R$22,Oeko!CZ484,Oeko!FM484)</f>
        <v>6.7358809250523288</v>
      </c>
      <c r="AN484" s="1979">
        <f>IF(Construction!$F$31=Construction!$R$22,Oeko!DA484,Oeko!FN484)</f>
        <v>5.0539703963478919</v>
      </c>
      <c r="AO484" s="1979">
        <f>IF(Construction!$F$31=Construction!$R$22,Oeko!DB484,Oeko!FO484)</f>
        <v>5.1342031328303364</v>
      </c>
      <c r="AP484" s="1979">
        <f>IF(Construction!$F$31=Construction!$R$22,Oeko!DC484,Oeko!FP484)</f>
        <v>5.2316820179181001</v>
      </c>
      <c r="AQ484" s="1979">
        <f>IF(Construction!$F$31=Construction!$R$22,Oeko!DD484,Oeko!FQ484)</f>
        <v>5.3291609030058629</v>
      </c>
      <c r="AR484" s="1998">
        <f>IF(Construction!$F$31=Construction!$R$22,Oeko!DE484,Oeko!FR484)</f>
        <v>61.555730672693429</v>
      </c>
      <c r="AS484" s="1998">
        <f>IF(Construction!$F$31=Construction!$R$22,Oeko!DF484,Oeko!FS484)</f>
        <v>62.732621487008117</v>
      </c>
      <c r="AT484" s="1998">
        <f>IF(Construction!$F$31=Construction!$R$22,Oeko!DG484,Oeko!FT484)</f>
        <v>63.811438066796569</v>
      </c>
      <c r="AU484" s="1998">
        <f>IF(Construction!$F$31=Construction!$R$22,Oeko!DH484,Oeko!FU484)</f>
        <v>64.988328881111244</v>
      </c>
      <c r="AV484" s="1998">
        <f>IF(Construction!$F$31=Construction!$R$22,Oeko!DI484,Oeko!FV484)</f>
        <v>67.832481682371707</v>
      </c>
      <c r="AW484" s="1979">
        <f>IF(Construction!$F$31=Construction!$R$22,Oeko!DJ484,Oeko!FW484)</f>
        <v>62.135865723955305</v>
      </c>
      <c r="AX484" s="1979">
        <f>IF(Construction!$F$31=Construction!$R$22,Oeko!DK484,Oeko!FX484)</f>
        <v>63.310423829692077</v>
      </c>
      <c r="AY484" s="1979">
        <f>IF(Construction!$F$31=Construction!$R$22,Oeko!DL484,Oeko!FY484)</f>
        <v>64.387102093284142</v>
      </c>
      <c r="AZ484" s="1979">
        <f>IF(Construction!$F$31=Construction!$R$22,Oeko!DM484,Oeko!FZ484)</f>
        <v>65.56166019902092</v>
      </c>
      <c r="BA484" s="1979">
        <f>IF(Construction!$F$31=Construction!$R$22,Oeko!DN484,Oeko!GA484)</f>
        <v>68.400175621218153</v>
      </c>
      <c r="BB484" s="1998">
        <f>IF(Construction!$F$31=Construction!$R$22,Oeko!DO484,Oeko!GB484)</f>
        <v>4.4725158102302087</v>
      </c>
      <c r="BC484" s="1998">
        <f>IF(Construction!$F$31=Construction!$R$22,Oeko!DP484,Oeko!GC484)</f>
        <v>4.8187235495787872</v>
      </c>
      <c r="BD484" s="1998">
        <f>IF(Construction!$F$31=Construction!$R$22,Oeko!DQ484,Oeko!GD484)</f>
        <v>5.1649312889273649</v>
      </c>
      <c r="BE484" s="1998">
        <f>IF(Construction!$F$31=Construction!$R$22,Oeko!DR484,Oeko!GE484)</f>
        <v>5.5111390282759434</v>
      </c>
      <c r="BF484" s="1998">
        <f>IF(Construction!$F$31=Construction!$R$22,Oeko!DS484,Oeko!GF484)</f>
        <v>5.8573467676245219</v>
      </c>
      <c r="BG484" s="1979">
        <f>IF(Construction!$F$31=Construction!$R$22,Oeko!DT484,Oeko!GG484)</f>
        <v>4.7327238016183193</v>
      </c>
      <c r="BH484" s="1979">
        <f>IF(Construction!$F$31=Construction!$R$22,Oeko!DU484,Oeko!GH484)</f>
        <v>5.0776566642640484</v>
      </c>
      <c r="BI484" s="1979">
        <f>IF(Construction!$F$31=Construction!$R$22,Oeko!DV484,Oeko!GI484)</f>
        <v>5.4225895269097775</v>
      </c>
      <c r="BJ484" s="1979">
        <f>IF(Construction!$F$31=Construction!$R$22,Oeko!DW484,Oeko!GJ484)</f>
        <v>5.7675223895555074</v>
      </c>
      <c r="BK484" s="2021">
        <f>IF(Construction!$F$31=Construction!$R$22,Oeko!DX484,Oeko!GK484)</f>
        <v>6.1124552522012365</v>
      </c>
      <c r="BN484" s="2022"/>
      <c r="BO484" s="2">
        <v>22</v>
      </c>
      <c r="BP484" s="2" t="str">
        <f>CONCATENATE($U$8," ",GV$16)</f>
        <v xml:space="preserve">Proportion de fenêtres </v>
      </c>
      <c r="BQ484" s="1998">
        <v>8.7739908268679034</v>
      </c>
      <c r="BR484" s="1998">
        <v>4.7976351024461987</v>
      </c>
      <c r="BS484" s="1998">
        <v>4.866431605840317</v>
      </c>
      <c r="BT484" s="1998">
        <v>4.9517256302921098</v>
      </c>
      <c r="BU484" s="1998">
        <v>5.0370196547439026</v>
      </c>
      <c r="BV484" s="1979">
        <v>13.327563723215286</v>
      </c>
      <c r="BW484" s="1979">
        <v>6.9743888998202248</v>
      </c>
      <c r="BX484" s="1979">
        <v>7.092586122325943</v>
      </c>
      <c r="BY484" s="1979">
        <v>7.2388044499575877</v>
      </c>
      <c r="BZ484" s="1979">
        <v>7.3850227775892314</v>
      </c>
      <c r="CA484" s="1998">
        <v>4.8825522853595817</v>
      </c>
      <c r="CB484" s="1998">
        <v>4.9661056154348069</v>
      </c>
      <c r="CC484" s="1998">
        <v>4.9765497816942093</v>
      </c>
      <c r="CD484" s="1998">
        <v>4.9869939479536116</v>
      </c>
      <c r="CE484" s="1998">
        <v>5.0061415860958531</v>
      </c>
      <c r="CF484" s="1979">
        <v>6.1374248765178496</v>
      </c>
      <c r="CG484" s="1979">
        <v>6.2470886222415825</v>
      </c>
      <c r="CH484" s="1979">
        <v>6.2836432041494934</v>
      </c>
      <c r="CI484" s="1979">
        <v>6.3201977860574052</v>
      </c>
      <c r="CJ484" s="1979">
        <v>6.3872145195552417</v>
      </c>
      <c r="CK484" s="1998">
        <v>4.9922010465521334</v>
      </c>
      <c r="CL484" s="1998">
        <v>5.0799320431311203</v>
      </c>
      <c r="CM484" s="1998">
        <v>5.0945538758942845</v>
      </c>
      <c r="CN484" s="1998">
        <v>5.1091757086574496</v>
      </c>
      <c r="CO484" s="1998">
        <v>5.1359824020565839</v>
      </c>
      <c r="CP484" s="1979">
        <v>3.7305877892199351</v>
      </c>
      <c r="CQ484" s="1979">
        <v>3.8036969530357569</v>
      </c>
      <c r="CR484" s="1979">
        <v>3.8768061168515788</v>
      </c>
      <c r="CS484" s="1979">
        <v>3.9499152806674016</v>
      </c>
      <c r="CT484" s="1979">
        <v>4.0839487476630758</v>
      </c>
      <c r="CU484" s="1998">
        <v>7.8811759931652192</v>
      </c>
      <c r="CV484" s="1998">
        <v>8.0273943207968639</v>
      </c>
      <c r="CW484" s="1998">
        <v>8.1614277877925385</v>
      </c>
      <c r="CX484" s="1998">
        <v>8.3076461154241823</v>
      </c>
      <c r="CY484" s="1998">
        <v>8.6610070738673226</v>
      </c>
      <c r="CZ484" s="1979">
        <v>6.7358809250523288</v>
      </c>
      <c r="DA484" s="1979">
        <v>5.0539703963478919</v>
      </c>
      <c r="DB484" s="1979">
        <v>5.1342031328303364</v>
      </c>
      <c r="DC484" s="1979">
        <v>5.2316820179181001</v>
      </c>
      <c r="DD484" s="1979">
        <v>5.3291609030058629</v>
      </c>
      <c r="DE484" s="1998">
        <v>61.555730672693429</v>
      </c>
      <c r="DF484" s="1998">
        <v>62.732621487008117</v>
      </c>
      <c r="DG484" s="1998">
        <v>63.811438066796569</v>
      </c>
      <c r="DH484" s="1998">
        <v>64.988328881111244</v>
      </c>
      <c r="DI484" s="1998">
        <v>67.832481682371707</v>
      </c>
      <c r="DJ484" s="1979">
        <v>62.135865723955305</v>
      </c>
      <c r="DK484" s="1979">
        <v>63.310423829692077</v>
      </c>
      <c r="DL484" s="1979">
        <v>64.387102093284142</v>
      </c>
      <c r="DM484" s="1979">
        <v>65.56166019902092</v>
      </c>
      <c r="DN484" s="1979">
        <v>68.400175621218153</v>
      </c>
      <c r="DO484" s="1998">
        <v>4.4725158102302087</v>
      </c>
      <c r="DP484" s="1998">
        <v>4.8187235495787872</v>
      </c>
      <c r="DQ484" s="1998">
        <v>5.1649312889273649</v>
      </c>
      <c r="DR484" s="1998">
        <v>5.5111390282759434</v>
      </c>
      <c r="DS484" s="1998">
        <v>5.8573467676245219</v>
      </c>
      <c r="DT484" s="1979">
        <v>4.7327238016183193</v>
      </c>
      <c r="DU484" s="1979">
        <v>5.0776566642640484</v>
      </c>
      <c r="DV484" s="1979">
        <v>5.4225895269097775</v>
      </c>
      <c r="DW484" s="1979">
        <v>5.7675223895555074</v>
      </c>
      <c r="DX484" s="2021">
        <v>6.1124552522012365</v>
      </c>
      <c r="EA484" s="2022"/>
      <c r="EB484" s="2">
        <v>22</v>
      </c>
      <c r="EC484" s="2" t="str">
        <f>CONCATENATE($U$8," ",JI$16)</f>
        <v xml:space="preserve">Proportion de fenêtres </v>
      </c>
      <c r="ED484" s="1998">
        <v>8.8665222865552522</v>
      </c>
      <c r="EE484" s="1998">
        <v>4.8901665621335493</v>
      </c>
      <c r="EF484" s="1998">
        <v>4.9589630655276684</v>
      </c>
      <c r="EG484" s="1998">
        <v>5.0442570899794603</v>
      </c>
      <c r="EH484" s="1998">
        <v>5.1295511144312531</v>
      </c>
      <c r="EI484" s="1979">
        <v>13.939261830063208</v>
      </c>
      <c r="EJ484" s="1979">
        <v>7.5860870066681461</v>
      </c>
      <c r="EK484" s="1979">
        <v>7.7042842291738634</v>
      </c>
      <c r="EL484" s="1979">
        <v>7.8505025568055089</v>
      </c>
      <c r="EM484" s="1979">
        <v>7.9967208844371527</v>
      </c>
      <c r="EN484" s="1998">
        <v>4.9606417542128822</v>
      </c>
      <c r="EO484" s="1998">
        <v>5.0441950842881074</v>
      </c>
      <c r="EP484" s="1998">
        <v>5.0546392505475106</v>
      </c>
      <c r="EQ484" s="1998">
        <v>5.0650834168069139</v>
      </c>
      <c r="ER484" s="1998">
        <v>5.0842310549491536</v>
      </c>
      <c r="ES484" s="1979">
        <v>6.4599722553726497</v>
      </c>
      <c r="ET484" s="1979">
        <v>6.5696360010963826</v>
      </c>
      <c r="EU484" s="1979">
        <v>6.6061905830042926</v>
      </c>
      <c r="EV484" s="1979">
        <v>6.6427451649122045</v>
      </c>
      <c r="EW484" s="1979">
        <v>6.7097618984100409</v>
      </c>
      <c r="EX484" s="1998">
        <v>5.0847109170902147</v>
      </c>
      <c r="EY484" s="1998">
        <v>5.1724419136692017</v>
      </c>
      <c r="EZ484" s="1998">
        <v>5.1870637464323659</v>
      </c>
      <c r="FA484" s="1998">
        <v>5.201685579195531</v>
      </c>
      <c r="FB484" s="1998">
        <v>5.2284922725946652</v>
      </c>
      <c r="FC484" s="1979">
        <v>4.0133690528734585</v>
      </c>
      <c r="FD484" s="1979">
        <v>4.0864782166892804</v>
      </c>
      <c r="FE484" s="1979">
        <v>4.1595873805051031</v>
      </c>
      <c r="FF484" s="1979">
        <v>4.232696544320925</v>
      </c>
      <c r="FG484" s="1979">
        <v>4.3667300113165988</v>
      </c>
      <c r="FH484" s="1998">
        <v>8.3596317919361365</v>
      </c>
      <c r="FI484" s="1998">
        <v>8.5058501195677803</v>
      </c>
      <c r="FJ484" s="1998">
        <v>8.6398835865634531</v>
      </c>
      <c r="FK484" s="1998">
        <v>8.7861019141950987</v>
      </c>
      <c r="FL484" s="1998">
        <v>9.139462872638239</v>
      </c>
      <c r="FM484" s="1979">
        <v>6.9420755964663554</v>
      </c>
      <c r="FN484" s="1979">
        <v>5.2601650677619194</v>
      </c>
      <c r="FO484" s="1979">
        <v>5.3403978042443638</v>
      </c>
      <c r="FP484" s="1979">
        <v>5.4378766893321275</v>
      </c>
      <c r="FQ484" s="1979">
        <v>5.5353555744198895</v>
      </c>
      <c r="FR484" s="1998">
        <v>64.848914730731835</v>
      </c>
      <c r="FS484" s="1998">
        <v>66.025805545046509</v>
      </c>
      <c r="FT484" s="1998">
        <v>67.104622124834975</v>
      </c>
      <c r="FU484" s="1998">
        <v>68.281512939149636</v>
      </c>
      <c r="FV484" s="1998">
        <v>71.125665740410128</v>
      </c>
      <c r="FW484" s="1979">
        <v>65.413395595719507</v>
      </c>
      <c r="FX484" s="1979">
        <v>66.587953701456286</v>
      </c>
      <c r="FY484" s="1979">
        <v>67.664631965048358</v>
      </c>
      <c r="FZ484" s="1979">
        <v>68.839190070785136</v>
      </c>
      <c r="GA484" s="1979">
        <v>71.677705492982355</v>
      </c>
      <c r="GB484" s="1998">
        <v>4.7495726261584856</v>
      </c>
      <c r="GC484" s="1998">
        <v>5.0957803655070633</v>
      </c>
      <c r="GD484" s="1998">
        <v>5.4419881048556418</v>
      </c>
      <c r="GE484" s="1998">
        <v>5.7881958442042203</v>
      </c>
      <c r="GF484" s="1998">
        <v>6.1344035835527988</v>
      </c>
      <c r="GG484" s="1979">
        <v>5.0087603824684965</v>
      </c>
      <c r="GH484" s="1979">
        <v>5.3536932451142265</v>
      </c>
      <c r="GI484" s="1979">
        <v>5.6986261077599556</v>
      </c>
      <c r="GJ484" s="1979">
        <v>6.0435589704056856</v>
      </c>
      <c r="GK484" s="2021">
        <v>6.3884918330514155</v>
      </c>
    </row>
    <row r="485" spans="1:193">
      <c r="A485" s="2020"/>
      <c r="B485" s="2">
        <v>23</v>
      </c>
      <c r="C485" s="2" t="str">
        <f>CONCATENATE($U$8," ",EI$17)</f>
        <v xml:space="preserve">Proportion de fenêtres </v>
      </c>
      <c r="D485" s="1998">
        <f>IF(Construction!$F$31=Construction!$R$22,Oeko!BQ485,Oeko!ED485)</f>
        <v>4.4722877440347908</v>
      </c>
      <c r="E485" s="1998">
        <f>IF(Construction!$F$31=Construction!$R$22,Oeko!BR485,Oeko!EE485)</f>
        <v>4.5575817684865827</v>
      </c>
      <c r="F485" s="1998">
        <f>IF(Construction!$F$31=Construction!$R$22,Oeko!BS485,Oeko!EF485)</f>
        <v>4.6286601221964103</v>
      </c>
      <c r="G485" s="1998">
        <f>IF(Construction!$F$31=Construction!$R$22,Oeko!BT485,Oeko!EG485)</f>
        <v>4.7139541466482031</v>
      </c>
      <c r="H485" s="1998">
        <f>IF(Construction!$F$31=Construction!$R$22,Oeko!BU485,Oeko!EH485)</f>
        <v>4.799248171099995</v>
      </c>
      <c r="I485" s="1979">
        <f>IF(Construction!$F$31=Construction!$R$22,Oeko!BV485,Oeko!EI485)</f>
        <v>6.4440407010565446</v>
      </c>
      <c r="J485" s="1979">
        <f>IF(Construction!$F$31=Construction!$R$22,Oeko!BW485,Oeko!EJ485)</f>
        <v>6.5902590286881875</v>
      </c>
      <c r="K485" s="1979">
        <f>IF(Construction!$F$31=Construction!$R$22,Oeko!BX485,Oeko!EK485)</f>
        <v>6.7121076350478912</v>
      </c>
      <c r="L485" s="1979">
        <f>IF(Construction!$F$31=Construction!$R$22,Oeko!BY485,Oeko!EL485)</f>
        <v>6.8583259626795368</v>
      </c>
      <c r="M485" s="1979">
        <f>IF(Construction!$F$31=Construction!$R$22,Oeko!BZ485,Oeko!EM485)</f>
        <v>7.0045442903111805</v>
      </c>
      <c r="N485" s="1998">
        <f>IF(Construction!$F$31=Construction!$R$22,Oeko!CA485,Oeko!EN485)</f>
        <v>4.6548739585723951</v>
      </c>
      <c r="O485" s="1998">
        <f>IF(Construction!$F$31=Construction!$R$22,Oeko!CB485,Oeko!EO485)</f>
        <v>4.7384272886476202</v>
      </c>
      <c r="P485" s="1998">
        <f>IF(Construction!$F$31=Construction!$R$22,Oeko!CC485,Oeko!EP485)</f>
        <v>4.7488714549070234</v>
      </c>
      <c r="Q485" s="1998">
        <f>IF(Construction!$F$31=Construction!$R$22,Oeko!CD485,Oeko!EQ485)</f>
        <v>4.7593156211664267</v>
      </c>
      <c r="R485" s="1998">
        <f>IF(Construction!$F$31=Construction!$R$22,Oeko!CE485,Oeko!ER485)</f>
        <v>4.7784632593086664</v>
      </c>
      <c r="S485" s="1979">
        <f>IF(Construction!$F$31=Construction!$R$22,Oeko!CF485,Oeko!ES485)</f>
        <v>5.6463539756043115</v>
      </c>
      <c r="T485" s="1979">
        <f>IF(Construction!$F$31=Construction!$R$22,Oeko!CG485,Oeko!ET485)</f>
        <v>5.7560177213280452</v>
      </c>
      <c r="U485" s="1979">
        <f>IF(Construction!$F$31=Construction!$R$22,Oeko!CH485,Oeko!EU485)</f>
        <v>5.7925723032359553</v>
      </c>
      <c r="V485" s="1979">
        <f>IF(Construction!$F$31=Construction!$R$22,Oeko!CI485,Oeko!EV485)</f>
        <v>5.8291268851438671</v>
      </c>
      <c r="W485" s="1979">
        <f>IF(Construction!$F$31=Construction!$R$22,Oeko!CJ485,Oeko!EW485)</f>
        <v>5.8961436186417036</v>
      </c>
      <c r="X485" s="1998">
        <f>IF(Construction!$F$31=Construction!$R$22,Oeko!CK485,Oeko!EX485)</f>
        <v>4.7947522791198844</v>
      </c>
      <c r="Y485" s="1998">
        <f>IF(Construction!$F$31=Construction!$R$22,Oeko!CL485,Oeko!EY485)</f>
        <v>4.8824832756988714</v>
      </c>
      <c r="Z485" s="1998">
        <f>IF(Construction!$F$31=Construction!$R$22,Oeko!CM485,Oeko!EZ485)</f>
        <v>4.8971051084620356</v>
      </c>
      <c r="AA485" s="1998">
        <f>IF(Construction!$F$31=Construction!$R$22,Oeko!CN485,Oeko!FA485)</f>
        <v>4.9117269412251998</v>
      </c>
      <c r="AB485" s="1998">
        <f>IF(Construction!$F$31=Construction!$R$22,Oeko!CO485,Oeko!FB485)</f>
        <v>4.9385336346243349</v>
      </c>
      <c r="AC485" s="1979">
        <f>IF(Construction!$F$31=Construction!$R$22,Oeko!CP485,Oeko!FC485)</f>
        <v>3.5196505158729834</v>
      </c>
      <c r="AD485" s="1979">
        <f>IF(Construction!$F$31=Construction!$R$22,Oeko!CQ485,Oeko!FD485)</f>
        <v>3.5927596796888057</v>
      </c>
      <c r="AE485" s="1979">
        <f>IF(Construction!$F$31=Construction!$R$22,Oeko!CR485,Oeko!FE485)</f>
        <v>3.6658688435046276</v>
      </c>
      <c r="AF485" s="1979">
        <f>IF(Construction!$F$31=Construction!$R$22,Oeko!CS485,Oeko!FF485)</f>
        <v>3.7389780073204499</v>
      </c>
      <c r="AG485" s="1979">
        <f>IF(Construction!$F$31=Construction!$R$22,Oeko!CT485,Oeko!FG485)</f>
        <v>3.8730114743161232</v>
      </c>
      <c r="AH485" s="1998">
        <f>IF(Construction!$F$31=Construction!$R$22,Oeko!CU485,Oeko!FH485)</f>
        <v>7.4602580780964711</v>
      </c>
      <c r="AI485" s="1998">
        <f>IF(Construction!$F$31=Construction!$R$22,Oeko!CV485,Oeko!FI485)</f>
        <v>7.6064764057281176</v>
      </c>
      <c r="AJ485" s="1998">
        <f>IF(Construction!$F$31=Construction!$R$22,Oeko!CW485,Oeko!FJ485)</f>
        <v>7.7405098727237904</v>
      </c>
      <c r="AK485" s="1998">
        <f>IF(Construction!$F$31=Construction!$R$22,Oeko!CX485,Oeko!FK485)</f>
        <v>7.886728200355436</v>
      </c>
      <c r="AL485" s="1998">
        <f>IF(Construction!$F$31=Construction!$R$22,Oeko!CY485,Oeko!FL485)</f>
        <v>8.2400891587985754</v>
      </c>
      <c r="AM485" s="1979">
        <f>IF(Construction!$F$31=Construction!$R$22,Oeko!CZ485,Oeko!FM485)</f>
        <v>4.8513252887635359</v>
      </c>
      <c r="AN485" s="1979">
        <f>IF(Construction!$F$31=Construction!$R$22,Oeko!DA485,Oeko!FN485)</f>
        <v>4.9488041738512987</v>
      </c>
      <c r="AO485" s="1979">
        <f>IF(Construction!$F$31=Construction!$R$22,Oeko!DB485,Oeko!FO485)</f>
        <v>5.0300365780911021</v>
      </c>
      <c r="AP485" s="1979">
        <f>IF(Construction!$F$31=Construction!$R$22,Oeko!DC485,Oeko!FP485)</f>
        <v>5.127515463178864</v>
      </c>
      <c r="AQ485" s="1979">
        <f>IF(Construction!$F$31=Construction!$R$22,Oeko!DD485,Oeko!FQ485)</f>
        <v>5.2249943482666277</v>
      </c>
      <c r="AR485" s="1998">
        <f>IF(Construction!$F$31=Construction!$R$22,Oeko!DE485,Oeko!FR485)</f>
        <v>60.046571088181906</v>
      </c>
      <c r="AS485" s="1998">
        <f>IF(Construction!$F$31=Construction!$R$22,Oeko!DF485,Oeko!FS485)</f>
        <v>61.223461902496581</v>
      </c>
      <c r="AT485" s="1998">
        <f>IF(Construction!$F$31=Construction!$R$22,Oeko!DG485,Oeko!FT485)</f>
        <v>62.302278482285033</v>
      </c>
      <c r="AU485" s="1998">
        <f>IF(Construction!$F$31=Construction!$R$22,Oeko!DH485,Oeko!FU485)</f>
        <v>63.4791692965997</v>
      </c>
      <c r="AV485" s="1998">
        <f>IF(Construction!$F$31=Construction!$R$22,Oeko!DI485,Oeko!FV485)</f>
        <v>66.323322097860171</v>
      </c>
      <c r="AW485" s="1979">
        <f>IF(Construction!$F$31=Construction!$R$22,Oeko!DJ485,Oeko!FW485)</f>
        <v>60.568221179409143</v>
      </c>
      <c r="AX485" s="1979">
        <f>IF(Construction!$F$31=Construction!$R$22,Oeko!DK485,Oeko!FX485)</f>
        <v>61.742779285145915</v>
      </c>
      <c r="AY485" s="1979">
        <f>IF(Construction!$F$31=Construction!$R$22,Oeko!DL485,Oeko!FY485)</f>
        <v>62.819457548737979</v>
      </c>
      <c r="AZ485" s="1979">
        <f>IF(Construction!$F$31=Construction!$R$22,Oeko!DM485,Oeko!FZ485)</f>
        <v>63.994015654474758</v>
      </c>
      <c r="BA485" s="1979">
        <f>IF(Construction!$F$31=Construction!$R$22,Oeko!DN485,Oeko!GA485)</f>
        <v>66.832531076671998</v>
      </c>
      <c r="BB485" s="1998">
        <f>IF(Construction!$F$31=Construction!$R$22,Oeko!DO485,Oeko!GB485)</f>
        <v>4.2984005947048871</v>
      </c>
      <c r="BC485" s="1998">
        <f>IF(Construction!$F$31=Construction!$R$22,Oeko!DP485,Oeko!GC485)</f>
        <v>4.6446083340534656</v>
      </c>
      <c r="BD485" s="1998">
        <f>IF(Construction!$F$31=Construction!$R$22,Oeko!DQ485,Oeko!GD485)</f>
        <v>4.990816073402045</v>
      </c>
      <c r="BE485" s="1998">
        <f>IF(Construction!$F$31=Construction!$R$22,Oeko!DR485,Oeko!GE485)</f>
        <v>5.3370238127506235</v>
      </c>
      <c r="BF485" s="1998">
        <f>IF(Construction!$F$31=Construction!$R$22,Oeko!DS485,Oeko!GF485)</f>
        <v>5.6832315520992021</v>
      </c>
      <c r="BG485" s="1979">
        <f>IF(Construction!$F$31=Construction!$R$22,Oeko!DT485,Oeko!GG485)</f>
        <v>4.399351925872188</v>
      </c>
      <c r="BH485" s="1979">
        <f>IF(Construction!$F$31=Construction!$R$22,Oeko!DU485,Oeko!GH485)</f>
        <v>4.7442847885179162</v>
      </c>
      <c r="BI485" s="1979">
        <f>IF(Construction!$F$31=Construction!$R$22,Oeko!DV485,Oeko!GI485)</f>
        <v>5.0892176511636453</v>
      </c>
      <c r="BJ485" s="1979">
        <f>IF(Construction!$F$31=Construction!$R$22,Oeko!DW485,Oeko!GJ485)</f>
        <v>5.4341505138093753</v>
      </c>
      <c r="BK485" s="2021">
        <f>IF(Construction!$F$31=Construction!$R$22,Oeko!DX485,Oeko!GK485)</f>
        <v>5.7790833764551044</v>
      </c>
      <c r="BN485" s="2022"/>
      <c r="BO485" s="2">
        <v>23</v>
      </c>
      <c r="BP485" s="2" t="str">
        <f>CONCATENATE($U$8," ",GV$17)</f>
        <v xml:space="preserve">Proportion de fenêtres </v>
      </c>
      <c r="BQ485" s="1998">
        <v>4.4722877440347908</v>
      </c>
      <c r="BR485" s="1998">
        <v>4.5575817684865827</v>
      </c>
      <c r="BS485" s="1998">
        <v>4.6286601221964103</v>
      </c>
      <c r="BT485" s="1998">
        <v>4.7139541466482031</v>
      </c>
      <c r="BU485" s="1998">
        <v>4.799248171099995</v>
      </c>
      <c r="BV485" s="1979">
        <v>6.4440407010565446</v>
      </c>
      <c r="BW485" s="1979">
        <v>6.5902590286881875</v>
      </c>
      <c r="BX485" s="1979">
        <v>6.7121076350478912</v>
      </c>
      <c r="BY485" s="1979">
        <v>6.8583259626795368</v>
      </c>
      <c r="BZ485" s="1979">
        <v>7.0045442903111805</v>
      </c>
      <c r="CA485" s="1998">
        <v>4.6548739585723951</v>
      </c>
      <c r="CB485" s="1998">
        <v>4.7384272886476202</v>
      </c>
      <c r="CC485" s="1998">
        <v>4.7488714549070234</v>
      </c>
      <c r="CD485" s="1998">
        <v>4.7593156211664267</v>
      </c>
      <c r="CE485" s="1998">
        <v>4.7784632593086664</v>
      </c>
      <c r="CF485" s="1979">
        <v>5.6463539756043115</v>
      </c>
      <c r="CG485" s="1979">
        <v>5.7560177213280452</v>
      </c>
      <c r="CH485" s="1979">
        <v>5.7925723032359553</v>
      </c>
      <c r="CI485" s="1979">
        <v>5.8291268851438671</v>
      </c>
      <c r="CJ485" s="1979">
        <v>5.8961436186417036</v>
      </c>
      <c r="CK485" s="1998">
        <v>4.7947522791198844</v>
      </c>
      <c r="CL485" s="1998">
        <v>4.8824832756988714</v>
      </c>
      <c r="CM485" s="1998">
        <v>4.8971051084620356</v>
      </c>
      <c r="CN485" s="1998">
        <v>4.9117269412251998</v>
      </c>
      <c r="CO485" s="1998">
        <v>4.9385336346243349</v>
      </c>
      <c r="CP485" s="1979">
        <v>3.5196505158729834</v>
      </c>
      <c r="CQ485" s="1979">
        <v>3.5927596796888057</v>
      </c>
      <c r="CR485" s="1979">
        <v>3.6658688435046276</v>
      </c>
      <c r="CS485" s="1979">
        <v>3.7389780073204499</v>
      </c>
      <c r="CT485" s="1979">
        <v>3.8730114743161232</v>
      </c>
      <c r="CU485" s="1998">
        <v>7.4602580780964711</v>
      </c>
      <c r="CV485" s="1998">
        <v>7.6064764057281176</v>
      </c>
      <c r="CW485" s="1998">
        <v>7.7405098727237904</v>
      </c>
      <c r="CX485" s="1998">
        <v>7.886728200355436</v>
      </c>
      <c r="CY485" s="1998">
        <v>8.2400891587985754</v>
      </c>
      <c r="CZ485" s="1979">
        <v>4.8513252887635359</v>
      </c>
      <c r="DA485" s="1979">
        <v>4.9488041738512987</v>
      </c>
      <c r="DB485" s="1979">
        <v>5.0300365780911021</v>
      </c>
      <c r="DC485" s="1979">
        <v>5.127515463178864</v>
      </c>
      <c r="DD485" s="1979">
        <v>5.2249943482666277</v>
      </c>
      <c r="DE485" s="1998">
        <v>60.046571088181906</v>
      </c>
      <c r="DF485" s="1998">
        <v>61.223461902496581</v>
      </c>
      <c r="DG485" s="1998">
        <v>62.302278482285033</v>
      </c>
      <c r="DH485" s="1998">
        <v>63.4791692965997</v>
      </c>
      <c r="DI485" s="1998">
        <v>66.323322097860171</v>
      </c>
      <c r="DJ485" s="1979">
        <v>60.568221179409143</v>
      </c>
      <c r="DK485" s="1979">
        <v>61.742779285145915</v>
      </c>
      <c r="DL485" s="1979">
        <v>62.819457548737979</v>
      </c>
      <c r="DM485" s="1979">
        <v>63.994015654474758</v>
      </c>
      <c r="DN485" s="1979">
        <v>66.832531076671998</v>
      </c>
      <c r="DO485" s="1998">
        <v>4.2984005947048871</v>
      </c>
      <c r="DP485" s="1998">
        <v>4.6446083340534656</v>
      </c>
      <c r="DQ485" s="1998">
        <v>4.990816073402045</v>
      </c>
      <c r="DR485" s="1998">
        <v>5.3370238127506235</v>
      </c>
      <c r="DS485" s="1998">
        <v>5.6832315520992021</v>
      </c>
      <c r="DT485" s="1979">
        <v>4.399351925872188</v>
      </c>
      <c r="DU485" s="1979">
        <v>4.7442847885179162</v>
      </c>
      <c r="DV485" s="1979">
        <v>5.0892176511636453</v>
      </c>
      <c r="DW485" s="1979">
        <v>5.4341505138093753</v>
      </c>
      <c r="DX485" s="2021">
        <v>5.7790833764551044</v>
      </c>
      <c r="EA485" s="2022"/>
      <c r="EB485" s="2">
        <v>23</v>
      </c>
      <c r="EC485" s="2" t="str">
        <f>CONCATENATE($U$8," ",JI$17)</f>
        <v xml:space="preserve">Proportion de fenêtres </v>
      </c>
      <c r="ED485" s="1998">
        <v>4.5648192037221413</v>
      </c>
      <c r="EE485" s="1998">
        <v>4.6501132281739341</v>
      </c>
      <c r="EF485" s="1998">
        <v>4.7211915818837618</v>
      </c>
      <c r="EG485" s="1998">
        <v>4.8064856063355537</v>
      </c>
      <c r="EH485" s="1998">
        <v>4.8917796307873465</v>
      </c>
      <c r="EI485" s="1979">
        <v>7.0557388079044676</v>
      </c>
      <c r="EJ485" s="1979">
        <v>7.2019571355361096</v>
      </c>
      <c r="EK485" s="1979">
        <v>7.3238057418958125</v>
      </c>
      <c r="EL485" s="1979">
        <v>7.470024069527458</v>
      </c>
      <c r="EM485" s="1979">
        <v>7.6162423971591018</v>
      </c>
      <c r="EN485" s="1998">
        <v>4.7329634274256955</v>
      </c>
      <c r="EO485" s="1998">
        <v>4.8165167575009216</v>
      </c>
      <c r="EP485" s="1998">
        <v>4.8269609237603257</v>
      </c>
      <c r="EQ485" s="1998">
        <v>4.8374050900197281</v>
      </c>
      <c r="ER485" s="1998">
        <v>4.8565527281619669</v>
      </c>
      <c r="ES485" s="1979">
        <v>5.9689013544591107</v>
      </c>
      <c r="ET485" s="1979">
        <v>6.0785651001828445</v>
      </c>
      <c r="EU485" s="1979">
        <v>6.1151196820907554</v>
      </c>
      <c r="EV485" s="1979">
        <v>6.1516742639986672</v>
      </c>
      <c r="EW485" s="1979">
        <v>6.2186909974965037</v>
      </c>
      <c r="EX485" s="1998">
        <v>4.8872621496579658</v>
      </c>
      <c r="EY485" s="1998">
        <v>4.9749931462369537</v>
      </c>
      <c r="EZ485" s="1998">
        <v>4.9896149790001179</v>
      </c>
      <c r="FA485" s="1998">
        <v>5.0042368117632821</v>
      </c>
      <c r="FB485" s="1998">
        <v>5.0310435051624163</v>
      </c>
      <c r="FC485" s="1979">
        <v>3.8024317795265064</v>
      </c>
      <c r="FD485" s="1979">
        <v>3.8755409433423282</v>
      </c>
      <c r="FE485" s="1979">
        <v>3.9486501071581506</v>
      </c>
      <c r="FF485" s="1979">
        <v>4.0217592709739733</v>
      </c>
      <c r="FG485" s="1979">
        <v>4.1557927379696471</v>
      </c>
      <c r="FH485" s="1998">
        <v>7.9387138768673884</v>
      </c>
      <c r="FI485" s="1998">
        <v>8.084932204499033</v>
      </c>
      <c r="FJ485" s="1998">
        <v>8.2189656714947077</v>
      </c>
      <c r="FK485" s="1998">
        <v>8.3651839991263515</v>
      </c>
      <c r="FL485" s="1998">
        <v>8.7185449575694918</v>
      </c>
      <c r="FM485" s="1979">
        <v>5.0575199601775633</v>
      </c>
      <c r="FN485" s="1979">
        <v>5.1549988452653253</v>
      </c>
      <c r="FO485" s="1979">
        <v>5.2362312495051286</v>
      </c>
      <c r="FP485" s="1979">
        <v>5.3337101345928914</v>
      </c>
      <c r="FQ485" s="1979">
        <v>5.4311890196806552</v>
      </c>
      <c r="FR485" s="1998">
        <v>63.339755146220313</v>
      </c>
      <c r="FS485" s="1998">
        <v>64.516645960534987</v>
      </c>
      <c r="FT485" s="1998">
        <v>65.595462540323439</v>
      </c>
      <c r="FU485" s="1998">
        <v>66.772353354638099</v>
      </c>
      <c r="FV485" s="1998">
        <v>69.616506155898577</v>
      </c>
      <c r="FW485" s="1979">
        <v>63.845751051173352</v>
      </c>
      <c r="FX485" s="1979">
        <v>65.02030915691013</v>
      </c>
      <c r="FY485" s="1979">
        <v>66.096987420502202</v>
      </c>
      <c r="FZ485" s="1979">
        <v>67.271545526238981</v>
      </c>
      <c r="GA485" s="1979">
        <v>70.1100609484362</v>
      </c>
      <c r="GB485" s="1998">
        <v>4.575457410633164</v>
      </c>
      <c r="GC485" s="1998">
        <v>4.9216651499817425</v>
      </c>
      <c r="GD485" s="1998">
        <v>5.2678728893303211</v>
      </c>
      <c r="GE485" s="1998">
        <v>5.6140806286789005</v>
      </c>
      <c r="GF485" s="1998">
        <v>5.9602883680274781</v>
      </c>
      <c r="GG485" s="1979">
        <v>4.6753885067223653</v>
      </c>
      <c r="GH485" s="1979">
        <v>5.0203213693680944</v>
      </c>
      <c r="GI485" s="1979">
        <v>5.3652542320138235</v>
      </c>
      <c r="GJ485" s="1979">
        <v>5.7101870946595534</v>
      </c>
      <c r="GK485" s="2021">
        <v>6.0551199573052825</v>
      </c>
    </row>
    <row r="486" spans="1:193">
      <c r="A486" s="2020"/>
      <c r="B486" s="2">
        <v>24</v>
      </c>
      <c r="C486" s="2" t="s">
        <v>4211</v>
      </c>
      <c r="D486" s="1998">
        <f>IF(Construction!$F$31=Construction!$R$22,Oeko!BQ486,Oeko!ED486)</f>
        <v>1</v>
      </c>
      <c r="E486" s="1998">
        <f>IF(Construction!$F$31=Construction!$R$22,Oeko!BR486,Oeko!EE486)</f>
        <v>1</v>
      </c>
      <c r="F486" s="1998">
        <f>IF(Construction!$F$31=Construction!$R$22,Oeko!BS486,Oeko!EF486)</f>
        <v>1</v>
      </c>
      <c r="G486" s="1998">
        <f>IF(Construction!$F$31=Construction!$R$22,Oeko!BT486,Oeko!EG486)</f>
        <v>1</v>
      </c>
      <c r="H486" s="1998">
        <f>IF(Construction!$F$31=Construction!$R$22,Oeko!BU486,Oeko!EH486)</f>
        <v>1</v>
      </c>
      <c r="I486" s="1979">
        <f>IF(Construction!$F$31=Construction!$R$22,Oeko!BV486,Oeko!EI486)</f>
        <v>1</v>
      </c>
      <c r="J486" s="1979">
        <f>IF(Construction!$F$31=Construction!$R$22,Oeko!BW486,Oeko!EJ486)</f>
        <v>1</v>
      </c>
      <c r="K486" s="1979">
        <f>IF(Construction!$F$31=Construction!$R$22,Oeko!BX486,Oeko!EK486)</f>
        <v>1</v>
      </c>
      <c r="L486" s="1979">
        <f>IF(Construction!$F$31=Construction!$R$22,Oeko!BY486,Oeko!EL486)</f>
        <v>1</v>
      </c>
      <c r="M486" s="1979">
        <f>IF(Construction!$F$31=Construction!$R$22,Oeko!BZ486,Oeko!EM486)</f>
        <v>1</v>
      </c>
      <c r="N486" s="1998">
        <f>IF(Construction!$F$31=Construction!$R$22,Oeko!CA486,Oeko!EN486)</f>
        <v>1.0000000000000002</v>
      </c>
      <c r="O486" s="1998">
        <f>IF(Construction!$F$31=Construction!$R$22,Oeko!CB486,Oeko!EO486)</f>
        <v>1.0000000000000002</v>
      </c>
      <c r="P486" s="1998">
        <f>IF(Construction!$F$31=Construction!$R$22,Oeko!CC486,Oeko!EP486)</f>
        <v>1.0000000000000002</v>
      </c>
      <c r="Q486" s="1998">
        <f>IF(Construction!$F$31=Construction!$R$22,Oeko!CD486,Oeko!EQ486)</f>
        <v>1.0000000000000002</v>
      </c>
      <c r="R486" s="1998">
        <f>IF(Construction!$F$31=Construction!$R$22,Oeko!CE486,Oeko!ER486)</f>
        <v>1.0000000000000002</v>
      </c>
      <c r="S486" s="1979">
        <f>IF(Construction!$F$31=Construction!$R$22,Oeko!CF486,Oeko!ES486)</f>
        <v>1</v>
      </c>
      <c r="T486" s="1979">
        <f>IF(Construction!$F$31=Construction!$R$22,Oeko!CG486,Oeko!ET486)</f>
        <v>1</v>
      </c>
      <c r="U486" s="1979">
        <f>IF(Construction!$F$31=Construction!$R$22,Oeko!CH486,Oeko!EU486)</f>
        <v>1</v>
      </c>
      <c r="V486" s="1979">
        <f>IF(Construction!$F$31=Construction!$R$22,Oeko!CI486,Oeko!EV486)</f>
        <v>1</v>
      </c>
      <c r="W486" s="1979">
        <f>IF(Construction!$F$31=Construction!$R$22,Oeko!CJ486,Oeko!EW486)</f>
        <v>1</v>
      </c>
      <c r="X486" s="1998">
        <f>IF(Construction!$F$31=Construction!$R$22,Oeko!CK486,Oeko!EX486)</f>
        <v>1</v>
      </c>
      <c r="Y486" s="1998">
        <f>IF(Construction!$F$31=Construction!$R$22,Oeko!CL486,Oeko!EY486)</f>
        <v>1</v>
      </c>
      <c r="Z486" s="1998">
        <f>IF(Construction!$F$31=Construction!$R$22,Oeko!CM486,Oeko!EZ486)</f>
        <v>1</v>
      </c>
      <c r="AA486" s="1998">
        <f>IF(Construction!$F$31=Construction!$R$22,Oeko!CN486,Oeko!FA486)</f>
        <v>1</v>
      </c>
      <c r="AB486" s="1998">
        <f>IF(Construction!$F$31=Construction!$R$22,Oeko!CO486,Oeko!FB486)</f>
        <v>1</v>
      </c>
      <c r="AC486" s="1979">
        <f>IF(Construction!$F$31=Construction!$R$22,Oeko!CP486,Oeko!FC486)</f>
        <v>1</v>
      </c>
      <c r="AD486" s="1979">
        <f>IF(Construction!$F$31=Construction!$R$22,Oeko!CQ486,Oeko!FD486)</f>
        <v>1</v>
      </c>
      <c r="AE486" s="1979">
        <f>IF(Construction!$F$31=Construction!$R$22,Oeko!CR486,Oeko!FE486)</f>
        <v>1</v>
      </c>
      <c r="AF486" s="1979">
        <f>IF(Construction!$F$31=Construction!$R$22,Oeko!CS486,Oeko!FF486)</f>
        <v>1</v>
      </c>
      <c r="AG486" s="1979">
        <f>IF(Construction!$F$31=Construction!$R$22,Oeko!CT486,Oeko!FG486)</f>
        <v>1</v>
      </c>
      <c r="AH486" s="1998">
        <f>IF(Construction!$F$31=Construction!$R$22,Oeko!CU486,Oeko!FH486)</f>
        <v>1</v>
      </c>
      <c r="AI486" s="1998">
        <f>IF(Construction!$F$31=Construction!$R$22,Oeko!CV486,Oeko!FI486)</f>
        <v>1</v>
      </c>
      <c r="AJ486" s="1998">
        <f>IF(Construction!$F$31=Construction!$R$22,Oeko!CW486,Oeko!FJ486)</f>
        <v>1</v>
      </c>
      <c r="AK486" s="1998">
        <f>IF(Construction!$F$31=Construction!$R$22,Oeko!CX486,Oeko!FK486)</f>
        <v>1</v>
      </c>
      <c r="AL486" s="1998">
        <f>IF(Construction!$F$31=Construction!$R$22,Oeko!CY486,Oeko!FL486)</f>
        <v>1</v>
      </c>
      <c r="AM486" s="1979">
        <f>IF(Construction!$F$31=Construction!$R$22,Oeko!CZ486,Oeko!FM486)</f>
        <v>0.66666666666666663</v>
      </c>
      <c r="AN486" s="1979">
        <f>IF(Construction!$F$31=Construction!$R$22,Oeko!DA486,Oeko!FN486)</f>
        <v>0.66666666666666663</v>
      </c>
      <c r="AO486" s="1979">
        <f>IF(Construction!$F$31=Construction!$R$22,Oeko!DB486,Oeko!FO486)</f>
        <v>0.66666666666666663</v>
      </c>
      <c r="AP486" s="1979">
        <f>IF(Construction!$F$31=Construction!$R$22,Oeko!DC486,Oeko!FP486)</f>
        <v>0.66666666666666663</v>
      </c>
      <c r="AQ486" s="1979">
        <f>IF(Construction!$F$31=Construction!$R$22,Oeko!DD486,Oeko!FQ486)</f>
        <v>0.66666666666666663</v>
      </c>
      <c r="AR486" s="1998">
        <f>IF(Construction!$F$31=Construction!$R$22,Oeko!DE486,Oeko!FR486)</f>
        <v>8.1914540462959007</v>
      </c>
      <c r="AS486" s="1998">
        <f>IF(Construction!$F$31=Construction!$R$22,Oeko!DF486,Oeko!FS486)</f>
        <v>8.1914540462959007</v>
      </c>
      <c r="AT486" s="1998">
        <f>IF(Construction!$F$31=Construction!$R$22,Oeko!DG486,Oeko!FT486)</f>
        <v>8.1914540462959007</v>
      </c>
      <c r="AU486" s="1998">
        <f>IF(Construction!$F$31=Construction!$R$22,Oeko!DH486,Oeko!FU486)</f>
        <v>8.1914540462959007</v>
      </c>
      <c r="AV486" s="1998">
        <f>IF(Construction!$F$31=Construction!$R$22,Oeko!DI486,Oeko!FV486)</f>
        <v>8.1914540462959007</v>
      </c>
      <c r="AW486" s="1979">
        <f>IF(Construction!$F$31=Construction!$R$22,Oeko!DJ486,Oeko!FW486)</f>
        <v>8.1771999062029916</v>
      </c>
      <c r="AX486" s="1979">
        <f>IF(Construction!$F$31=Construction!$R$22,Oeko!DK486,Oeko!FX486)</f>
        <v>8.1771999062029916</v>
      </c>
      <c r="AY486" s="1979">
        <f>IF(Construction!$F$31=Construction!$R$22,Oeko!DL486,Oeko!FY486)</f>
        <v>8.1771999062029916</v>
      </c>
      <c r="AZ486" s="1979">
        <f>IF(Construction!$F$31=Construction!$R$22,Oeko!DM486,Oeko!FZ486)</f>
        <v>8.1771999062029916</v>
      </c>
      <c r="BA486" s="1979">
        <f>IF(Construction!$F$31=Construction!$R$22,Oeko!DN486,Oeko!GA486)</f>
        <v>8.1771999062029916</v>
      </c>
      <c r="BB486" s="1998">
        <f>IF(Construction!$F$31=Construction!$R$22,Oeko!DO486,Oeko!GB486)</f>
        <v>1</v>
      </c>
      <c r="BC486" s="1998">
        <f>IF(Construction!$F$31=Construction!$R$22,Oeko!DP486,Oeko!GC486)</f>
        <v>1</v>
      </c>
      <c r="BD486" s="1998">
        <f>IF(Construction!$F$31=Construction!$R$22,Oeko!DQ486,Oeko!GD486)</f>
        <v>1</v>
      </c>
      <c r="BE486" s="1998">
        <f>IF(Construction!$F$31=Construction!$R$22,Oeko!DR486,Oeko!GE486)</f>
        <v>1</v>
      </c>
      <c r="BF486" s="1998">
        <f>IF(Construction!$F$31=Construction!$R$22,Oeko!DS486,Oeko!GF486)</f>
        <v>1</v>
      </c>
      <c r="BG486" s="1979">
        <f>IF(Construction!$F$31=Construction!$R$22,Oeko!DT486,Oeko!GG486)</f>
        <v>1</v>
      </c>
      <c r="BH486" s="1979">
        <f>IF(Construction!$F$31=Construction!$R$22,Oeko!DU486,Oeko!GH486)</f>
        <v>1</v>
      </c>
      <c r="BI486" s="1979">
        <f>IF(Construction!$F$31=Construction!$R$22,Oeko!DV486,Oeko!GI486)</f>
        <v>1</v>
      </c>
      <c r="BJ486" s="1979">
        <f>IF(Construction!$F$31=Construction!$R$22,Oeko!DW486,Oeko!GJ486)</f>
        <v>1</v>
      </c>
      <c r="BK486" s="2021">
        <f>IF(Construction!$F$31=Construction!$R$22,Oeko!DX486,Oeko!GK486)</f>
        <v>1</v>
      </c>
      <c r="BN486" s="2022"/>
      <c r="BO486" s="2">
        <v>24</v>
      </c>
      <c r="BP486" s="2" t="s">
        <v>4211</v>
      </c>
      <c r="BQ486" s="1998">
        <v>1</v>
      </c>
      <c r="BR486" s="1998">
        <v>1</v>
      </c>
      <c r="BS486" s="1998">
        <v>1</v>
      </c>
      <c r="BT486" s="1998">
        <v>1</v>
      </c>
      <c r="BU486" s="1998">
        <v>1</v>
      </c>
      <c r="BV486" s="1979">
        <v>1</v>
      </c>
      <c r="BW486" s="1979">
        <v>1</v>
      </c>
      <c r="BX486" s="1979">
        <v>1</v>
      </c>
      <c r="BY486" s="1979">
        <v>1</v>
      </c>
      <c r="BZ486" s="1979">
        <v>1</v>
      </c>
      <c r="CA486" s="1998">
        <v>1.0000000000000002</v>
      </c>
      <c r="CB486" s="1998">
        <v>1.0000000000000002</v>
      </c>
      <c r="CC486" s="1998">
        <v>1.0000000000000002</v>
      </c>
      <c r="CD486" s="1998">
        <v>1.0000000000000002</v>
      </c>
      <c r="CE486" s="1998">
        <v>1.0000000000000002</v>
      </c>
      <c r="CF486" s="1979">
        <v>1</v>
      </c>
      <c r="CG486" s="1979">
        <v>1</v>
      </c>
      <c r="CH486" s="1979">
        <v>1</v>
      </c>
      <c r="CI486" s="1979">
        <v>1</v>
      </c>
      <c r="CJ486" s="1979">
        <v>1</v>
      </c>
      <c r="CK486" s="1998">
        <v>1</v>
      </c>
      <c r="CL486" s="1998">
        <v>1</v>
      </c>
      <c r="CM486" s="1998">
        <v>1</v>
      </c>
      <c r="CN486" s="1998">
        <v>1</v>
      </c>
      <c r="CO486" s="1998">
        <v>1</v>
      </c>
      <c r="CP486" s="1979">
        <v>1</v>
      </c>
      <c r="CQ486" s="1979">
        <v>1</v>
      </c>
      <c r="CR486" s="1979">
        <v>1</v>
      </c>
      <c r="CS486" s="1979">
        <v>1</v>
      </c>
      <c r="CT486" s="1979">
        <v>1</v>
      </c>
      <c r="CU486" s="1998">
        <v>1</v>
      </c>
      <c r="CV486" s="1998">
        <v>1</v>
      </c>
      <c r="CW486" s="1998">
        <v>1</v>
      </c>
      <c r="CX486" s="1998">
        <v>1</v>
      </c>
      <c r="CY486" s="1998">
        <v>1</v>
      </c>
      <c r="CZ486" s="1979">
        <v>0.66666666666666663</v>
      </c>
      <c r="DA486" s="1979">
        <v>0.66666666666666663</v>
      </c>
      <c r="DB486" s="1979">
        <v>0.66666666666666663</v>
      </c>
      <c r="DC486" s="1979">
        <v>0.66666666666666663</v>
      </c>
      <c r="DD486" s="1979">
        <v>0.66666666666666663</v>
      </c>
      <c r="DE486" s="1998">
        <v>8.1914540462959007</v>
      </c>
      <c r="DF486" s="1998">
        <v>8.1914540462959007</v>
      </c>
      <c r="DG486" s="1998">
        <v>8.1914540462959007</v>
      </c>
      <c r="DH486" s="1998">
        <v>8.1914540462959007</v>
      </c>
      <c r="DI486" s="1998">
        <v>8.1914540462959007</v>
      </c>
      <c r="DJ486" s="1979">
        <v>8.1771999062029916</v>
      </c>
      <c r="DK486" s="1979">
        <v>8.1771999062029916</v>
      </c>
      <c r="DL486" s="1979">
        <v>8.1771999062029916</v>
      </c>
      <c r="DM486" s="1979">
        <v>8.1771999062029916</v>
      </c>
      <c r="DN486" s="1979">
        <v>8.1771999062029916</v>
      </c>
      <c r="DO486" s="1998">
        <v>1</v>
      </c>
      <c r="DP486" s="1998">
        <v>1</v>
      </c>
      <c r="DQ486" s="1998">
        <v>1</v>
      </c>
      <c r="DR486" s="1998">
        <v>1</v>
      </c>
      <c r="DS486" s="1998">
        <v>1</v>
      </c>
      <c r="DT486" s="1979">
        <v>1</v>
      </c>
      <c r="DU486" s="1979">
        <v>1</v>
      </c>
      <c r="DV486" s="1979">
        <v>1</v>
      </c>
      <c r="DW486" s="1979">
        <v>1</v>
      </c>
      <c r="DX486" s="2021">
        <v>1</v>
      </c>
      <c r="EA486" s="2022"/>
      <c r="EB486" s="2">
        <v>24</v>
      </c>
      <c r="EC486" s="2" t="s">
        <v>4211</v>
      </c>
      <c r="ED486" s="1998">
        <v>1.2868815919764993</v>
      </c>
      <c r="EE486" s="1998">
        <v>1.2868815919764993</v>
      </c>
      <c r="EF486" s="1998">
        <v>1.2868815919764993</v>
      </c>
      <c r="EG486" s="1998">
        <v>1.2868815919764993</v>
      </c>
      <c r="EH486" s="1998">
        <v>1.2868815919764993</v>
      </c>
      <c r="EI486" s="1979">
        <v>1.5980823726272015</v>
      </c>
      <c r="EJ486" s="1979">
        <v>1.5980823726272015</v>
      </c>
      <c r="EK486" s="1979">
        <v>1.5980823726272015</v>
      </c>
      <c r="EL486" s="1979">
        <v>1.5980823726272015</v>
      </c>
      <c r="EM486" s="1979">
        <v>1.5980823726272015</v>
      </c>
      <c r="EN486" s="1998">
        <v>1.3606673031283796</v>
      </c>
      <c r="EO486" s="1998">
        <v>1.3606673031283796</v>
      </c>
      <c r="EP486" s="1998">
        <v>1.3606673031283796</v>
      </c>
      <c r="EQ486" s="1998">
        <v>1.3606673031283796</v>
      </c>
      <c r="ER486" s="1998">
        <v>1.3606673031283796</v>
      </c>
      <c r="ES486" s="1979">
        <v>1.5330426819868914</v>
      </c>
      <c r="ET486" s="1979">
        <v>1.5330426819868914</v>
      </c>
      <c r="EU486" s="1979">
        <v>1.5330426819868914</v>
      </c>
      <c r="EV486" s="1979">
        <v>1.5330426819868914</v>
      </c>
      <c r="EW486" s="1979">
        <v>1.5330426819868914</v>
      </c>
      <c r="EX486" s="1998">
        <v>1.3807649715094688</v>
      </c>
      <c r="EY486" s="1998">
        <v>1.3807649715094688</v>
      </c>
      <c r="EZ486" s="1998">
        <v>1.3807649715094688</v>
      </c>
      <c r="FA486" s="1998">
        <v>1.3807649715094688</v>
      </c>
      <c r="FB486" s="1998">
        <v>1.3807649715094688</v>
      </c>
      <c r="FC486" s="1979">
        <v>1.6277744053108218</v>
      </c>
      <c r="FD486" s="1979">
        <v>1.6277744053108218</v>
      </c>
      <c r="FE486" s="1979">
        <v>1.6277744053108218</v>
      </c>
      <c r="FF486" s="1979">
        <v>1.6277744053108218</v>
      </c>
      <c r="FG486" s="1979">
        <v>1.6277744053108218</v>
      </c>
      <c r="FH486" s="1998">
        <v>1.9137369581804469</v>
      </c>
      <c r="FI486" s="1998">
        <v>1.9137369581804469</v>
      </c>
      <c r="FJ486" s="1998">
        <v>1.9137369581804469</v>
      </c>
      <c r="FK486" s="1998">
        <v>1.9137369581804469</v>
      </c>
      <c r="FL486" s="1998">
        <v>1.9137369581804469</v>
      </c>
      <c r="FM486" s="1979">
        <v>0.95312408674768578</v>
      </c>
      <c r="FN486" s="1979">
        <v>0.95312408674768578</v>
      </c>
      <c r="FO486" s="1979">
        <v>0.95312408674768578</v>
      </c>
      <c r="FP486" s="1979">
        <v>0.95312408674768578</v>
      </c>
      <c r="FQ486" s="1979">
        <v>0.95312408674768578</v>
      </c>
      <c r="FR486" s="1998">
        <v>13.156124613273878</v>
      </c>
      <c r="FS486" s="1998">
        <v>13.156124613273878</v>
      </c>
      <c r="FT486" s="1998">
        <v>13.156124613273878</v>
      </c>
      <c r="FU486" s="1998">
        <v>13.156124613273878</v>
      </c>
      <c r="FV486" s="1998">
        <v>13.156124613273878</v>
      </c>
      <c r="FW486" s="1979">
        <v>13.515354994373412</v>
      </c>
      <c r="FX486" s="1979">
        <v>13.515354994373412</v>
      </c>
      <c r="FY486" s="1979">
        <v>13.515354994373412</v>
      </c>
      <c r="FZ486" s="1979">
        <v>13.515354994373412</v>
      </c>
      <c r="GA486" s="1979">
        <v>13.515354994373412</v>
      </c>
      <c r="GB486" s="1998">
        <v>1.3861479372000356</v>
      </c>
      <c r="GC486" s="1998">
        <v>1.3861479372000356</v>
      </c>
      <c r="GD486" s="1998">
        <v>1.3861479372000356</v>
      </c>
      <c r="GE486" s="1998">
        <v>1.3861479372000356</v>
      </c>
      <c r="GF486" s="1998">
        <v>1.3861479372000356</v>
      </c>
      <c r="GG486" s="1979">
        <v>1.4313071575784038</v>
      </c>
      <c r="GH486" s="1979">
        <v>1.4313071575784038</v>
      </c>
      <c r="GI486" s="1979">
        <v>1.4313071575784038</v>
      </c>
      <c r="GJ486" s="1979">
        <v>1.4313071575784038</v>
      </c>
      <c r="GK486" s="2021">
        <v>1.4313071575784038</v>
      </c>
    </row>
    <row r="487" spans="1:193">
      <c r="A487" s="2020"/>
      <c r="B487" s="2">
        <v>25</v>
      </c>
      <c r="C487" s="2" t="s">
        <v>4229</v>
      </c>
      <c r="D487" s="1998">
        <f>IF(Construction!$F$31=Construction!$R$22,Oeko!BQ487,Oeko!ED487)</f>
        <v>1</v>
      </c>
      <c r="E487" s="1998">
        <f>IF(Construction!$F$31=Construction!$R$22,Oeko!BR487,Oeko!EE487)</f>
        <v>1</v>
      </c>
      <c r="F487" s="1998">
        <f>IF(Construction!$F$31=Construction!$R$22,Oeko!BS487,Oeko!EF487)</f>
        <v>1</v>
      </c>
      <c r="G487" s="1998">
        <f>IF(Construction!$F$31=Construction!$R$22,Oeko!BT487,Oeko!EG487)</f>
        <v>1</v>
      </c>
      <c r="H487" s="1998">
        <f>IF(Construction!$F$31=Construction!$R$22,Oeko!BU487,Oeko!EH487)</f>
        <v>1</v>
      </c>
      <c r="I487" s="1979">
        <f>IF(Construction!$F$31=Construction!$R$22,Oeko!BV487,Oeko!EI487)</f>
        <v>1</v>
      </c>
      <c r="J487" s="1979">
        <f>IF(Construction!$F$31=Construction!$R$22,Oeko!BW487,Oeko!EJ487)</f>
        <v>1</v>
      </c>
      <c r="K487" s="1979">
        <f>IF(Construction!$F$31=Construction!$R$22,Oeko!BX487,Oeko!EK487)</f>
        <v>1</v>
      </c>
      <c r="L487" s="1979">
        <f>IF(Construction!$F$31=Construction!$R$22,Oeko!BY487,Oeko!EL487)</f>
        <v>1</v>
      </c>
      <c r="M487" s="1979">
        <f>IF(Construction!$F$31=Construction!$R$22,Oeko!BZ487,Oeko!EM487)</f>
        <v>1</v>
      </c>
      <c r="N487" s="1998">
        <f>IF(Construction!$F$31=Construction!$R$22,Oeko!CA487,Oeko!EN487)</f>
        <v>1</v>
      </c>
      <c r="O487" s="1998">
        <f>IF(Construction!$F$31=Construction!$R$22,Oeko!CB487,Oeko!EO487)</f>
        <v>1</v>
      </c>
      <c r="P487" s="1998">
        <f>IF(Construction!$F$31=Construction!$R$22,Oeko!CC487,Oeko!EP487)</f>
        <v>1</v>
      </c>
      <c r="Q487" s="1998">
        <f>IF(Construction!$F$31=Construction!$R$22,Oeko!CD487,Oeko!EQ487)</f>
        <v>1</v>
      </c>
      <c r="R487" s="1998">
        <f>IF(Construction!$F$31=Construction!$R$22,Oeko!CE487,Oeko!ER487)</f>
        <v>1</v>
      </c>
      <c r="S487" s="1979">
        <f>IF(Construction!$F$31=Construction!$R$22,Oeko!CF487,Oeko!ES487)</f>
        <v>1.0000000000000002</v>
      </c>
      <c r="T487" s="1979">
        <f>IF(Construction!$F$31=Construction!$R$22,Oeko!CG487,Oeko!ET487)</f>
        <v>1.0000000000000002</v>
      </c>
      <c r="U487" s="1979">
        <f>IF(Construction!$F$31=Construction!$R$22,Oeko!CH487,Oeko!EU487)</f>
        <v>1.0000000000000002</v>
      </c>
      <c r="V487" s="1979">
        <f>IF(Construction!$F$31=Construction!$R$22,Oeko!CI487,Oeko!EV487)</f>
        <v>1.0000000000000002</v>
      </c>
      <c r="W487" s="1979">
        <f>IF(Construction!$F$31=Construction!$R$22,Oeko!CJ487,Oeko!EW487)</f>
        <v>1.0000000000000002</v>
      </c>
      <c r="X487" s="1998">
        <f>IF(Construction!$F$31=Construction!$R$22,Oeko!CK487,Oeko!EX487)</f>
        <v>1</v>
      </c>
      <c r="Y487" s="1998">
        <f>IF(Construction!$F$31=Construction!$R$22,Oeko!CL487,Oeko!EY487)</f>
        <v>1</v>
      </c>
      <c r="Z487" s="1998">
        <f>IF(Construction!$F$31=Construction!$R$22,Oeko!CM487,Oeko!EZ487)</f>
        <v>1</v>
      </c>
      <c r="AA487" s="1998">
        <f>IF(Construction!$F$31=Construction!$R$22,Oeko!CN487,Oeko!FA487)</f>
        <v>1</v>
      </c>
      <c r="AB487" s="1998">
        <f>IF(Construction!$F$31=Construction!$R$22,Oeko!CO487,Oeko!FB487)</f>
        <v>1</v>
      </c>
      <c r="AC487" s="1979">
        <f>IF(Construction!$F$31=Construction!$R$22,Oeko!CP487,Oeko!FC487)</f>
        <v>1</v>
      </c>
      <c r="AD487" s="1979">
        <f>IF(Construction!$F$31=Construction!$R$22,Oeko!CQ487,Oeko!FD487)</f>
        <v>1</v>
      </c>
      <c r="AE487" s="1979">
        <f>IF(Construction!$F$31=Construction!$R$22,Oeko!CR487,Oeko!FE487)</f>
        <v>1</v>
      </c>
      <c r="AF487" s="1979">
        <f>IF(Construction!$F$31=Construction!$R$22,Oeko!CS487,Oeko!FF487)</f>
        <v>1</v>
      </c>
      <c r="AG487" s="1979">
        <f>IF(Construction!$F$31=Construction!$R$22,Oeko!CT487,Oeko!FG487)</f>
        <v>1</v>
      </c>
      <c r="AH487" s="1998">
        <f>IF(Construction!$F$31=Construction!$R$22,Oeko!CU487,Oeko!FH487)</f>
        <v>1</v>
      </c>
      <c r="AI487" s="1998">
        <f>IF(Construction!$F$31=Construction!$R$22,Oeko!CV487,Oeko!FI487)</f>
        <v>1</v>
      </c>
      <c r="AJ487" s="1998">
        <f>IF(Construction!$F$31=Construction!$R$22,Oeko!CW487,Oeko!FJ487)</f>
        <v>1</v>
      </c>
      <c r="AK487" s="1998">
        <f>IF(Construction!$F$31=Construction!$R$22,Oeko!CX487,Oeko!FK487)</f>
        <v>1</v>
      </c>
      <c r="AL487" s="1998">
        <f>IF(Construction!$F$31=Construction!$R$22,Oeko!CY487,Oeko!FL487)</f>
        <v>1</v>
      </c>
      <c r="AM487" s="1979">
        <f>IF(Construction!$F$31=Construction!$R$22,Oeko!CZ487,Oeko!FM487)</f>
        <v>0.66666666666666663</v>
      </c>
      <c r="AN487" s="1979">
        <f>IF(Construction!$F$31=Construction!$R$22,Oeko!DA487,Oeko!FN487)</f>
        <v>0.66666666666666663</v>
      </c>
      <c r="AO487" s="1979">
        <f>IF(Construction!$F$31=Construction!$R$22,Oeko!DB487,Oeko!FO487)</f>
        <v>0.66666666666666663</v>
      </c>
      <c r="AP487" s="1979">
        <f>IF(Construction!$F$31=Construction!$R$22,Oeko!DC487,Oeko!FP487)</f>
        <v>0.66666666666666663</v>
      </c>
      <c r="AQ487" s="1979">
        <f>IF(Construction!$F$31=Construction!$R$22,Oeko!DD487,Oeko!FQ487)</f>
        <v>0.66666666666666663</v>
      </c>
      <c r="AR487" s="1998">
        <f>IF(Construction!$F$31=Construction!$R$22,Oeko!DE487,Oeko!FR487)</f>
        <v>6.393590534721926</v>
      </c>
      <c r="AS487" s="1998">
        <f>IF(Construction!$F$31=Construction!$R$22,Oeko!DF487,Oeko!FS487)</f>
        <v>6.393590534721926</v>
      </c>
      <c r="AT487" s="1998">
        <f>IF(Construction!$F$31=Construction!$R$22,Oeko!DG487,Oeko!FT487)</f>
        <v>6.393590534721926</v>
      </c>
      <c r="AU487" s="1998">
        <f>IF(Construction!$F$31=Construction!$R$22,Oeko!DH487,Oeko!FU487)</f>
        <v>6.393590534721926</v>
      </c>
      <c r="AV487" s="1998">
        <f>IF(Construction!$F$31=Construction!$R$22,Oeko!DI487,Oeko!FV487)</f>
        <v>6.393590534721926</v>
      </c>
      <c r="AW487" s="1979">
        <f>IF(Construction!$F$31=Construction!$R$22,Oeko!DJ487,Oeko!FW487)</f>
        <v>6.3828999296522442</v>
      </c>
      <c r="AX487" s="1979">
        <f>IF(Construction!$F$31=Construction!$R$22,Oeko!DK487,Oeko!FX487)</f>
        <v>6.3828999296522442</v>
      </c>
      <c r="AY487" s="1979">
        <f>IF(Construction!$F$31=Construction!$R$22,Oeko!DL487,Oeko!FY487)</f>
        <v>6.3828999296522442</v>
      </c>
      <c r="AZ487" s="1979">
        <f>IF(Construction!$F$31=Construction!$R$22,Oeko!DM487,Oeko!FZ487)</f>
        <v>6.3828999296522442</v>
      </c>
      <c r="BA487" s="1979">
        <f>IF(Construction!$F$31=Construction!$R$22,Oeko!DN487,Oeko!GA487)</f>
        <v>6.3828999296522442</v>
      </c>
      <c r="BB487" s="1998">
        <f>IF(Construction!$F$31=Construction!$R$22,Oeko!DO487,Oeko!GB487)</f>
        <v>0.78115301620803501</v>
      </c>
      <c r="BC487" s="1998">
        <f>IF(Construction!$F$31=Construction!$R$22,Oeko!DP487,Oeko!GC487)</f>
        <v>0.78115301620803501</v>
      </c>
      <c r="BD487" s="1998">
        <f>IF(Construction!$F$31=Construction!$R$22,Oeko!DQ487,Oeko!GD487)</f>
        <v>0.78115301620803501</v>
      </c>
      <c r="BE487" s="1998">
        <f>IF(Construction!$F$31=Construction!$R$22,Oeko!DR487,Oeko!GE487)</f>
        <v>0.78115301620803501</v>
      </c>
      <c r="BF487" s="1998">
        <f>IF(Construction!$F$31=Construction!$R$22,Oeko!DS487,Oeko!GF487)</f>
        <v>0.78115301620803501</v>
      </c>
      <c r="BG487" s="1979">
        <f>IF(Construction!$F$31=Construction!$R$22,Oeko!DT487,Oeko!GG487)</f>
        <v>0.78195889917775152</v>
      </c>
      <c r="BH487" s="1979">
        <f>IF(Construction!$F$31=Construction!$R$22,Oeko!DU487,Oeko!GH487)</f>
        <v>0.78195889917775152</v>
      </c>
      <c r="BI487" s="1979">
        <f>IF(Construction!$F$31=Construction!$R$22,Oeko!DV487,Oeko!GI487)</f>
        <v>0.78195889917775152</v>
      </c>
      <c r="BJ487" s="1979">
        <f>IF(Construction!$F$31=Construction!$R$22,Oeko!DW487,Oeko!GJ487)</f>
        <v>0.78195889917775152</v>
      </c>
      <c r="BK487" s="2021">
        <f>IF(Construction!$F$31=Construction!$R$22,Oeko!DX487,Oeko!GK487)</f>
        <v>0.78195889917775152</v>
      </c>
      <c r="BN487" s="2022"/>
      <c r="BO487" s="2">
        <v>25</v>
      </c>
      <c r="BP487" s="2" t="s">
        <v>4229</v>
      </c>
      <c r="BQ487" s="1998">
        <v>1</v>
      </c>
      <c r="BR487" s="1998">
        <v>1</v>
      </c>
      <c r="BS487" s="1998">
        <v>1</v>
      </c>
      <c r="BT487" s="1998">
        <v>1</v>
      </c>
      <c r="BU487" s="1998">
        <v>1</v>
      </c>
      <c r="BV487" s="1979">
        <v>1</v>
      </c>
      <c r="BW487" s="1979">
        <v>1</v>
      </c>
      <c r="BX487" s="1979">
        <v>1</v>
      </c>
      <c r="BY487" s="1979">
        <v>1</v>
      </c>
      <c r="BZ487" s="1979">
        <v>1</v>
      </c>
      <c r="CA487" s="1998">
        <v>1</v>
      </c>
      <c r="CB487" s="1998">
        <v>1</v>
      </c>
      <c r="CC487" s="1998">
        <v>1</v>
      </c>
      <c r="CD487" s="1998">
        <v>1</v>
      </c>
      <c r="CE487" s="1998">
        <v>1</v>
      </c>
      <c r="CF487" s="1979">
        <v>1.0000000000000002</v>
      </c>
      <c r="CG487" s="1979">
        <v>1.0000000000000002</v>
      </c>
      <c r="CH487" s="1979">
        <v>1.0000000000000002</v>
      </c>
      <c r="CI487" s="1979">
        <v>1.0000000000000002</v>
      </c>
      <c r="CJ487" s="1979">
        <v>1.0000000000000002</v>
      </c>
      <c r="CK487" s="1998">
        <v>1</v>
      </c>
      <c r="CL487" s="1998">
        <v>1</v>
      </c>
      <c r="CM487" s="1998">
        <v>1</v>
      </c>
      <c r="CN487" s="1998">
        <v>1</v>
      </c>
      <c r="CO487" s="1998">
        <v>1</v>
      </c>
      <c r="CP487" s="1979">
        <v>1</v>
      </c>
      <c r="CQ487" s="1979">
        <v>1</v>
      </c>
      <c r="CR487" s="1979">
        <v>1</v>
      </c>
      <c r="CS487" s="1979">
        <v>1</v>
      </c>
      <c r="CT487" s="1979">
        <v>1</v>
      </c>
      <c r="CU487" s="1998">
        <v>1</v>
      </c>
      <c r="CV487" s="1998">
        <v>1</v>
      </c>
      <c r="CW487" s="1998">
        <v>1</v>
      </c>
      <c r="CX487" s="1998">
        <v>1</v>
      </c>
      <c r="CY487" s="1998">
        <v>1</v>
      </c>
      <c r="CZ487" s="1979">
        <v>0.66666666666666663</v>
      </c>
      <c r="DA487" s="1979">
        <v>0.66666666666666663</v>
      </c>
      <c r="DB487" s="1979">
        <v>0.66666666666666663</v>
      </c>
      <c r="DC487" s="1979">
        <v>0.66666666666666663</v>
      </c>
      <c r="DD487" s="1979">
        <v>0.66666666666666663</v>
      </c>
      <c r="DE487" s="1998">
        <v>6.393590534721926</v>
      </c>
      <c r="DF487" s="1998">
        <v>6.393590534721926</v>
      </c>
      <c r="DG487" s="1998">
        <v>6.393590534721926</v>
      </c>
      <c r="DH487" s="1998">
        <v>6.393590534721926</v>
      </c>
      <c r="DI487" s="1998">
        <v>6.393590534721926</v>
      </c>
      <c r="DJ487" s="1979">
        <v>6.3828999296522442</v>
      </c>
      <c r="DK487" s="1979">
        <v>6.3828999296522442</v>
      </c>
      <c r="DL487" s="1979">
        <v>6.3828999296522442</v>
      </c>
      <c r="DM487" s="1979">
        <v>6.3828999296522442</v>
      </c>
      <c r="DN487" s="1979">
        <v>6.3828999296522442</v>
      </c>
      <c r="DO487" s="1998">
        <v>0.78115301620803501</v>
      </c>
      <c r="DP487" s="1998">
        <v>0.78115301620803501</v>
      </c>
      <c r="DQ487" s="1998">
        <v>0.78115301620803501</v>
      </c>
      <c r="DR487" s="1998">
        <v>0.78115301620803501</v>
      </c>
      <c r="DS487" s="1998">
        <v>0.78115301620803501</v>
      </c>
      <c r="DT487" s="1979">
        <v>0.78195889917775152</v>
      </c>
      <c r="DU487" s="1979">
        <v>0.78195889917775152</v>
      </c>
      <c r="DV487" s="1979">
        <v>0.78195889917775152</v>
      </c>
      <c r="DW487" s="1979">
        <v>0.78195889917775152</v>
      </c>
      <c r="DX487" s="2021">
        <v>0.78195889917775152</v>
      </c>
      <c r="EA487" s="2022"/>
      <c r="EB487" s="2">
        <v>25</v>
      </c>
      <c r="EC487" s="2" t="s">
        <v>4229</v>
      </c>
      <c r="ED487" s="1998">
        <v>1.3137061099439951</v>
      </c>
      <c r="EE487" s="1998">
        <v>1.3137061099439951</v>
      </c>
      <c r="EF487" s="1998">
        <v>1.3137061099439951</v>
      </c>
      <c r="EG487" s="1998">
        <v>1.3137061099439951</v>
      </c>
      <c r="EH487" s="1998">
        <v>1.3137061099439951</v>
      </c>
      <c r="EI487" s="1979">
        <v>1.7872841547940841</v>
      </c>
      <c r="EJ487" s="1979">
        <v>1.7872841547940841</v>
      </c>
      <c r="EK487" s="1979">
        <v>1.7872841547940841</v>
      </c>
      <c r="EL487" s="1979">
        <v>1.7872841547940841</v>
      </c>
      <c r="EM487" s="1979">
        <v>1.7872841547940841</v>
      </c>
      <c r="EN487" s="1998">
        <v>1.4053027385583838</v>
      </c>
      <c r="EO487" s="1998">
        <v>1.4053027385583838</v>
      </c>
      <c r="EP487" s="1998">
        <v>1.4053027385583838</v>
      </c>
      <c r="EQ487" s="1998">
        <v>1.4053027385583838</v>
      </c>
      <c r="ER487" s="1998">
        <v>1.4053027385583838</v>
      </c>
      <c r="ES487" s="1979">
        <v>1.7252455721263957</v>
      </c>
      <c r="ET487" s="1979">
        <v>1.7252455721263957</v>
      </c>
      <c r="EU487" s="1979">
        <v>1.7252455721263957</v>
      </c>
      <c r="EV487" s="1979">
        <v>1.7252455721263957</v>
      </c>
      <c r="EW487" s="1979">
        <v>1.7252455721263957</v>
      </c>
      <c r="EX487" s="1998">
        <v>1.4298477194150447</v>
      </c>
      <c r="EY487" s="1998">
        <v>1.4298477194150447</v>
      </c>
      <c r="EZ487" s="1998">
        <v>1.4298477194150447</v>
      </c>
      <c r="FA487" s="1998">
        <v>1.4298477194150447</v>
      </c>
      <c r="FB487" s="1998">
        <v>1.4298477194150447</v>
      </c>
      <c r="FC487" s="1979">
        <v>1.8981839886795036</v>
      </c>
      <c r="FD487" s="1979">
        <v>1.8981839886795036</v>
      </c>
      <c r="FE487" s="1979">
        <v>1.8981839886795036</v>
      </c>
      <c r="FF487" s="1979">
        <v>1.8981839886795036</v>
      </c>
      <c r="FG487" s="1979">
        <v>1.8981839886795036</v>
      </c>
      <c r="FH487" s="1998">
        <v>2.1927309727671824</v>
      </c>
      <c r="FI487" s="1998">
        <v>2.1927309727671824</v>
      </c>
      <c r="FJ487" s="1998">
        <v>2.1927309727671824</v>
      </c>
      <c r="FK487" s="1998">
        <v>2.1927309727671824</v>
      </c>
      <c r="FL487" s="1998">
        <v>2.1927309727671824</v>
      </c>
      <c r="FM487" s="1979">
        <v>1.0285324237219586</v>
      </c>
      <c r="FN487" s="1979">
        <v>1.0285324237219586</v>
      </c>
      <c r="FO487" s="1979">
        <v>1.0285324237219586</v>
      </c>
      <c r="FP487" s="1979">
        <v>1.0285324237219586</v>
      </c>
      <c r="FQ487" s="1979">
        <v>1.0285324237219586</v>
      </c>
      <c r="FR487" s="1998">
        <v>12.009073933904036</v>
      </c>
      <c r="FS487" s="1998">
        <v>12.009073933904036</v>
      </c>
      <c r="FT487" s="1998">
        <v>12.009073933904036</v>
      </c>
      <c r="FU487" s="1998">
        <v>12.009073933904036</v>
      </c>
      <c r="FV487" s="1998">
        <v>12.009073933904036</v>
      </c>
      <c r="FW487" s="1979">
        <v>12.366014485162406</v>
      </c>
      <c r="FX487" s="1979">
        <v>12.366014485162406</v>
      </c>
      <c r="FY487" s="1979">
        <v>12.366014485162406</v>
      </c>
      <c r="FZ487" s="1979">
        <v>12.366014485162406</v>
      </c>
      <c r="GA487" s="1979">
        <v>12.366014485162406</v>
      </c>
      <c r="GB487" s="1998">
        <v>1.2468215875951767</v>
      </c>
      <c r="GC487" s="1998">
        <v>1.2468215875951767</v>
      </c>
      <c r="GD487" s="1998">
        <v>1.2468215875951767</v>
      </c>
      <c r="GE487" s="1998">
        <v>1.2468215875951767</v>
      </c>
      <c r="GF487" s="1998">
        <v>1.2468215875951767</v>
      </c>
      <c r="GG487" s="1979">
        <v>1.3027314842995616</v>
      </c>
      <c r="GH487" s="1979">
        <v>1.3027314842995616</v>
      </c>
      <c r="GI487" s="1979">
        <v>1.3027314842995616</v>
      </c>
      <c r="GJ487" s="1979">
        <v>1.3027314842995616</v>
      </c>
      <c r="GK487" s="2021">
        <v>1.3027314842995616</v>
      </c>
    </row>
    <row r="488" spans="1:193">
      <c r="A488" s="2020"/>
      <c r="B488" s="2">
        <v>26</v>
      </c>
      <c r="C488" s="2" t="s">
        <v>4244</v>
      </c>
      <c r="D488" s="1998">
        <f>IF(Construction!$F$31=Construction!$R$22,Oeko!BQ488,Oeko!ED488)</f>
        <v>1</v>
      </c>
      <c r="E488" s="1998">
        <f>IF(Construction!$F$31=Construction!$R$22,Oeko!BR488,Oeko!EE488)</f>
        <v>1</v>
      </c>
      <c r="F488" s="1998">
        <f>IF(Construction!$F$31=Construction!$R$22,Oeko!BS488,Oeko!EF488)</f>
        <v>1</v>
      </c>
      <c r="G488" s="1998">
        <f>IF(Construction!$F$31=Construction!$R$22,Oeko!BT488,Oeko!EG488)</f>
        <v>1</v>
      </c>
      <c r="H488" s="1998">
        <f>IF(Construction!$F$31=Construction!$R$22,Oeko!BU488,Oeko!EH488)</f>
        <v>1</v>
      </c>
      <c r="I488" s="1979">
        <f>IF(Construction!$F$31=Construction!$R$22,Oeko!BV488,Oeko!EI488)</f>
        <v>1</v>
      </c>
      <c r="J488" s="1979">
        <f>IF(Construction!$F$31=Construction!$R$22,Oeko!BW488,Oeko!EJ488)</f>
        <v>1</v>
      </c>
      <c r="K488" s="1979">
        <f>IF(Construction!$F$31=Construction!$R$22,Oeko!BX488,Oeko!EK488)</f>
        <v>1</v>
      </c>
      <c r="L488" s="1979">
        <f>IF(Construction!$F$31=Construction!$R$22,Oeko!BY488,Oeko!EL488)</f>
        <v>1</v>
      </c>
      <c r="M488" s="1979">
        <f>IF(Construction!$F$31=Construction!$R$22,Oeko!BZ488,Oeko!EM488)</f>
        <v>1</v>
      </c>
      <c r="N488" s="1998">
        <f>IF(Construction!$F$31=Construction!$R$22,Oeko!CA488,Oeko!EN488)</f>
        <v>1</v>
      </c>
      <c r="O488" s="1998">
        <f>IF(Construction!$F$31=Construction!$R$22,Oeko!CB488,Oeko!EO488)</f>
        <v>1</v>
      </c>
      <c r="P488" s="1998">
        <f>IF(Construction!$F$31=Construction!$R$22,Oeko!CC488,Oeko!EP488)</f>
        <v>1</v>
      </c>
      <c r="Q488" s="1998">
        <f>IF(Construction!$F$31=Construction!$R$22,Oeko!CD488,Oeko!EQ488)</f>
        <v>1</v>
      </c>
      <c r="R488" s="1998">
        <f>IF(Construction!$F$31=Construction!$R$22,Oeko!CE488,Oeko!ER488)</f>
        <v>1</v>
      </c>
      <c r="S488" s="1979">
        <f>IF(Construction!$F$31=Construction!$R$22,Oeko!CF488,Oeko!ES488)</f>
        <v>1</v>
      </c>
      <c r="T488" s="1979">
        <f>IF(Construction!$F$31=Construction!$R$22,Oeko!CG488,Oeko!ET488)</f>
        <v>1</v>
      </c>
      <c r="U488" s="1979">
        <f>IF(Construction!$F$31=Construction!$R$22,Oeko!CH488,Oeko!EU488)</f>
        <v>1</v>
      </c>
      <c r="V488" s="1979">
        <f>IF(Construction!$F$31=Construction!$R$22,Oeko!CI488,Oeko!EV488)</f>
        <v>1</v>
      </c>
      <c r="W488" s="1979">
        <f>IF(Construction!$F$31=Construction!$R$22,Oeko!CJ488,Oeko!EW488)</f>
        <v>1</v>
      </c>
      <c r="X488" s="1998">
        <f>IF(Construction!$F$31=Construction!$R$22,Oeko!CK488,Oeko!EX488)</f>
        <v>1</v>
      </c>
      <c r="Y488" s="1998">
        <f>IF(Construction!$F$31=Construction!$R$22,Oeko!CL488,Oeko!EY488)</f>
        <v>1</v>
      </c>
      <c r="Z488" s="1998">
        <f>IF(Construction!$F$31=Construction!$R$22,Oeko!CM488,Oeko!EZ488)</f>
        <v>1</v>
      </c>
      <c r="AA488" s="1998">
        <f>IF(Construction!$F$31=Construction!$R$22,Oeko!CN488,Oeko!FA488)</f>
        <v>1</v>
      </c>
      <c r="AB488" s="1998">
        <f>IF(Construction!$F$31=Construction!$R$22,Oeko!CO488,Oeko!FB488)</f>
        <v>1</v>
      </c>
      <c r="AC488" s="1979">
        <f>IF(Construction!$F$31=Construction!$R$22,Oeko!CP488,Oeko!FC488)</f>
        <v>1</v>
      </c>
      <c r="AD488" s="1979">
        <f>IF(Construction!$F$31=Construction!$R$22,Oeko!CQ488,Oeko!FD488)</f>
        <v>1</v>
      </c>
      <c r="AE488" s="1979">
        <f>IF(Construction!$F$31=Construction!$R$22,Oeko!CR488,Oeko!FE488)</f>
        <v>1</v>
      </c>
      <c r="AF488" s="1979">
        <f>IF(Construction!$F$31=Construction!$R$22,Oeko!CS488,Oeko!FF488)</f>
        <v>1</v>
      </c>
      <c r="AG488" s="1979">
        <f>IF(Construction!$F$31=Construction!$R$22,Oeko!CT488,Oeko!FG488)</f>
        <v>1</v>
      </c>
      <c r="AH488" s="1998">
        <f>IF(Construction!$F$31=Construction!$R$22,Oeko!CU488,Oeko!FH488)</f>
        <v>1</v>
      </c>
      <c r="AI488" s="1998">
        <f>IF(Construction!$F$31=Construction!$R$22,Oeko!CV488,Oeko!FI488)</f>
        <v>1</v>
      </c>
      <c r="AJ488" s="1998">
        <f>IF(Construction!$F$31=Construction!$R$22,Oeko!CW488,Oeko!FJ488)</f>
        <v>1</v>
      </c>
      <c r="AK488" s="1998">
        <f>IF(Construction!$F$31=Construction!$R$22,Oeko!CX488,Oeko!FK488)</f>
        <v>1</v>
      </c>
      <c r="AL488" s="1998">
        <f>IF(Construction!$F$31=Construction!$R$22,Oeko!CY488,Oeko!FL488)</f>
        <v>1</v>
      </c>
      <c r="AM488" s="1979">
        <f>IF(Construction!$F$31=Construction!$R$22,Oeko!CZ488,Oeko!FM488)</f>
        <v>1</v>
      </c>
      <c r="AN488" s="1979">
        <f>IF(Construction!$F$31=Construction!$R$22,Oeko!DA488,Oeko!FN488)</f>
        <v>1</v>
      </c>
      <c r="AO488" s="1979">
        <f>IF(Construction!$F$31=Construction!$R$22,Oeko!DB488,Oeko!FO488)</f>
        <v>1</v>
      </c>
      <c r="AP488" s="1979">
        <f>IF(Construction!$F$31=Construction!$R$22,Oeko!DC488,Oeko!FP488)</f>
        <v>1</v>
      </c>
      <c r="AQ488" s="1979">
        <f>IF(Construction!$F$31=Construction!$R$22,Oeko!DD488,Oeko!FQ488)</f>
        <v>1</v>
      </c>
      <c r="AR488" s="1998">
        <f>IF(Construction!$F$31=Construction!$R$22,Oeko!DE488,Oeko!FR488)</f>
        <v>1</v>
      </c>
      <c r="AS488" s="1998">
        <f>IF(Construction!$F$31=Construction!$R$22,Oeko!DF488,Oeko!FS488)</f>
        <v>1</v>
      </c>
      <c r="AT488" s="1998">
        <f>IF(Construction!$F$31=Construction!$R$22,Oeko!DG488,Oeko!FT488)</f>
        <v>1</v>
      </c>
      <c r="AU488" s="1998">
        <f>IF(Construction!$F$31=Construction!$R$22,Oeko!DH488,Oeko!FU488)</f>
        <v>1</v>
      </c>
      <c r="AV488" s="1998">
        <f>IF(Construction!$F$31=Construction!$R$22,Oeko!DI488,Oeko!FV488)</f>
        <v>1</v>
      </c>
      <c r="AW488" s="1979">
        <f>IF(Construction!$F$31=Construction!$R$22,Oeko!DJ488,Oeko!FW488)</f>
        <v>1</v>
      </c>
      <c r="AX488" s="1979">
        <f>IF(Construction!$F$31=Construction!$R$22,Oeko!DK488,Oeko!FX488)</f>
        <v>1</v>
      </c>
      <c r="AY488" s="1979">
        <f>IF(Construction!$F$31=Construction!$R$22,Oeko!DL488,Oeko!FY488)</f>
        <v>1</v>
      </c>
      <c r="AZ488" s="1979">
        <f>IF(Construction!$F$31=Construction!$R$22,Oeko!DM488,Oeko!FZ488)</f>
        <v>1</v>
      </c>
      <c r="BA488" s="1979">
        <f>IF(Construction!$F$31=Construction!$R$22,Oeko!DN488,Oeko!GA488)</f>
        <v>1</v>
      </c>
      <c r="BB488" s="1998">
        <f>IF(Construction!$F$31=Construction!$R$22,Oeko!DO488,Oeko!GB488)</f>
        <v>0.12461206483213953</v>
      </c>
      <c r="BC488" s="1998">
        <f>IF(Construction!$F$31=Construction!$R$22,Oeko!DP488,Oeko!GC488)</f>
        <v>0.12461206483213953</v>
      </c>
      <c r="BD488" s="1998">
        <f>IF(Construction!$F$31=Construction!$R$22,Oeko!DQ488,Oeko!GD488)</f>
        <v>0.12461206483213953</v>
      </c>
      <c r="BE488" s="1998">
        <f>IF(Construction!$F$31=Construction!$R$22,Oeko!DR488,Oeko!GE488)</f>
        <v>0.12461206483213953</v>
      </c>
      <c r="BF488" s="1998">
        <f>IF(Construction!$F$31=Construction!$R$22,Oeko!DS488,Oeko!GF488)</f>
        <v>0.12461206483213953</v>
      </c>
      <c r="BG488" s="1979">
        <f>IF(Construction!$F$31=Construction!$R$22,Oeko!DT488,Oeko!GG488)</f>
        <v>0.12783559671100567</v>
      </c>
      <c r="BH488" s="1979">
        <f>IF(Construction!$F$31=Construction!$R$22,Oeko!DU488,Oeko!GH488)</f>
        <v>0.12783559671100567</v>
      </c>
      <c r="BI488" s="1979">
        <f>IF(Construction!$F$31=Construction!$R$22,Oeko!DV488,Oeko!GI488)</f>
        <v>0.12783559671100567</v>
      </c>
      <c r="BJ488" s="1979">
        <f>IF(Construction!$F$31=Construction!$R$22,Oeko!DW488,Oeko!GJ488)</f>
        <v>0.12783559671100567</v>
      </c>
      <c r="BK488" s="2021">
        <f>IF(Construction!$F$31=Construction!$R$22,Oeko!DX488,Oeko!GK488)</f>
        <v>0.12783559671100567</v>
      </c>
      <c r="BN488" s="2022"/>
      <c r="BO488" s="2">
        <v>26</v>
      </c>
      <c r="BP488" s="2" t="s">
        <v>4244</v>
      </c>
      <c r="BQ488" s="1998">
        <v>1</v>
      </c>
      <c r="BR488" s="1998">
        <v>1</v>
      </c>
      <c r="BS488" s="1998">
        <v>1</v>
      </c>
      <c r="BT488" s="1998">
        <v>1</v>
      </c>
      <c r="BU488" s="1998">
        <v>1</v>
      </c>
      <c r="BV488" s="1979">
        <v>1</v>
      </c>
      <c r="BW488" s="1979">
        <v>1</v>
      </c>
      <c r="BX488" s="1979">
        <v>1</v>
      </c>
      <c r="BY488" s="1979">
        <v>1</v>
      </c>
      <c r="BZ488" s="1979">
        <v>1</v>
      </c>
      <c r="CA488" s="1998">
        <v>1</v>
      </c>
      <c r="CB488" s="1998">
        <v>1</v>
      </c>
      <c r="CC488" s="1998">
        <v>1</v>
      </c>
      <c r="CD488" s="1998">
        <v>1</v>
      </c>
      <c r="CE488" s="1998">
        <v>1</v>
      </c>
      <c r="CF488" s="1979">
        <v>1</v>
      </c>
      <c r="CG488" s="1979">
        <v>1</v>
      </c>
      <c r="CH488" s="1979">
        <v>1</v>
      </c>
      <c r="CI488" s="1979">
        <v>1</v>
      </c>
      <c r="CJ488" s="1979">
        <v>1</v>
      </c>
      <c r="CK488" s="1998">
        <v>1</v>
      </c>
      <c r="CL488" s="1998">
        <v>1</v>
      </c>
      <c r="CM488" s="1998">
        <v>1</v>
      </c>
      <c r="CN488" s="1998">
        <v>1</v>
      </c>
      <c r="CO488" s="1998">
        <v>1</v>
      </c>
      <c r="CP488" s="1979">
        <v>1</v>
      </c>
      <c r="CQ488" s="1979">
        <v>1</v>
      </c>
      <c r="CR488" s="1979">
        <v>1</v>
      </c>
      <c r="CS488" s="1979">
        <v>1</v>
      </c>
      <c r="CT488" s="1979">
        <v>1</v>
      </c>
      <c r="CU488" s="1998">
        <v>1</v>
      </c>
      <c r="CV488" s="1998">
        <v>1</v>
      </c>
      <c r="CW488" s="1998">
        <v>1</v>
      </c>
      <c r="CX488" s="1998">
        <v>1</v>
      </c>
      <c r="CY488" s="1998">
        <v>1</v>
      </c>
      <c r="CZ488" s="1979">
        <v>1</v>
      </c>
      <c r="DA488" s="1979">
        <v>1</v>
      </c>
      <c r="DB488" s="1979">
        <v>1</v>
      </c>
      <c r="DC488" s="1979">
        <v>1</v>
      </c>
      <c r="DD488" s="1979">
        <v>1</v>
      </c>
      <c r="DE488" s="1998">
        <v>1</v>
      </c>
      <c r="DF488" s="1998">
        <v>1</v>
      </c>
      <c r="DG488" s="1998">
        <v>1</v>
      </c>
      <c r="DH488" s="1998">
        <v>1</v>
      </c>
      <c r="DI488" s="1998">
        <v>1</v>
      </c>
      <c r="DJ488" s="1979">
        <v>1</v>
      </c>
      <c r="DK488" s="1979">
        <v>1</v>
      </c>
      <c r="DL488" s="1979">
        <v>1</v>
      </c>
      <c r="DM488" s="1979">
        <v>1</v>
      </c>
      <c r="DN488" s="1979">
        <v>1</v>
      </c>
      <c r="DO488" s="1998">
        <v>0.12461206483213953</v>
      </c>
      <c r="DP488" s="1998">
        <v>0.12461206483213953</v>
      </c>
      <c r="DQ488" s="1998">
        <v>0.12461206483213953</v>
      </c>
      <c r="DR488" s="1998">
        <v>0.12461206483213953</v>
      </c>
      <c r="DS488" s="1998">
        <v>0.12461206483213953</v>
      </c>
      <c r="DT488" s="1979">
        <v>0.12783559671100567</v>
      </c>
      <c r="DU488" s="1979">
        <v>0.12783559671100567</v>
      </c>
      <c r="DV488" s="1979">
        <v>0.12783559671100567</v>
      </c>
      <c r="DW488" s="1979">
        <v>0.12783559671100567</v>
      </c>
      <c r="DX488" s="2021">
        <v>0.12783559671100567</v>
      </c>
      <c r="EA488" s="2022"/>
      <c r="EB488" s="2">
        <v>26</v>
      </c>
      <c r="EC488" s="2" t="s">
        <v>4244</v>
      </c>
      <c r="ED488" s="1998">
        <v>1.3605609674202821</v>
      </c>
      <c r="EE488" s="1998">
        <v>1.3605609674202821</v>
      </c>
      <c r="EF488" s="1998">
        <v>1.3605609674202821</v>
      </c>
      <c r="EG488" s="1998">
        <v>1.3605609674202821</v>
      </c>
      <c r="EH488" s="1998">
        <v>1.3605609674202821</v>
      </c>
      <c r="EI488" s="1979">
        <v>2.0966679740137137</v>
      </c>
      <c r="EJ488" s="1979">
        <v>2.0966679740137137</v>
      </c>
      <c r="EK488" s="1979">
        <v>2.0966679740137137</v>
      </c>
      <c r="EL488" s="1979">
        <v>2.0966679740137137</v>
      </c>
      <c r="EM488" s="1979">
        <v>2.0966679740137137</v>
      </c>
      <c r="EN488" s="1998">
        <v>1.4337071065592959</v>
      </c>
      <c r="EO488" s="1998">
        <v>1.4337071065592959</v>
      </c>
      <c r="EP488" s="1998">
        <v>1.4337071065592959</v>
      </c>
      <c r="EQ488" s="1998">
        <v>1.4337071065592959</v>
      </c>
      <c r="ER488" s="1998">
        <v>1.4337071065592959</v>
      </c>
      <c r="ES488" s="1979">
        <v>1.8379162318633464</v>
      </c>
      <c r="ET488" s="1979">
        <v>1.8379162318633464</v>
      </c>
      <c r="EU488" s="1979">
        <v>1.8379162318633464</v>
      </c>
      <c r="EV488" s="1979">
        <v>1.8379162318633464</v>
      </c>
      <c r="EW488" s="1979">
        <v>1.8379162318633464</v>
      </c>
      <c r="EX488" s="1998">
        <v>1.4662053104562123</v>
      </c>
      <c r="EY488" s="1998">
        <v>1.4662053104562123</v>
      </c>
      <c r="EZ488" s="1998">
        <v>1.4662053104562123</v>
      </c>
      <c r="FA488" s="1998">
        <v>1.4662053104562123</v>
      </c>
      <c r="FB488" s="1998">
        <v>1.4662053104562123</v>
      </c>
      <c r="FC488" s="1979">
        <v>2.0890613416456318</v>
      </c>
      <c r="FD488" s="1979">
        <v>2.0890613416456318</v>
      </c>
      <c r="FE488" s="1979">
        <v>2.0890613416456318</v>
      </c>
      <c r="FF488" s="1979">
        <v>2.0890613416456318</v>
      </c>
      <c r="FG488" s="1979">
        <v>2.0890613416456318</v>
      </c>
      <c r="FH488" s="1998">
        <v>2.3921927569513635</v>
      </c>
      <c r="FI488" s="1998">
        <v>2.3921927569513635</v>
      </c>
      <c r="FJ488" s="1998">
        <v>2.3921927569513635</v>
      </c>
      <c r="FK488" s="1998">
        <v>2.3921927569513635</v>
      </c>
      <c r="FL488" s="1998">
        <v>2.3921927569513635</v>
      </c>
      <c r="FM488" s="1979">
        <v>1.5115041757386145</v>
      </c>
      <c r="FN488" s="1979">
        <v>1.5115041757386145</v>
      </c>
      <c r="FO488" s="1979">
        <v>1.5115041757386145</v>
      </c>
      <c r="FP488" s="1979">
        <v>1.5115041757386145</v>
      </c>
      <c r="FQ488" s="1979">
        <v>1.5115041757386145</v>
      </c>
      <c r="FR488" s="1998">
        <v>8.1198212572277306</v>
      </c>
      <c r="FS488" s="1998">
        <v>8.1198212572277306</v>
      </c>
      <c r="FT488" s="1998">
        <v>8.1198212572277306</v>
      </c>
      <c r="FU488" s="1998">
        <v>8.1198212572277306</v>
      </c>
      <c r="FV488" s="1998">
        <v>8.1198212572277306</v>
      </c>
      <c r="FW488" s="1979">
        <v>8.4799072816005001</v>
      </c>
      <c r="FX488" s="1979">
        <v>8.4799072816005001</v>
      </c>
      <c r="FY488" s="1979">
        <v>8.4799072816005001</v>
      </c>
      <c r="FZ488" s="1979">
        <v>8.4799072816005001</v>
      </c>
      <c r="GA488" s="1979">
        <v>8.4799072816005001</v>
      </c>
      <c r="GB488" s="1998">
        <v>0.7736975763794911</v>
      </c>
      <c r="GC488" s="1998">
        <v>0.7736975763794911</v>
      </c>
      <c r="GD488" s="1998">
        <v>0.7736975763794911</v>
      </c>
      <c r="GE488" s="1998">
        <v>0.7736975763794911</v>
      </c>
      <c r="GF488" s="1998">
        <v>0.7736975763794911</v>
      </c>
      <c r="GG488" s="1979">
        <v>0.84158732719503859</v>
      </c>
      <c r="GH488" s="1979">
        <v>0.84158732719503859</v>
      </c>
      <c r="GI488" s="1979">
        <v>0.84158732719503859</v>
      </c>
      <c r="GJ488" s="1979">
        <v>0.84158732719503859</v>
      </c>
      <c r="GK488" s="2021">
        <v>0.84158732719503859</v>
      </c>
    </row>
    <row r="489" spans="1:193">
      <c r="A489" s="2020"/>
      <c r="B489" s="2">
        <v>27</v>
      </c>
      <c r="C489" s="2" t="s">
        <v>4259</v>
      </c>
      <c r="D489" s="1998">
        <f>IF(Construction!$F$31=Construction!$R$22,Oeko!BQ489,Oeko!ED489)</f>
        <v>1</v>
      </c>
      <c r="E489" s="1998">
        <f>IF(Construction!$F$31=Construction!$R$22,Oeko!BR489,Oeko!EE489)</f>
        <v>1</v>
      </c>
      <c r="F489" s="1998">
        <f>IF(Construction!$F$31=Construction!$R$22,Oeko!BS489,Oeko!EF489)</f>
        <v>1</v>
      </c>
      <c r="G489" s="1998">
        <f>IF(Construction!$F$31=Construction!$R$22,Oeko!BT489,Oeko!EG489)</f>
        <v>1</v>
      </c>
      <c r="H489" s="1998">
        <f>IF(Construction!$F$31=Construction!$R$22,Oeko!BU489,Oeko!EH489)</f>
        <v>1</v>
      </c>
      <c r="I489" s="1979">
        <f>IF(Construction!$F$31=Construction!$R$22,Oeko!BV489,Oeko!EI489)</f>
        <v>1</v>
      </c>
      <c r="J489" s="1979">
        <f>IF(Construction!$F$31=Construction!$R$22,Oeko!BW489,Oeko!EJ489)</f>
        <v>1</v>
      </c>
      <c r="K489" s="1979">
        <f>IF(Construction!$F$31=Construction!$R$22,Oeko!BX489,Oeko!EK489)</f>
        <v>1</v>
      </c>
      <c r="L489" s="1979">
        <f>IF(Construction!$F$31=Construction!$R$22,Oeko!BY489,Oeko!EL489)</f>
        <v>1</v>
      </c>
      <c r="M489" s="1979">
        <f>IF(Construction!$F$31=Construction!$R$22,Oeko!BZ489,Oeko!EM489)</f>
        <v>1</v>
      </c>
      <c r="N489" s="1998">
        <f>IF(Construction!$F$31=Construction!$R$22,Oeko!CA489,Oeko!EN489)</f>
        <v>1</v>
      </c>
      <c r="O489" s="1998">
        <f>IF(Construction!$F$31=Construction!$R$22,Oeko!CB489,Oeko!EO489)</f>
        <v>1</v>
      </c>
      <c r="P489" s="1998">
        <f>IF(Construction!$F$31=Construction!$R$22,Oeko!CC489,Oeko!EP489)</f>
        <v>1</v>
      </c>
      <c r="Q489" s="1998">
        <f>IF(Construction!$F$31=Construction!$R$22,Oeko!CD489,Oeko!EQ489)</f>
        <v>1</v>
      </c>
      <c r="R489" s="1998">
        <f>IF(Construction!$F$31=Construction!$R$22,Oeko!CE489,Oeko!ER489)</f>
        <v>1</v>
      </c>
      <c r="S489" s="1979">
        <f>IF(Construction!$F$31=Construction!$R$22,Oeko!CF489,Oeko!ES489)</f>
        <v>1</v>
      </c>
      <c r="T489" s="1979">
        <f>IF(Construction!$F$31=Construction!$R$22,Oeko!CG489,Oeko!ET489)</f>
        <v>1</v>
      </c>
      <c r="U489" s="1979">
        <f>IF(Construction!$F$31=Construction!$R$22,Oeko!CH489,Oeko!EU489)</f>
        <v>1</v>
      </c>
      <c r="V489" s="1979">
        <f>IF(Construction!$F$31=Construction!$R$22,Oeko!CI489,Oeko!EV489)</f>
        <v>1</v>
      </c>
      <c r="W489" s="1979">
        <f>IF(Construction!$F$31=Construction!$R$22,Oeko!CJ489,Oeko!EW489)</f>
        <v>1</v>
      </c>
      <c r="X489" s="1998">
        <f>IF(Construction!$F$31=Construction!$R$22,Oeko!CK489,Oeko!EX489)</f>
        <v>1</v>
      </c>
      <c r="Y489" s="1998">
        <f>IF(Construction!$F$31=Construction!$R$22,Oeko!CL489,Oeko!EY489)</f>
        <v>1</v>
      </c>
      <c r="Z489" s="1998">
        <f>IF(Construction!$F$31=Construction!$R$22,Oeko!CM489,Oeko!EZ489)</f>
        <v>1</v>
      </c>
      <c r="AA489" s="1998">
        <f>IF(Construction!$F$31=Construction!$R$22,Oeko!CN489,Oeko!FA489)</f>
        <v>1</v>
      </c>
      <c r="AB489" s="1998">
        <f>IF(Construction!$F$31=Construction!$R$22,Oeko!CO489,Oeko!FB489)</f>
        <v>1</v>
      </c>
      <c r="AC489" s="1979">
        <f>IF(Construction!$F$31=Construction!$R$22,Oeko!CP489,Oeko!FC489)</f>
        <v>1</v>
      </c>
      <c r="AD489" s="1979">
        <f>IF(Construction!$F$31=Construction!$R$22,Oeko!CQ489,Oeko!FD489)</f>
        <v>1</v>
      </c>
      <c r="AE489" s="1979">
        <f>IF(Construction!$F$31=Construction!$R$22,Oeko!CR489,Oeko!FE489)</f>
        <v>1</v>
      </c>
      <c r="AF489" s="1979">
        <f>IF(Construction!$F$31=Construction!$R$22,Oeko!CS489,Oeko!FF489)</f>
        <v>1</v>
      </c>
      <c r="AG489" s="1979">
        <f>IF(Construction!$F$31=Construction!$R$22,Oeko!CT489,Oeko!FG489)</f>
        <v>1</v>
      </c>
      <c r="AH489" s="1998">
        <f>IF(Construction!$F$31=Construction!$R$22,Oeko!CU489,Oeko!FH489)</f>
        <v>1</v>
      </c>
      <c r="AI489" s="1998">
        <f>IF(Construction!$F$31=Construction!$R$22,Oeko!CV489,Oeko!FI489)</f>
        <v>1</v>
      </c>
      <c r="AJ489" s="1998">
        <f>IF(Construction!$F$31=Construction!$R$22,Oeko!CW489,Oeko!FJ489)</f>
        <v>1</v>
      </c>
      <c r="AK489" s="1998">
        <f>IF(Construction!$F$31=Construction!$R$22,Oeko!CX489,Oeko!FK489)</f>
        <v>1</v>
      </c>
      <c r="AL489" s="1998">
        <f>IF(Construction!$F$31=Construction!$R$22,Oeko!CY489,Oeko!FL489)</f>
        <v>1</v>
      </c>
      <c r="AM489" s="1979">
        <f>IF(Construction!$F$31=Construction!$R$22,Oeko!CZ489,Oeko!FM489)</f>
        <v>1.1666666666666665</v>
      </c>
      <c r="AN489" s="1979">
        <f>IF(Construction!$F$31=Construction!$R$22,Oeko!DA489,Oeko!FN489)</f>
        <v>1.1666666666666665</v>
      </c>
      <c r="AO489" s="1979">
        <f>IF(Construction!$F$31=Construction!$R$22,Oeko!DB489,Oeko!FO489)</f>
        <v>1.1666666666666665</v>
      </c>
      <c r="AP489" s="1979">
        <f>IF(Construction!$F$31=Construction!$R$22,Oeko!DC489,Oeko!FP489)</f>
        <v>1.1666666666666665</v>
      </c>
      <c r="AQ489" s="1979">
        <f>IF(Construction!$F$31=Construction!$R$22,Oeko!DD489,Oeko!FQ489)</f>
        <v>1.1666666666666665</v>
      </c>
      <c r="AR489" s="1998">
        <f>IF(Construction!$F$31=Construction!$R$22,Oeko!DE489,Oeko!FR489)</f>
        <v>1</v>
      </c>
      <c r="AS489" s="1998">
        <f>IF(Construction!$F$31=Construction!$R$22,Oeko!DF489,Oeko!FS489)</f>
        <v>1</v>
      </c>
      <c r="AT489" s="1998">
        <f>IF(Construction!$F$31=Construction!$R$22,Oeko!DG489,Oeko!FT489)</f>
        <v>1</v>
      </c>
      <c r="AU489" s="1998">
        <f>IF(Construction!$F$31=Construction!$R$22,Oeko!DH489,Oeko!FU489)</f>
        <v>1</v>
      </c>
      <c r="AV489" s="1998">
        <f>IF(Construction!$F$31=Construction!$R$22,Oeko!DI489,Oeko!FV489)</f>
        <v>1</v>
      </c>
      <c r="AW489" s="1979">
        <f>IF(Construction!$F$31=Construction!$R$22,Oeko!DJ489,Oeko!FW489)</f>
        <v>1</v>
      </c>
      <c r="AX489" s="1979">
        <f>IF(Construction!$F$31=Construction!$R$22,Oeko!DK489,Oeko!FX489)</f>
        <v>1</v>
      </c>
      <c r="AY489" s="1979">
        <f>IF(Construction!$F$31=Construction!$R$22,Oeko!DL489,Oeko!FY489)</f>
        <v>1</v>
      </c>
      <c r="AZ489" s="1979">
        <f>IF(Construction!$F$31=Construction!$R$22,Oeko!DM489,Oeko!FZ489)</f>
        <v>1</v>
      </c>
      <c r="BA489" s="1979">
        <f>IF(Construction!$F$31=Construction!$R$22,Oeko!DN489,Oeko!GA489)</f>
        <v>1</v>
      </c>
      <c r="BB489" s="1998">
        <f>IF(Construction!$F$31=Construction!$R$22,Oeko!DO489,Oeko!GB489)</f>
        <v>0.12461206483213953</v>
      </c>
      <c r="BC489" s="1998">
        <f>IF(Construction!$F$31=Construction!$R$22,Oeko!DP489,Oeko!GC489)</f>
        <v>0.12461206483213953</v>
      </c>
      <c r="BD489" s="1998">
        <f>IF(Construction!$F$31=Construction!$R$22,Oeko!DQ489,Oeko!GD489)</f>
        <v>0.12461206483213953</v>
      </c>
      <c r="BE489" s="1998">
        <f>IF(Construction!$F$31=Construction!$R$22,Oeko!DR489,Oeko!GE489)</f>
        <v>0.12461206483213953</v>
      </c>
      <c r="BF489" s="1998">
        <f>IF(Construction!$F$31=Construction!$R$22,Oeko!DS489,Oeko!GF489)</f>
        <v>0.12461206483213953</v>
      </c>
      <c r="BG489" s="1979">
        <f>IF(Construction!$F$31=Construction!$R$22,Oeko!DT489,Oeko!GG489)</f>
        <v>0.12783559671100567</v>
      </c>
      <c r="BH489" s="1979">
        <f>IF(Construction!$F$31=Construction!$R$22,Oeko!DU489,Oeko!GH489)</f>
        <v>0.12783559671100567</v>
      </c>
      <c r="BI489" s="1979">
        <f>IF(Construction!$F$31=Construction!$R$22,Oeko!DV489,Oeko!GI489)</f>
        <v>0.12783559671100567</v>
      </c>
      <c r="BJ489" s="1979">
        <f>IF(Construction!$F$31=Construction!$R$22,Oeko!DW489,Oeko!GJ489)</f>
        <v>0.12783559671100567</v>
      </c>
      <c r="BK489" s="2021">
        <f>IF(Construction!$F$31=Construction!$R$22,Oeko!DX489,Oeko!GK489)</f>
        <v>0.12783559671100567</v>
      </c>
      <c r="BN489" s="2022"/>
      <c r="BO489" s="2">
        <v>27</v>
      </c>
      <c r="BP489" s="2" t="s">
        <v>4259</v>
      </c>
      <c r="BQ489" s="1998">
        <v>1</v>
      </c>
      <c r="BR489" s="1998">
        <v>1</v>
      </c>
      <c r="BS489" s="1998">
        <v>1</v>
      </c>
      <c r="BT489" s="1998">
        <v>1</v>
      </c>
      <c r="BU489" s="1998">
        <v>1</v>
      </c>
      <c r="BV489" s="1979">
        <v>1</v>
      </c>
      <c r="BW489" s="1979">
        <v>1</v>
      </c>
      <c r="BX489" s="1979">
        <v>1</v>
      </c>
      <c r="BY489" s="1979">
        <v>1</v>
      </c>
      <c r="BZ489" s="1979">
        <v>1</v>
      </c>
      <c r="CA489" s="1998">
        <v>1</v>
      </c>
      <c r="CB489" s="1998">
        <v>1</v>
      </c>
      <c r="CC489" s="1998">
        <v>1</v>
      </c>
      <c r="CD489" s="1998">
        <v>1</v>
      </c>
      <c r="CE489" s="1998">
        <v>1</v>
      </c>
      <c r="CF489" s="1979">
        <v>1</v>
      </c>
      <c r="CG489" s="1979">
        <v>1</v>
      </c>
      <c r="CH489" s="1979">
        <v>1</v>
      </c>
      <c r="CI489" s="1979">
        <v>1</v>
      </c>
      <c r="CJ489" s="1979">
        <v>1</v>
      </c>
      <c r="CK489" s="1998">
        <v>1</v>
      </c>
      <c r="CL489" s="1998">
        <v>1</v>
      </c>
      <c r="CM489" s="1998">
        <v>1</v>
      </c>
      <c r="CN489" s="1998">
        <v>1</v>
      </c>
      <c r="CO489" s="1998">
        <v>1</v>
      </c>
      <c r="CP489" s="1979">
        <v>1</v>
      </c>
      <c r="CQ489" s="1979">
        <v>1</v>
      </c>
      <c r="CR489" s="1979">
        <v>1</v>
      </c>
      <c r="CS489" s="1979">
        <v>1</v>
      </c>
      <c r="CT489" s="1979">
        <v>1</v>
      </c>
      <c r="CU489" s="1998">
        <v>1</v>
      </c>
      <c r="CV489" s="1998">
        <v>1</v>
      </c>
      <c r="CW489" s="1998">
        <v>1</v>
      </c>
      <c r="CX489" s="1998">
        <v>1</v>
      </c>
      <c r="CY489" s="1998">
        <v>1</v>
      </c>
      <c r="CZ489" s="1979">
        <v>1.1666666666666665</v>
      </c>
      <c r="DA489" s="1979">
        <v>1.1666666666666665</v>
      </c>
      <c r="DB489" s="1979">
        <v>1.1666666666666665</v>
      </c>
      <c r="DC489" s="1979">
        <v>1.1666666666666665</v>
      </c>
      <c r="DD489" s="1979">
        <v>1.1666666666666665</v>
      </c>
      <c r="DE489" s="1998">
        <v>1</v>
      </c>
      <c r="DF489" s="1998">
        <v>1</v>
      </c>
      <c r="DG489" s="1998">
        <v>1</v>
      </c>
      <c r="DH489" s="1998">
        <v>1</v>
      </c>
      <c r="DI489" s="1998">
        <v>1</v>
      </c>
      <c r="DJ489" s="1979">
        <v>1</v>
      </c>
      <c r="DK489" s="1979">
        <v>1</v>
      </c>
      <c r="DL489" s="1979">
        <v>1</v>
      </c>
      <c r="DM489" s="1979">
        <v>1</v>
      </c>
      <c r="DN489" s="1979">
        <v>1</v>
      </c>
      <c r="DO489" s="1998">
        <v>0.12461206483213953</v>
      </c>
      <c r="DP489" s="1998">
        <v>0.12461206483213953</v>
      </c>
      <c r="DQ489" s="1998">
        <v>0.12461206483213953</v>
      </c>
      <c r="DR489" s="1998">
        <v>0.12461206483213953</v>
      </c>
      <c r="DS489" s="1998">
        <v>0.12461206483213953</v>
      </c>
      <c r="DT489" s="1979">
        <v>0.12783559671100567</v>
      </c>
      <c r="DU489" s="1979">
        <v>0.12783559671100567</v>
      </c>
      <c r="DV489" s="1979">
        <v>0.12783559671100567</v>
      </c>
      <c r="DW489" s="1979">
        <v>0.12783559671100567</v>
      </c>
      <c r="DX489" s="2021">
        <v>0.12783559671100567</v>
      </c>
      <c r="EA489" s="2022"/>
      <c r="EB489" s="2">
        <v>27</v>
      </c>
      <c r="EC489" s="2" t="s">
        <v>4259</v>
      </c>
      <c r="ED489" s="1998">
        <v>1.419345659456952</v>
      </c>
      <c r="EE489" s="1998">
        <v>1.419345659456952</v>
      </c>
      <c r="EF489" s="1998">
        <v>1.419345659456952</v>
      </c>
      <c r="EG489" s="1998">
        <v>1.419345659456952</v>
      </c>
      <c r="EH489" s="1998">
        <v>1.419345659456952</v>
      </c>
      <c r="EI489" s="1979">
        <v>2.4716056316257515</v>
      </c>
      <c r="EJ489" s="1979">
        <v>2.4716056316257515</v>
      </c>
      <c r="EK489" s="1979">
        <v>2.4716056316257515</v>
      </c>
      <c r="EL489" s="1979">
        <v>2.4716056316257515</v>
      </c>
      <c r="EM489" s="1979">
        <v>2.4716056316257515</v>
      </c>
      <c r="EN489" s="1998">
        <v>1.4848349689609373</v>
      </c>
      <c r="EO489" s="1998">
        <v>1.4848349689609373</v>
      </c>
      <c r="EP489" s="1998">
        <v>1.4848349689609373</v>
      </c>
      <c r="EQ489" s="1998">
        <v>1.4848349689609373</v>
      </c>
      <c r="ER489" s="1998">
        <v>1.4848349689609373</v>
      </c>
      <c r="ES489" s="1979">
        <v>2.0301191220028505</v>
      </c>
      <c r="ET489" s="1979">
        <v>2.0301191220028505</v>
      </c>
      <c r="EU489" s="1979">
        <v>2.0301191220028505</v>
      </c>
      <c r="EV489" s="1979">
        <v>2.0301191220028505</v>
      </c>
      <c r="EW489" s="1979">
        <v>2.0301191220028505</v>
      </c>
      <c r="EX489" s="1998">
        <v>1.5343757936584008</v>
      </c>
      <c r="EY489" s="1998">
        <v>1.5343757936584008</v>
      </c>
      <c r="EZ489" s="1998">
        <v>1.5343757936584008</v>
      </c>
      <c r="FA489" s="1998">
        <v>1.5343757936584008</v>
      </c>
      <c r="FB489" s="1998">
        <v>1.5343757936584008</v>
      </c>
      <c r="FC489" s="1979">
        <v>2.4390031554168674</v>
      </c>
      <c r="FD489" s="1979">
        <v>2.4390031554168674</v>
      </c>
      <c r="FE489" s="1979">
        <v>2.4390031554168674</v>
      </c>
      <c r="FF489" s="1979">
        <v>2.4390031554168674</v>
      </c>
      <c r="FG489" s="1979">
        <v>2.4390031554168674</v>
      </c>
      <c r="FH489" s="1998">
        <v>2.7330451729623064</v>
      </c>
      <c r="FI489" s="1998">
        <v>2.7330451729623064</v>
      </c>
      <c r="FJ489" s="1998">
        <v>2.7330451729623064</v>
      </c>
      <c r="FK489" s="1998">
        <v>2.7330451729623064</v>
      </c>
      <c r="FL489" s="1998">
        <v>2.7330451729623064</v>
      </c>
      <c r="FM489" s="1979">
        <v>1.8301657716190503</v>
      </c>
      <c r="FN489" s="1979">
        <v>1.8301657716190503</v>
      </c>
      <c r="FO489" s="1979">
        <v>1.8301657716190503</v>
      </c>
      <c r="FP489" s="1979">
        <v>1.8301657716190503</v>
      </c>
      <c r="FQ489" s="1979">
        <v>1.8301657716190503</v>
      </c>
      <c r="FR489" s="1998">
        <v>10.7444107116903</v>
      </c>
      <c r="FS489" s="1998">
        <v>10.7444107116903</v>
      </c>
      <c r="FT489" s="1998">
        <v>10.7444107116903</v>
      </c>
      <c r="FU489" s="1998">
        <v>10.7444107116903</v>
      </c>
      <c r="FV489" s="1998">
        <v>10.7444107116903</v>
      </c>
      <c r="FW489" s="1979">
        <v>11.126674907004146</v>
      </c>
      <c r="FX489" s="1979">
        <v>11.126674907004146</v>
      </c>
      <c r="FY489" s="1979">
        <v>11.126674907004146</v>
      </c>
      <c r="FZ489" s="1979">
        <v>11.126674907004146</v>
      </c>
      <c r="GA489" s="1979">
        <v>11.126674907004146</v>
      </c>
      <c r="GB489" s="1998">
        <v>1.0973745296033908</v>
      </c>
      <c r="GC489" s="1998">
        <v>1.0973745296033908</v>
      </c>
      <c r="GD489" s="1998">
        <v>1.0973745296033908</v>
      </c>
      <c r="GE489" s="1998">
        <v>1.0973745296033908</v>
      </c>
      <c r="GF489" s="1998">
        <v>1.0973745296033908</v>
      </c>
      <c r="GG489" s="1979">
        <v>1.1676555383243121</v>
      </c>
      <c r="GH489" s="1979">
        <v>1.1676555383243121</v>
      </c>
      <c r="GI489" s="1979">
        <v>1.1676555383243121</v>
      </c>
      <c r="GJ489" s="1979">
        <v>1.1676555383243121</v>
      </c>
      <c r="GK489" s="2021">
        <v>1.1676555383243121</v>
      </c>
    </row>
    <row r="490" spans="1:193">
      <c r="A490" s="2020"/>
      <c r="B490" s="2">
        <v>28</v>
      </c>
      <c r="C490" s="2" t="s">
        <v>4274</v>
      </c>
      <c r="D490" s="1998">
        <f>IF(Construction!$F$31=Construction!$R$22,Oeko!BQ490,Oeko!ED490)</f>
        <v>1.3333333333333333</v>
      </c>
      <c r="E490" s="1998">
        <f>IF(Construction!$F$31=Construction!$R$22,Oeko!BR490,Oeko!EE490)</f>
        <v>1.3333333333333333</v>
      </c>
      <c r="F490" s="1998">
        <f>IF(Construction!$F$31=Construction!$R$22,Oeko!BS490,Oeko!EF490)</f>
        <v>1.3333333333333333</v>
      </c>
      <c r="G490" s="1998">
        <f>IF(Construction!$F$31=Construction!$R$22,Oeko!BT490,Oeko!EG490)</f>
        <v>1.3333333333333333</v>
      </c>
      <c r="H490" s="1998">
        <f>IF(Construction!$F$31=Construction!$R$22,Oeko!BU490,Oeko!EH490)</f>
        <v>1.3333333333333333</v>
      </c>
      <c r="I490" s="1979">
        <f>IF(Construction!$F$31=Construction!$R$22,Oeko!BV490,Oeko!EI490)</f>
        <v>1</v>
      </c>
      <c r="J490" s="1979">
        <f>IF(Construction!$F$31=Construction!$R$22,Oeko!BW490,Oeko!EJ490)</f>
        <v>1</v>
      </c>
      <c r="K490" s="1979">
        <f>IF(Construction!$F$31=Construction!$R$22,Oeko!BX490,Oeko!EK490)</f>
        <v>1</v>
      </c>
      <c r="L490" s="1979">
        <f>IF(Construction!$F$31=Construction!$R$22,Oeko!BY490,Oeko!EL490)</f>
        <v>1</v>
      </c>
      <c r="M490" s="1979">
        <f>IF(Construction!$F$31=Construction!$R$22,Oeko!BZ490,Oeko!EM490)</f>
        <v>1</v>
      </c>
      <c r="N490" s="1998">
        <f>IF(Construction!$F$31=Construction!$R$22,Oeko!CA490,Oeko!EN490)</f>
        <v>1</v>
      </c>
      <c r="O490" s="1998">
        <f>IF(Construction!$F$31=Construction!$R$22,Oeko!CB490,Oeko!EO490)</f>
        <v>1</v>
      </c>
      <c r="P490" s="1998">
        <f>IF(Construction!$F$31=Construction!$R$22,Oeko!CC490,Oeko!EP490)</f>
        <v>1</v>
      </c>
      <c r="Q490" s="1998">
        <f>IF(Construction!$F$31=Construction!$R$22,Oeko!CD490,Oeko!EQ490)</f>
        <v>1</v>
      </c>
      <c r="R490" s="1998">
        <f>IF(Construction!$F$31=Construction!$R$22,Oeko!CE490,Oeko!ER490)</f>
        <v>1</v>
      </c>
      <c r="S490" s="1979">
        <f>IF(Construction!$F$31=Construction!$R$22,Oeko!CF490,Oeko!ES490)</f>
        <v>1</v>
      </c>
      <c r="T490" s="1979">
        <f>IF(Construction!$F$31=Construction!$R$22,Oeko!CG490,Oeko!ET490)</f>
        <v>1</v>
      </c>
      <c r="U490" s="1979">
        <f>IF(Construction!$F$31=Construction!$R$22,Oeko!CH490,Oeko!EU490)</f>
        <v>1</v>
      </c>
      <c r="V490" s="1979">
        <f>IF(Construction!$F$31=Construction!$R$22,Oeko!CI490,Oeko!EV490)</f>
        <v>1</v>
      </c>
      <c r="W490" s="1979">
        <f>IF(Construction!$F$31=Construction!$R$22,Oeko!CJ490,Oeko!EW490)</f>
        <v>1</v>
      </c>
      <c r="X490" s="1998">
        <f>IF(Construction!$F$31=Construction!$R$22,Oeko!CK490,Oeko!EX490)</f>
        <v>1</v>
      </c>
      <c r="Y490" s="1998">
        <f>IF(Construction!$F$31=Construction!$R$22,Oeko!CL490,Oeko!EY490)</f>
        <v>1</v>
      </c>
      <c r="Z490" s="1998">
        <f>IF(Construction!$F$31=Construction!$R$22,Oeko!CM490,Oeko!EZ490)</f>
        <v>1</v>
      </c>
      <c r="AA490" s="1998">
        <f>IF(Construction!$F$31=Construction!$R$22,Oeko!CN490,Oeko!FA490)</f>
        <v>1</v>
      </c>
      <c r="AB490" s="1998">
        <f>IF(Construction!$F$31=Construction!$R$22,Oeko!CO490,Oeko!FB490)</f>
        <v>1</v>
      </c>
      <c r="AC490" s="1979">
        <f>IF(Construction!$F$31=Construction!$R$22,Oeko!CP490,Oeko!FC490)</f>
        <v>1</v>
      </c>
      <c r="AD490" s="1979">
        <f>IF(Construction!$F$31=Construction!$R$22,Oeko!CQ490,Oeko!FD490)</f>
        <v>1</v>
      </c>
      <c r="AE490" s="1979">
        <f>IF(Construction!$F$31=Construction!$R$22,Oeko!CR490,Oeko!FE490)</f>
        <v>1</v>
      </c>
      <c r="AF490" s="1979">
        <f>IF(Construction!$F$31=Construction!$R$22,Oeko!CS490,Oeko!FF490)</f>
        <v>1</v>
      </c>
      <c r="AG490" s="1979">
        <f>IF(Construction!$F$31=Construction!$R$22,Oeko!CT490,Oeko!FG490)</f>
        <v>1</v>
      </c>
      <c r="AH490" s="1998">
        <f>IF(Construction!$F$31=Construction!$R$22,Oeko!CU490,Oeko!FH490)</f>
        <v>1</v>
      </c>
      <c r="AI490" s="1998">
        <f>IF(Construction!$F$31=Construction!$R$22,Oeko!CV490,Oeko!FI490)</f>
        <v>1</v>
      </c>
      <c r="AJ490" s="1998">
        <f>IF(Construction!$F$31=Construction!$R$22,Oeko!CW490,Oeko!FJ490)</f>
        <v>1</v>
      </c>
      <c r="AK490" s="1998">
        <f>IF(Construction!$F$31=Construction!$R$22,Oeko!CX490,Oeko!FK490)</f>
        <v>1</v>
      </c>
      <c r="AL490" s="1998">
        <f>IF(Construction!$F$31=Construction!$R$22,Oeko!CY490,Oeko!FL490)</f>
        <v>1</v>
      </c>
      <c r="AM490" s="1979">
        <f>IF(Construction!$F$31=Construction!$R$22,Oeko!CZ490,Oeko!FM490)</f>
        <v>1.3333333333333333</v>
      </c>
      <c r="AN490" s="1979">
        <f>IF(Construction!$F$31=Construction!$R$22,Oeko!DA490,Oeko!FN490)</f>
        <v>1.3333333333333333</v>
      </c>
      <c r="AO490" s="1979">
        <f>IF(Construction!$F$31=Construction!$R$22,Oeko!DB490,Oeko!FO490)</f>
        <v>1.3333333333333333</v>
      </c>
      <c r="AP490" s="1979">
        <f>IF(Construction!$F$31=Construction!$R$22,Oeko!DC490,Oeko!FP490)</f>
        <v>1.3333333333333333</v>
      </c>
      <c r="AQ490" s="1979">
        <f>IF(Construction!$F$31=Construction!$R$22,Oeko!DD490,Oeko!FQ490)</f>
        <v>1.3333333333333333</v>
      </c>
      <c r="AR490" s="1998">
        <f>IF(Construction!$F$31=Construction!$R$22,Oeko!DE490,Oeko!FR490)</f>
        <v>1</v>
      </c>
      <c r="AS490" s="1998">
        <f>IF(Construction!$F$31=Construction!$R$22,Oeko!DF490,Oeko!FS490)</f>
        <v>1</v>
      </c>
      <c r="AT490" s="1998">
        <f>IF(Construction!$F$31=Construction!$R$22,Oeko!DG490,Oeko!FT490)</f>
        <v>1</v>
      </c>
      <c r="AU490" s="1998">
        <f>IF(Construction!$F$31=Construction!$R$22,Oeko!DH490,Oeko!FU490)</f>
        <v>1</v>
      </c>
      <c r="AV490" s="1998">
        <f>IF(Construction!$F$31=Construction!$R$22,Oeko!DI490,Oeko!FV490)</f>
        <v>1</v>
      </c>
      <c r="AW490" s="1979">
        <f>IF(Construction!$F$31=Construction!$R$22,Oeko!DJ490,Oeko!FW490)</f>
        <v>1</v>
      </c>
      <c r="AX490" s="1979">
        <f>IF(Construction!$F$31=Construction!$R$22,Oeko!DK490,Oeko!FX490)</f>
        <v>1</v>
      </c>
      <c r="AY490" s="1979">
        <f>IF(Construction!$F$31=Construction!$R$22,Oeko!DL490,Oeko!FY490)</f>
        <v>1</v>
      </c>
      <c r="AZ490" s="1979">
        <f>IF(Construction!$F$31=Construction!$R$22,Oeko!DM490,Oeko!FZ490)</f>
        <v>1</v>
      </c>
      <c r="BA490" s="1979">
        <f>IF(Construction!$F$31=Construction!$R$22,Oeko!DN490,Oeko!GA490)</f>
        <v>1</v>
      </c>
      <c r="BB490" s="1998">
        <f>IF(Construction!$F$31=Construction!$R$22,Oeko!DO490,Oeko!GB490)</f>
        <v>0.12461206483213953</v>
      </c>
      <c r="BC490" s="1998">
        <f>IF(Construction!$F$31=Construction!$R$22,Oeko!DP490,Oeko!GC490)</f>
        <v>0.12461206483213953</v>
      </c>
      <c r="BD490" s="1998">
        <f>IF(Construction!$F$31=Construction!$R$22,Oeko!DQ490,Oeko!GD490)</f>
        <v>0.12461206483213953</v>
      </c>
      <c r="BE490" s="1998">
        <f>IF(Construction!$F$31=Construction!$R$22,Oeko!DR490,Oeko!GE490)</f>
        <v>0.12461206483213953</v>
      </c>
      <c r="BF490" s="1998">
        <f>IF(Construction!$F$31=Construction!$R$22,Oeko!DS490,Oeko!GF490)</f>
        <v>0.12461206483213953</v>
      </c>
      <c r="BG490" s="1979">
        <f>IF(Construction!$F$31=Construction!$R$22,Oeko!DT490,Oeko!GG490)</f>
        <v>0.12783559671100567</v>
      </c>
      <c r="BH490" s="1979">
        <f>IF(Construction!$F$31=Construction!$R$22,Oeko!DU490,Oeko!GH490)</f>
        <v>0.12783559671100567</v>
      </c>
      <c r="BI490" s="1979">
        <f>IF(Construction!$F$31=Construction!$R$22,Oeko!DV490,Oeko!GI490)</f>
        <v>0.12783559671100567</v>
      </c>
      <c r="BJ490" s="1979">
        <f>IF(Construction!$F$31=Construction!$R$22,Oeko!DW490,Oeko!GJ490)</f>
        <v>0.12783559671100567</v>
      </c>
      <c r="BK490" s="2021">
        <f>IF(Construction!$F$31=Construction!$R$22,Oeko!DX490,Oeko!GK490)</f>
        <v>0.12783559671100567</v>
      </c>
      <c r="BN490" s="2022"/>
      <c r="BO490" s="2">
        <v>28</v>
      </c>
      <c r="BP490" s="2" t="s">
        <v>4274</v>
      </c>
      <c r="BQ490" s="1998">
        <v>1.3333333333333333</v>
      </c>
      <c r="BR490" s="1998">
        <v>1.3333333333333333</v>
      </c>
      <c r="BS490" s="1998">
        <v>1.3333333333333333</v>
      </c>
      <c r="BT490" s="1998">
        <v>1.3333333333333333</v>
      </c>
      <c r="BU490" s="1998">
        <v>1.3333333333333333</v>
      </c>
      <c r="BV490" s="1979">
        <v>1</v>
      </c>
      <c r="BW490" s="1979">
        <v>1</v>
      </c>
      <c r="BX490" s="1979">
        <v>1</v>
      </c>
      <c r="BY490" s="1979">
        <v>1</v>
      </c>
      <c r="BZ490" s="1979">
        <v>1</v>
      </c>
      <c r="CA490" s="1998">
        <v>1</v>
      </c>
      <c r="CB490" s="1998">
        <v>1</v>
      </c>
      <c r="CC490" s="1998">
        <v>1</v>
      </c>
      <c r="CD490" s="1998">
        <v>1</v>
      </c>
      <c r="CE490" s="1998">
        <v>1</v>
      </c>
      <c r="CF490" s="1979">
        <v>1</v>
      </c>
      <c r="CG490" s="1979">
        <v>1</v>
      </c>
      <c r="CH490" s="1979">
        <v>1</v>
      </c>
      <c r="CI490" s="1979">
        <v>1</v>
      </c>
      <c r="CJ490" s="1979">
        <v>1</v>
      </c>
      <c r="CK490" s="1998">
        <v>1</v>
      </c>
      <c r="CL490" s="1998">
        <v>1</v>
      </c>
      <c r="CM490" s="1998">
        <v>1</v>
      </c>
      <c r="CN490" s="1998">
        <v>1</v>
      </c>
      <c r="CO490" s="1998">
        <v>1</v>
      </c>
      <c r="CP490" s="1979">
        <v>1</v>
      </c>
      <c r="CQ490" s="1979">
        <v>1</v>
      </c>
      <c r="CR490" s="1979">
        <v>1</v>
      </c>
      <c r="CS490" s="1979">
        <v>1</v>
      </c>
      <c r="CT490" s="1979">
        <v>1</v>
      </c>
      <c r="CU490" s="1998">
        <v>1</v>
      </c>
      <c r="CV490" s="1998">
        <v>1</v>
      </c>
      <c r="CW490" s="1998">
        <v>1</v>
      </c>
      <c r="CX490" s="1998">
        <v>1</v>
      </c>
      <c r="CY490" s="1998">
        <v>1</v>
      </c>
      <c r="CZ490" s="1979">
        <v>1.3333333333333333</v>
      </c>
      <c r="DA490" s="1979">
        <v>1.3333333333333333</v>
      </c>
      <c r="DB490" s="1979">
        <v>1.3333333333333333</v>
      </c>
      <c r="DC490" s="1979">
        <v>1.3333333333333333</v>
      </c>
      <c r="DD490" s="1979">
        <v>1.3333333333333333</v>
      </c>
      <c r="DE490" s="1998">
        <v>1</v>
      </c>
      <c r="DF490" s="1998">
        <v>1</v>
      </c>
      <c r="DG490" s="1998">
        <v>1</v>
      </c>
      <c r="DH490" s="1998">
        <v>1</v>
      </c>
      <c r="DI490" s="1998">
        <v>1</v>
      </c>
      <c r="DJ490" s="1979">
        <v>1</v>
      </c>
      <c r="DK490" s="1979">
        <v>1</v>
      </c>
      <c r="DL490" s="1979">
        <v>1</v>
      </c>
      <c r="DM490" s="1979">
        <v>1</v>
      </c>
      <c r="DN490" s="1979">
        <v>1</v>
      </c>
      <c r="DO490" s="1998">
        <v>0.12461206483213953</v>
      </c>
      <c r="DP490" s="1998">
        <v>0.12461206483213953</v>
      </c>
      <c r="DQ490" s="1998">
        <v>0.12461206483213953</v>
      </c>
      <c r="DR490" s="1998">
        <v>0.12461206483213953</v>
      </c>
      <c r="DS490" s="1998">
        <v>0.12461206483213953</v>
      </c>
      <c r="DT490" s="1979">
        <v>0.12783559671100567</v>
      </c>
      <c r="DU490" s="1979">
        <v>0.12783559671100567</v>
      </c>
      <c r="DV490" s="1979">
        <v>0.12783559671100567</v>
      </c>
      <c r="DW490" s="1979">
        <v>0.12783559671100567</v>
      </c>
      <c r="DX490" s="2021">
        <v>0.12783559671100567</v>
      </c>
      <c r="EA490" s="2022"/>
      <c r="EB490" s="2">
        <v>28</v>
      </c>
      <c r="EC490" s="2" t="s">
        <v>4274</v>
      </c>
      <c r="ED490" s="1998">
        <v>1.9131650441871284</v>
      </c>
      <c r="EE490" s="1998">
        <v>1.9131650441871284</v>
      </c>
      <c r="EF490" s="1998">
        <v>1.9131650441871284</v>
      </c>
      <c r="EG490" s="1998">
        <v>1.9131650441871284</v>
      </c>
      <c r="EH490" s="1998">
        <v>1.9131650441871284</v>
      </c>
      <c r="EI490" s="1979">
        <v>2.8465432892377889</v>
      </c>
      <c r="EJ490" s="1979">
        <v>2.8465432892377889</v>
      </c>
      <c r="EK490" s="1979">
        <v>2.8465432892377889</v>
      </c>
      <c r="EL490" s="1979">
        <v>2.8465432892377889</v>
      </c>
      <c r="EM490" s="1979">
        <v>2.8465432892377889</v>
      </c>
      <c r="EN490" s="1998">
        <v>1.5359628313625786</v>
      </c>
      <c r="EO490" s="1998">
        <v>1.5359628313625786</v>
      </c>
      <c r="EP490" s="1998">
        <v>1.5359628313625786</v>
      </c>
      <c r="EQ490" s="1998">
        <v>1.5359628313625786</v>
      </c>
      <c r="ER490" s="1998">
        <v>1.5359628313625786</v>
      </c>
      <c r="ES490" s="1979">
        <v>2.2223220121423544</v>
      </c>
      <c r="ET490" s="1979">
        <v>2.2223220121423544</v>
      </c>
      <c r="EU490" s="1979">
        <v>2.2223220121423544</v>
      </c>
      <c r="EV490" s="1979">
        <v>2.2223220121423544</v>
      </c>
      <c r="EW490" s="1979">
        <v>2.2223220121423544</v>
      </c>
      <c r="EX490" s="1998">
        <v>1.6025462768605891</v>
      </c>
      <c r="EY490" s="1998">
        <v>1.6025462768605891</v>
      </c>
      <c r="EZ490" s="1998">
        <v>1.6025462768605891</v>
      </c>
      <c r="FA490" s="1998">
        <v>1.6025462768605891</v>
      </c>
      <c r="FB490" s="1998">
        <v>1.6025462768605891</v>
      </c>
      <c r="FC490" s="1979">
        <v>2.7889449691881021</v>
      </c>
      <c r="FD490" s="1979">
        <v>2.7889449691881021</v>
      </c>
      <c r="FE490" s="1979">
        <v>2.7889449691881021</v>
      </c>
      <c r="FF490" s="1979">
        <v>2.7889449691881021</v>
      </c>
      <c r="FG490" s="1979">
        <v>2.7889449691881021</v>
      </c>
      <c r="FH490" s="1998">
        <v>3.0738975889732503</v>
      </c>
      <c r="FI490" s="1998">
        <v>3.0738975889732503</v>
      </c>
      <c r="FJ490" s="1998">
        <v>3.0738975889732503</v>
      </c>
      <c r="FK490" s="1998">
        <v>3.0738975889732503</v>
      </c>
      <c r="FL490" s="1998">
        <v>3.0738975889732503</v>
      </c>
      <c r="FM490" s="1979">
        <v>2.1488273674994858</v>
      </c>
      <c r="FN490" s="1979">
        <v>2.1488273674994858</v>
      </c>
      <c r="FO490" s="1979">
        <v>2.1488273674994858</v>
      </c>
      <c r="FP490" s="1979">
        <v>2.1488273674994858</v>
      </c>
      <c r="FQ490" s="1979">
        <v>2.1488273674994858</v>
      </c>
      <c r="FR490" s="1998">
        <v>13.369000166152871</v>
      </c>
      <c r="FS490" s="1998">
        <v>13.369000166152871</v>
      </c>
      <c r="FT490" s="1998">
        <v>13.369000166152871</v>
      </c>
      <c r="FU490" s="1998">
        <v>13.369000166152871</v>
      </c>
      <c r="FV490" s="1998">
        <v>13.369000166152871</v>
      </c>
      <c r="FW490" s="1979">
        <v>13.773442532407794</v>
      </c>
      <c r="FX490" s="1979">
        <v>13.773442532407794</v>
      </c>
      <c r="FY490" s="1979">
        <v>13.773442532407794</v>
      </c>
      <c r="FZ490" s="1979">
        <v>13.773442532407794</v>
      </c>
      <c r="GA490" s="1979">
        <v>13.773442532407794</v>
      </c>
      <c r="GB490" s="1998">
        <v>1.4210514828272911</v>
      </c>
      <c r="GC490" s="1998">
        <v>1.4210514828272911</v>
      </c>
      <c r="GD490" s="1998">
        <v>1.4210514828272911</v>
      </c>
      <c r="GE490" s="1998">
        <v>1.4210514828272911</v>
      </c>
      <c r="GF490" s="1998">
        <v>1.4210514828272911</v>
      </c>
      <c r="GG490" s="1979">
        <v>1.4937237494535853</v>
      </c>
      <c r="GH490" s="1979">
        <v>1.4937237494535853</v>
      </c>
      <c r="GI490" s="1979">
        <v>1.4937237494535853</v>
      </c>
      <c r="GJ490" s="1979">
        <v>1.4937237494535853</v>
      </c>
      <c r="GK490" s="2021">
        <v>1.4937237494535853</v>
      </c>
    </row>
    <row r="491" spans="1:193">
      <c r="A491" s="2020"/>
      <c r="B491" s="2">
        <v>29</v>
      </c>
      <c r="C491" s="2" t="str">
        <f>$AD$13</f>
        <v>Fondation superficielle</v>
      </c>
      <c r="D491" s="1998">
        <f>IF(Construction!$F$31=Construction!$R$22,Oeko!BQ491,Oeko!ED491)</f>
        <v>1</v>
      </c>
      <c r="E491" s="1998">
        <f>IF(Construction!$F$31=Construction!$R$22,Oeko!BR491,Oeko!EE491)</f>
        <v>1</v>
      </c>
      <c r="F491" s="1998">
        <f>IF(Construction!$F$31=Construction!$R$22,Oeko!BS491,Oeko!EF491)</f>
        <v>1</v>
      </c>
      <c r="G491" s="1998">
        <f>IF(Construction!$F$31=Construction!$R$22,Oeko!BT491,Oeko!EG491)</f>
        <v>1</v>
      </c>
      <c r="H491" s="1998">
        <f>IF(Construction!$F$31=Construction!$R$22,Oeko!BU491,Oeko!EH491)</f>
        <v>1</v>
      </c>
      <c r="I491" s="1979">
        <f>IF(Construction!$F$31=Construction!$R$22,Oeko!BV491,Oeko!EI491)</f>
        <v>1</v>
      </c>
      <c r="J491" s="1979">
        <f>IF(Construction!$F$31=Construction!$R$22,Oeko!BW491,Oeko!EJ491)</f>
        <v>1</v>
      </c>
      <c r="K491" s="1979">
        <f>IF(Construction!$F$31=Construction!$R$22,Oeko!BX491,Oeko!EK491)</f>
        <v>1</v>
      </c>
      <c r="L491" s="1979">
        <f>IF(Construction!$F$31=Construction!$R$22,Oeko!BY491,Oeko!EL491)</f>
        <v>1</v>
      </c>
      <c r="M491" s="1979">
        <f>IF(Construction!$F$31=Construction!$R$22,Oeko!BZ491,Oeko!EM491)</f>
        <v>1</v>
      </c>
      <c r="N491" s="1998">
        <f>IF(Construction!$F$31=Construction!$R$22,Oeko!CA491,Oeko!EN491)</f>
        <v>1</v>
      </c>
      <c r="O491" s="1998">
        <f>IF(Construction!$F$31=Construction!$R$22,Oeko!CB491,Oeko!EO491)</f>
        <v>1</v>
      </c>
      <c r="P491" s="1998">
        <f>IF(Construction!$F$31=Construction!$R$22,Oeko!CC491,Oeko!EP491)</f>
        <v>1</v>
      </c>
      <c r="Q491" s="1998">
        <f>IF(Construction!$F$31=Construction!$R$22,Oeko!CD491,Oeko!EQ491)</f>
        <v>1</v>
      </c>
      <c r="R491" s="1998">
        <f>IF(Construction!$F$31=Construction!$R$22,Oeko!CE491,Oeko!ER491)</f>
        <v>1</v>
      </c>
      <c r="S491" s="1979">
        <f>IF(Construction!$F$31=Construction!$R$22,Oeko!CF491,Oeko!ES491)</f>
        <v>1</v>
      </c>
      <c r="T491" s="1979">
        <f>IF(Construction!$F$31=Construction!$R$22,Oeko!CG491,Oeko!ET491)</f>
        <v>1</v>
      </c>
      <c r="U491" s="1979">
        <f>IF(Construction!$F$31=Construction!$R$22,Oeko!CH491,Oeko!EU491)</f>
        <v>1</v>
      </c>
      <c r="V491" s="1979">
        <f>IF(Construction!$F$31=Construction!$R$22,Oeko!CI491,Oeko!EV491)</f>
        <v>1</v>
      </c>
      <c r="W491" s="1979">
        <f>IF(Construction!$F$31=Construction!$R$22,Oeko!CJ491,Oeko!EW491)</f>
        <v>1</v>
      </c>
      <c r="X491" s="1998">
        <f>IF(Construction!$F$31=Construction!$R$22,Oeko!CK491,Oeko!EX491)</f>
        <v>1</v>
      </c>
      <c r="Y491" s="1998">
        <f>IF(Construction!$F$31=Construction!$R$22,Oeko!CL491,Oeko!EY491)</f>
        <v>1</v>
      </c>
      <c r="Z491" s="1998">
        <f>IF(Construction!$F$31=Construction!$R$22,Oeko!CM491,Oeko!EZ491)</f>
        <v>1</v>
      </c>
      <c r="AA491" s="1998">
        <f>IF(Construction!$F$31=Construction!$R$22,Oeko!CN491,Oeko!FA491)</f>
        <v>1</v>
      </c>
      <c r="AB491" s="1998">
        <f>IF(Construction!$F$31=Construction!$R$22,Oeko!CO491,Oeko!FB491)</f>
        <v>1</v>
      </c>
      <c r="AC491" s="1979">
        <f>IF(Construction!$F$31=Construction!$R$22,Oeko!CP491,Oeko!FC491)</f>
        <v>1</v>
      </c>
      <c r="AD491" s="1979">
        <f>IF(Construction!$F$31=Construction!$R$22,Oeko!CQ491,Oeko!FD491)</f>
        <v>1</v>
      </c>
      <c r="AE491" s="1979">
        <f>IF(Construction!$F$31=Construction!$R$22,Oeko!CR491,Oeko!FE491)</f>
        <v>1</v>
      </c>
      <c r="AF491" s="1979">
        <f>IF(Construction!$F$31=Construction!$R$22,Oeko!CS491,Oeko!FF491)</f>
        <v>1</v>
      </c>
      <c r="AG491" s="1979">
        <f>IF(Construction!$F$31=Construction!$R$22,Oeko!CT491,Oeko!FG491)</f>
        <v>1</v>
      </c>
      <c r="AH491" s="1998">
        <f>IF(Construction!$F$31=Construction!$R$22,Oeko!CU491,Oeko!FH491)</f>
        <v>1</v>
      </c>
      <c r="AI491" s="1998">
        <f>IF(Construction!$F$31=Construction!$R$22,Oeko!CV491,Oeko!FI491)</f>
        <v>1</v>
      </c>
      <c r="AJ491" s="1998">
        <f>IF(Construction!$F$31=Construction!$R$22,Oeko!CW491,Oeko!FJ491)</f>
        <v>1</v>
      </c>
      <c r="AK491" s="1998">
        <f>IF(Construction!$F$31=Construction!$R$22,Oeko!CX491,Oeko!FK491)</f>
        <v>1</v>
      </c>
      <c r="AL491" s="1998">
        <f>IF(Construction!$F$31=Construction!$R$22,Oeko!CY491,Oeko!FL491)</f>
        <v>1</v>
      </c>
      <c r="AM491" s="1979">
        <f>IF(Construction!$F$31=Construction!$R$22,Oeko!CZ491,Oeko!FM491)</f>
        <v>1</v>
      </c>
      <c r="AN491" s="1979">
        <f>IF(Construction!$F$31=Construction!$R$22,Oeko!DA491,Oeko!FN491)</f>
        <v>1</v>
      </c>
      <c r="AO491" s="1979">
        <f>IF(Construction!$F$31=Construction!$R$22,Oeko!DB491,Oeko!FO491)</f>
        <v>1</v>
      </c>
      <c r="AP491" s="1979">
        <f>IF(Construction!$F$31=Construction!$R$22,Oeko!DC491,Oeko!FP491)</f>
        <v>1</v>
      </c>
      <c r="AQ491" s="1979">
        <f>IF(Construction!$F$31=Construction!$R$22,Oeko!DD491,Oeko!FQ491)</f>
        <v>1</v>
      </c>
      <c r="AR491" s="1998">
        <f>IF(Construction!$F$31=Construction!$R$22,Oeko!DE491,Oeko!FR491)</f>
        <v>1</v>
      </c>
      <c r="AS491" s="1998">
        <f>IF(Construction!$F$31=Construction!$R$22,Oeko!DF491,Oeko!FS491)</f>
        <v>1</v>
      </c>
      <c r="AT491" s="1998">
        <f>IF(Construction!$F$31=Construction!$R$22,Oeko!DG491,Oeko!FT491)</f>
        <v>1</v>
      </c>
      <c r="AU491" s="1998">
        <f>IF(Construction!$F$31=Construction!$R$22,Oeko!DH491,Oeko!FU491)</f>
        <v>1</v>
      </c>
      <c r="AV491" s="1998">
        <f>IF(Construction!$F$31=Construction!$R$22,Oeko!DI491,Oeko!FV491)</f>
        <v>1</v>
      </c>
      <c r="AW491" s="1979">
        <f>IF(Construction!$F$31=Construction!$R$22,Oeko!DJ491,Oeko!FW491)</f>
        <v>1</v>
      </c>
      <c r="AX491" s="1979">
        <f>IF(Construction!$F$31=Construction!$R$22,Oeko!DK491,Oeko!FX491)</f>
        <v>1</v>
      </c>
      <c r="AY491" s="1979">
        <f>IF(Construction!$F$31=Construction!$R$22,Oeko!DL491,Oeko!FY491)</f>
        <v>1</v>
      </c>
      <c r="AZ491" s="1979">
        <f>IF(Construction!$F$31=Construction!$R$22,Oeko!DM491,Oeko!FZ491)</f>
        <v>1</v>
      </c>
      <c r="BA491" s="1979">
        <f>IF(Construction!$F$31=Construction!$R$22,Oeko!DN491,Oeko!GA491)</f>
        <v>1</v>
      </c>
      <c r="BB491" s="1998">
        <f>IF(Construction!$F$31=Construction!$R$22,Oeko!DO491,Oeko!GB491)</f>
        <v>1</v>
      </c>
      <c r="BC491" s="1998">
        <f>IF(Construction!$F$31=Construction!$R$22,Oeko!DP491,Oeko!GC491)</f>
        <v>1</v>
      </c>
      <c r="BD491" s="1998">
        <f>IF(Construction!$F$31=Construction!$R$22,Oeko!DQ491,Oeko!GD491)</f>
        <v>1</v>
      </c>
      <c r="BE491" s="1998">
        <f>IF(Construction!$F$31=Construction!$R$22,Oeko!DR491,Oeko!GE491)</f>
        <v>1</v>
      </c>
      <c r="BF491" s="1998">
        <f>IF(Construction!$F$31=Construction!$R$22,Oeko!DS491,Oeko!GF491)</f>
        <v>1</v>
      </c>
      <c r="BG491" s="1979">
        <f>IF(Construction!$F$31=Construction!$R$22,Oeko!DT491,Oeko!GG491)</f>
        <v>1</v>
      </c>
      <c r="BH491" s="1979">
        <f>IF(Construction!$F$31=Construction!$R$22,Oeko!DU491,Oeko!GH491)</f>
        <v>1</v>
      </c>
      <c r="BI491" s="1979">
        <f>IF(Construction!$F$31=Construction!$R$22,Oeko!DV491,Oeko!GI491)</f>
        <v>1</v>
      </c>
      <c r="BJ491" s="1979">
        <f>IF(Construction!$F$31=Construction!$R$22,Oeko!DW491,Oeko!GJ491)</f>
        <v>1</v>
      </c>
      <c r="BK491" s="2021">
        <f>IF(Construction!$F$31=Construction!$R$22,Oeko!DX491,Oeko!GK491)</f>
        <v>1</v>
      </c>
      <c r="BN491" s="2022"/>
      <c r="BO491" s="2">
        <v>29</v>
      </c>
      <c r="BP491" s="2" t="str">
        <f>$AD$13</f>
        <v>Fondation superficielle</v>
      </c>
      <c r="BQ491" s="1998">
        <v>1</v>
      </c>
      <c r="BR491" s="1998">
        <v>1</v>
      </c>
      <c r="BS491" s="1998">
        <v>1</v>
      </c>
      <c r="BT491" s="1998">
        <v>1</v>
      </c>
      <c r="BU491" s="1998">
        <v>1</v>
      </c>
      <c r="BV491" s="1979">
        <v>1</v>
      </c>
      <c r="BW491" s="1979">
        <v>1</v>
      </c>
      <c r="BX491" s="1979">
        <v>1</v>
      </c>
      <c r="BY491" s="1979">
        <v>1</v>
      </c>
      <c r="BZ491" s="1979">
        <v>1</v>
      </c>
      <c r="CA491" s="1998">
        <v>1</v>
      </c>
      <c r="CB491" s="1998">
        <v>1</v>
      </c>
      <c r="CC491" s="1998">
        <v>1</v>
      </c>
      <c r="CD491" s="1998">
        <v>1</v>
      </c>
      <c r="CE491" s="1998">
        <v>1</v>
      </c>
      <c r="CF491" s="1979">
        <v>1</v>
      </c>
      <c r="CG491" s="1979">
        <v>1</v>
      </c>
      <c r="CH491" s="1979">
        <v>1</v>
      </c>
      <c r="CI491" s="1979">
        <v>1</v>
      </c>
      <c r="CJ491" s="1979">
        <v>1</v>
      </c>
      <c r="CK491" s="1998">
        <v>1</v>
      </c>
      <c r="CL491" s="1998">
        <v>1</v>
      </c>
      <c r="CM491" s="1998">
        <v>1</v>
      </c>
      <c r="CN491" s="1998">
        <v>1</v>
      </c>
      <c r="CO491" s="1998">
        <v>1</v>
      </c>
      <c r="CP491" s="1979">
        <v>1</v>
      </c>
      <c r="CQ491" s="1979">
        <v>1</v>
      </c>
      <c r="CR491" s="1979">
        <v>1</v>
      </c>
      <c r="CS491" s="1979">
        <v>1</v>
      </c>
      <c r="CT491" s="1979">
        <v>1</v>
      </c>
      <c r="CU491" s="1998">
        <v>1</v>
      </c>
      <c r="CV491" s="1998">
        <v>1</v>
      </c>
      <c r="CW491" s="1998">
        <v>1</v>
      </c>
      <c r="CX491" s="1998">
        <v>1</v>
      </c>
      <c r="CY491" s="1998">
        <v>1</v>
      </c>
      <c r="CZ491" s="1979">
        <v>1</v>
      </c>
      <c r="DA491" s="1979">
        <v>1</v>
      </c>
      <c r="DB491" s="1979">
        <v>1</v>
      </c>
      <c r="DC491" s="1979">
        <v>1</v>
      </c>
      <c r="DD491" s="1979">
        <v>1</v>
      </c>
      <c r="DE491" s="1998">
        <v>1</v>
      </c>
      <c r="DF491" s="1998">
        <v>1</v>
      </c>
      <c r="DG491" s="1998">
        <v>1</v>
      </c>
      <c r="DH491" s="1998">
        <v>1</v>
      </c>
      <c r="DI491" s="1998">
        <v>1</v>
      </c>
      <c r="DJ491" s="1979">
        <v>1</v>
      </c>
      <c r="DK491" s="1979">
        <v>1</v>
      </c>
      <c r="DL491" s="1979">
        <v>1</v>
      </c>
      <c r="DM491" s="1979">
        <v>1</v>
      </c>
      <c r="DN491" s="1979">
        <v>1</v>
      </c>
      <c r="DO491" s="1998">
        <v>1</v>
      </c>
      <c r="DP491" s="1998">
        <v>1</v>
      </c>
      <c r="DQ491" s="1998">
        <v>1</v>
      </c>
      <c r="DR491" s="1998">
        <v>1</v>
      </c>
      <c r="DS491" s="1998">
        <v>1</v>
      </c>
      <c r="DT491" s="1979">
        <v>1</v>
      </c>
      <c r="DU491" s="1979">
        <v>1</v>
      </c>
      <c r="DV491" s="1979">
        <v>1</v>
      </c>
      <c r="DW491" s="1979">
        <v>1</v>
      </c>
      <c r="DX491" s="2021">
        <v>1</v>
      </c>
      <c r="EA491" s="2022"/>
      <c r="EB491" s="2">
        <v>29</v>
      </c>
      <c r="EC491" s="2" t="str">
        <f>$AD$13</f>
        <v>Fondation superficielle</v>
      </c>
      <c r="ED491" s="1998">
        <v>1.3605609674202821</v>
      </c>
      <c r="EE491" s="1998">
        <v>1.3605609674202821</v>
      </c>
      <c r="EF491" s="1998">
        <v>1.3605609674202821</v>
      </c>
      <c r="EG491" s="1998">
        <v>1.3605609674202821</v>
      </c>
      <c r="EH491" s="1998">
        <v>1.3605609674202821</v>
      </c>
      <c r="EI491" s="1979">
        <v>2.0966679740137137</v>
      </c>
      <c r="EJ491" s="1979">
        <v>2.0966679740137137</v>
      </c>
      <c r="EK491" s="1979">
        <v>2.0966679740137137</v>
      </c>
      <c r="EL491" s="1979">
        <v>2.0966679740137137</v>
      </c>
      <c r="EM491" s="1979">
        <v>2.0966679740137137</v>
      </c>
      <c r="EN491" s="1998">
        <v>1.4337071065592959</v>
      </c>
      <c r="EO491" s="1998">
        <v>1.4337071065592959</v>
      </c>
      <c r="EP491" s="1998">
        <v>1.4337071065592959</v>
      </c>
      <c r="EQ491" s="1998">
        <v>1.4337071065592959</v>
      </c>
      <c r="ER491" s="1998">
        <v>1.4337071065592959</v>
      </c>
      <c r="ES491" s="1979">
        <v>1.8379162318633464</v>
      </c>
      <c r="ET491" s="1979">
        <v>1.8379162318633464</v>
      </c>
      <c r="EU491" s="1979">
        <v>1.8379162318633464</v>
      </c>
      <c r="EV491" s="1979">
        <v>1.8379162318633464</v>
      </c>
      <c r="EW491" s="1979">
        <v>1.8379162318633464</v>
      </c>
      <c r="EX491" s="1998">
        <v>1.4662053104562123</v>
      </c>
      <c r="EY491" s="1998">
        <v>1.4662053104562123</v>
      </c>
      <c r="EZ491" s="1998">
        <v>1.4662053104562123</v>
      </c>
      <c r="FA491" s="1998">
        <v>1.4662053104562123</v>
      </c>
      <c r="FB491" s="1998">
        <v>1.4662053104562123</v>
      </c>
      <c r="FC491" s="1979">
        <v>1.6277744053108218</v>
      </c>
      <c r="FD491" s="1979">
        <v>1.6277744053108218</v>
      </c>
      <c r="FE491" s="1979">
        <v>1.6277744053108218</v>
      </c>
      <c r="FF491" s="1979">
        <v>1.6277744053108218</v>
      </c>
      <c r="FG491" s="1979">
        <v>1.6277744053108218</v>
      </c>
      <c r="FH491" s="1998">
        <v>2.3921927569513635</v>
      </c>
      <c r="FI491" s="1998">
        <v>2.3921927569513635</v>
      </c>
      <c r="FJ491" s="1998">
        <v>2.3921927569513635</v>
      </c>
      <c r="FK491" s="1998">
        <v>2.3921927569513635</v>
      </c>
      <c r="FL491" s="1998">
        <v>2.3921927569513635</v>
      </c>
      <c r="FM491" s="1979">
        <v>1.5115041757386145</v>
      </c>
      <c r="FN491" s="1979">
        <v>1.5115041757386145</v>
      </c>
      <c r="FO491" s="1979">
        <v>1.5115041757386145</v>
      </c>
      <c r="FP491" s="1979">
        <v>1.5115041757386145</v>
      </c>
      <c r="FQ491" s="1979">
        <v>1.5115041757386145</v>
      </c>
      <c r="FR491" s="1998">
        <v>8.1198212572277306</v>
      </c>
      <c r="FS491" s="1998">
        <v>8.1198212572277306</v>
      </c>
      <c r="FT491" s="1998">
        <v>8.1198212572277306</v>
      </c>
      <c r="FU491" s="1998">
        <v>8.1198212572277306</v>
      </c>
      <c r="FV491" s="1998">
        <v>8.1198212572277306</v>
      </c>
      <c r="FW491" s="1979">
        <v>8.4799072816005001</v>
      </c>
      <c r="FX491" s="1979">
        <v>8.4799072816005001</v>
      </c>
      <c r="FY491" s="1979">
        <v>8.4799072816005001</v>
      </c>
      <c r="FZ491" s="1979">
        <v>8.4799072816005001</v>
      </c>
      <c r="GA491" s="1979">
        <v>8.4799072816005001</v>
      </c>
      <c r="GB491" s="1998">
        <v>1.3861479372000356</v>
      </c>
      <c r="GC491" s="1998">
        <v>1.3861479372000356</v>
      </c>
      <c r="GD491" s="1998">
        <v>1.3861479372000356</v>
      </c>
      <c r="GE491" s="1998">
        <v>1.3861479372000356</v>
      </c>
      <c r="GF491" s="1998">
        <v>1.3861479372000356</v>
      </c>
      <c r="GG491" s="1979">
        <v>1.4313071575784038</v>
      </c>
      <c r="GH491" s="1979">
        <v>1.4313071575784038</v>
      </c>
      <c r="GI491" s="1979">
        <v>1.4313071575784038</v>
      </c>
      <c r="GJ491" s="1979">
        <v>1.4313071575784038</v>
      </c>
      <c r="GK491" s="2021">
        <v>1.4313071575784038</v>
      </c>
    </row>
    <row r="492" spans="1:193">
      <c r="A492" s="2020"/>
      <c r="B492" s="2">
        <v>30</v>
      </c>
      <c r="C492" s="2" t="str">
        <f>$AD$14</f>
        <v>Micro-pieux</v>
      </c>
      <c r="D492" s="1998">
        <f>IF(Construction!$F$31=Construction!$R$22,Oeko!BQ492,Oeko!ED492)</f>
        <v>1</v>
      </c>
      <c r="E492" s="1998">
        <f>IF(Construction!$F$31=Construction!$R$22,Oeko!BR492,Oeko!EE492)</f>
        <v>1</v>
      </c>
      <c r="F492" s="1998">
        <f>IF(Construction!$F$31=Construction!$R$22,Oeko!BS492,Oeko!EF492)</f>
        <v>1</v>
      </c>
      <c r="G492" s="1998">
        <f>IF(Construction!$F$31=Construction!$R$22,Oeko!BT492,Oeko!EG492)</f>
        <v>1</v>
      </c>
      <c r="H492" s="1998">
        <f>IF(Construction!$F$31=Construction!$R$22,Oeko!BU492,Oeko!EH492)</f>
        <v>1</v>
      </c>
      <c r="I492" s="1979">
        <f>IF(Construction!$F$31=Construction!$R$22,Oeko!BV492,Oeko!EI492)</f>
        <v>1</v>
      </c>
      <c r="J492" s="1979">
        <f>IF(Construction!$F$31=Construction!$R$22,Oeko!BW492,Oeko!EJ492)</f>
        <v>1</v>
      </c>
      <c r="K492" s="1979">
        <f>IF(Construction!$F$31=Construction!$R$22,Oeko!BX492,Oeko!EK492)</f>
        <v>1</v>
      </c>
      <c r="L492" s="1979">
        <f>IF(Construction!$F$31=Construction!$R$22,Oeko!BY492,Oeko!EL492)</f>
        <v>1</v>
      </c>
      <c r="M492" s="1979">
        <f>IF(Construction!$F$31=Construction!$R$22,Oeko!BZ492,Oeko!EM492)</f>
        <v>1</v>
      </c>
      <c r="N492" s="1998">
        <f>IF(Construction!$F$31=Construction!$R$22,Oeko!CA492,Oeko!EN492)</f>
        <v>1</v>
      </c>
      <c r="O492" s="1998">
        <f>IF(Construction!$F$31=Construction!$R$22,Oeko!CB492,Oeko!EO492)</f>
        <v>1</v>
      </c>
      <c r="P492" s="1998">
        <f>IF(Construction!$F$31=Construction!$R$22,Oeko!CC492,Oeko!EP492)</f>
        <v>1</v>
      </c>
      <c r="Q492" s="1998">
        <f>IF(Construction!$F$31=Construction!$R$22,Oeko!CD492,Oeko!EQ492)</f>
        <v>1</v>
      </c>
      <c r="R492" s="1998">
        <f>IF(Construction!$F$31=Construction!$R$22,Oeko!CE492,Oeko!ER492)</f>
        <v>1</v>
      </c>
      <c r="S492" s="1979">
        <f>IF(Construction!$F$31=Construction!$R$22,Oeko!CF492,Oeko!ES492)</f>
        <v>1</v>
      </c>
      <c r="T492" s="1979">
        <f>IF(Construction!$F$31=Construction!$R$22,Oeko!CG492,Oeko!ET492)</f>
        <v>1</v>
      </c>
      <c r="U492" s="1979">
        <f>IF(Construction!$F$31=Construction!$R$22,Oeko!CH492,Oeko!EU492)</f>
        <v>1</v>
      </c>
      <c r="V492" s="1979">
        <f>IF(Construction!$F$31=Construction!$R$22,Oeko!CI492,Oeko!EV492)</f>
        <v>1</v>
      </c>
      <c r="W492" s="1979">
        <f>IF(Construction!$F$31=Construction!$R$22,Oeko!CJ492,Oeko!EW492)</f>
        <v>1</v>
      </c>
      <c r="X492" s="1998">
        <f>IF(Construction!$F$31=Construction!$R$22,Oeko!CK492,Oeko!EX492)</f>
        <v>1</v>
      </c>
      <c r="Y492" s="1998">
        <f>IF(Construction!$F$31=Construction!$R$22,Oeko!CL492,Oeko!EY492)</f>
        <v>1</v>
      </c>
      <c r="Z492" s="1998">
        <f>IF(Construction!$F$31=Construction!$R$22,Oeko!CM492,Oeko!EZ492)</f>
        <v>1</v>
      </c>
      <c r="AA492" s="1998">
        <f>IF(Construction!$F$31=Construction!$R$22,Oeko!CN492,Oeko!FA492)</f>
        <v>1</v>
      </c>
      <c r="AB492" s="1998">
        <f>IF(Construction!$F$31=Construction!$R$22,Oeko!CO492,Oeko!FB492)</f>
        <v>1</v>
      </c>
      <c r="AC492" s="1979">
        <f>IF(Construction!$F$31=Construction!$R$22,Oeko!CP492,Oeko!FC492)</f>
        <v>1</v>
      </c>
      <c r="AD492" s="1979">
        <f>IF(Construction!$F$31=Construction!$R$22,Oeko!CQ492,Oeko!FD492)</f>
        <v>1</v>
      </c>
      <c r="AE492" s="1979">
        <f>IF(Construction!$F$31=Construction!$R$22,Oeko!CR492,Oeko!FE492)</f>
        <v>1</v>
      </c>
      <c r="AF492" s="1979">
        <f>IF(Construction!$F$31=Construction!$R$22,Oeko!CS492,Oeko!FF492)</f>
        <v>1</v>
      </c>
      <c r="AG492" s="1979">
        <f>IF(Construction!$F$31=Construction!$R$22,Oeko!CT492,Oeko!FG492)</f>
        <v>1</v>
      </c>
      <c r="AH492" s="1998">
        <f>IF(Construction!$F$31=Construction!$R$22,Oeko!CU492,Oeko!FH492)</f>
        <v>1</v>
      </c>
      <c r="AI492" s="1998">
        <f>IF(Construction!$F$31=Construction!$R$22,Oeko!CV492,Oeko!FI492)</f>
        <v>1</v>
      </c>
      <c r="AJ492" s="1998">
        <f>IF(Construction!$F$31=Construction!$R$22,Oeko!CW492,Oeko!FJ492)</f>
        <v>1</v>
      </c>
      <c r="AK492" s="1998">
        <f>IF(Construction!$F$31=Construction!$R$22,Oeko!CX492,Oeko!FK492)</f>
        <v>1</v>
      </c>
      <c r="AL492" s="1998">
        <f>IF(Construction!$F$31=Construction!$R$22,Oeko!CY492,Oeko!FL492)</f>
        <v>1</v>
      </c>
      <c r="AM492" s="1979">
        <f>IF(Construction!$F$31=Construction!$R$22,Oeko!CZ492,Oeko!FM492)</f>
        <v>1</v>
      </c>
      <c r="AN492" s="1979">
        <f>IF(Construction!$F$31=Construction!$R$22,Oeko!DA492,Oeko!FN492)</f>
        <v>1</v>
      </c>
      <c r="AO492" s="1979">
        <f>IF(Construction!$F$31=Construction!$R$22,Oeko!DB492,Oeko!FO492)</f>
        <v>1</v>
      </c>
      <c r="AP492" s="1979">
        <f>IF(Construction!$F$31=Construction!$R$22,Oeko!DC492,Oeko!FP492)</f>
        <v>1</v>
      </c>
      <c r="AQ492" s="1979">
        <f>IF(Construction!$F$31=Construction!$R$22,Oeko!DD492,Oeko!FQ492)</f>
        <v>1</v>
      </c>
      <c r="AR492" s="1998">
        <f>IF(Construction!$F$31=Construction!$R$22,Oeko!DE492,Oeko!FR492)</f>
        <v>1</v>
      </c>
      <c r="AS492" s="1998">
        <f>IF(Construction!$F$31=Construction!$R$22,Oeko!DF492,Oeko!FS492)</f>
        <v>1</v>
      </c>
      <c r="AT492" s="1998">
        <f>IF(Construction!$F$31=Construction!$R$22,Oeko!DG492,Oeko!FT492)</f>
        <v>1</v>
      </c>
      <c r="AU492" s="1998">
        <f>IF(Construction!$F$31=Construction!$R$22,Oeko!DH492,Oeko!FU492)</f>
        <v>1</v>
      </c>
      <c r="AV492" s="1998">
        <f>IF(Construction!$F$31=Construction!$R$22,Oeko!DI492,Oeko!FV492)</f>
        <v>1</v>
      </c>
      <c r="AW492" s="1979">
        <f>IF(Construction!$F$31=Construction!$R$22,Oeko!DJ492,Oeko!FW492)</f>
        <v>1</v>
      </c>
      <c r="AX492" s="1979">
        <f>IF(Construction!$F$31=Construction!$R$22,Oeko!DK492,Oeko!FX492)</f>
        <v>1</v>
      </c>
      <c r="AY492" s="1979">
        <f>IF(Construction!$F$31=Construction!$R$22,Oeko!DL492,Oeko!FY492)</f>
        <v>1</v>
      </c>
      <c r="AZ492" s="1979">
        <f>IF(Construction!$F$31=Construction!$R$22,Oeko!DM492,Oeko!FZ492)</f>
        <v>1</v>
      </c>
      <c r="BA492" s="1979">
        <f>IF(Construction!$F$31=Construction!$R$22,Oeko!DN492,Oeko!GA492)</f>
        <v>1</v>
      </c>
      <c r="BB492" s="1998">
        <f>IF(Construction!$F$31=Construction!$R$22,Oeko!DO492,Oeko!GB492)</f>
        <v>1</v>
      </c>
      <c r="BC492" s="1998">
        <f>IF(Construction!$F$31=Construction!$R$22,Oeko!DP492,Oeko!GC492)</f>
        <v>1</v>
      </c>
      <c r="BD492" s="1998">
        <f>IF(Construction!$F$31=Construction!$R$22,Oeko!DQ492,Oeko!GD492)</f>
        <v>1</v>
      </c>
      <c r="BE492" s="1998">
        <f>IF(Construction!$F$31=Construction!$R$22,Oeko!DR492,Oeko!GE492)</f>
        <v>1</v>
      </c>
      <c r="BF492" s="1998">
        <f>IF(Construction!$F$31=Construction!$R$22,Oeko!DS492,Oeko!GF492)</f>
        <v>1</v>
      </c>
      <c r="BG492" s="1979">
        <f>IF(Construction!$F$31=Construction!$R$22,Oeko!DT492,Oeko!GG492)</f>
        <v>1</v>
      </c>
      <c r="BH492" s="1979">
        <f>IF(Construction!$F$31=Construction!$R$22,Oeko!DU492,Oeko!GH492)</f>
        <v>1</v>
      </c>
      <c r="BI492" s="1979">
        <f>IF(Construction!$F$31=Construction!$R$22,Oeko!DV492,Oeko!GI492)</f>
        <v>1</v>
      </c>
      <c r="BJ492" s="1979">
        <f>IF(Construction!$F$31=Construction!$R$22,Oeko!DW492,Oeko!GJ492)</f>
        <v>1</v>
      </c>
      <c r="BK492" s="2021">
        <f>IF(Construction!$F$31=Construction!$R$22,Oeko!DX492,Oeko!GK492)</f>
        <v>1</v>
      </c>
      <c r="BN492" s="2022"/>
      <c r="BO492" s="2">
        <v>30</v>
      </c>
      <c r="BP492" s="2" t="str">
        <f>$AD$14</f>
        <v>Micro-pieux</v>
      </c>
      <c r="BQ492" s="1998">
        <v>1</v>
      </c>
      <c r="BR492" s="1998">
        <v>1</v>
      </c>
      <c r="BS492" s="1998">
        <v>1</v>
      </c>
      <c r="BT492" s="1998">
        <v>1</v>
      </c>
      <c r="BU492" s="1998">
        <v>1</v>
      </c>
      <c r="BV492" s="1979">
        <v>1</v>
      </c>
      <c r="BW492" s="1979">
        <v>1</v>
      </c>
      <c r="BX492" s="1979">
        <v>1</v>
      </c>
      <c r="BY492" s="1979">
        <v>1</v>
      </c>
      <c r="BZ492" s="1979">
        <v>1</v>
      </c>
      <c r="CA492" s="1998">
        <v>1</v>
      </c>
      <c r="CB492" s="1998">
        <v>1</v>
      </c>
      <c r="CC492" s="1998">
        <v>1</v>
      </c>
      <c r="CD492" s="1998">
        <v>1</v>
      </c>
      <c r="CE492" s="1998">
        <v>1</v>
      </c>
      <c r="CF492" s="1979">
        <v>1</v>
      </c>
      <c r="CG492" s="1979">
        <v>1</v>
      </c>
      <c r="CH492" s="1979">
        <v>1</v>
      </c>
      <c r="CI492" s="1979">
        <v>1</v>
      </c>
      <c r="CJ492" s="1979">
        <v>1</v>
      </c>
      <c r="CK492" s="1998">
        <v>1</v>
      </c>
      <c r="CL492" s="1998">
        <v>1</v>
      </c>
      <c r="CM492" s="1998">
        <v>1</v>
      </c>
      <c r="CN492" s="1998">
        <v>1</v>
      </c>
      <c r="CO492" s="1998">
        <v>1</v>
      </c>
      <c r="CP492" s="1979">
        <v>1</v>
      </c>
      <c r="CQ492" s="1979">
        <v>1</v>
      </c>
      <c r="CR492" s="1979">
        <v>1</v>
      </c>
      <c r="CS492" s="1979">
        <v>1</v>
      </c>
      <c r="CT492" s="1979">
        <v>1</v>
      </c>
      <c r="CU492" s="1998">
        <v>1</v>
      </c>
      <c r="CV492" s="1998">
        <v>1</v>
      </c>
      <c r="CW492" s="1998">
        <v>1</v>
      </c>
      <c r="CX492" s="1998">
        <v>1</v>
      </c>
      <c r="CY492" s="1998">
        <v>1</v>
      </c>
      <c r="CZ492" s="1979">
        <v>1</v>
      </c>
      <c r="DA492" s="1979">
        <v>1</v>
      </c>
      <c r="DB492" s="1979">
        <v>1</v>
      </c>
      <c r="DC492" s="1979">
        <v>1</v>
      </c>
      <c r="DD492" s="1979">
        <v>1</v>
      </c>
      <c r="DE492" s="1998">
        <v>1</v>
      </c>
      <c r="DF492" s="1998">
        <v>1</v>
      </c>
      <c r="DG492" s="1998">
        <v>1</v>
      </c>
      <c r="DH492" s="1998">
        <v>1</v>
      </c>
      <c r="DI492" s="1998">
        <v>1</v>
      </c>
      <c r="DJ492" s="1979">
        <v>1</v>
      </c>
      <c r="DK492" s="1979">
        <v>1</v>
      </c>
      <c r="DL492" s="1979">
        <v>1</v>
      </c>
      <c r="DM492" s="1979">
        <v>1</v>
      </c>
      <c r="DN492" s="1979">
        <v>1</v>
      </c>
      <c r="DO492" s="1998">
        <v>1</v>
      </c>
      <c r="DP492" s="1998">
        <v>1</v>
      </c>
      <c r="DQ492" s="1998">
        <v>1</v>
      </c>
      <c r="DR492" s="1998">
        <v>1</v>
      </c>
      <c r="DS492" s="1998">
        <v>1</v>
      </c>
      <c r="DT492" s="1979">
        <v>1</v>
      </c>
      <c r="DU492" s="1979">
        <v>1</v>
      </c>
      <c r="DV492" s="1979">
        <v>1</v>
      </c>
      <c r="DW492" s="1979">
        <v>1</v>
      </c>
      <c r="DX492" s="2021">
        <v>1</v>
      </c>
      <c r="EA492" s="2022"/>
      <c r="EB492" s="2">
        <v>30</v>
      </c>
      <c r="EC492" s="2" t="str">
        <f>$AD$14</f>
        <v>Micro-pieux</v>
      </c>
      <c r="ED492" s="1998">
        <v>1.3605609674202821</v>
      </c>
      <c r="EE492" s="1998">
        <v>1.3605609674202821</v>
      </c>
      <c r="EF492" s="1998">
        <v>1.3605609674202821</v>
      </c>
      <c r="EG492" s="1998">
        <v>1.3605609674202821</v>
      </c>
      <c r="EH492" s="1998">
        <v>1.3605609674202821</v>
      </c>
      <c r="EI492" s="1979">
        <v>2.0966679740137137</v>
      </c>
      <c r="EJ492" s="1979">
        <v>2.0966679740137137</v>
      </c>
      <c r="EK492" s="1979">
        <v>2.0966679740137137</v>
      </c>
      <c r="EL492" s="1979">
        <v>2.0966679740137137</v>
      </c>
      <c r="EM492" s="1979">
        <v>2.0966679740137137</v>
      </c>
      <c r="EN492" s="1998">
        <v>1.4337071065592959</v>
      </c>
      <c r="EO492" s="1998">
        <v>1.4337071065592959</v>
      </c>
      <c r="EP492" s="1998">
        <v>1.4337071065592959</v>
      </c>
      <c r="EQ492" s="1998">
        <v>1.4337071065592959</v>
      </c>
      <c r="ER492" s="1998">
        <v>1.4337071065592959</v>
      </c>
      <c r="ES492" s="1979">
        <v>1.8379162318633464</v>
      </c>
      <c r="ET492" s="1979">
        <v>1.8379162318633464</v>
      </c>
      <c r="EU492" s="1979">
        <v>1.8379162318633464</v>
      </c>
      <c r="EV492" s="1979">
        <v>1.8379162318633464</v>
      </c>
      <c r="EW492" s="1979">
        <v>1.8379162318633464</v>
      </c>
      <c r="EX492" s="1998">
        <v>1.4662053104562123</v>
      </c>
      <c r="EY492" s="1998">
        <v>1.4662053104562123</v>
      </c>
      <c r="EZ492" s="1998">
        <v>1.4662053104562123</v>
      </c>
      <c r="FA492" s="1998">
        <v>1.4662053104562123</v>
      </c>
      <c r="FB492" s="1998">
        <v>1.4662053104562123</v>
      </c>
      <c r="FC492" s="1979">
        <v>1.6277744053108218</v>
      </c>
      <c r="FD492" s="1979">
        <v>1.6277744053108218</v>
      </c>
      <c r="FE492" s="1979">
        <v>1.6277744053108218</v>
      </c>
      <c r="FF492" s="1979">
        <v>1.6277744053108218</v>
      </c>
      <c r="FG492" s="1979">
        <v>1.6277744053108218</v>
      </c>
      <c r="FH492" s="1998">
        <v>2.3921927569513635</v>
      </c>
      <c r="FI492" s="1998">
        <v>2.3921927569513635</v>
      </c>
      <c r="FJ492" s="1998">
        <v>2.3921927569513635</v>
      </c>
      <c r="FK492" s="1998">
        <v>2.3921927569513635</v>
      </c>
      <c r="FL492" s="1998">
        <v>2.3921927569513635</v>
      </c>
      <c r="FM492" s="1979">
        <v>1.5115041757386145</v>
      </c>
      <c r="FN492" s="1979">
        <v>1.5115041757386145</v>
      </c>
      <c r="FO492" s="1979">
        <v>1.5115041757386145</v>
      </c>
      <c r="FP492" s="1979">
        <v>1.5115041757386145</v>
      </c>
      <c r="FQ492" s="1979">
        <v>1.5115041757386145</v>
      </c>
      <c r="FR492" s="1998">
        <v>8.1198212572277306</v>
      </c>
      <c r="FS492" s="1998">
        <v>8.1198212572277306</v>
      </c>
      <c r="FT492" s="1998">
        <v>8.1198212572277306</v>
      </c>
      <c r="FU492" s="1998">
        <v>8.1198212572277306</v>
      </c>
      <c r="FV492" s="1998">
        <v>8.1198212572277306</v>
      </c>
      <c r="FW492" s="1979">
        <v>8.4799072816005001</v>
      </c>
      <c r="FX492" s="1979">
        <v>8.4799072816005001</v>
      </c>
      <c r="FY492" s="1979">
        <v>8.4799072816005001</v>
      </c>
      <c r="FZ492" s="1979">
        <v>8.4799072816005001</v>
      </c>
      <c r="GA492" s="1979">
        <v>8.4799072816005001</v>
      </c>
      <c r="GB492" s="1998">
        <v>1.3861479372000356</v>
      </c>
      <c r="GC492" s="1998">
        <v>1.3861479372000356</v>
      </c>
      <c r="GD492" s="1998">
        <v>1.3861479372000356</v>
      </c>
      <c r="GE492" s="1998">
        <v>1.3861479372000356</v>
      </c>
      <c r="GF492" s="1998">
        <v>1.3861479372000356</v>
      </c>
      <c r="GG492" s="1979">
        <v>1.4313071575784038</v>
      </c>
      <c r="GH492" s="1979">
        <v>1.4313071575784038</v>
      </c>
      <c r="GI492" s="1979">
        <v>1.4313071575784038</v>
      </c>
      <c r="GJ492" s="1979">
        <v>1.4313071575784038</v>
      </c>
      <c r="GK492" s="2021">
        <v>1.4313071575784038</v>
      </c>
    </row>
    <row r="493" spans="1:193">
      <c r="A493" s="2020"/>
      <c r="B493" s="2">
        <v>31</v>
      </c>
      <c r="C493" s="2" t="str">
        <f>$AD$15</f>
        <v>Pieux en béton coulé sur place</v>
      </c>
      <c r="D493" s="1998">
        <f>IF(Construction!$F$31=Construction!$R$22,Oeko!BQ493,Oeko!ED493)</f>
        <v>1</v>
      </c>
      <c r="E493" s="1998">
        <f>IF(Construction!$F$31=Construction!$R$22,Oeko!BR493,Oeko!EE493)</f>
        <v>1</v>
      </c>
      <c r="F493" s="1998">
        <f>IF(Construction!$F$31=Construction!$R$22,Oeko!BS493,Oeko!EF493)</f>
        <v>1</v>
      </c>
      <c r="G493" s="1998">
        <f>IF(Construction!$F$31=Construction!$R$22,Oeko!BT493,Oeko!EG493)</f>
        <v>1</v>
      </c>
      <c r="H493" s="1998">
        <f>IF(Construction!$F$31=Construction!$R$22,Oeko!BU493,Oeko!EH493)</f>
        <v>1</v>
      </c>
      <c r="I493" s="1979">
        <f>IF(Construction!$F$31=Construction!$R$22,Oeko!BV493,Oeko!EI493)</f>
        <v>1</v>
      </c>
      <c r="J493" s="1979">
        <f>IF(Construction!$F$31=Construction!$R$22,Oeko!BW493,Oeko!EJ493)</f>
        <v>1</v>
      </c>
      <c r="K493" s="1979">
        <f>IF(Construction!$F$31=Construction!$R$22,Oeko!BX493,Oeko!EK493)</f>
        <v>1</v>
      </c>
      <c r="L493" s="1979">
        <f>IF(Construction!$F$31=Construction!$R$22,Oeko!BY493,Oeko!EL493)</f>
        <v>1</v>
      </c>
      <c r="M493" s="1979">
        <f>IF(Construction!$F$31=Construction!$R$22,Oeko!BZ493,Oeko!EM493)</f>
        <v>1</v>
      </c>
      <c r="N493" s="1998">
        <f>IF(Construction!$F$31=Construction!$R$22,Oeko!CA493,Oeko!EN493)</f>
        <v>1</v>
      </c>
      <c r="O493" s="1998">
        <f>IF(Construction!$F$31=Construction!$R$22,Oeko!CB493,Oeko!EO493)</f>
        <v>1</v>
      </c>
      <c r="P493" s="1998">
        <f>IF(Construction!$F$31=Construction!$R$22,Oeko!CC493,Oeko!EP493)</f>
        <v>1</v>
      </c>
      <c r="Q493" s="1998">
        <f>IF(Construction!$F$31=Construction!$R$22,Oeko!CD493,Oeko!EQ493)</f>
        <v>1</v>
      </c>
      <c r="R493" s="1998">
        <f>IF(Construction!$F$31=Construction!$R$22,Oeko!CE493,Oeko!ER493)</f>
        <v>1</v>
      </c>
      <c r="S493" s="1979">
        <f>IF(Construction!$F$31=Construction!$R$22,Oeko!CF493,Oeko!ES493)</f>
        <v>1</v>
      </c>
      <c r="T493" s="1979">
        <f>IF(Construction!$F$31=Construction!$R$22,Oeko!CG493,Oeko!ET493)</f>
        <v>1</v>
      </c>
      <c r="U493" s="1979">
        <f>IF(Construction!$F$31=Construction!$R$22,Oeko!CH493,Oeko!EU493)</f>
        <v>1</v>
      </c>
      <c r="V493" s="1979">
        <f>IF(Construction!$F$31=Construction!$R$22,Oeko!CI493,Oeko!EV493)</f>
        <v>1</v>
      </c>
      <c r="W493" s="1979">
        <f>IF(Construction!$F$31=Construction!$R$22,Oeko!CJ493,Oeko!EW493)</f>
        <v>1</v>
      </c>
      <c r="X493" s="1998">
        <f>IF(Construction!$F$31=Construction!$R$22,Oeko!CK493,Oeko!EX493)</f>
        <v>1</v>
      </c>
      <c r="Y493" s="1998">
        <f>IF(Construction!$F$31=Construction!$R$22,Oeko!CL493,Oeko!EY493)</f>
        <v>1</v>
      </c>
      <c r="Z493" s="1998">
        <f>IF(Construction!$F$31=Construction!$R$22,Oeko!CM493,Oeko!EZ493)</f>
        <v>1</v>
      </c>
      <c r="AA493" s="1998">
        <f>IF(Construction!$F$31=Construction!$R$22,Oeko!CN493,Oeko!FA493)</f>
        <v>1</v>
      </c>
      <c r="AB493" s="1998">
        <f>IF(Construction!$F$31=Construction!$R$22,Oeko!CO493,Oeko!FB493)</f>
        <v>1</v>
      </c>
      <c r="AC493" s="1979">
        <f>IF(Construction!$F$31=Construction!$R$22,Oeko!CP493,Oeko!FC493)</f>
        <v>1</v>
      </c>
      <c r="AD493" s="1979">
        <f>IF(Construction!$F$31=Construction!$R$22,Oeko!CQ493,Oeko!FD493)</f>
        <v>1</v>
      </c>
      <c r="AE493" s="1979">
        <f>IF(Construction!$F$31=Construction!$R$22,Oeko!CR493,Oeko!FE493)</f>
        <v>1</v>
      </c>
      <c r="AF493" s="1979">
        <f>IF(Construction!$F$31=Construction!$R$22,Oeko!CS493,Oeko!FF493)</f>
        <v>1</v>
      </c>
      <c r="AG493" s="1979">
        <f>IF(Construction!$F$31=Construction!$R$22,Oeko!CT493,Oeko!FG493)</f>
        <v>1</v>
      </c>
      <c r="AH493" s="1998">
        <f>IF(Construction!$F$31=Construction!$R$22,Oeko!CU493,Oeko!FH493)</f>
        <v>1</v>
      </c>
      <c r="AI493" s="1998">
        <f>IF(Construction!$F$31=Construction!$R$22,Oeko!CV493,Oeko!FI493)</f>
        <v>1</v>
      </c>
      <c r="AJ493" s="1998">
        <f>IF(Construction!$F$31=Construction!$R$22,Oeko!CW493,Oeko!FJ493)</f>
        <v>1</v>
      </c>
      <c r="AK493" s="1998">
        <f>IF(Construction!$F$31=Construction!$R$22,Oeko!CX493,Oeko!FK493)</f>
        <v>1</v>
      </c>
      <c r="AL493" s="1998">
        <f>IF(Construction!$F$31=Construction!$R$22,Oeko!CY493,Oeko!FL493)</f>
        <v>1</v>
      </c>
      <c r="AM493" s="1979">
        <f>IF(Construction!$F$31=Construction!$R$22,Oeko!CZ493,Oeko!FM493)</f>
        <v>1</v>
      </c>
      <c r="AN493" s="1979">
        <f>IF(Construction!$F$31=Construction!$R$22,Oeko!DA493,Oeko!FN493)</f>
        <v>1</v>
      </c>
      <c r="AO493" s="1979">
        <f>IF(Construction!$F$31=Construction!$R$22,Oeko!DB493,Oeko!FO493)</f>
        <v>1</v>
      </c>
      <c r="AP493" s="1979">
        <f>IF(Construction!$F$31=Construction!$R$22,Oeko!DC493,Oeko!FP493)</f>
        <v>1</v>
      </c>
      <c r="AQ493" s="1979">
        <f>IF(Construction!$F$31=Construction!$R$22,Oeko!DD493,Oeko!FQ493)</f>
        <v>1</v>
      </c>
      <c r="AR493" s="1998">
        <f>IF(Construction!$F$31=Construction!$R$22,Oeko!DE493,Oeko!FR493)</f>
        <v>1</v>
      </c>
      <c r="AS493" s="1998">
        <f>IF(Construction!$F$31=Construction!$R$22,Oeko!DF493,Oeko!FS493)</f>
        <v>1</v>
      </c>
      <c r="AT493" s="1998">
        <f>IF(Construction!$F$31=Construction!$R$22,Oeko!DG493,Oeko!FT493)</f>
        <v>1</v>
      </c>
      <c r="AU493" s="1998">
        <f>IF(Construction!$F$31=Construction!$R$22,Oeko!DH493,Oeko!FU493)</f>
        <v>1</v>
      </c>
      <c r="AV493" s="1998">
        <f>IF(Construction!$F$31=Construction!$R$22,Oeko!DI493,Oeko!FV493)</f>
        <v>1</v>
      </c>
      <c r="AW493" s="1979">
        <f>IF(Construction!$F$31=Construction!$R$22,Oeko!DJ493,Oeko!FW493)</f>
        <v>1</v>
      </c>
      <c r="AX493" s="1979">
        <f>IF(Construction!$F$31=Construction!$R$22,Oeko!DK493,Oeko!FX493)</f>
        <v>1</v>
      </c>
      <c r="AY493" s="1979">
        <f>IF(Construction!$F$31=Construction!$R$22,Oeko!DL493,Oeko!FY493)</f>
        <v>1</v>
      </c>
      <c r="AZ493" s="1979">
        <f>IF(Construction!$F$31=Construction!$R$22,Oeko!DM493,Oeko!FZ493)</f>
        <v>1</v>
      </c>
      <c r="BA493" s="1979">
        <f>IF(Construction!$F$31=Construction!$R$22,Oeko!DN493,Oeko!GA493)</f>
        <v>1</v>
      </c>
      <c r="BB493" s="1998">
        <f>IF(Construction!$F$31=Construction!$R$22,Oeko!DO493,Oeko!GB493)</f>
        <v>1</v>
      </c>
      <c r="BC493" s="1998">
        <f>IF(Construction!$F$31=Construction!$R$22,Oeko!DP493,Oeko!GC493)</f>
        <v>1</v>
      </c>
      <c r="BD493" s="1998">
        <f>IF(Construction!$F$31=Construction!$R$22,Oeko!DQ493,Oeko!GD493)</f>
        <v>1</v>
      </c>
      <c r="BE493" s="1998">
        <f>IF(Construction!$F$31=Construction!$R$22,Oeko!DR493,Oeko!GE493)</f>
        <v>1</v>
      </c>
      <c r="BF493" s="1998">
        <f>IF(Construction!$F$31=Construction!$R$22,Oeko!DS493,Oeko!GF493)</f>
        <v>1</v>
      </c>
      <c r="BG493" s="1979">
        <f>IF(Construction!$F$31=Construction!$R$22,Oeko!DT493,Oeko!GG493)</f>
        <v>1</v>
      </c>
      <c r="BH493" s="1979">
        <f>IF(Construction!$F$31=Construction!$R$22,Oeko!DU493,Oeko!GH493)</f>
        <v>1</v>
      </c>
      <c r="BI493" s="1979">
        <f>IF(Construction!$F$31=Construction!$R$22,Oeko!DV493,Oeko!GI493)</f>
        <v>1</v>
      </c>
      <c r="BJ493" s="1979">
        <f>IF(Construction!$F$31=Construction!$R$22,Oeko!DW493,Oeko!GJ493)</f>
        <v>1</v>
      </c>
      <c r="BK493" s="2021">
        <f>IF(Construction!$F$31=Construction!$R$22,Oeko!DX493,Oeko!GK493)</f>
        <v>1</v>
      </c>
      <c r="BN493" s="2022"/>
      <c r="BO493" s="2">
        <v>31</v>
      </c>
      <c r="BP493" s="2" t="str">
        <f>$AD$15</f>
        <v>Pieux en béton coulé sur place</v>
      </c>
      <c r="BQ493" s="1998">
        <v>1</v>
      </c>
      <c r="BR493" s="1998">
        <v>1</v>
      </c>
      <c r="BS493" s="1998">
        <v>1</v>
      </c>
      <c r="BT493" s="1998">
        <v>1</v>
      </c>
      <c r="BU493" s="1998">
        <v>1</v>
      </c>
      <c r="BV493" s="1979">
        <v>1</v>
      </c>
      <c r="BW493" s="1979">
        <v>1</v>
      </c>
      <c r="BX493" s="1979">
        <v>1</v>
      </c>
      <c r="BY493" s="1979">
        <v>1</v>
      </c>
      <c r="BZ493" s="1979">
        <v>1</v>
      </c>
      <c r="CA493" s="1998">
        <v>1</v>
      </c>
      <c r="CB493" s="1998">
        <v>1</v>
      </c>
      <c r="CC493" s="1998">
        <v>1</v>
      </c>
      <c r="CD493" s="1998">
        <v>1</v>
      </c>
      <c r="CE493" s="1998">
        <v>1</v>
      </c>
      <c r="CF493" s="1979">
        <v>1</v>
      </c>
      <c r="CG493" s="1979">
        <v>1</v>
      </c>
      <c r="CH493" s="1979">
        <v>1</v>
      </c>
      <c r="CI493" s="1979">
        <v>1</v>
      </c>
      <c r="CJ493" s="1979">
        <v>1</v>
      </c>
      <c r="CK493" s="1998">
        <v>1</v>
      </c>
      <c r="CL493" s="1998">
        <v>1</v>
      </c>
      <c r="CM493" s="1998">
        <v>1</v>
      </c>
      <c r="CN493" s="1998">
        <v>1</v>
      </c>
      <c r="CO493" s="1998">
        <v>1</v>
      </c>
      <c r="CP493" s="1979">
        <v>1</v>
      </c>
      <c r="CQ493" s="1979">
        <v>1</v>
      </c>
      <c r="CR493" s="1979">
        <v>1</v>
      </c>
      <c r="CS493" s="1979">
        <v>1</v>
      </c>
      <c r="CT493" s="1979">
        <v>1</v>
      </c>
      <c r="CU493" s="1998">
        <v>1</v>
      </c>
      <c r="CV493" s="1998">
        <v>1</v>
      </c>
      <c r="CW493" s="1998">
        <v>1</v>
      </c>
      <c r="CX493" s="1998">
        <v>1</v>
      </c>
      <c r="CY493" s="1998">
        <v>1</v>
      </c>
      <c r="CZ493" s="1979">
        <v>1</v>
      </c>
      <c r="DA493" s="1979">
        <v>1</v>
      </c>
      <c r="DB493" s="1979">
        <v>1</v>
      </c>
      <c r="DC493" s="1979">
        <v>1</v>
      </c>
      <c r="DD493" s="1979">
        <v>1</v>
      </c>
      <c r="DE493" s="1998">
        <v>1</v>
      </c>
      <c r="DF493" s="1998">
        <v>1</v>
      </c>
      <c r="DG493" s="1998">
        <v>1</v>
      </c>
      <c r="DH493" s="1998">
        <v>1</v>
      </c>
      <c r="DI493" s="1998">
        <v>1</v>
      </c>
      <c r="DJ493" s="1979">
        <v>1</v>
      </c>
      <c r="DK493" s="1979">
        <v>1</v>
      </c>
      <c r="DL493" s="1979">
        <v>1</v>
      </c>
      <c r="DM493" s="1979">
        <v>1</v>
      </c>
      <c r="DN493" s="1979">
        <v>1</v>
      </c>
      <c r="DO493" s="1998">
        <v>1</v>
      </c>
      <c r="DP493" s="1998">
        <v>1</v>
      </c>
      <c r="DQ493" s="1998">
        <v>1</v>
      </c>
      <c r="DR493" s="1998">
        <v>1</v>
      </c>
      <c r="DS493" s="1998">
        <v>1</v>
      </c>
      <c r="DT493" s="1979">
        <v>1</v>
      </c>
      <c r="DU493" s="1979">
        <v>1</v>
      </c>
      <c r="DV493" s="1979">
        <v>1</v>
      </c>
      <c r="DW493" s="1979">
        <v>1</v>
      </c>
      <c r="DX493" s="2021">
        <v>1</v>
      </c>
      <c r="EA493" s="2022"/>
      <c r="EB493" s="2">
        <v>31</v>
      </c>
      <c r="EC493" s="2" t="str">
        <f>$AD$15</f>
        <v>Pieux en béton coulé sur place</v>
      </c>
      <c r="ED493" s="1998">
        <v>1.3605609674202821</v>
      </c>
      <c r="EE493" s="1998">
        <v>1.3605609674202821</v>
      </c>
      <c r="EF493" s="1998">
        <v>1.3605609674202821</v>
      </c>
      <c r="EG493" s="1998">
        <v>1.3605609674202821</v>
      </c>
      <c r="EH493" s="1998">
        <v>1.3605609674202821</v>
      </c>
      <c r="EI493" s="1979">
        <v>2.0966679740137137</v>
      </c>
      <c r="EJ493" s="1979">
        <v>2.0966679740137137</v>
      </c>
      <c r="EK493" s="1979">
        <v>2.0966679740137137</v>
      </c>
      <c r="EL493" s="1979">
        <v>2.0966679740137137</v>
      </c>
      <c r="EM493" s="1979">
        <v>2.0966679740137137</v>
      </c>
      <c r="EN493" s="1998">
        <v>1.4337071065592959</v>
      </c>
      <c r="EO493" s="1998">
        <v>1.4337071065592959</v>
      </c>
      <c r="EP493" s="1998">
        <v>1.4337071065592959</v>
      </c>
      <c r="EQ493" s="1998">
        <v>1.4337071065592959</v>
      </c>
      <c r="ER493" s="1998">
        <v>1.4337071065592959</v>
      </c>
      <c r="ES493" s="1979">
        <v>1.8379162318633464</v>
      </c>
      <c r="ET493" s="1979">
        <v>1.8379162318633464</v>
      </c>
      <c r="EU493" s="1979">
        <v>1.8379162318633464</v>
      </c>
      <c r="EV493" s="1979">
        <v>1.8379162318633464</v>
      </c>
      <c r="EW493" s="1979">
        <v>1.8379162318633464</v>
      </c>
      <c r="EX493" s="1998">
        <v>1.4662053104562123</v>
      </c>
      <c r="EY493" s="1998">
        <v>1.4662053104562123</v>
      </c>
      <c r="EZ493" s="1998">
        <v>1.4662053104562123</v>
      </c>
      <c r="FA493" s="1998">
        <v>1.4662053104562123</v>
      </c>
      <c r="FB493" s="1998">
        <v>1.4662053104562123</v>
      </c>
      <c r="FC493" s="1979">
        <v>1.6277744053108218</v>
      </c>
      <c r="FD493" s="1979">
        <v>1.6277744053108218</v>
      </c>
      <c r="FE493" s="1979">
        <v>1.6277744053108218</v>
      </c>
      <c r="FF493" s="1979">
        <v>1.6277744053108218</v>
      </c>
      <c r="FG493" s="1979">
        <v>1.6277744053108218</v>
      </c>
      <c r="FH493" s="1998">
        <v>2.3921927569513635</v>
      </c>
      <c r="FI493" s="1998">
        <v>2.3921927569513635</v>
      </c>
      <c r="FJ493" s="1998">
        <v>2.3921927569513635</v>
      </c>
      <c r="FK493" s="1998">
        <v>2.3921927569513635</v>
      </c>
      <c r="FL493" s="1998">
        <v>2.3921927569513635</v>
      </c>
      <c r="FM493" s="1979">
        <v>1.5115041757386145</v>
      </c>
      <c r="FN493" s="1979">
        <v>1.5115041757386145</v>
      </c>
      <c r="FO493" s="1979">
        <v>1.5115041757386145</v>
      </c>
      <c r="FP493" s="1979">
        <v>1.5115041757386145</v>
      </c>
      <c r="FQ493" s="1979">
        <v>1.5115041757386145</v>
      </c>
      <c r="FR493" s="1998">
        <v>8.1198212572277306</v>
      </c>
      <c r="FS493" s="1998">
        <v>8.1198212572277306</v>
      </c>
      <c r="FT493" s="1998">
        <v>8.1198212572277306</v>
      </c>
      <c r="FU493" s="1998">
        <v>8.1198212572277306</v>
      </c>
      <c r="FV493" s="1998">
        <v>8.1198212572277306</v>
      </c>
      <c r="FW493" s="1979">
        <v>8.4799072816005001</v>
      </c>
      <c r="FX493" s="1979">
        <v>8.4799072816005001</v>
      </c>
      <c r="FY493" s="1979">
        <v>8.4799072816005001</v>
      </c>
      <c r="FZ493" s="1979">
        <v>8.4799072816005001</v>
      </c>
      <c r="GA493" s="1979">
        <v>8.4799072816005001</v>
      </c>
      <c r="GB493" s="1998">
        <v>1.3861479372000356</v>
      </c>
      <c r="GC493" s="1998">
        <v>1.3861479372000356</v>
      </c>
      <c r="GD493" s="1998">
        <v>1.3861479372000356</v>
      </c>
      <c r="GE493" s="1998">
        <v>1.3861479372000356</v>
      </c>
      <c r="GF493" s="1998">
        <v>1.3861479372000356</v>
      </c>
      <c r="GG493" s="1979">
        <v>1.4313071575784038</v>
      </c>
      <c r="GH493" s="1979">
        <v>1.4313071575784038</v>
      </c>
      <c r="GI493" s="1979">
        <v>1.4313071575784038</v>
      </c>
      <c r="GJ493" s="1979">
        <v>1.4313071575784038</v>
      </c>
      <c r="GK493" s="2021">
        <v>1.4313071575784038</v>
      </c>
    </row>
    <row r="494" spans="1:193">
      <c r="A494" s="2020"/>
      <c r="B494" s="2">
        <v>32</v>
      </c>
      <c r="C494" s="2" t="str">
        <f>$AD$16</f>
        <v>Colonnes ballastées</v>
      </c>
      <c r="D494" s="1998">
        <f>IF(Construction!$F$31=Construction!$R$22,Oeko!BQ494,Oeko!ED494)</f>
        <v>1</v>
      </c>
      <c r="E494" s="1998">
        <f>IF(Construction!$F$31=Construction!$R$22,Oeko!BR494,Oeko!EE494)</f>
        <v>1</v>
      </c>
      <c r="F494" s="1998">
        <f>IF(Construction!$F$31=Construction!$R$22,Oeko!BS494,Oeko!EF494)</f>
        <v>1</v>
      </c>
      <c r="G494" s="1998">
        <f>IF(Construction!$F$31=Construction!$R$22,Oeko!BT494,Oeko!EG494)</f>
        <v>1</v>
      </c>
      <c r="H494" s="1998">
        <f>IF(Construction!$F$31=Construction!$R$22,Oeko!BU494,Oeko!EH494)</f>
        <v>1</v>
      </c>
      <c r="I494" s="1979">
        <f>IF(Construction!$F$31=Construction!$R$22,Oeko!BV494,Oeko!EI494)</f>
        <v>1</v>
      </c>
      <c r="J494" s="1979">
        <f>IF(Construction!$F$31=Construction!$R$22,Oeko!BW494,Oeko!EJ494)</f>
        <v>1</v>
      </c>
      <c r="K494" s="1979">
        <f>IF(Construction!$F$31=Construction!$R$22,Oeko!BX494,Oeko!EK494)</f>
        <v>1</v>
      </c>
      <c r="L494" s="1979">
        <f>IF(Construction!$F$31=Construction!$R$22,Oeko!BY494,Oeko!EL494)</f>
        <v>1</v>
      </c>
      <c r="M494" s="1979">
        <f>IF(Construction!$F$31=Construction!$R$22,Oeko!BZ494,Oeko!EM494)</f>
        <v>1</v>
      </c>
      <c r="N494" s="1998">
        <f>IF(Construction!$F$31=Construction!$R$22,Oeko!CA494,Oeko!EN494)</f>
        <v>1</v>
      </c>
      <c r="O494" s="1998">
        <f>IF(Construction!$F$31=Construction!$R$22,Oeko!CB494,Oeko!EO494)</f>
        <v>1</v>
      </c>
      <c r="P494" s="1998">
        <f>IF(Construction!$F$31=Construction!$R$22,Oeko!CC494,Oeko!EP494)</f>
        <v>1</v>
      </c>
      <c r="Q494" s="1998">
        <f>IF(Construction!$F$31=Construction!$R$22,Oeko!CD494,Oeko!EQ494)</f>
        <v>1</v>
      </c>
      <c r="R494" s="1998">
        <f>IF(Construction!$F$31=Construction!$R$22,Oeko!CE494,Oeko!ER494)</f>
        <v>1</v>
      </c>
      <c r="S494" s="1979">
        <f>IF(Construction!$F$31=Construction!$R$22,Oeko!CF494,Oeko!ES494)</f>
        <v>1</v>
      </c>
      <c r="T494" s="1979">
        <f>IF(Construction!$F$31=Construction!$R$22,Oeko!CG494,Oeko!ET494)</f>
        <v>1</v>
      </c>
      <c r="U494" s="1979">
        <f>IF(Construction!$F$31=Construction!$R$22,Oeko!CH494,Oeko!EU494)</f>
        <v>1</v>
      </c>
      <c r="V494" s="1979">
        <f>IF(Construction!$F$31=Construction!$R$22,Oeko!CI494,Oeko!EV494)</f>
        <v>1</v>
      </c>
      <c r="W494" s="1979">
        <f>IF(Construction!$F$31=Construction!$R$22,Oeko!CJ494,Oeko!EW494)</f>
        <v>1</v>
      </c>
      <c r="X494" s="1998">
        <f>IF(Construction!$F$31=Construction!$R$22,Oeko!CK494,Oeko!EX494)</f>
        <v>1</v>
      </c>
      <c r="Y494" s="1998">
        <f>IF(Construction!$F$31=Construction!$R$22,Oeko!CL494,Oeko!EY494)</f>
        <v>1</v>
      </c>
      <c r="Z494" s="1998">
        <f>IF(Construction!$F$31=Construction!$R$22,Oeko!CM494,Oeko!EZ494)</f>
        <v>1</v>
      </c>
      <c r="AA494" s="1998">
        <f>IF(Construction!$F$31=Construction!$R$22,Oeko!CN494,Oeko!FA494)</f>
        <v>1</v>
      </c>
      <c r="AB494" s="1998">
        <f>IF(Construction!$F$31=Construction!$R$22,Oeko!CO494,Oeko!FB494)</f>
        <v>1</v>
      </c>
      <c r="AC494" s="1979">
        <f>IF(Construction!$F$31=Construction!$R$22,Oeko!CP494,Oeko!FC494)</f>
        <v>1</v>
      </c>
      <c r="AD494" s="1979">
        <f>IF(Construction!$F$31=Construction!$R$22,Oeko!CQ494,Oeko!FD494)</f>
        <v>1</v>
      </c>
      <c r="AE494" s="1979">
        <f>IF(Construction!$F$31=Construction!$R$22,Oeko!CR494,Oeko!FE494)</f>
        <v>1</v>
      </c>
      <c r="AF494" s="1979">
        <f>IF(Construction!$F$31=Construction!$R$22,Oeko!CS494,Oeko!FF494)</f>
        <v>1</v>
      </c>
      <c r="AG494" s="1979">
        <f>IF(Construction!$F$31=Construction!$R$22,Oeko!CT494,Oeko!FG494)</f>
        <v>1</v>
      </c>
      <c r="AH494" s="1998">
        <f>IF(Construction!$F$31=Construction!$R$22,Oeko!CU494,Oeko!FH494)</f>
        <v>1</v>
      </c>
      <c r="AI494" s="1998">
        <f>IF(Construction!$F$31=Construction!$R$22,Oeko!CV494,Oeko!FI494)</f>
        <v>1</v>
      </c>
      <c r="AJ494" s="1998">
        <f>IF(Construction!$F$31=Construction!$R$22,Oeko!CW494,Oeko!FJ494)</f>
        <v>1</v>
      </c>
      <c r="AK494" s="1998">
        <f>IF(Construction!$F$31=Construction!$R$22,Oeko!CX494,Oeko!FK494)</f>
        <v>1</v>
      </c>
      <c r="AL494" s="1998">
        <f>IF(Construction!$F$31=Construction!$R$22,Oeko!CY494,Oeko!FL494)</f>
        <v>1</v>
      </c>
      <c r="AM494" s="1979">
        <f>IF(Construction!$F$31=Construction!$R$22,Oeko!CZ494,Oeko!FM494)</f>
        <v>1</v>
      </c>
      <c r="AN494" s="1979">
        <f>IF(Construction!$F$31=Construction!$R$22,Oeko!DA494,Oeko!FN494)</f>
        <v>1</v>
      </c>
      <c r="AO494" s="1979">
        <f>IF(Construction!$F$31=Construction!$R$22,Oeko!DB494,Oeko!FO494)</f>
        <v>1</v>
      </c>
      <c r="AP494" s="1979">
        <f>IF(Construction!$F$31=Construction!$R$22,Oeko!DC494,Oeko!FP494)</f>
        <v>1</v>
      </c>
      <c r="AQ494" s="1979">
        <f>IF(Construction!$F$31=Construction!$R$22,Oeko!DD494,Oeko!FQ494)</f>
        <v>1</v>
      </c>
      <c r="AR494" s="1998">
        <f>IF(Construction!$F$31=Construction!$R$22,Oeko!DE494,Oeko!FR494)</f>
        <v>1</v>
      </c>
      <c r="AS494" s="1998">
        <f>IF(Construction!$F$31=Construction!$R$22,Oeko!DF494,Oeko!FS494)</f>
        <v>1</v>
      </c>
      <c r="AT494" s="1998">
        <f>IF(Construction!$F$31=Construction!$R$22,Oeko!DG494,Oeko!FT494)</f>
        <v>1</v>
      </c>
      <c r="AU494" s="1998">
        <f>IF(Construction!$F$31=Construction!$R$22,Oeko!DH494,Oeko!FU494)</f>
        <v>1</v>
      </c>
      <c r="AV494" s="1998">
        <f>IF(Construction!$F$31=Construction!$R$22,Oeko!DI494,Oeko!FV494)</f>
        <v>1</v>
      </c>
      <c r="AW494" s="1979">
        <f>IF(Construction!$F$31=Construction!$R$22,Oeko!DJ494,Oeko!FW494)</f>
        <v>1</v>
      </c>
      <c r="AX494" s="1979">
        <f>IF(Construction!$F$31=Construction!$R$22,Oeko!DK494,Oeko!FX494)</f>
        <v>1</v>
      </c>
      <c r="AY494" s="1979">
        <f>IF(Construction!$F$31=Construction!$R$22,Oeko!DL494,Oeko!FY494)</f>
        <v>1</v>
      </c>
      <c r="AZ494" s="1979">
        <f>IF(Construction!$F$31=Construction!$R$22,Oeko!DM494,Oeko!FZ494)</f>
        <v>1</v>
      </c>
      <c r="BA494" s="1979">
        <f>IF(Construction!$F$31=Construction!$R$22,Oeko!DN494,Oeko!GA494)</f>
        <v>1</v>
      </c>
      <c r="BB494" s="1998">
        <f>IF(Construction!$F$31=Construction!$R$22,Oeko!DO494,Oeko!GB494)</f>
        <v>1</v>
      </c>
      <c r="BC494" s="1998">
        <f>IF(Construction!$F$31=Construction!$R$22,Oeko!DP494,Oeko!GC494)</f>
        <v>1</v>
      </c>
      <c r="BD494" s="1998">
        <f>IF(Construction!$F$31=Construction!$R$22,Oeko!DQ494,Oeko!GD494)</f>
        <v>1</v>
      </c>
      <c r="BE494" s="1998">
        <f>IF(Construction!$F$31=Construction!$R$22,Oeko!DR494,Oeko!GE494)</f>
        <v>1</v>
      </c>
      <c r="BF494" s="1998">
        <f>IF(Construction!$F$31=Construction!$R$22,Oeko!DS494,Oeko!GF494)</f>
        <v>1</v>
      </c>
      <c r="BG494" s="1979">
        <f>IF(Construction!$F$31=Construction!$R$22,Oeko!DT494,Oeko!GG494)</f>
        <v>1</v>
      </c>
      <c r="BH494" s="1979">
        <f>IF(Construction!$F$31=Construction!$R$22,Oeko!DU494,Oeko!GH494)</f>
        <v>1</v>
      </c>
      <c r="BI494" s="1979">
        <f>IF(Construction!$F$31=Construction!$R$22,Oeko!DV494,Oeko!GI494)</f>
        <v>1</v>
      </c>
      <c r="BJ494" s="1979">
        <f>IF(Construction!$F$31=Construction!$R$22,Oeko!DW494,Oeko!GJ494)</f>
        <v>1</v>
      </c>
      <c r="BK494" s="2021">
        <f>IF(Construction!$F$31=Construction!$R$22,Oeko!DX494,Oeko!GK494)</f>
        <v>1</v>
      </c>
      <c r="BN494" s="2022"/>
      <c r="BO494" s="2">
        <v>32</v>
      </c>
      <c r="BP494" s="2" t="str">
        <f>$AD$16</f>
        <v>Colonnes ballastées</v>
      </c>
      <c r="BQ494" s="1998">
        <v>1</v>
      </c>
      <c r="BR494" s="1998">
        <v>1</v>
      </c>
      <c r="BS494" s="1998">
        <v>1</v>
      </c>
      <c r="BT494" s="1998">
        <v>1</v>
      </c>
      <c r="BU494" s="1998">
        <v>1</v>
      </c>
      <c r="BV494" s="1979">
        <v>1</v>
      </c>
      <c r="BW494" s="1979">
        <v>1</v>
      </c>
      <c r="BX494" s="1979">
        <v>1</v>
      </c>
      <c r="BY494" s="1979">
        <v>1</v>
      </c>
      <c r="BZ494" s="1979">
        <v>1</v>
      </c>
      <c r="CA494" s="1998">
        <v>1</v>
      </c>
      <c r="CB494" s="1998">
        <v>1</v>
      </c>
      <c r="CC494" s="1998">
        <v>1</v>
      </c>
      <c r="CD494" s="1998">
        <v>1</v>
      </c>
      <c r="CE494" s="1998">
        <v>1</v>
      </c>
      <c r="CF494" s="1979">
        <v>1</v>
      </c>
      <c r="CG494" s="1979">
        <v>1</v>
      </c>
      <c r="CH494" s="1979">
        <v>1</v>
      </c>
      <c r="CI494" s="1979">
        <v>1</v>
      </c>
      <c r="CJ494" s="1979">
        <v>1</v>
      </c>
      <c r="CK494" s="1998">
        <v>1</v>
      </c>
      <c r="CL494" s="1998">
        <v>1</v>
      </c>
      <c r="CM494" s="1998">
        <v>1</v>
      </c>
      <c r="CN494" s="1998">
        <v>1</v>
      </c>
      <c r="CO494" s="1998">
        <v>1</v>
      </c>
      <c r="CP494" s="1979">
        <v>1</v>
      </c>
      <c r="CQ494" s="1979">
        <v>1</v>
      </c>
      <c r="CR494" s="1979">
        <v>1</v>
      </c>
      <c r="CS494" s="1979">
        <v>1</v>
      </c>
      <c r="CT494" s="1979">
        <v>1</v>
      </c>
      <c r="CU494" s="1998">
        <v>1</v>
      </c>
      <c r="CV494" s="1998">
        <v>1</v>
      </c>
      <c r="CW494" s="1998">
        <v>1</v>
      </c>
      <c r="CX494" s="1998">
        <v>1</v>
      </c>
      <c r="CY494" s="1998">
        <v>1</v>
      </c>
      <c r="CZ494" s="1979">
        <v>1</v>
      </c>
      <c r="DA494" s="1979">
        <v>1</v>
      </c>
      <c r="DB494" s="1979">
        <v>1</v>
      </c>
      <c r="DC494" s="1979">
        <v>1</v>
      </c>
      <c r="DD494" s="1979">
        <v>1</v>
      </c>
      <c r="DE494" s="1998">
        <v>1</v>
      </c>
      <c r="DF494" s="1998">
        <v>1</v>
      </c>
      <c r="DG494" s="1998">
        <v>1</v>
      </c>
      <c r="DH494" s="1998">
        <v>1</v>
      </c>
      <c r="DI494" s="1998">
        <v>1</v>
      </c>
      <c r="DJ494" s="1979">
        <v>1</v>
      </c>
      <c r="DK494" s="1979">
        <v>1</v>
      </c>
      <c r="DL494" s="1979">
        <v>1</v>
      </c>
      <c r="DM494" s="1979">
        <v>1</v>
      </c>
      <c r="DN494" s="1979">
        <v>1</v>
      </c>
      <c r="DO494" s="1998">
        <v>1</v>
      </c>
      <c r="DP494" s="1998">
        <v>1</v>
      </c>
      <c r="DQ494" s="1998">
        <v>1</v>
      </c>
      <c r="DR494" s="1998">
        <v>1</v>
      </c>
      <c r="DS494" s="1998">
        <v>1</v>
      </c>
      <c r="DT494" s="1979">
        <v>1</v>
      </c>
      <c r="DU494" s="1979">
        <v>1</v>
      </c>
      <c r="DV494" s="1979">
        <v>1</v>
      </c>
      <c r="DW494" s="1979">
        <v>1</v>
      </c>
      <c r="DX494" s="2021">
        <v>1</v>
      </c>
      <c r="EA494" s="2022"/>
      <c r="EB494" s="2">
        <v>32</v>
      </c>
      <c r="EC494" s="2" t="str">
        <f>$AD$16</f>
        <v>Colonnes ballastées</v>
      </c>
      <c r="ED494" s="1998">
        <v>1.3605609674202821</v>
      </c>
      <c r="EE494" s="1998">
        <v>1.3605609674202821</v>
      </c>
      <c r="EF494" s="1998">
        <v>1.3605609674202821</v>
      </c>
      <c r="EG494" s="1998">
        <v>1.3605609674202821</v>
      </c>
      <c r="EH494" s="1998">
        <v>1.3605609674202821</v>
      </c>
      <c r="EI494" s="1979">
        <v>2.0966679740137137</v>
      </c>
      <c r="EJ494" s="1979">
        <v>2.0966679740137137</v>
      </c>
      <c r="EK494" s="1979">
        <v>2.0966679740137137</v>
      </c>
      <c r="EL494" s="1979">
        <v>2.0966679740137137</v>
      </c>
      <c r="EM494" s="1979">
        <v>2.0966679740137137</v>
      </c>
      <c r="EN494" s="1998">
        <v>1.4337071065592959</v>
      </c>
      <c r="EO494" s="1998">
        <v>1.4337071065592959</v>
      </c>
      <c r="EP494" s="1998">
        <v>1.4337071065592959</v>
      </c>
      <c r="EQ494" s="1998">
        <v>1.4337071065592959</v>
      </c>
      <c r="ER494" s="1998">
        <v>1.4337071065592959</v>
      </c>
      <c r="ES494" s="1979">
        <v>1.8379162318633464</v>
      </c>
      <c r="ET494" s="1979">
        <v>1.8379162318633464</v>
      </c>
      <c r="EU494" s="1979">
        <v>1.8379162318633464</v>
      </c>
      <c r="EV494" s="1979">
        <v>1.8379162318633464</v>
      </c>
      <c r="EW494" s="1979">
        <v>1.8379162318633464</v>
      </c>
      <c r="EX494" s="1998">
        <v>1.4662053104562123</v>
      </c>
      <c r="EY494" s="1998">
        <v>1.4662053104562123</v>
      </c>
      <c r="EZ494" s="1998">
        <v>1.4662053104562123</v>
      </c>
      <c r="FA494" s="1998">
        <v>1.4662053104562123</v>
      </c>
      <c r="FB494" s="1998">
        <v>1.4662053104562123</v>
      </c>
      <c r="FC494" s="1979">
        <v>1.6277744053108218</v>
      </c>
      <c r="FD494" s="1979">
        <v>1.6277744053108218</v>
      </c>
      <c r="FE494" s="1979">
        <v>1.6277744053108218</v>
      </c>
      <c r="FF494" s="1979">
        <v>1.6277744053108218</v>
      </c>
      <c r="FG494" s="1979">
        <v>1.6277744053108218</v>
      </c>
      <c r="FH494" s="1998">
        <v>2.3921927569513635</v>
      </c>
      <c r="FI494" s="1998">
        <v>2.3921927569513635</v>
      </c>
      <c r="FJ494" s="1998">
        <v>2.3921927569513635</v>
      </c>
      <c r="FK494" s="1998">
        <v>2.3921927569513635</v>
      </c>
      <c r="FL494" s="1998">
        <v>2.3921927569513635</v>
      </c>
      <c r="FM494" s="1979">
        <v>1.5115041757386145</v>
      </c>
      <c r="FN494" s="1979">
        <v>1.5115041757386145</v>
      </c>
      <c r="FO494" s="1979">
        <v>1.5115041757386145</v>
      </c>
      <c r="FP494" s="1979">
        <v>1.5115041757386145</v>
      </c>
      <c r="FQ494" s="1979">
        <v>1.5115041757386145</v>
      </c>
      <c r="FR494" s="1998">
        <v>8.1198212572277306</v>
      </c>
      <c r="FS494" s="1998">
        <v>8.1198212572277306</v>
      </c>
      <c r="FT494" s="1998">
        <v>8.1198212572277306</v>
      </c>
      <c r="FU494" s="1998">
        <v>8.1198212572277306</v>
      </c>
      <c r="FV494" s="1998">
        <v>8.1198212572277306</v>
      </c>
      <c r="FW494" s="1979">
        <v>8.4799072816005001</v>
      </c>
      <c r="FX494" s="1979">
        <v>8.4799072816005001</v>
      </c>
      <c r="FY494" s="1979">
        <v>8.4799072816005001</v>
      </c>
      <c r="FZ494" s="1979">
        <v>8.4799072816005001</v>
      </c>
      <c r="GA494" s="1979">
        <v>8.4799072816005001</v>
      </c>
      <c r="GB494" s="1998">
        <v>1.3861479372000356</v>
      </c>
      <c r="GC494" s="1998">
        <v>1.3861479372000356</v>
      </c>
      <c r="GD494" s="1998">
        <v>1.3861479372000356</v>
      </c>
      <c r="GE494" s="1998">
        <v>1.3861479372000356</v>
      </c>
      <c r="GF494" s="1998">
        <v>1.3861479372000356</v>
      </c>
      <c r="GG494" s="1979">
        <v>1.4313071575784038</v>
      </c>
      <c r="GH494" s="1979">
        <v>1.4313071575784038</v>
      </c>
      <c r="GI494" s="1979">
        <v>1.4313071575784038</v>
      </c>
      <c r="GJ494" s="1979">
        <v>1.4313071575784038</v>
      </c>
      <c r="GK494" s="2021">
        <v>1.4313071575784038</v>
      </c>
    </row>
    <row r="495" spans="1:193">
      <c r="A495" s="2020"/>
      <c r="B495" s="2">
        <v>33</v>
      </c>
      <c r="C495" s="2" t="str">
        <f>$AD$17</f>
        <v>Pieu en béton préfabriqué (battus)</v>
      </c>
      <c r="D495" s="1998">
        <f>IF(Construction!$F$31=Construction!$R$22,Oeko!BQ495,Oeko!ED495)</f>
        <v>1</v>
      </c>
      <c r="E495" s="1998">
        <f>IF(Construction!$F$31=Construction!$R$22,Oeko!BR495,Oeko!EE495)</f>
        <v>1</v>
      </c>
      <c r="F495" s="1998">
        <f>IF(Construction!$F$31=Construction!$R$22,Oeko!BS495,Oeko!EF495)</f>
        <v>1</v>
      </c>
      <c r="G495" s="1998">
        <f>IF(Construction!$F$31=Construction!$R$22,Oeko!BT495,Oeko!EG495)</f>
        <v>1</v>
      </c>
      <c r="H495" s="1998">
        <f>IF(Construction!$F$31=Construction!$R$22,Oeko!BU495,Oeko!EH495)</f>
        <v>1</v>
      </c>
      <c r="I495" s="1979">
        <f>IF(Construction!$F$31=Construction!$R$22,Oeko!BV495,Oeko!EI495)</f>
        <v>1</v>
      </c>
      <c r="J495" s="1979">
        <f>IF(Construction!$F$31=Construction!$R$22,Oeko!BW495,Oeko!EJ495)</f>
        <v>1</v>
      </c>
      <c r="K495" s="1979">
        <f>IF(Construction!$F$31=Construction!$R$22,Oeko!BX495,Oeko!EK495)</f>
        <v>1</v>
      </c>
      <c r="L495" s="1979">
        <f>IF(Construction!$F$31=Construction!$R$22,Oeko!BY495,Oeko!EL495)</f>
        <v>1</v>
      </c>
      <c r="M495" s="1979">
        <f>IF(Construction!$F$31=Construction!$R$22,Oeko!BZ495,Oeko!EM495)</f>
        <v>1</v>
      </c>
      <c r="N495" s="1998">
        <f>IF(Construction!$F$31=Construction!$R$22,Oeko!CA495,Oeko!EN495)</f>
        <v>1</v>
      </c>
      <c r="O495" s="1998">
        <f>IF(Construction!$F$31=Construction!$R$22,Oeko!CB495,Oeko!EO495)</f>
        <v>1</v>
      </c>
      <c r="P495" s="1998">
        <f>IF(Construction!$F$31=Construction!$R$22,Oeko!CC495,Oeko!EP495)</f>
        <v>1</v>
      </c>
      <c r="Q495" s="1998">
        <f>IF(Construction!$F$31=Construction!$R$22,Oeko!CD495,Oeko!EQ495)</f>
        <v>1</v>
      </c>
      <c r="R495" s="1998">
        <f>IF(Construction!$F$31=Construction!$R$22,Oeko!CE495,Oeko!ER495)</f>
        <v>1</v>
      </c>
      <c r="S495" s="1979">
        <f>IF(Construction!$F$31=Construction!$R$22,Oeko!CF495,Oeko!ES495)</f>
        <v>1</v>
      </c>
      <c r="T495" s="1979">
        <f>IF(Construction!$F$31=Construction!$R$22,Oeko!CG495,Oeko!ET495)</f>
        <v>1</v>
      </c>
      <c r="U495" s="1979">
        <f>IF(Construction!$F$31=Construction!$R$22,Oeko!CH495,Oeko!EU495)</f>
        <v>1</v>
      </c>
      <c r="V495" s="1979">
        <f>IF(Construction!$F$31=Construction!$R$22,Oeko!CI495,Oeko!EV495)</f>
        <v>1</v>
      </c>
      <c r="W495" s="1979">
        <f>IF(Construction!$F$31=Construction!$R$22,Oeko!CJ495,Oeko!EW495)</f>
        <v>1</v>
      </c>
      <c r="X495" s="1998">
        <f>IF(Construction!$F$31=Construction!$R$22,Oeko!CK495,Oeko!EX495)</f>
        <v>1</v>
      </c>
      <c r="Y495" s="1998">
        <f>IF(Construction!$F$31=Construction!$R$22,Oeko!CL495,Oeko!EY495)</f>
        <v>1</v>
      </c>
      <c r="Z495" s="1998">
        <f>IF(Construction!$F$31=Construction!$R$22,Oeko!CM495,Oeko!EZ495)</f>
        <v>1</v>
      </c>
      <c r="AA495" s="1998">
        <f>IF(Construction!$F$31=Construction!$R$22,Oeko!CN495,Oeko!FA495)</f>
        <v>1</v>
      </c>
      <c r="AB495" s="1998">
        <f>IF(Construction!$F$31=Construction!$R$22,Oeko!CO495,Oeko!FB495)</f>
        <v>1</v>
      </c>
      <c r="AC495" s="1979">
        <f>IF(Construction!$F$31=Construction!$R$22,Oeko!CP495,Oeko!FC495)</f>
        <v>1</v>
      </c>
      <c r="AD495" s="1979">
        <f>IF(Construction!$F$31=Construction!$R$22,Oeko!CQ495,Oeko!FD495)</f>
        <v>1</v>
      </c>
      <c r="AE495" s="1979">
        <f>IF(Construction!$F$31=Construction!$R$22,Oeko!CR495,Oeko!FE495)</f>
        <v>1</v>
      </c>
      <c r="AF495" s="1979">
        <f>IF(Construction!$F$31=Construction!$R$22,Oeko!CS495,Oeko!FF495)</f>
        <v>1</v>
      </c>
      <c r="AG495" s="1979">
        <f>IF(Construction!$F$31=Construction!$R$22,Oeko!CT495,Oeko!FG495)</f>
        <v>1</v>
      </c>
      <c r="AH495" s="1998">
        <f>IF(Construction!$F$31=Construction!$R$22,Oeko!CU495,Oeko!FH495)</f>
        <v>1</v>
      </c>
      <c r="AI495" s="1998">
        <f>IF(Construction!$F$31=Construction!$R$22,Oeko!CV495,Oeko!FI495)</f>
        <v>1</v>
      </c>
      <c r="AJ495" s="1998">
        <f>IF(Construction!$F$31=Construction!$R$22,Oeko!CW495,Oeko!FJ495)</f>
        <v>1</v>
      </c>
      <c r="AK495" s="1998">
        <f>IF(Construction!$F$31=Construction!$R$22,Oeko!CX495,Oeko!FK495)</f>
        <v>1</v>
      </c>
      <c r="AL495" s="1998">
        <f>IF(Construction!$F$31=Construction!$R$22,Oeko!CY495,Oeko!FL495)</f>
        <v>1</v>
      </c>
      <c r="AM495" s="1979">
        <f>IF(Construction!$F$31=Construction!$R$22,Oeko!CZ495,Oeko!FM495)</f>
        <v>1</v>
      </c>
      <c r="AN495" s="1979">
        <f>IF(Construction!$F$31=Construction!$R$22,Oeko!DA495,Oeko!FN495)</f>
        <v>1</v>
      </c>
      <c r="AO495" s="1979">
        <f>IF(Construction!$F$31=Construction!$R$22,Oeko!DB495,Oeko!FO495)</f>
        <v>1</v>
      </c>
      <c r="AP495" s="1979">
        <f>IF(Construction!$F$31=Construction!$R$22,Oeko!DC495,Oeko!FP495)</f>
        <v>1</v>
      </c>
      <c r="AQ495" s="1979">
        <f>IF(Construction!$F$31=Construction!$R$22,Oeko!DD495,Oeko!FQ495)</f>
        <v>1</v>
      </c>
      <c r="AR495" s="1998">
        <f>IF(Construction!$F$31=Construction!$R$22,Oeko!DE495,Oeko!FR495)</f>
        <v>1</v>
      </c>
      <c r="AS495" s="1998">
        <f>IF(Construction!$F$31=Construction!$R$22,Oeko!DF495,Oeko!FS495)</f>
        <v>1</v>
      </c>
      <c r="AT495" s="1998">
        <f>IF(Construction!$F$31=Construction!$R$22,Oeko!DG495,Oeko!FT495)</f>
        <v>1</v>
      </c>
      <c r="AU495" s="1998">
        <f>IF(Construction!$F$31=Construction!$R$22,Oeko!DH495,Oeko!FU495)</f>
        <v>1</v>
      </c>
      <c r="AV495" s="1998">
        <f>IF(Construction!$F$31=Construction!$R$22,Oeko!DI495,Oeko!FV495)</f>
        <v>1</v>
      </c>
      <c r="AW495" s="1979">
        <f>IF(Construction!$F$31=Construction!$R$22,Oeko!DJ495,Oeko!FW495)</f>
        <v>1</v>
      </c>
      <c r="AX495" s="1979">
        <f>IF(Construction!$F$31=Construction!$R$22,Oeko!DK495,Oeko!FX495)</f>
        <v>1</v>
      </c>
      <c r="AY495" s="1979">
        <f>IF(Construction!$F$31=Construction!$R$22,Oeko!DL495,Oeko!FY495)</f>
        <v>1</v>
      </c>
      <c r="AZ495" s="1979">
        <f>IF(Construction!$F$31=Construction!$R$22,Oeko!DM495,Oeko!FZ495)</f>
        <v>1</v>
      </c>
      <c r="BA495" s="1979">
        <f>IF(Construction!$F$31=Construction!$R$22,Oeko!DN495,Oeko!GA495)</f>
        <v>1</v>
      </c>
      <c r="BB495" s="1998">
        <f>IF(Construction!$F$31=Construction!$R$22,Oeko!DO495,Oeko!GB495)</f>
        <v>1</v>
      </c>
      <c r="BC495" s="1998">
        <f>IF(Construction!$F$31=Construction!$R$22,Oeko!DP495,Oeko!GC495)</f>
        <v>1</v>
      </c>
      <c r="BD495" s="1998">
        <f>IF(Construction!$F$31=Construction!$R$22,Oeko!DQ495,Oeko!GD495)</f>
        <v>1</v>
      </c>
      <c r="BE495" s="1998">
        <f>IF(Construction!$F$31=Construction!$R$22,Oeko!DR495,Oeko!GE495)</f>
        <v>1</v>
      </c>
      <c r="BF495" s="1998">
        <f>IF(Construction!$F$31=Construction!$R$22,Oeko!DS495,Oeko!GF495)</f>
        <v>1</v>
      </c>
      <c r="BG495" s="1979">
        <f>IF(Construction!$F$31=Construction!$R$22,Oeko!DT495,Oeko!GG495)</f>
        <v>1</v>
      </c>
      <c r="BH495" s="1979">
        <f>IF(Construction!$F$31=Construction!$R$22,Oeko!DU495,Oeko!GH495)</f>
        <v>1</v>
      </c>
      <c r="BI495" s="1979">
        <f>IF(Construction!$F$31=Construction!$R$22,Oeko!DV495,Oeko!GI495)</f>
        <v>1</v>
      </c>
      <c r="BJ495" s="1979">
        <f>IF(Construction!$F$31=Construction!$R$22,Oeko!DW495,Oeko!GJ495)</f>
        <v>1</v>
      </c>
      <c r="BK495" s="2021">
        <f>IF(Construction!$F$31=Construction!$R$22,Oeko!DX495,Oeko!GK495)</f>
        <v>1</v>
      </c>
      <c r="BN495" s="2022"/>
      <c r="BO495" s="2">
        <v>33</v>
      </c>
      <c r="BP495" s="2" t="str">
        <f>$AD$17</f>
        <v>Pieu en béton préfabriqué (battus)</v>
      </c>
      <c r="BQ495" s="1998">
        <v>1</v>
      </c>
      <c r="BR495" s="1998">
        <v>1</v>
      </c>
      <c r="BS495" s="1998">
        <v>1</v>
      </c>
      <c r="BT495" s="1998">
        <v>1</v>
      </c>
      <c r="BU495" s="1998">
        <v>1</v>
      </c>
      <c r="BV495" s="1979">
        <v>1</v>
      </c>
      <c r="BW495" s="1979">
        <v>1</v>
      </c>
      <c r="BX495" s="1979">
        <v>1</v>
      </c>
      <c r="BY495" s="1979">
        <v>1</v>
      </c>
      <c r="BZ495" s="1979">
        <v>1</v>
      </c>
      <c r="CA495" s="1998">
        <v>1</v>
      </c>
      <c r="CB495" s="1998">
        <v>1</v>
      </c>
      <c r="CC495" s="1998">
        <v>1</v>
      </c>
      <c r="CD495" s="1998">
        <v>1</v>
      </c>
      <c r="CE495" s="1998">
        <v>1</v>
      </c>
      <c r="CF495" s="1979">
        <v>1</v>
      </c>
      <c r="CG495" s="1979">
        <v>1</v>
      </c>
      <c r="CH495" s="1979">
        <v>1</v>
      </c>
      <c r="CI495" s="1979">
        <v>1</v>
      </c>
      <c r="CJ495" s="1979">
        <v>1</v>
      </c>
      <c r="CK495" s="1998">
        <v>1</v>
      </c>
      <c r="CL495" s="1998">
        <v>1</v>
      </c>
      <c r="CM495" s="1998">
        <v>1</v>
      </c>
      <c r="CN495" s="1998">
        <v>1</v>
      </c>
      <c r="CO495" s="1998">
        <v>1</v>
      </c>
      <c r="CP495" s="1979">
        <v>1</v>
      </c>
      <c r="CQ495" s="1979">
        <v>1</v>
      </c>
      <c r="CR495" s="1979">
        <v>1</v>
      </c>
      <c r="CS495" s="1979">
        <v>1</v>
      </c>
      <c r="CT495" s="1979">
        <v>1</v>
      </c>
      <c r="CU495" s="1998">
        <v>1</v>
      </c>
      <c r="CV495" s="1998">
        <v>1</v>
      </c>
      <c r="CW495" s="1998">
        <v>1</v>
      </c>
      <c r="CX495" s="1998">
        <v>1</v>
      </c>
      <c r="CY495" s="1998">
        <v>1</v>
      </c>
      <c r="CZ495" s="1979">
        <v>1</v>
      </c>
      <c r="DA495" s="1979">
        <v>1</v>
      </c>
      <c r="DB495" s="1979">
        <v>1</v>
      </c>
      <c r="DC495" s="1979">
        <v>1</v>
      </c>
      <c r="DD495" s="1979">
        <v>1</v>
      </c>
      <c r="DE495" s="1998">
        <v>1</v>
      </c>
      <c r="DF495" s="1998">
        <v>1</v>
      </c>
      <c r="DG495" s="1998">
        <v>1</v>
      </c>
      <c r="DH495" s="1998">
        <v>1</v>
      </c>
      <c r="DI495" s="1998">
        <v>1</v>
      </c>
      <c r="DJ495" s="1979">
        <v>1</v>
      </c>
      <c r="DK495" s="1979">
        <v>1</v>
      </c>
      <c r="DL495" s="1979">
        <v>1</v>
      </c>
      <c r="DM495" s="1979">
        <v>1</v>
      </c>
      <c r="DN495" s="1979">
        <v>1</v>
      </c>
      <c r="DO495" s="1998">
        <v>1</v>
      </c>
      <c r="DP495" s="1998">
        <v>1</v>
      </c>
      <c r="DQ495" s="1998">
        <v>1</v>
      </c>
      <c r="DR495" s="1998">
        <v>1</v>
      </c>
      <c r="DS495" s="1998">
        <v>1</v>
      </c>
      <c r="DT495" s="1979">
        <v>1</v>
      </c>
      <c r="DU495" s="1979">
        <v>1</v>
      </c>
      <c r="DV495" s="1979">
        <v>1</v>
      </c>
      <c r="DW495" s="1979">
        <v>1</v>
      </c>
      <c r="DX495" s="2021">
        <v>1</v>
      </c>
      <c r="EA495" s="2022"/>
      <c r="EB495" s="2">
        <v>33</v>
      </c>
      <c r="EC495" s="2" t="str">
        <f>$AD$17</f>
        <v>Pieu en béton préfabriqué (battus)</v>
      </c>
      <c r="ED495" s="1998">
        <v>1.3605609674202821</v>
      </c>
      <c r="EE495" s="1998">
        <v>1.3605609674202821</v>
      </c>
      <c r="EF495" s="1998">
        <v>1.3605609674202821</v>
      </c>
      <c r="EG495" s="1998">
        <v>1.3605609674202821</v>
      </c>
      <c r="EH495" s="1998">
        <v>1.3605609674202821</v>
      </c>
      <c r="EI495" s="1979">
        <v>2.0966679740137137</v>
      </c>
      <c r="EJ495" s="1979">
        <v>2.0966679740137137</v>
      </c>
      <c r="EK495" s="1979">
        <v>2.0966679740137137</v>
      </c>
      <c r="EL495" s="1979">
        <v>2.0966679740137137</v>
      </c>
      <c r="EM495" s="1979">
        <v>2.0966679740137137</v>
      </c>
      <c r="EN495" s="1998">
        <v>1.4337071065592959</v>
      </c>
      <c r="EO495" s="1998">
        <v>1.4337071065592959</v>
      </c>
      <c r="EP495" s="1998">
        <v>1.4337071065592959</v>
      </c>
      <c r="EQ495" s="1998">
        <v>1.4337071065592959</v>
      </c>
      <c r="ER495" s="1998">
        <v>1.4337071065592959</v>
      </c>
      <c r="ES495" s="1979">
        <v>1.8379162318633464</v>
      </c>
      <c r="ET495" s="1979">
        <v>1.8379162318633464</v>
      </c>
      <c r="EU495" s="1979">
        <v>1.8379162318633464</v>
      </c>
      <c r="EV495" s="1979">
        <v>1.8379162318633464</v>
      </c>
      <c r="EW495" s="1979">
        <v>1.8379162318633464</v>
      </c>
      <c r="EX495" s="1998">
        <v>1.4662053104562123</v>
      </c>
      <c r="EY495" s="1998">
        <v>1.4662053104562123</v>
      </c>
      <c r="EZ495" s="1998">
        <v>1.4662053104562123</v>
      </c>
      <c r="FA495" s="1998">
        <v>1.4662053104562123</v>
      </c>
      <c r="FB495" s="1998">
        <v>1.4662053104562123</v>
      </c>
      <c r="FC495" s="1979">
        <v>1.6277744053108218</v>
      </c>
      <c r="FD495" s="1979">
        <v>1.6277744053108218</v>
      </c>
      <c r="FE495" s="1979">
        <v>1.6277744053108218</v>
      </c>
      <c r="FF495" s="1979">
        <v>1.6277744053108218</v>
      </c>
      <c r="FG495" s="1979">
        <v>1.6277744053108218</v>
      </c>
      <c r="FH495" s="1998">
        <v>2.3921927569513635</v>
      </c>
      <c r="FI495" s="1998">
        <v>2.3921927569513635</v>
      </c>
      <c r="FJ495" s="1998">
        <v>2.3921927569513635</v>
      </c>
      <c r="FK495" s="1998">
        <v>2.3921927569513635</v>
      </c>
      <c r="FL495" s="1998">
        <v>2.3921927569513635</v>
      </c>
      <c r="FM495" s="1979">
        <v>1.5115041757386145</v>
      </c>
      <c r="FN495" s="1979">
        <v>1.5115041757386145</v>
      </c>
      <c r="FO495" s="1979">
        <v>1.5115041757386145</v>
      </c>
      <c r="FP495" s="1979">
        <v>1.5115041757386145</v>
      </c>
      <c r="FQ495" s="1979">
        <v>1.5115041757386145</v>
      </c>
      <c r="FR495" s="1998">
        <v>8.1198212572277306</v>
      </c>
      <c r="FS495" s="1998">
        <v>8.1198212572277306</v>
      </c>
      <c r="FT495" s="1998">
        <v>8.1198212572277306</v>
      </c>
      <c r="FU495" s="1998">
        <v>8.1198212572277306</v>
      </c>
      <c r="FV495" s="1998">
        <v>8.1198212572277306</v>
      </c>
      <c r="FW495" s="1979">
        <v>8.4799072816005001</v>
      </c>
      <c r="FX495" s="1979">
        <v>8.4799072816005001</v>
      </c>
      <c r="FY495" s="1979">
        <v>8.4799072816005001</v>
      </c>
      <c r="FZ495" s="1979">
        <v>8.4799072816005001</v>
      </c>
      <c r="GA495" s="1979">
        <v>8.4799072816005001</v>
      </c>
      <c r="GB495" s="1998">
        <v>1.3861479372000356</v>
      </c>
      <c r="GC495" s="1998">
        <v>1.3861479372000356</v>
      </c>
      <c r="GD495" s="1998">
        <v>1.3861479372000356</v>
      </c>
      <c r="GE495" s="1998">
        <v>1.3861479372000356</v>
      </c>
      <c r="GF495" s="1998">
        <v>1.3861479372000356</v>
      </c>
      <c r="GG495" s="1979">
        <v>1.4313071575784038</v>
      </c>
      <c r="GH495" s="1979">
        <v>1.4313071575784038</v>
      </c>
      <c r="GI495" s="1979">
        <v>1.4313071575784038</v>
      </c>
      <c r="GJ495" s="1979">
        <v>1.4313071575784038</v>
      </c>
      <c r="GK495" s="2021">
        <v>1.4313071575784038</v>
      </c>
    </row>
    <row r="496" spans="1:193">
      <c r="A496" s="2020"/>
      <c r="B496" s="2">
        <v>34</v>
      </c>
      <c r="C496" s="2" t="str">
        <f>$AF$13</f>
        <v/>
      </c>
      <c r="D496" s="1998">
        <f>IF(Construction!$F$31=Construction!$R$22,Oeko!BQ496,Oeko!ED496)</f>
        <v>1</v>
      </c>
      <c r="E496" s="1998">
        <f>IF(Construction!$F$31=Construction!$R$22,Oeko!BR496,Oeko!EE496)</f>
        <v>1</v>
      </c>
      <c r="F496" s="1998">
        <f>IF(Construction!$F$31=Construction!$R$22,Oeko!BS496,Oeko!EF496)</f>
        <v>1</v>
      </c>
      <c r="G496" s="1998">
        <f>IF(Construction!$F$31=Construction!$R$22,Oeko!BT496,Oeko!EG496)</f>
        <v>1</v>
      </c>
      <c r="H496" s="1998">
        <f>IF(Construction!$F$31=Construction!$R$22,Oeko!BU496,Oeko!EH496)</f>
        <v>1</v>
      </c>
      <c r="I496" s="1979">
        <f>IF(Construction!$F$31=Construction!$R$22,Oeko!BV496,Oeko!EI496)</f>
        <v>1</v>
      </c>
      <c r="J496" s="1979">
        <f>IF(Construction!$F$31=Construction!$R$22,Oeko!BW496,Oeko!EJ496)</f>
        <v>1</v>
      </c>
      <c r="K496" s="1979">
        <f>IF(Construction!$F$31=Construction!$R$22,Oeko!BX496,Oeko!EK496)</f>
        <v>1</v>
      </c>
      <c r="L496" s="1979">
        <f>IF(Construction!$F$31=Construction!$R$22,Oeko!BY496,Oeko!EL496)</f>
        <v>1</v>
      </c>
      <c r="M496" s="1979">
        <f>IF(Construction!$F$31=Construction!$R$22,Oeko!BZ496,Oeko!EM496)</f>
        <v>1</v>
      </c>
      <c r="N496" s="1998">
        <f>IF(Construction!$F$31=Construction!$R$22,Oeko!CA496,Oeko!EN496)</f>
        <v>1</v>
      </c>
      <c r="O496" s="1998">
        <f>IF(Construction!$F$31=Construction!$R$22,Oeko!CB496,Oeko!EO496)</f>
        <v>1</v>
      </c>
      <c r="P496" s="1998">
        <f>IF(Construction!$F$31=Construction!$R$22,Oeko!CC496,Oeko!EP496)</f>
        <v>1</v>
      </c>
      <c r="Q496" s="1998">
        <f>IF(Construction!$F$31=Construction!$R$22,Oeko!CD496,Oeko!EQ496)</f>
        <v>1</v>
      </c>
      <c r="R496" s="1998">
        <f>IF(Construction!$F$31=Construction!$R$22,Oeko!CE496,Oeko!ER496)</f>
        <v>1</v>
      </c>
      <c r="S496" s="1979">
        <f>IF(Construction!$F$31=Construction!$R$22,Oeko!CF496,Oeko!ES496)</f>
        <v>1</v>
      </c>
      <c r="T496" s="1979">
        <f>IF(Construction!$F$31=Construction!$R$22,Oeko!CG496,Oeko!ET496)</f>
        <v>1</v>
      </c>
      <c r="U496" s="1979">
        <f>IF(Construction!$F$31=Construction!$R$22,Oeko!CH496,Oeko!EU496)</f>
        <v>1</v>
      </c>
      <c r="V496" s="1979">
        <f>IF(Construction!$F$31=Construction!$R$22,Oeko!CI496,Oeko!EV496)</f>
        <v>1</v>
      </c>
      <c r="W496" s="1979">
        <f>IF(Construction!$F$31=Construction!$R$22,Oeko!CJ496,Oeko!EW496)</f>
        <v>1</v>
      </c>
      <c r="X496" s="1998">
        <f>IF(Construction!$F$31=Construction!$R$22,Oeko!CK496,Oeko!EX496)</f>
        <v>1</v>
      </c>
      <c r="Y496" s="1998">
        <f>IF(Construction!$F$31=Construction!$R$22,Oeko!CL496,Oeko!EY496)</f>
        <v>1</v>
      </c>
      <c r="Z496" s="1998">
        <f>IF(Construction!$F$31=Construction!$R$22,Oeko!CM496,Oeko!EZ496)</f>
        <v>1</v>
      </c>
      <c r="AA496" s="1998">
        <f>IF(Construction!$F$31=Construction!$R$22,Oeko!CN496,Oeko!FA496)</f>
        <v>1</v>
      </c>
      <c r="AB496" s="1998">
        <f>IF(Construction!$F$31=Construction!$R$22,Oeko!CO496,Oeko!FB496)</f>
        <v>1</v>
      </c>
      <c r="AC496" s="1979">
        <f>IF(Construction!$F$31=Construction!$R$22,Oeko!CP496,Oeko!FC496)</f>
        <v>1</v>
      </c>
      <c r="AD496" s="1979">
        <f>IF(Construction!$F$31=Construction!$R$22,Oeko!CQ496,Oeko!FD496)</f>
        <v>1</v>
      </c>
      <c r="AE496" s="1979">
        <f>IF(Construction!$F$31=Construction!$R$22,Oeko!CR496,Oeko!FE496)</f>
        <v>1</v>
      </c>
      <c r="AF496" s="1979">
        <f>IF(Construction!$F$31=Construction!$R$22,Oeko!CS496,Oeko!FF496)</f>
        <v>1</v>
      </c>
      <c r="AG496" s="1979">
        <f>IF(Construction!$F$31=Construction!$R$22,Oeko!CT496,Oeko!FG496)</f>
        <v>1</v>
      </c>
      <c r="AH496" s="1998">
        <f>IF(Construction!$F$31=Construction!$R$22,Oeko!CU496,Oeko!FH496)</f>
        <v>1</v>
      </c>
      <c r="AI496" s="1998">
        <f>IF(Construction!$F$31=Construction!$R$22,Oeko!CV496,Oeko!FI496)</f>
        <v>1</v>
      </c>
      <c r="AJ496" s="1998">
        <f>IF(Construction!$F$31=Construction!$R$22,Oeko!CW496,Oeko!FJ496)</f>
        <v>1</v>
      </c>
      <c r="AK496" s="1998">
        <f>IF(Construction!$F$31=Construction!$R$22,Oeko!CX496,Oeko!FK496)</f>
        <v>1</v>
      </c>
      <c r="AL496" s="1998">
        <f>IF(Construction!$F$31=Construction!$R$22,Oeko!CY496,Oeko!FL496)</f>
        <v>1</v>
      </c>
      <c r="AM496" s="1979">
        <f>IF(Construction!$F$31=Construction!$R$22,Oeko!CZ496,Oeko!FM496)</f>
        <v>1</v>
      </c>
      <c r="AN496" s="1979">
        <f>IF(Construction!$F$31=Construction!$R$22,Oeko!DA496,Oeko!FN496)</f>
        <v>1</v>
      </c>
      <c r="AO496" s="1979">
        <f>IF(Construction!$F$31=Construction!$R$22,Oeko!DB496,Oeko!FO496)</f>
        <v>1</v>
      </c>
      <c r="AP496" s="1979">
        <f>IF(Construction!$F$31=Construction!$R$22,Oeko!DC496,Oeko!FP496)</f>
        <v>1</v>
      </c>
      <c r="AQ496" s="1979">
        <f>IF(Construction!$F$31=Construction!$R$22,Oeko!DD496,Oeko!FQ496)</f>
        <v>1</v>
      </c>
      <c r="AR496" s="1998">
        <f>IF(Construction!$F$31=Construction!$R$22,Oeko!DE496,Oeko!FR496)</f>
        <v>1</v>
      </c>
      <c r="AS496" s="1998">
        <f>IF(Construction!$F$31=Construction!$R$22,Oeko!DF496,Oeko!FS496)</f>
        <v>1</v>
      </c>
      <c r="AT496" s="1998">
        <f>IF(Construction!$F$31=Construction!$R$22,Oeko!DG496,Oeko!FT496)</f>
        <v>1</v>
      </c>
      <c r="AU496" s="1998">
        <f>IF(Construction!$F$31=Construction!$R$22,Oeko!DH496,Oeko!FU496)</f>
        <v>1</v>
      </c>
      <c r="AV496" s="1998">
        <f>IF(Construction!$F$31=Construction!$R$22,Oeko!DI496,Oeko!FV496)</f>
        <v>1</v>
      </c>
      <c r="AW496" s="1979">
        <f>IF(Construction!$F$31=Construction!$R$22,Oeko!DJ496,Oeko!FW496)</f>
        <v>1</v>
      </c>
      <c r="AX496" s="1979">
        <f>IF(Construction!$F$31=Construction!$R$22,Oeko!DK496,Oeko!FX496)</f>
        <v>1</v>
      </c>
      <c r="AY496" s="1979">
        <f>IF(Construction!$F$31=Construction!$R$22,Oeko!DL496,Oeko!FY496)</f>
        <v>1</v>
      </c>
      <c r="AZ496" s="1979">
        <f>IF(Construction!$F$31=Construction!$R$22,Oeko!DM496,Oeko!FZ496)</f>
        <v>1</v>
      </c>
      <c r="BA496" s="1979">
        <f>IF(Construction!$F$31=Construction!$R$22,Oeko!DN496,Oeko!GA496)</f>
        <v>1</v>
      </c>
      <c r="BB496" s="1998">
        <f>IF(Construction!$F$31=Construction!$R$22,Oeko!DO496,Oeko!GB496)</f>
        <v>1</v>
      </c>
      <c r="BC496" s="1998">
        <f>IF(Construction!$F$31=Construction!$R$22,Oeko!DP496,Oeko!GC496)</f>
        <v>1</v>
      </c>
      <c r="BD496" s="1998">
        <f>IF(Construction!$F$31=Construction!$R$22,Oeko!DQ496,Oeko!GD496)</f>
        <v>1</v>
      </c>
      <c r="BE496" s="1998">
        <f>IF(Construction!$F$31=Construction!$R$22,Oeko!DR496,Oeko!GE496)</f>
        <v>1</v>
      </c>
      <c r="BF496" s="1998">
        <f>IF(Construction!$F$31=Construction!$R$22,Oeko!DS496,Oeko!GF496)</f>
        <v>1</v>
      </c>
      <c r="BG496" s="1979">
        <f>IF(Construction!$F$31=Construction!$R$22,Oeko!DT496,Oeko!GG496)</f>
        <v>1</v>
      </c>
      <c r="BH496" s="1979">
        <f>IF(Construction!$F$31=Construction!$R$22,Oeko!DU496,Oeko!GH496)</f>
        <v>1</v>
      </c>
      <c r="BI496" s="1979">
        <f>IF(Construction!$F$31=Construction!$R$22,Oeko!DV496,Oeko!GI496)</f>
        <v>1</v>
      </c>
      <c r="BJ496" s="1979">
        <f>IF(Construction!$F$31=Construction!$R$22,Oeko!DW496,Oeko!GJ496)</f>
        <v>1</v>
      </c>
      <c r="BK496" s="2021">
        <f>IF(Construction!$F$31=Construction!$R$22,Oeko!DX496,Oeko!GK496)</f>
        <v>1</v>
      </c>
      <c r="BN496" s="2022"/>
      <c r="BO496" s="2">
        <v>34</v>
      </c>
      <c r="BP496" s="2" t="str">
        <f>$AF$13</f>
        <v/>
      </c>
      <c r="BQ496" s="1998">
        <v>1</v>
      </c>
      <c r="BR496" s="1998">
        <v>1</v>
      </c>
      <c r="BS496" s="1998">
        <v>1</v>
      </c>
      <c r="BT496" s="1998">
        <v>1</v>
      </c>
      <c r="BU496" s="1998">
        <v>1</v>
      </c>
      <c r="BV496" s="1979">
        <v>1</v>
      </c>
      <c r="BW496" s="1979">
        <v>1</v>
      </c>
      <c r="BX496" s="1979">
        <v>1</v>
      </c>
      <c r="BY496" s="1979">
        <v>1</v>
      </c>
      <c r="BZ496" s="1979">
        <v>1</v>
      </c>
      <c r="CA496" s="1998">
        <v>1</v>
      </c>
      <c r="CB496" s="1998">
        <v>1</v>
      </c>
      <c r="CC496" s="1998">
        <v>1</v>
      </c>
      <c r="CD496" s="1998">
        <v>1</v>
      </c>
      <c r="CE496" s="1998">
        <v>1</v>
      </c>
      <c r="CF496" s="1979">
        <v>1</v>
      </c>
      <c r="CG496" s="1979">
        <v>1</v>
      </c>
      <c r="CH496" s="1979">
        <v>1</v>
      </c>
      <c r="CI496" s="1979">
        <v>1</v>
      </c>
      <c r="CJ496" s="1979">
        <v>1</v>
      </c>
      <c r="CK496" s="1998">
        <v>1</v>
      </c>
      <c r="CL496" s="1998">
        <v>1</v>
      </c>
      <c r="CM496" s="1998">
        <v>1</v>
      </c>
      <c r="CN496" s="1998">
        <v>1</v>
      </c>
      <c r="CO496" s="1998">
        <v>1</v>
      </c>
      <c r="CP496" s="1979">
        <v>1</v>
      </c>
      <c r="CQ496" s="1979">
        <v>1</v>
      </c>
      <c r="CR496" s="1979">
        <v>1</v>
      </c>
      <c r="CS496" s="1979">
        <v>1</v>
      </c>
      <c r="CT496" s="1979">
        <v>1</v>
      </c>
      <c r="CU496" s="1998">
        <v>1</v>
      </c>
      <c r="CV496" s="1998">
        <v>1</v>
      </c>
      <c r="CW496" s="1998">
        <v>1</v>
      </c>
      <c r="CX496" s="1998">
        <v>1</v>
      </c>
      <c r="CY496" s="1998">
        <v>1</v>
      </c>
      <c r="CZ496" s="1979">
        <v>1</v>
      </c>
      <c r="DA496" s="1979">
        <v>1</v>
      </c>
      <c r="DB496" s="1979">
        <v>1</v>
      </c>
      <c r="DC496" s="1979">
        <v>1</v>
      </c>
      <c r="DD496" s="1979">
        <v>1</v>
      </c>
      <c r="DE496" s="1998">
        <v>1</v>
      </c>
      <c r="DF496" s="1998">
        <v>1</v>
      </c>
      <c r="DG496" s="1998">
        <v>1</v>
      </c>
      <c r="DH496" s="1998">
        <v>1</v>
      </c>
      <c r="DI496" s="1998">
        <v>1</v>
      </c>
      <c r="DJ496" s="1979">
        <v>1</v>
      </c>
      <c r="DK496" s="1979">
        <v>1</v>
      </c>
      <c r="DL496" s="1979">
        <v>1</v>
      </c>
      <c r="DM496" s="1979">
        <v>1</v>
      </c>
      <c r="DN496" s="1979">
        <v>1</v>
      </c>
      <c r="DO496" s="1998">
        <v>1</v>
      </c>
      <c r="DP496" s="1998">
        <v>1</v>
      </c>
      <c r="DQ496" s="1998">
        <v>1</v>
      </c>
      <c r="DR496" s="1998">
        <v>1</v>
      </c>
      <c r="DS496" s="1998">
        <v>1</v>
      </c>
      <c r="DT496" s="1979">
        <v>1</v>
      </c>
      <c r="DU496" s="1979">
        <v>1</v>
      </c>
      <c r="DV496" s="1979">
        <v>1</v>
      </c>
      <c r="DW496" s="1979">
        <v>1</v>
      </c>
      <c r="DX496" s="2021">
        <v>1</v>
      </c>
      <c r="EA496" s="2022"/>
      <c r="EB496" s="2">
        <v>34</v>
      </c>
      <c r="EC496" s="2" t="str">
        <f>$AF$13</f>
        <v/>
      </c>
      <c r="ED496" s="1998">
        <v>1.3605609674202821</v>
      </c>
      <c r="EE496" s="1998">
        <v>1.3605609674202821</v>
      </c>
      <c r="EF496" s="1998">
        <v>1.3605609674202821</v>
      </c>
      <c r="EG496" s="1998">
        <v>1.3605609674202821</v>
      </c>
      <c r="EH496" s="1998">
        <v>1.3605609674202821</v>
      </c>
      <c r="EI496" s="1979">
        <v>2.0966679740137137</v>
      </c>
      <c r="EJ496" s="1979">
        <v>2.0966679740137137</v>
      </c>
      <c r="EK496" s="1979">
        <v>2.0966679740137137</v>
      </c>
      <c r="EL496" s="1979">
        <v>2.0966679740137137</v>
      </c>
      <c r="EM496" s="1979">
        <v>2.0966679740137137</v>
      </c>
      <c r="EN496" s="1998">
        <v>1.4337071065592959</v>
      </c>
      <c r="EO496" s="1998">
        <v>1.4337071065592959</v>
      </c>
      <c r="EP496" s="1998">
        <v>1.4337071065592959</v>
      </c>
      <c r="EQ496" s="1998">
        <v>1.4337071065592959</v>
      </c>
      <c r="ER496" s="1998">
        <v>1.4337071065592959</v>
      </c>
      <c r="ES496" s="1979">
        <v>1.8379162318633464</v>
      </c>
      <c r="ET496" s="1979">
        <v>1.8379162318633464</v>
      </c>
      <c r="EU496" s="1979">
        <v>1.8379162318633464</v>
      </c>
      <c r="EV496" s="1979">
        <v>1.8379162318633464</v>
      </c>
      <c r="EW496" s="1979">
        <v>1.8379162318633464</v>
      </c>
      <c r="EX496" s="1998">
        <v>1.4662053104562123</v>
      </c>
      <c r="EY496" s="1998">
        <v>1.4662053104562123</v>
      </c>
      <c r="EZ496" s="1998">
        <v>1.4662053104562123</v>
      </c>
      <c r="FA496" s="1998">
        <v>1.4662053104562123</v>
      </c>
      <c r="FB496" s="1998">
        <v>1.4662053104562123</v>
      </c>
      <c r="FC496" s="1979">
        <v>1.6277744053108218</v>
      </c>
      <c r="FD496" s="1979">
        <v>1.6277744053108218</v>
      </c>
      <c r="FE496" s="1979">
        <v>1.6277744053108218</v>
      </c>
      <c r="FF496" s="1979">
        <v>1.6277744053108218</v>
      </c>
      <c r="FG496" s="1979">
        <v>1.6277744053108218</v>
      </c>
      <c r="FH496" s="1998">
        <v>2.3921927569513635</v>
      </c>
      <c r="FI496" s="1998">
        <v>2.3921927569513635</v>
      </c>
      <c r="FJ496" s="1998">
        <v>2.3921927569513635</v>
      </c>
      <c r="FK496" s="1998">
        <v>2.3921927569513635</v>
      </c>
      <c r="FL496" s="1998">
        <v>2.3921927569513635</v>
      </c>
      <c r="FM496" s="1979">
        <v>1.5115041757386145</v>
      </c>
      <c r="FN496" s="1979">
        <v>1.5115041757386145</v>
      </c>
      <c r="FO496" s="1979">
        <v>1.5115041757386145</v>
      </c>
      <c r="FP496" s="1979">
        <v>1.5115041757386145</v>
      </c>
      <c r="FQ496" s="1979">
        <v>1.5115041757386145</v>
      </c>
      <c r="FR496" s="1998">
        <v>8.1198212572277306</v>
      </c>
      <c r="FS496" s="1998">
        <v>8.1198212572277306</v>
      </c>
      <c r="FT496" s="1998">
        <v>8.1198212572277306</v>
      </c>
      <c r="FU496" s="1998">
        <v>8.1198212572277306</v>
      </c>
      <c r="FV496" s="1998">
        <v>8.1198212572277306</v>
      </c>
      <c r="FW496" s="1979">
        <v>8.4799072816005001</v>
      </c>
      <c r="FX496" s="1979">
        <v>8.4799072816005001</v>
      </c>
      <c r="FY496" s="1979">
        <v>8.4799072816005001</v>
      </c>
      <c r="FZ496" s="1979">
        <v>8.4799072816005001</v>
      </c>
      <c r="GA496" s="1979">
        <v>8.4799072816005001</v>
      </c>
      <c r="GB496" s="1998">
        <v>1.3861479372000356</v>
      </c>
      <c r="GC496" s="1998">
        <v>1.3861479372000356</v>
      </c>
      <c r="GD496" s="1998">
        <v>1.3861479372000356</v>
      </c>
      <c r="GE496" s="1998">
        <v>1.3861479372000356</v>
      </c>
      <c r="GF496" s="1998">
        <v>1.3861479372000356</v>
      </c>
      <c r="GG496" s="1979">
        <v>1.4313071575784038</v>
      </c>
      <c r="GH496" s="1979">
        <v>1.4313071575784038</v>
      </c>
      <c r="GI496" s="1979">
        <v>1.4313071575784038</v>
      </c>
      <c r="GJ496" s="1979">
        <v>1.4313071575784038</v>
      </c>
      <c r="GK496" s="2021">
        <v>1.4313071575784038</v>
      </c>
    </row>
    <row r="497" spans="1:193">
      <c r="A497" s="2020"/>
      <c r="B497" s="2">
        <v>35</v>
      </c>
      <c r="C497" s="2" t="str">
        <f>$AF$14</f>
        <v/>
      </c>
      <c r="D497" s="1998">
        <f>IF(Construction!$F$31=Construction!$R$22,Oeko!BQ497,Oeko!ED497)</f>
        <v>1</v>
      </c>
      <c r="E497" s="1998">
        <f>IF(Construction!$F$31=Construction!$R$22,Oeko!BR497,Oeko!EE497)</f>
        <v>1</v>
      </c>
      <c r="F497" s="1998">
        <f>IF(Construction!$F$31=Construction!$R$22,Oeko!BS497,Oeko!EF497)</f>
        <v>1</v>
      </c>
      <c r="G497" s="1998">
        <f>IF(Construction!$F$31=Construction!$R$22,Oeko!BT497,Oeko!EG497)</f>
        <v>1</v>
      </c>
      <c r="H497" s="1998">
        <f>IF(Construction!$F$31=Construction!$R$22,Oeko!BU497,Oeko!EH497)</f>
        <v>1</v>
      </c>
      <c r="I497" s="1979">
        <f>IF(Construction!$F$31=Construction!$R$22,Oeko!BV497,Oeko!EI497)</f>
        <v>1</v>
      </c>
      <c r="J497" s="1979">
        <f>IF(Construction!$F$31=Construction!$R$22,Oeko!BW497,Oeko!EJ497)</f>
        <v>1</v>
      </c>
      <c r="K497" s="1979">
        <f>IF(Construction!$F$31=Construction!$R$22,Oeko!BX497,Oeko!EK497)</f>
        <v>1</v>
      </c>
      <c r="L497" s="1979">
        <f>IF(Construction!$F$31=Construction!$R$22,Oeko!BY497,Oeko!EL497)</f>
        <v>1</v>
      </c>
      <c r="M497" s="1979">
        <f>IF(Construction!$F$31=Construction!$R$22,Oeko!BZ497,Oeko!EM497)</f>
        <v>1</v>
      </c>
      <c r="N497" s="1998">
        <f>IF(Construction!$F$31=Construction!$R$22,Oeko!CA497,Oeko!EN497)</f>
        <v>1</v>
      </c>
      <c r="O497" s="1998">
        <f>IF(Construction!$F$31=Construction!$R$22,Oeko!CB497,Oeko!EO497)</f>
        <v>1</v>
      </c>
      <c r="P497" s="1998">
        <f>IF(Construction!$F$31=Construction!$R$22,Oeko!CC497,Oeko!EP497)</f>
        <v>1</v>
      </c>
      <c r="Q497" s="1998">
        <f>IF(Construction!$F$31=Construction!$R$22,Oeko!CD497,Oeko!EQ497)</f>
        <v>1</v>
      </c>
      <c r="R497" s="1998">
        <f>IF(Construction!$F$31=Construction!$R$22,Oeko!CE497,Oeko!ER497)</f>
        <v>1</v>
      </c>
      <c r="S497" s="1979">
        <f>IF(Construction!$F$31=Construction!$R$22,Oeko!CF497,Oeko!ES497)</f>
        <v>1</v>
      </c>
      <c r="T497" s="1979">
        <f>IF(Construction!$F$31=Construction!$R$22,Oeko!CG497,Oeko!ET497)</f>
        <v>1</v>
      </c>
      <c r="U497" s="1979">
        <f>IF(Construction!$F$31=Construction!$R$22,Oeko!CH497,Oeko!EU497)</f>
        <v>1</v>
      </c>
      <c r="V497" s="1979">
        <f>IF(Construction!$F$31=Construction!$R$22,Oeko!CI497,Oeko!EV497)</f>
        <v>1</v>
      </c>
      <c r="W497" s="1979">
        <f>IF(Construction!$F$31=Construction!$R$22,Oeko!CJ497,Oeko!EW497)</f>
        <v>1</v>
      </c>
      <c r="X497" s="1998">
        <f>IF(Construction!$F$31=Construction!$R$22,Oeko!CK497,Oeko!EX497)</f>
        <v>1</v>
      </c>
      <c r="Y497" s="1998">
        <f>IF(Construction!$F$31=Construction!$R$22,Oeko!CL497,Oeko!EY497)</f>
        <v>1</v>
      </c>
      <c r="Z497" s="1998">
        <f>IF(Construction!$F$31=Construction!$R$22,Oeko!CM497,Oeko!EZ497)</f>
        <v>1</v>
      </c>
      <c r="AA497" s="1998">
        <f>IF(Construction!$F$31=Construction!$R$22,Oeko!CN497,Oeko!FA497)</f>
        <v>1</v>
      </c>
      <c r="AB497" s="1998">
        <f>IF(Construction!$F$31=Construction!$R$22,Oeko!CO497,Oeko!FB497)</f>
        <v>1</v>
      </c>
      <c r="AC497" s="1979">
        <f>IF(Construction!$F$31=Construction!$R$22,Oeko!CP497,Oeko!FC497)</f>
        <v>1</v>
      </c>
      <c r="AD497" s="1979">
        <f>IF(Construction!$F$31=Construction!$R$22,Oeko!CQ497,Oeko!FD497)</f>
        <v>1</v>
      </c>
      <c r="AE497" s="1979">
        <f>IF(Construction!$F$31=Construction!$R$22,Oeko!CR497,Oeko!FE497)</f>
        <v>1</v>
      </c>
      <c r="AF497" s="1979">
        <f>IF(Construction!$F$31=Construction!$R$22,Oeko!CS497,Oeko!FF497)</f>
        <v>1</v>
      </c>
      <c r="AG497" s="1979">
        <f>IF(Construction!$F$31=Construction!$R$22,Oeko!CT497,Oeko!FG497)</f>
        <v>1</v>
      </c>
      <c r="AH497" s="1998">
        <f>IF(Construction!$F$31=Construction!$R$22,Oeko!CU497,Oeko!FH497)</f>
        <v>1</v>
      </c>
      <c r="AI497" s="1998">
        <f>IF(Construction!$F$31=Construction!$R$22,Oeko!CV497,Oeko!FI497)</f>
        <v>1</v>
      </c>
      <c r="AJ497" s="1998">
        <f>IF(Construction!$F$31=Construction!$R$22,Oeko!CW497,Oeko!FJ497)</f>
        <v>1</v>
      </c>
      <c r="AK497" s="1998">
        <f>IF(Construction!$F$31=Construction!$R$22,Oeko!CX497,Oeko!FK497)</f>
        <v>1</v>
      </c>
      <c r="AL497" s="1998">
        <f>IF(Construction!$F$31=Construction!$R$22,Oeko!CY497,Oeko!FL497)</f>
        <v>1</v>
      </c>
      <c r="AM497" s="1979">
        <f>IF(Construction!$F$31=Construction!$R$22,Oeko!CZ497,Oeko!FM497)</f>
        <v>1</v>
      </c>
      <c r="AN497" s="1979">
        <f>IF(Construction!$F$31=Construction!$R$22,Oeko!DA497,Oeko!FN497)</f>
        <v>1</v>
      </c>
      <c r="AO497" s="1979">
        <f>IF(Construction!$F$31=Construction!$R$22,Oeko!DB497,Oeko!FO497)</f>
        <v>1</v>
      </c>
      <c r="AP497" s="1979">
        <f>IF(Construction!$F$31=Construction!$R$22,Oeko!DC497,Oeko!FP497)</f>
        <v>1</v>
      </c>
      <c r="AQ497" s="1979">
        <f>IF(Construction!$F$31=Construction!$R$22,Oeko!DD497,Oeko!FQ497)</f>
        <v>1</v>
      </c>
      <c r="AR497" s="1998">
        <f>IF(Construction!$F$31=Construction!$R$22,Oeko!DE497,Oeko!FR497)</f>
        <v>1</v>
      </c>
      <c r="AS497" s="1998">
        <f>IF(Construction!$F$31=Construction!$R$22,Oeko!DF497,Oeko!FS497)</f>
        <v>1</v>
      </c>
      <c r="AT497" s="1998">
        <f>IF(Construction!$F$31=Construction!$R$22,Oeko!DG497,Oeko!FT497)</f>
        <v>1</v>
      </c>
      <c r="AU497" s="1998">
        <f>IF(Construction!$F$31=Construction!$R$22,Oeko!DH497,Oeko!FU497)</f>
        <v>1</v>
      </c>
      <c r="AV497" s="1998">
        <f>IF(Construction!$F$31=Construction!$R$22,Oeko!DI497,Oeko!FV497)</f>
        <v>1</v>
      </c>
      <c r="AW497" s="1979">
        <f>IF(Construction!$F$31=Construction!$R$22,Oeko!DJ497,Oeko!FW497)</f>
        <v>1</v>
      </c>
      <c r="AX497" s="1979">
        <f>IF(Construction!$F$31=Construction!$R$22,Oeko!DK497,Oeko!FX497)</f>
        <v>1</v>
      </c>
      <c r="AY497" s="1979">
        <f>IF(Construction!$F$31=Construction!$R$22,Oeko!DL497,Oeko!FY497)</f>
        <v>1</v>
      </c>
      <c r="AZ497" s="1979">
        <f>IF(Construction!$F$31=Construction!$R$22,Oeko!DM497,Oeko!FZ497)</f>
        <v>1</v>
      </c>
      <c r="BA497" s="1979">
        <f>IF(Construction!$F$31=Construction!$R$22,Oeko!DN497,Oeko!GA497)</f>
        <v>1</v>
      </c>
      <c r="BB497" s="1998">
        <f>IF(Construction!$F$31=Construction!$R$22,Oeko!DO497,Oeko!GB497)</f>
        <v>1</v>
      </c>
      <c r="BC497" s="1998">
        <f>IF(Construction!$F$31=Construction!$R$22,Oeko!DP497,Oeko!GC497)</f>
        <v>1</v>
      </c>
      <c r="BD497" s="1998">
        <f>IF(Construction!$F$31=Construction!$R$22,Oeko!DQ497,Oeko!GD497)</f>
        <v>1</v>
      </c>
      <c r="BE497" s="1998">
        <f>IF(Construction!$F$31=Construction!$R$22,Oeko!DR497,Oeko!GE497)</f>
        <v>1</v>
      </c>
      <c r="BF497" s="1998">
        <f>IF(Construction!$F$31=Construction!$R$22,Oeko!DS497,Oeko!GF497)</f>
        <v>1</v>
      </c>
      <c r="BG497" s="1979">
        <f>IF(Construction!$F$31=Construction!$R$22,Oeko!DT497,Oeko!GG497)</f>
        <v>1</v>
      </c>
      <c r="BH497" s="1979">
        <f>IF(Construction!$F$31=Construction!$R$22,Oeko!DU497,Oeko!GH497)</f>
        <v>1</v>
      </c>
      <c r="BI497" s="1979">
        <f>IF(Construction!$F$31=Construction!$R$22,Oeko!DV497,Oeko!GI497)</f>
        <v>1</v>
      </c>
      <c r="BJ497" s="1979">
        <f>IF(Construction!$F$31=Construction!$R$22,Oeko!DW497,Oeko!GJ497)</f>
        <v>1</v>
      </c>
      <c r="BK497" s="2021">
        <f>IF(Construction!$F$31=Construction!$R$22,Oeko!DX497,Oeko!GK497)</f>
        <v>1</v>
      </c>
      <c r="BN497" s="2022"/>
      <c r="BO497" s="2">
        <v>35</v>
      </c>
      <c r="BP497" s="2" t="str">
        <f>$AF$14</f>
        <v/>
      </c>
      <c r="BQ497" s="1998">
        <v>1</v>
      </c>
      <c r="BR497" s="1998">
        <v>1</v>
      </c>
      <c r="BS497" s="1998">
        <v>1</v>
      </c>
      <c r="BT497" s="1998">
        <v>1</v>
      </c>
      <c r="BU497" s="1998">
        <v>1</v>
      </c>
      <c r="BV497" s="1979">
        <v>1</v>
      </c>
      <c r="BW497" s="1979">
        <v>1</v>
      </c>
      <c r="BX497" s="1979">
        <v>1</v>
      </c>
      <c r="BY497" s="1979">
        <v>1</v>
      </c>
      <c r="BZ497" s="1979">
        <v>1</v>
      </c>
      <c r="CA497" s="1998">
        <v>1</v>
      </c>
      <c r="CB497" s="1998">
        <v>1</v>
      </c>
      <c r="CC497" s="1998">
        <v>1</v>
      </c>
      <c r="CD497" s="1998">
        <v>1</v>
      </c>
      <c r="CE497" s="1998">
        <v>1</v>
      </c>
      <c r="CF497" s="1979">
        <v>1</v>
      </c>
      <c r="CG497" s="1979">
        <v>1</v>
      </c>
      <c r="CH497" s="1979">
        <v>1</v>
      </c>
      <c r="CI497" s="1979">
        <v>1</v>
      </c>
      <c r="CJ497" s="1979">
        <v>1</v>
      </c>
      <c r="CK497" s="1998">
        <v>1</v>
      </c>
      <c r="CL497" s="1998">
        <v>1</v>
      </c>
      <c r="CM497" s="1998">
        <v>1</v>
      </c>
      <c r="CN497" s="1998">
        <v>1</v>
      </c>
      <c r="CO497" s="1998">
        <v>1</v>
      </c>
      <c r="CP497" s="1979">
        <v>1</v>
      </c>
      <c r="CQ497" s="1979">
        <v>1</v>
      </c>
      <c r="CR497" s="1979">
        <v>1</v>
      </c>
      <c r="CS497" s="1979">
        <v>1</v>
      </c>
      <c r="CT497" s="1979">
        <v>1</v>
      </c>
      <c r="CU497" s="1998">
        <v>1</v>
      </c>
      <c r="CV497" s="1998">
        <v>1</v>
      </c>
      <c r="CW497" s="1998">
        <v>1</v>
      </c>
      <c r="CX497" s="1998">
        <v>1</v>
      </c>
      <c r="CY497" s="1998">
        <v>1</v>
      </c>
      <c r="CZ497" s="1979">
        <v>1</v>
      </c>
      <c r="DA497" s="1979">
        <v>1</v>
      </c>
      <c r="DB497" s="1979">
        <v>1</v>
      </c>
      <c r="DC497" s="1979">
        <v>1</v>
      </c>
      <c r="DD497" s="1979">
        <v>1</v>
      </c>
      <c r="DE497" s="1998">
        <v>1</v>
      </c>
      <c r="DF497" s="1998">
        <v>1</v>
      </c>
      <c r="DG497" s="1998">
        <v>1</v>
      </c>
      <c r="DH497" s="1998">
        <v>1</v>
      </c>
      <c r="DI497" s="1998">
        <v>1</v>
      </c>
      <c r="DJ497" s="1979">
        <v>1</v>
      </c>
      <c r="DK497" s="1979">
        <v>1</v>
      </c>
      <c r="DL497" s="1979">
        <v>1</v>
      </c>
      <c r="DM497" s="1979">
        <v>1</v>
      </c>
      <c r="DN497" s="1979">
        <v>1</v>
      </c>
      <c r="DO497" s="1998">
        <v>1</v>
      </c>
      <c r="DP497" s="1998">
        <v>1</v>
      </c>
      <c r="DQ497" s="1998">
        <v>1</v>
      </c>
      <c r="DR497" s="1998">
        <v>1</v>
      </c>
      <c r="DS497" s="1998">
        <v>1</v>
      </c>
      <c r="DT497" s="1979">
        <v>1</v>
      </c>
      <c r="DU497" s="1979">
        <v>1</v>
      </c>
      <c r="DV497" s="1979">
        <v>1</v>
      </c>
      <c r="DW497" s="1979">
        <v>1</v>
      </c>
      <c r="DX497" s="2021">
        <v>1</v>
      </c>
      <c r="EA497" s="2022"/>
      <c r="EB497" s="2">
        <v>35</v>
      </c>
      <c r="EC497" s="2" t="str">
        <f>$AF$14</f>
        <v/>
      </c>
      <c r="ED497" s="1998">
        <v>1.3605609674202821</v>
      </c>
      <c r="EE497" s="1998">
        <v>1.3605609674202821</v>
      </c>
      <c r="EF497" s="1998">
        <v>1.3605609674202821</v>
      </c>
      <c r="EG497" s="1998">
        <v>1.3605609674202821</v>
      </c>
      <c r="EH497" s="1998">
        <v>1.3605609674202821</v>
      </c>
      <c r="EI497" s="1979">
        <v>2.0966679740137137</v>
      </c>
      <c r="EJ497" s="1979">
        <v>2.0966679740137137</v>
      </c>
      <c r="EK497" s="1979">
        <v>2.0966679740137137</v>
      </c>
      <c r="EL497" s="1979">
        <v>2.0966679740137137</v>
      </c>
      <c r="EM497" s="1979">
        <v>2.0966679740137137</v>
      </c>
      <c r="EN497" s="1998">
        <v>1.4337071065592959</v>
      </c>
      <c r="EO497" s="1998">
        <v>1.4337071065592959</v>
      </c>
      <c r="EP497" s="1998">
        <v>1.4337071065592959</v>
      </c>
      <c r="EQ497" s="1998">
        <v>1.4337071065592959</v>
      </c>
      <c r="ER497" s="1998">
        <v>1.4337071065592959</v>
      </c>
      <c r="ES497" s="1979">
        <v>1.8379162318633464</v>
      </c>
      <c r="ET497" s="1979">
        <v>1.8379162318633464</v>
      </c>
      <c r="EU497" s="1979">
        <v>1.8379162318633464</v>
      </c>
      <c r="EV497" s="1979">
        <v>1.8379162318633464</v>
      </c>
      <c r="EW497" s="1979">
        <v>1.8379162318633464</v>
      </c>
      <c r="EX497" s="1998">
        <v>1.4662053104562123</v>
      </c>
      <c r="EY497" s="1998">
        <v>1.4662053104562123</v>
      </c>
      <c r="EZ497" s="1998">
        <v>1.4662053104562123</v>
      </c>
      <c r="FA497" s="1998">
        <v>1.4662053104562123</v>
      </c>
      <c r="FB497" s="1998">
        <v>1.4662053104562123</v>
      </c>
      <c r="FC497" s="1979">
        <v>1.6277744053108218</v>
      </c>
      <c r="FD497" s="1979">
        <v>1.6277744053108218</v>
      </c>
      <c r="FE497" s="1979">
        <v>1.6277744053108218</v>
      </c>
      <c r="FF497" s="1979">
        <v>1.6277744053108218</v>
      </c>
      <c r="FG497" s="1979">
        <v>1.6277744053108218</v>
      </c>
      <c r="FH497" s="1998">
        <v>2.3921927569513635</v>
      </c>
      <c r="FI497" s="1998">
        <v>2.3921927569513635</v>
      </c>
      <c r="FJ497" s="1998">
        <v>2.3921927569513635</v>
      </c>
      <c r="FK497" s="1998">
        <v>2.3921927569513635</v>
      </c>
      <c r="FL497" s="1998">
        <v>2.3921927569513635</v>
      </c>
      <c r="FM497" s="1979">
        <v>1.5115041757386145</v>
      </c>
      <c r="FN497" s="1979">
        <v>1.5115041757386145</v>
      </c>
      <c r="FO497" s="1979">
        <v>1.5115041757386145</v>
      </c>
      <c r="FP497" s="1979">
        <v>1.5115041757386145</v>
      </c>
      <c r="FQ497" s="1979">
        <v>1.5115041757386145</v>
      </c>
      <c r="FR497" s="1998">
        <v>8.1198212572277306</v>
      </c>
      <c r="FS497" s="1998">
        <v>8.1198212572277306</v>
      </c>
      <c r="FT497" s="1998">
        <v>8.1198212572277306</v>
      </c>
      <c r="FU497" s="1998">
        <v>8.1198212572277306</v>
      </c>
      <c r="FV497" s="1998">
        <v>8.1198212572277306</v>
      </c>
      <c r="FW497" s="1979">
        <v>8.4799072816005001</v>
      </c>
      <c r="FX497" s="1979">
        <v>8.4799072816005001</v>
      </c>
      <c r="FY497" s="1979">
        <v>8.4799072816005001</v>
      </c>
      <c r="FZ497" s="1979">
        <v>8.4799072816005001</v>
      </c>
      <c r="GA497" s="1979">
        <v>8.4799072816005001</v>
      </c>
      <c r="GB497" s="1998">
        <v>1.3861479372000356</v>
      </c>
      <c r="GC497" s="1998">
        <v>1.3861479372000356</v>
      </c>
      <c r="GD497" s="1998">
        <v>1.3861479372000356</v>
      </c>
      <c r="GE497" s="1998">
        <v>1.3861479372000356</v>
      </c>
      <c r="GF497" s="1998">
        <v>1.3861479372000356</v>
      </c>
      <c r="GG497" s="1979">
        <v>1.4313071575784038</v>
      </c>
      <c r="GH497" s="1979">
        <v>1.4313071575784038</v>
      </c>
      <c r="GI497" s="1979">
        <v>1.4313071575784038</v>
      </c>
      <c r="GJ497" s="1979">
        <v>1.4313071575784038</v>
      </c>
      <c r="GK497" s="2021">
        <v>1.4313071575784038</v>
      </c>
    </row>
    <row r="498" spans="1:193">
      <c r="A498" s="2020"/>
      <c r="B498" s="2">
        <v>36</v>
      </c>
      <c r="C498" s="2" t="str">
        <f>$AF$15</f>
        <v/>
      </c>
      <c r="D498" s="1998">
        <f>IF(Construction!$F$31=Construction!$R$22,Oeko!BQ498,Oeko!ED498)</f>
        <v>1</v>
      </c>
      <c r="E498" s="1998">
        <f>IF(Construction!$F$31=Construction!$R$22,Oeko!BR498,Oeko!EE498)</f>
        <v>1</v>
      </c>
      <c r="F498" s="1998">
        <f>IF(Construction!$F$31=Construction!$R$22,Oeko!BS498,Oeko!EF498)</f>
        <v>1</v>
      </c>
      <c r="G498" s="1998">
        <f>IF(Construction!$F$31=Construction!$R$22,Oeko!BT498,Oeko!EG498)</f>
        <v>1</v>
      </c>
      <c r="H498" s="1998">
        <f>IF(Construction!$F$31=Construction!$R$22,Oeko!BU498,Oeko!EH498)</f>
        <v>1</v>
      </c>
      <c r="I498" s="1979">
        <f>IF(Construction!$F$31=Construction!$R$22,Oeko!BV498,Oeko!EI498)</f>
        <v>1</v>
      </c>
      <c r="J498" s="1979">
        <f>IF(Construction!$F$31=Construction!$R$22,Oeko!BW498,Oeko!EJ498)</f>
        <v>1</v>
      </c>
      <c r="K498" s="1979">
        <f>IF(Construction!$F$31=Construction!$R$22,Oeko!BX498,Oeko!EK498)</f>
        <v>1</v>
      </c>
      <c r="L498" s="1979">
        <f>IF(Construction!$F$31=Construction!$R$22,Oeko!BY498,Oeko!EL498)</f>
        <v>1</v>
      </c>
      <c r="M498" s="1979">
        <f>IF(Construction!$F$31=Construction!$R$22,Oeko!BZ498,Oeko!EM498)</f>
        <v>1</v>
      </c>
      <c r="N498" s="1998">
        <f>IF(Construction!$F$31=Construction!$R$22,Oeko!CA498,Oeko!EN498)</f>
        <v>1</v>
      </c>
      <c r="O498" s="1998">
        <f>IF(Construction!$F$31=Construction!$R$22,Oeko!CB498,Oeko!EO498)</f>
        <v>1</v>
      </c>
      <c r="P498" s="1998">
        <f>IF(Construction!$F$31=Construction!$R$22,Oeko!CC498,Oeko!EP498)</f>
        <v>1</v>
      </c>
      <c r="Q498" s="1998">
        <f>IF(Construction!$F$31=Construction!$R$22,Oeko!CD498,Oeko!EQ498)</f>
        <v>1</v>
      </c>
      <c r="R498" s="1998">
        <f>IF(Construction!$F$31=Construction!$R$22,Oeko!CE498,Oeko!ER498)</f>
        <v>1</v>
      </c>
      <c r="S498" s="1979">
        <f>IF(Construction!$F$31=Construction!$R$22,Oeko!CF498,Oeko!ES498)</f>
        <v>1</v>
      </c>
      <c r="T498" s="1979">
        <f>IF(Construction!$F$31=Construction!$R$22,Oeko!CG498,Oeko!ET498)</f>
        <v>1</v>
      </c>
      <c r="U498" s="1979">
        <f>IF(Construction!$F$31=Construction!$R$22,Oeko!CH498,Oeko!EU498)</f>
        <v>1</v>
      </c>
      <c r="V498" s="1979">
        <f>IF(Construction!$F$31=Construction!$R$22,Oeko!CI498,Oeko!EV498)</f>
        <v>1</v>
      </c>
      <c r="W498" s="1979">
        <f>IF(Construction!$F$31=Construction!$R$22,Oeko!CJ498,Oeko!EW498)</f>
        <v>1</v>
      </c>
      <c r="X498" s="1998">
        <f>IF(Construction!$F$31=Construction!$R$22,Oeko!CK498,Oeko!EX498)</f>
        <v>1</v>
      </c>
      <c r="Y498" s="1998">
        <f>IF(Construction!$F$31=Construction!$R$22,Oeko!CL498,Oeko!EY498)</f>
        <v>1</v>
      </c>
      <c r="Z498" s="1998">
        <f>IF(Construction!$F$31=Construction!$R$22,Oeko!CM498,Oeko!EZ498)</f>
        <v>1</v>
      </c>
      <c r="AA498" s="1998">
        <f>IF(Construction!$F$31=Construction!$R$22,Oeko!CN498,Oeko!FA498)</f>
        <v>1</v>
      </c>
      <c r="AB498" s="1998">
        <f>IF(Construction!$F$31=Construction!$R$22,Oeko!CO498,Oeko!FB498)</f>
        <v>1</v>
      </c>
      <c r="AC498" s="1979">
        <f>IF(Construction!$F$31=Construction!$R$22,Oeko!CP498,Oeko!FC498)</f>
        <v>1</v>
      </c>
      <c r="AD498" s="1979">
        <f>IF(Construction!$F$31=Construction!$R$22,Oeko!CQ498,Oeko!FD498)</f>
        <v>1</v>
      </c>
      <c r="AE498" s="1979">
        <f>IF(Construction!$F$31=Construction!$R$22,Oeko!CR498,Oeko!FE498)</f>
        <v>1</v>
      </c>
      <c r="AF498" s="1979">
        <f>IF(Construction!$F$31=Construction!$R$22,Oeko!CS498,Oeko!FF498)</f>
        <v>1</v>
      </c>
      <c r="AG498" s="1979">
        <f>IF(Construction!$F$31=Construction!$R$22,Oeko!CT498,Oeko!FG498)</f>
        <v>1</v>
      </c>
      <c r="AH498" s="1998">
        <f>IF(Construction!$F$31=Construction!$R$22,Oeko!CU498,Oeko!FH498)</f>
        <v>1</v>
      </c>
      <c r="AI498" s="1998">
        <f>IF(Construction!$F$31=Construction!$R$22,Oeko!CV498,Oeko!FI498)</f>
        <v>1</v>
      </c>
      <c r="AJ498" s="1998">
        <f>IF(Construction!$F$31=Construction!$R$22,Oeko!CW498,Oeko!FJ498)</f>
        <v>1</v>
      </c>
      <c r="AK498" s="1998">
        <f>IF(Construction!$F$31=Construction!$R$22,Oeko!CX498,Oeko!FK498)</f>
        <v>1</v>
      </c>
      <c r="AL498" s="1998">
        <f>IF(Construction!$F$31=Construction!$R$22,Oeko!CY498,Oeko!FL498)</f>
        <v>1</v>
      </c>
      <c r="AM498" s="1979">
        <f>IF(Construction!$F$31=Construction!$R$22,Oeko!CZ498,Oeko!FM498)</f>
        <v>1</v>
      </c>
      <c r="AN498" s="1979">
        <f>IF(Construction!$F$31=Construction!$R$22,Oeko!DA498,Oeko!FN498)</f>
        <v>1</v>
      </c>
      <c r="AO498" s="1979">
        <f>IF(Construction!$F$31=Construction!$R$22,Oeko!DB498,Oeko!FO498)</f>
        <v>1</v>
      </c>
      <c r="AP498" s="1979">
        <f>IF(Construction!$F$31=Construction!$R$22,Oeko!DC498,Oeko!FP498)</f>
        <v>1</v>
      </c>
      <c r="AQ498" s="1979">
        <f>IF(Construction!$F$31=Construction!$R$22,Oeko!DD498,Oeko!FQ498)</f>
        <v>1</v>
      </c>
      <c r="AR498" s="1998">
        <f>IF(Construction!$F$31=Construction!$R$22,Oeko!DE498,Oeko!FR498)</f>
        <v>1</v>
      </c>
      <c r="AS498" s="1998">
        <f>IF(Construction!$F$31=Construction!$R$22,Oeko!DF498,Oeko!FS498)</f>
        <v>1</v>
      </c>
      <c r="AT498" s="1998">
        <f>IF(Construction!$F$31=Construction!$R$22,Oeko!DG498,Oeko!FT498)</f>
        <v>1</v>
      </c>
      <c r="AU498" s="1998">
        <f>IF(Construction!$F$31=Construction!$R$22,Oeko!DH498,Oeko!FU498)</f>
        <v>1</v>
      </c>
      <c r="AV498" s="1998">
        <f>IF(Construction!$F$31=Construction!$R$22,Oeko!DI498,Oeko!FV498)</f>
        <v>1</v>
      </c>
      <c r="AW498" s="1979">
        <f>IF(Construction!$F$31=Construction!$R$22,Oeko!DJ498,Oeko!FW498)</f>
        <v>1</v>
      </c>
      <c r="AX498" s="1979">
        <f>IF(Construction!$F$31=Construction!$R$22,Oeko!DK498,Oeko!FX498)</f>
        <v>1</v>
      </c>
      <c r="AY498" s="1979">
        <f>IF(Construction!$F$31=Construction!$R$22,Oeko!DL498,Oeko!FY498)</f>
        <v>1</v>
      </c>
      <c r="AZ498" s="1979">
        <f>IF(Construction!$F$31=Construction!$R$22,Oeko!DM498,Oeko!FZ498)</f>
        <v>1</v>
      </c>
      <c r="BA498" s="1979">
        <f>IF(Construction!$F$31=Construction!$R$22,Oeko!DN498,Oeko!GA498)</f>
        <v>1</v>
      </c>
      <c r="BB498" s="1998">
        <f>IF(Construction!$F$31=Construction!$R$22,Oeko!DO498,Oeko!GB498)</f>
        <v>1</v>
      </c>
      <c r="BC498" s="1998">
        <f>IF(Construction!$F$31=Construction!$R$22,Oeko!DP498,Oeko!GC498)</f>
        <v>1</v>
      </c>
      <c r="BD498" s="1998">
        <f>IF(Construction!$F$31=Construction!$R$22,Oeko!DQ498,Oeko!GD498)</f>
        <v>1</v>
      </c>
      <c r="BE498" s="1998">
        <f>IF(Construction!$F$31=Construction!$R$22,Oeko!DR498,Oeko!GE498)</f>
        <v>1</v>
      </c>
      <c r="BF498" s="1998">
        <f>IF(Construction!$F$31=Construction!$R$22,Oeko!DS498,Oeko!GF498)</f>
        <v>1</v>
      </c>
      <c r="BG498" s="1979">
        <f>IF(Construction!$F$31=Construction!$R$22,Oeko!DT498,Oeko!GG498)</f>
        <v>1</v>
      </c>
      <c r="BH498" s="1979">
        <f>IF(Construction!$F$31=Construction!$R$22,Oeko!DU498,Oeko!GH498)</f>
        <v>1</v>
      </c>
      <c r="BI498" s="1979">
        <f>IF(Construction!$F$31=Construction!$R$22,Oeko!DV498,Oeko!GI498)</f>
        <v>1</v>
      </c>
      <c r="BJ498" s="1979">
        <f>IF(Construction!$F$31=Construction!$R$22,Oeko!DW498,Oeko!GJ498)</f>
        <v>1</v>
      </c>
      <c r="BK498" s="2021">
        <f>IF(Construction!$F$31=Construction!$R$22,Oeko!DX498,Oeko!GK498)</f>
        <v>1</v>
      </c>
      <c r="BN498" s="2022"/>
      <c r="BO498" s="2">
        <v>36</v>
      </c>
      <c r="BP498" s="2" t="str">
        <f>$AF$15</f>
        <v/>
      </c>
      <c r="BQ498" s="1998">
        <v>1</v>
      </c>
      <c r="BR498" s="1998">
        <v>1</v>
      </c>
      <c r="BS498" s="1998">
        <v>1</v>
      </c>
      <c r="BT498" s="1998">
        <v>1</v>
      </c>
      <c r="BU498" s="1998">
        <v>1</v>
      </c>
      <c r="BV498" s="1979">
        <v>1</v>
      </c>
      <c r="BW498" s="1979">
        <v>1</v>
      </c>
      <c r="BX498" s="1979">
        <v>1</v>
      </c>
      <c r="BY498" s="1979">
        <v>1</v>
      </c>
      <c r="BZ498" s="1979">
        <v>1</v>
      </c>
      <c r="CA498" s="1998">
        <v>1</v>
      </c>
      <c r="CB498" s="1998">
        <v>1</v>
      </c>
      <c r="CC498" s="1998">
        <v>1</v>
      </c>
      <c r="CD498" s="1998">
        <v>1</v>
      </c>
      <c r="CE498" s="1998">
        <v>1</v>
      </c>
      <c r="CF498" s="1979">
        <v>1</v>
      </c>
      <c r="CG498" s="1979">
        <v>1</v>
      </c>
      <c r="CH498" s="1979">
        <v>1</v>
      </c>
      <c r="CI498" s="1979">
        <v>1</v>
      </c>
      <c r="CJ498" s="1979">
        <v>1</v>
      </c>
      <c r="CK498" s="1998">
        <v>1</v>
      </c>
      <c r="CL498" s="1998">
        <v>1</v>
      </c>
      <c r="CM498" s="1998">
        <v>1</v>
      </c>
      <c r="CN498" s="1998">
        <v>1</v>
      </c>
      <c r="CO498" s="1998">
        <v>1</v>
      </c>
      <c r="CP498" s="1979">
        <v>1</v>
      </c>
      <c r="CQ498" s="1979">
        <v>1</v>
      </c>
      <c r="CR498" s="1979">
        <v>1</v>
      </c>
      <c r="CS498" s="1979">
        <v>1</v>
      </c>
      <c r="CT498" s="1979">
        <v>1</v>
      </c>
      <c r="CU498" s="1998">
        <v>1</v>
      </c>
      <c r="CV498" s="1998">
        <v>1</v>
      </c>
      <c r="CW498" s="1998">
        <v>1</v>
      </c>
      <c r="CX498" s="1998">
        <v>1</v>
      </c>
      <c r="CY498" s="1998">
        <v>1</v>
      </c>
      <c r="CZ498" s="1979">
        <v>1</v>
      </c>
      <c r="DA498" s="1979">
        <v>1</v>
      </c>
      <c r="DB498" s="1979">
        <v>1</v>
      </c>
      <c r="DC498" s="1979">
        <v>1</v>
      </c>
      <c r="DD498" s="1979">
        <v>1</v>
      </c>
      <c r="DE498" s="1998">
        <v>1</v>
      </c>
      <c r="DF498" s="1998">
        <v>1</v>
      </c>
      <c r="DG498" s="1998">
        <v>1</v>
      </c>
      <c r="DH498" s="1998">
        <v>1</v>
      </c>
      <c r="DI498" s="1998">
        <v>1</v>
      </c>
      <c r="DJ498" s="1979">
        <v>1</v>
      </c>
      <c r="DK498" s="1979">
        <v>1</v>
      </c>
      <c r="DL498" s="1979">
        <v>1</v>
      </c>
      <c r="DM498" s="1979">
        <v>1</v>
      </c>
      <c r="DN498" s="1979">
        <v>1</v>
      </c>
      <c r="DO498" s="1998">
        <v>1</v>
      </c>
      <c r="DP498" s="1998">
        <v>1</v>
      </c>
      <c r="DQ498" s="1998">
        <v>1</v>
      </c>
      <c r="DR498" s="1998">
        <v>1</v>
      </c>
      <c r="DS498" s="1998">
        <v>1</v>
      </c>
      <c r="DT498" s="1979">
        <v>1</v>
      </c>
      <c r="DU498" s="1979">
        <v>1</v>
      </c>
      <c r="DV498" s="1979">
        <v>1</v>
      </c>
      <c r="DW498" s="1979">
        <v>1</v>
      </c>
      <c r="DX498" s="2021">
        <v>1</v>
      </c>
      <c r="EA498" s="2022"/>
      <c r="EB498" s="2">
        <v>36</v>
      </c>
      <c r="EC498" s="2" t="str">
        <f>$AF$15</f>
        <v/>
      </c>
      <c r="ED498" s="1998">
        <v>1.3605609674202821</v>
      </c>
      <c r="EE498" s="1998">
        <v>1.3605609674202821</v>
      </c>
      <c r="EF498" s="1998">
        <v>1.3605609674202821</v>
      </c>
      <c r="EG498" s="1998">
        <v>1.3605609674202821</v>
      </c>
      <c r="EH498" s="1998">
        <v>1.3605609674202821</v>
      </c>
      <c r="EI498" s="1979">
        <v>2.0966679740137137</v>
      </c>
      <c r="EJ498" s="1979">
        <v>2.0966679740137137</v>
      </c>
      <c r="EK498" s="1979">
        <v>2.0966679740137137</v>
      </c>
      <c r="EL498" s="1979">
        <v>2.0966679740137137</v>
      </c>
      <c r="EM498" s="1979">
        <v>2.0966679740137137</v>
      </c>
      <c r="EN498" s="1998">
        <v>1.4337071065592959</v>
      </c>
      <c r="EO498" s="1998">
        <v>1.4337071065592959</v>
      </c>
      <c r="EP498" s="1998">
        <v>1.4337071065592959</v>
      </c>
      <c r="EQ498" s="1998">
        <v>1.4337071065592959</v>
      </c>
      <c r="ER498" s="1998">
        <v>1.4337071065592959</v>
      </c>
      <c r="ES498" s="1979">
        <v>1.8379162318633464</v>
      </c>
      <c r="ET498" s="1979">
        <v>1.8379162318633464</v>
      </c>
      <c r="EU498" s="1979">
        <v>1.8379162318633464</v>
      </c>
      <c r="EV498" s="1979">
        <v>1.8379162318633464</v>
      </c>
      <c r="EW498" s="1979">
        <v>1.8379162318633464</v>
      </c>
      <c r="EX498" s="1998">
        <v>1.4662053104562123</v>
      </c>
      <c r="EY498" s="1998">
        <v>1.4662053104562123</v>
      </c>
      <c r="EZ498" s="1998">
        <v>1.4662053104562123</v>
      </c>
      <c r="FA498" s="1998">
        <v>1.4662053104562123</v>
      </c>
      <c r="FB498" s="1998">
        <v>1.4662053104562123</v>
      </c>
      <c r="FC498" s="1979">
        <v>1.6277744053108218</v>
      </c>
      <c r="FD498" s="1979">
        <v>1.6277744053108218</v>
      </c>
      <c r="FE498" s="1979">
        <v>1.6277744053108218</v>
      </c>
      <c r="FF498" s="1979">
        <v>1.6277744053108218</v>
      </c>
      <c r="FG498" s="1979">
        <v>1.6277744053108218</v>
      </c>
      <c r="FH498" s="1998">
        <v>2.3921927569513635</v>
      </c>
      <c r="FI498" s="1998">
        <v>2.3921927569513635</v>
      </c>
      <c r="FJ498" s="1998">
        <v>2.3921927569513635</v>
      </c>
      <c r="FK498" s="1998">
        <v>2.3921927569513635</v>
      </c>
      <c r="FL498" s="1998">
        <v>2.3921927569513635</v>
      </c>
      <c r="FM498" s="1979">
        <v>1.5115041757386145</v>
      </c>
      <c r="FN498" s="1979">
        <v>1.5115041757386145</v>
      </c>
      <c r="FO498" s="1979">
        <v>1.5115041757386145</v>
      </c>
      <c r="FP498" s="1979">
        <v>1.5115041757386145</v>
      </c>
      <c r="FQ498" s="1979">
        <v>1.5115041757386145</v>
      </c>
      <c r="FR498" s="1998">
        <v>8.1198212572277306</v>
      </c>
      <c r="FS498" s="1998">
        <v>8.1198212572277306</v>
      </c>
      <c r="FT498" s="1998">
        <v>8.1198212572277306</v>
      </c>
      <c r="FU498" s="1998">
        <v>8.1198212572277306</v>
      </c>
      <c r="FV498" s="1998">
        <v>8.1198212572277306</v>
      </c>
      <c r="FW498" s="1979">
        <v>8.4799072816005001</v>
      </c>
      <c r="FX498" s="1979">
        <v>8.4799072816005001</v>
      </c>
      <c r="FY498" s="1979">
        <v>8.4799072816005001</v>
      </c>
      <c r="FZ498" s="1979">
        <v>8.4799072816005001</v>
      </c>
      <c r="GA498" s="1979">
        <v>8.4799072816005001</v>
      </c>
      <c r="GB498" s="1998">
        <v>1.3861479372000356</v>
      </c>
      <c r="GC498" s="1998">
        <v>1.3861479372000356</v>
      </c>
      <c r="GD498" s="1998">
        <v>1.3861479372000356</v>
      </c>
      <c r="GE498" s="1998">
        <v>1.3861479372000356</v>
      </c>
      <c r="GF498" s="1998">
        <v>1.3861479372000356</v>
      </c>
      <c r="GG498" s="1979">
        <v>1.4313071575784038</v>
      </c>
      <c r="GH498" s="1979">
        <v>1.4313071575784038</v>
      </c>
      <c r="GI498" s="1979">
        <v>1.4313071575784038</v>
      </c>
      <c r="GJ498" s="1979">
        <v>1.4313071575784038</v>
      </c>
      <c r="GK498" s="2021">
        <v>1.4313071575784038</v>
      </c>
    </row>
    <row r="499" spans="1:193">
      <c r="A499" s="2020"/>
      <c r="B499" s="2">
        <v>37</v>
      </c>
      <c r="C499" s="2" t="str">
        <f>$AF$16</f>
        <v/>
      </c>
      <c r="D499" s="1998">
        <f>IF(Construction!$F$31=Construction!$R$22,Oeko!BQ499,Oeko!ED499)</f>
        <v>1</v>
      </c>
      <c r="E499" s="1998">
        <f>IF(Construction!$F$31=Construction!$R$22,Oeko!BR499,Oeko!EE499)</f>
        <v>1</v>
      </c>
      <c r="F499" s="1998">
        <f>IF(Construction!$F$31=Construction!$R$22,Oeko!BS499,Oeko!EF499)</f>
        <v>1</v>
      </c>
      <c r="G499" s="1998">
        <f>IF(Construction!$F$31=Construction!$R$22,Oeko!BT499,Oeko!EG499)</f>
        <v>1</v>
      </c>
      <c r="H499" s="1998">
        <f>IF(Construction!$F$31=Construction!$R$22,Oeko!BU499,Oeko!EH499)</f>
        <v>1</v>
      </c>
      <c r="I499" s="1979">
        <f>IF(Construction!$F$31=Construction!$R$22,Oeko!BV499,Oeko!EI499)</f>
        <v>1</v>
      </c>
      <c r="J499" s="1979">
        <f>IF(Construction!$F$31=Construction!$R$22,Oeko!BW499,Oeko!EJ499)</f>
        <v>1</v>
      </c>
      <c r="K499" s="1979">
        <f>IF(Construction!$F$31=Construction!$R$22,Oeko!BX499,Oeko!EK499)</f>
        <v>1</v>
      </c>
      <c r="L499" s="1979">
        <f>IF(Construction!$F$31=Construction!$R$22,Oeko!BY499,Oeko!EL499)</f>
        <v>1</v>
      </c>
      <c r="M499" s="1979">
        <f>IF(Construction!$F$31=Construction!$R$22,Oeko!BZ499,Oeko!EM499)</f>
        <v>1</v>
      </c>
      <c r="N499" s="1998">
        <f>IF(Construction!$F$31=Construction!$R$22,Oeko!CA499,Oeko!EN499)</f>
        <v>1</v>
      </c>
      <c r="O499" s="1998">
        <f>IF(Construction!$F$31=Construction!$R$22,Oeko!CB499,Oeko!EO499)</f>
        <v>1</v>
      </c>
      <c r="P499" s="1998">
        <f>IF(Construction!$F$31=Construction!$R$22,Oeko!CC499,Oeko!EP499)</f>
        <v>1</v>
      </c>
      <c r="Q499" s="1998">
        <f>IF(Construction!$F$31=Construction!$R$22,Oeko!CD499,Oeko!EQ499)</f>
        <v>1</v>
      </c>
      <c r="R499" s="1998">
        <f>IF(Construction!$F$31=Construction!$R$22,Oeko!CE499,Oeko!ER499)</f>
        <v>1</v>
      </c>
      <c r="S499" s="1979">
        <f>IF(Construction!$F$31=Construction!$R$22,Oeko!CF499,Oeko!ES499)</f>
        <v>1</v>
      </c>
      <c r="T499" s="1979">
        <f>IF(Construction!$F$31=Construction!$R$22,Oeko!CG499,Oeko!ET499)</f>
        <v>1</v>
      </c>
      <c r="U499" s="1979">
        <f>IF(Construction!$F$31=Construction!$R$22,Oeko!CH499,Oeko!EU499)</f>
        <v>1</v>
      </c>
      <c r="V499" s="1979">
        <f>IF(Construction!$F$31=Construction!$R$22,Oeko!CI499,Oeko!EV499)</f>
        <v>1</v>
      </c>
      <c r="W499" s="1979">
        <f>IF(Construction!$F$31=Construction!$R$22,Oeko!CJ499,Oeko!EW499)</f>
        <v>1</v>
      </c>
      <c r="X499" s="1998">
        <f>IF(Construction!$F$31=Construction!$R$22,Oeko!CK499,Oeko!EX499)</f>
        <v>1</v>
      </c>
      <c r="Y499" s="1998">
        <f>IF(Construction!$F$31=Construction!$R$22,Oeko!CL499,Oeko!EY499)</f>
        <v>1</v>
      </c>
      <c r="Z499" s="1998">
        <f>IF(Construction!$F$31=Construction!$R$22,Oeko!CM499,Oeko!EZ499)</f>
        <v>1</v>
      </c>
      <c r="AA499" s="1998">
        <f>IF(Construction!$F$31=Construction!$R$22,Oeko!CN499,Oeko!FA499)</f>
        <v>1</v>
      </c>
      <c r="AB499" s="1998">
        <f>IF(Construction!$F$31=Construction!$R$22,Oeko!CO499,Oeko!FB499)</f>
        <v>1</v>
      </c>
      <c r="AC499" s="1979">
        <f>IF(Construction!$F$31=Construction!$R$22,Oeko!CP499,Oeko!FC499)</f>
        <v>1</v>
      </c>
      <c r="AD499" s="1979">
        <f>IF(Construction!$F$31=Construction!$R$22,Oeko!CQ499,Oeko!FD499)</f>
        <v>1</v>
      </c>
      <c r="AE499" s="1979">
        <f>IF(Construction!$F$31=Construction!$R$22,Oeko!CR499,Oeko!FE499)</f>
        <v>1</v>
      </c>
      <c r="AF499" s="1979">
        <f>IF(Construction!$F$31=Construction!$R$22,Oeko!CS499,Oeko!FF499)</f>
        <v>1</v>
      </c>
      <c r="AG499" s="1979">
        <f>IF(Construction!$F$31=Construction!$R$22,Oeko!CT499,Oeko!FG499)</f>
        <v>1</v>
      </c>
      <c r="AH499" s="1998">
        <f>IF(Construction!$F$31=Construction!$R$22,Oeko!CU499,Oeko!FH499)</f>
        <v>1</v>
      </c>
      <c r="AI499" s="1998">
        <f>IF(Construction!$F$31=Construction!$R$22,Oeko!CV499,Oeko!FI499)</f>
        <v>1</v>
      </c>
      <c r="AJ499" s="1998">
        <f>IF(Construction!$F$31=Construction!$R$22,Oeko!CW499,Oeko!FJ499)</f>
        <v>1</v>
      </c>
      <c r="AK499" s="1998">
        <f>IF(Construction!$F$31=Construction!$R$22,Oeko!CX499,Oeko!FK499)</f>
        <v>1</v>
      </c>
      <c r="AL499" s="1998">
        <f>IF(Construction!$F$31=Construction!$R$22,Oeko!CY499,Oeko!FL499)</f>
        <v>1</v>
      </c>
      <c r="AM499" s="1979">
        <f>IF(Construction!$F$31=Construction!$R$22,Oeko!CZ499,Oeko!FM499)</f>
        <v>1</v>
      </c>
      <c r="AN499" s="1979">
        <f>IF(Construction!$F$31=Construction!$R$22,Oeko!DA499,Oeko!FN499)</f>
        <v>1</v>
      </c>
      <c r="AO499" s="1979">
        <f>IF(Construction!$F$31=Construction!$R$22,Oeko!DB499,Oeko!FO499)</f>
        <v>1</v>
      </c>
      <c r="AP499" s="1979">
        <f>IF(Construction!$F$31=Construction!$R$22,Oeko!DC499,Oeko!FP499)</f>
        <v>1</v>
      </c>
      <c r="AQ499" s="1979">
        <f>IF(Construction!$F$31=Construction!$R$22,Oeko!DD499,Oeko!FQ499)</f>
        <v>1</v>
      </c>
      <c r="AR499" s="1998">
        <f>IF(Construction!$F$31=Construction!$R$22,Oeko!DE499,Oeko!FR499)</f>
        <v>1</v>
      </c>
      <c r="AS499" s="1998">
        <f>IF(Construction!$F$31=Construction!$R$22,Oeko!DF499,Oeko!FS499)</f>
        <v>1</v>
      </c>
      <c r="AT499" s="1998">
        <f>IF(Construction!$F$31=Construction!$R$22,Oeko!DG499,Oeko!FT499)</f>
        <v>1</v>
      </c>
      <c r="AU499" s="1998">
        <f>IF(Construction!$F$31=Construction!$R$22,Oeko!DH499,Oeko!FU499)</f>
        <v>1</v>
      </c>
      <c r="AV499" s="1998">
        <f>IF(Construction!$F$31=Construction!$R$22,Oeko!DI499,Oeko!FV499)</f>
        <v>1</v>
      </c>
      <c r="AW499" s="1979">
        <f>IF(Construction!$F$31=Construction!$R$22,Oeko!DJ499,Oeko!FW499)</f>
        <v>1</v>
      </c>
      <c r="AX499" s="1979">
        <f>IF(Construction!$F$31=Construction!$R$22,Oeko!DK499,Oeko!FX499)</f>
        <v>1</v>
      </c>
      <c r="AY499" s="1979">
        <f>IF(Construction!$F$31=Construction!$R$22,Oeko!DL499,Oeko!FY499)</f>
        <v>1</v>
      </c>
      <c r="AZ499" s="1979">
        <f>IF(Construction!$F$31=Construction!$R$22,Oeko!DM499,Oeko!FZ499)</f>
        <v>1</v>
      </c>
      <c r="BA499" s="1979">
        <f>IF(Construction!$F$31=Construction!$R$22,Oeko!DN499,Oeko!GA499)</f>
        <v>1</v>
      </c>
      <c r="BB499" s="1998">
        <f>IF(Construction!$F$31=Construction!$R$22,Oeko!DO499,Oeko!GB499)</f>
        <v>1</v>
      </c>
      <c r="BC499" s="1998">
        <f>IF(Construction!$F$31=Construction!$R$22,Oeko!DP499,Oeko!GC499)</f>
        <v>1</v>
      </c>
      <c r="BD499" s="1998">
        <f>IF(Construction!$F$31=Construction!$R$22,Oeko!DQ499,Oeko!GD499)</f>
        <v>1</v>
      </c>
      <c r="BE499" s="1998">
        <f>IF(Construction!$F$31=Construction!$R$22,Oeko!DR499,Oeko!GE499)</f>
        <v>1</v>
      </c>
      <c r="BF499" s="1998">
        <f>IF(Construction!$F$31=Construction!$R$22,Oeko!DS499,Oeko!GF499)</f>
        <v>1</v>
      </c>
      <c r="BG499" s="1979">
        <f>IF(Construction!$F$31=Construction!$R$22,Oeko!DT499,Oeko!GG499)</f>
        <v>1</v>
      </c>
      <c r="BH499" s="1979">
        <f>IF(Construction!$F$31=Construction!$R$22,Oeko!DU499,Oeko!GH499)</f>
        <v>1</v>
      </c>
      <c r="BI499" s="1979">
        <f>IF(Construction!$F$31=Construction!$R$22,Oeko!DV499,Oeko!GI499)</f>
        <v>1</v>
      </c>
      <c r="BJ499" s="1979">
        <f>IF(Construction!$F$31=Construction!$R$22,Oeko!DW499,Oeko!GJ499)</f>
        <v>1</v>
      </c>
      <c r="BK499" s="2021">
        <f>IF(Construction!$F$31=Construction!$R$22,Oeko!DX499,Oeko!GK499)</f>
        <v>1</v>
      </c>
      <c r="BN499" s="2022"/>
      <c r="BO499" s="2">
        <v>37</v>
      </c>
      <c r="BP499" s="2" t="str">
        <f>$AF$16</f>
        <v/>
      </c>
      <c r="BQ499" s="1998">
        <v>1</v>
      </c>
      <c r="BR499" s="1998">
        <v>1</v>
      </c>
      <c r="BS499" s="1998">
        <v>1</v>
      </c>
      <c r="BT499" s="1998">
        <v>1</v>
      </c>
      <c r="BU499" s="1998">
        <v>1</v>
      </c>
      <c r="BV499" s="1979">
        <v>1</v>
      </c>
      <c r="BW499" s="1979">
        <v>1</v>
      </c>
      <c r="BX499" s="1979">
        <v>1</v>
      </c>
      <c r="BY499" s="1979">
        <v>1</v>
      </c>
      <c r="BZ499" s="1979">
        <v>1</v>
      </c>
      <c r="CA499" s="1998">
        <v>1</v>
      </c>
      <c r="CB499" s="1998">
        <v>1</v>
      </c>
      <c r="CC499" s="1998">
        <v>1</v>
      </c>
      <c r="CD499" s="1998">
        <v>1</v>
      </c>
      <c r="CE499" s="1998">
        <v>1</v>
      </c>
      <c r="CF499" s="1979">
        <v>1</v>
      </c>
      <c r="CG499" s="1979">
        <v>1</v>
      </c>
      <c r="CH499" s="1979">
        <v>1</v>
      </c>
      <c r="CI499" s="1979">
        <v>1</v>
      </c>
      <c r="CJ499" s="1979">
        <v>1</v>
      </c>
      <c r="CK499" s="1998">
        <v>1</v>
      </c>
      <c r="CL499" s="1998">
        <v>1</v>
      </c>
      <c r="CM499" s="1998">
        <v>1</v>
      </c>
      <c r="CN499" s="1998">
        <v>1</v>
      </c>
      <c r="CO499" s="1998">
        <v>1</v>
      </c>
      <c r="CP499" s="1979">
        <v>1</v>
      </c>
      <c r="CQ499" s="1979">
        <v>1</v>
      </c>
      <c r="CR499" s="1979">
        <v>1</v>
      </c>
      <c r="CS499" s="1979">
        <v>1</v>
      </c>
      <c r="CT499" s="1979">
        <v>1</v>
      </c>
      <c r="CU499" s="1998">
        <v>1</v>
      </c>
      <c r="CV499" s="1998">
        <v>1</v>
      </c>
      <c r="CW499" s="1998">
        <v>1</v>
      </c>
      <c r="CX499" s="1998">
        <v>1</v>
      </c>
      <c r="CY499" s="1998">
        <v>1</v>
      </c>
      <c r="CZ499" s="1979">
        <v>1</v>
      </c>
      <c r="DA499" s="1979">
        <v>1</v>
      </c>
      <c r="DB499" s="1979">
        <v>1</v>
      </c>
      <c r="DC499" s="1979">
        <v>1</v>
      </c>
      <c r="DD499" s="1979">
        <v>1</v>
      </c>
      <c r="DE499" s="1998">
        <v>1</v>
      </c>
      <c r="DF499" s="1998">
        <v>1</v>
      </c>
      <c r="DG499" s="1998">
        <v>1</v>
      </c>
      <c r="DH499" s="1998">
        <v>1</v>
      </c>
      <c r="DI499" s="1998">
        <v>1</v>
      </c>
      <c r="DJ499" s="1979">
        <v>1</v>
      </c>
      <c r="DK499" s="1979">
        <v>1</v>
      </c>
      <c r="DL499" s="1979">
        <v>1</v>
      </c>
      <c r="DM499" s="1979">
        <v>1</v>
      </c>
      <c r="DN499" s="1979">
        <v>1</v>
      </c>
      <c r="DO499" s="1998">
        <v>1</v>
      </c>
      <c r="DP499" s="1998">
        <v>1</v>
      </c>
      <c r="DQ499" s="1998">
        <v>1</v>
      </c>
      <c r="DR499" s="1998">
        <v>1</v>
      </c>
      <c r="DS499" s="1998">
        <v>1</v>
      </c>
      <c r="DT499" s="1979">
        <v>1</v>
      </c>
      <c r="DU499" s="1979">
        <v>1</v>
      </c>
      <c r="DV499" s="1979">
        <v>1</v>
      </c>
      <c r="DW499" s="1979">
        <v>1</v>
      </c>
      <c r="DX499" s="2021">
        <v>1</v>
      </c>
      <c r="EA499" s="2022"/>
      <c r="EB499" s="2">
        <v>37</v>
      </c>
      <c r="EC499" s="2" t="str">
        <f>$AF$16</f>
        <v/>
      </c>
      <c r="ED499" s="1998">
        <v>1.3605609674202821</v>
      </c>
      <c r="EE499" s="1998">
        <v>1.3605609674202821</v>
      </c>
      <c r="EF499" s="1998">
        <v>1.3605609674202821</v>
      </c>
      <c r="EG499" s="1998">
        <v>1.3605609674202821</v>
      </c>
      <c r="EH499" s="1998">
        <v>1.3605609674202821</v>
      </c>
      <c r="EI499" s="1979">
        <v>2.0966679740137137</v>
      </c>
      <c r="EJ499" s="1979">
        <v>2.0966679740137137</v>
      </c>
      <c r="EK499" s="1979">
        <v>2.0966679740137137</v>
      </c>
      <c r="EL499" s="1979">
        <v>2.0966679740137137</v>
      </c>
      <c r="EM499" s="1979">
        <v>2.0966679740137137</v>
      </c>
      <c r="EN499" s="1998">
        <v>1.4337071065592959</v>
      </c>
      <c r="EO499" s="1998">
        <v>1.4337071065592959</v>
      </c>
      <c r="EP499" s="1998">
        <v>1.4337071065592959</v>
      </c>
      <c r="EQ499" s="1998">
        <v>1.4337071065592959</v>
      </c>
      <c r="ER499" s="1998">
        <v>1.4337071065592959</v>
      </c>
      <c r="ES499" s="1979">
        <v>1.8379162318633464</v>
      </c>
      <c r="ET499" s="1979">
        <v>1.8379162318633464</v>
      </c>
      <c r="EU499" s="1979">
        <v>1.8379162318633464</v>
      </c>
      <c r="EV499" s="1979">
        <v>1.8379162318633464</v>
      </c>
      <c r="EW499" s="1979">
        <v>1.8379162318633464</v>
      </c>
      <c r="EX499" s="1998">
        <v>1.4662053104562123</v>
      </c>
      <c r="EY499" s="1998">
        <v>1.4662053104562123</v>
      </c>
      <c r="EZ499" s="1998">
        <v>1.4662053104562123</v>
      </c>
      <c r="FA499" s="1998">
        <v>1.4662053104562123</v>
      </c>
      <c r="FB499" s="1998">
        <v>1.4662053104562123</v>
      </c>
      <c r="FC499" s="1979">
        <v>1.6277744053108218</v>
      </c>
      <c r="FD499" s="1979">
        <v>1.6277744053108218</v>
      </c>
      <c r="FE499" s="1979">
        <v>1.6277744053108218</v>
      </c>
      <c r="FF499" s="1979">
        <v>1.6277744053108218</v>
      </c>
      <c r="FG499" s="1979">
        <v>1.6277744053108218</v>
      </c>
      <c r="FH499" s="1998">
        <v>2.3921927569513635</v>
      </c>
      <c r="FI499" s="1998">
        <v>2.3921927569513635</v>
      </c>
      <c r="FJ499" s="1998">
        <v>2.3921927569513635</v>
      </c>
      <c r="FK499" s="1998">
        <v>2.3921927569513635</v>
      </c>
      <c r="FL499" s="1998">
        <v>2.3921927569513635</v>
      </c>
      <c r="FM499" s="1979">
        <v>1.5115041757386145</v>
      </c>
      <c r="FN499" s="1979">
        <v>1.5115041757386145</v>
      </c>
      <c r="FO499" s="1979">
        <v>1.5115041757386145</v>
      </c>
      <c r="FP499" s="1979">
        <v>1.5115041757386145</v>
      </c>
      <c r="FQ499" s="1979">
        <v>1.5115041757386145</v>
      </c>
      <c r="FR499" s="1998">
        <v>8.1198212572277306</v>
      </c>
      <c r="FS499" s="1998">
        <v>8.1198212572277306</v>
      </c>
      <c r="FT499" s="1998">
        <v>8.1198212572277306</v>
      </c>
      <c r="FU499" s="1998">
        <v>8.1198212572277306</v>
      </c>
      <c r="FV499" s="1998">
        <v>8.1198212572277306</v>
      </c>
      <c r="FW499" s="1979">
        <v>8.4799072816005001</v>
      </c>
      <c r="FX499" s="1979">
        <v>8.4799072816005001</v>
      </c>
      <c r="FY499" s="1979">
        <v>8.4799072816005001</v>
      </c>
      <c r="FZ499" s="1979">
        <v>8.4799072816005001</v>
      </c>
      <c r="GA499" s="1979">
        <v>8.4799072816005001</v>
      </c>
      <c r="GB499" s="1998">
        <v>1.3861479372000356</v>
      </c>
      <c r="GC499" s="1998">
        <v>1.3861479372000356</v>
      </c>
      <c r="GD499" s="1998">
        <v>1.3861479372000356</v>
      </c>
      <c r="GE499" s="1998">
        <v>1.3861479372000356</v>
      </c>
      <c r="GF499" s="1998">
        <v>1.3861479372000356</v>
      </c>
      <c r="GG499" s="1979">
        <v>1.4313071575784038</v>
      </c>
      <c r="GH499" s="1979">
        <v>1.4313071575784038</v>
      </c>
      <c r="GI499" s="1979">
        <v>1.4313071575784038</v>
      </c>
      <c r="GJ499" s="1979">
        <v>1.4313071575784038</v>
      </c>
      <c r="GK499" s="2021">
        <v>1.4313071575784038</v>
      </c>
    </row>
    <row r="500" spans="1:193">
      <c r="A500" s="2020"/>
      <c r="B500" s="2">
        <v>38</v>
      </c>
      <c r="C500" s="2" t="str">
        <f>$AF$17</f>
        <v/>
      </c>
      <c r="D500" s="1998">
        <f>IF(Construction!$F$31=Construction!$R$22,Oeko!BQ500,Oeko!ED500)</f>
        <v>1</v>
      </c>
      <c r="E500" s="1998">
        <f>IF(Construction!$F$31=Construction!$R$22,Oeko!BR500,Oeko!EE500)</f>
        <v>1</v>
      </c>
      <c r="F500" s="1998">
        <f>IF(Construction!$F$31=Construction!$R$22,Oeko!BS500,Oeko!EF500)</f>
        <v>1</v>
      </c>
      <c r="G500" s="1998">
        <f>IF(Construction!$F$31=Construction!$R$22,Oeko!BT500,Oeko!EG500)</f>
        <v>1</v>
      </c>
      <c r="H500" s="1998">
        <f>IF(Construction!$F$31=Construction!$R$22,Oeko!BU500,Oeko!EH500)</f>
        <v>1</v>
      </c>
      <c r="I500" s="1979">
        <f>IF(Construction!$F$31=Construction!$R$22,Oeko!BV500,Oeko!EI500)</f>
        <v>1</v>
      </c>
      <c r="J500" s="1979">
        <f>IF(Construction!$F$31=Construction!$R$22,Oeko!BW500,Oeko!EJ500)</f>
        <v>1</v>
      </c>
      <c r="K500" s="1979">
        <f>IF(Construction!$F$31=Construction!$R$22,Oeko!BX500,Oeko!EK500)</f>
        <v>1</v>
      </c>
      <c r="L500" s="1979">
        <f>IF(Construction!$F$31=Construction!$R$22,Oeko!BY500,Oeko!EL500)</f>
        <v>1</v>
      </c>
      <c r="M500" s="1979">
        <f>IF(Construction!$F$31=Construction!$R$22,Oeko!BZ500,Oeko!EM500)</f>
        <v>1</v>
      </c>
      <c r="N500" s="1998">
        <f>IF(Construction!$F$31=Construction!$R$22,Oeko!CA500,Oeko!EN500)</f>
        <v>1</v>
      </c>
      <c r="O500" s="1998">
        <f>IF(Construction!$F$31=Construction!$R$22,Oeko!CB500,Oeko!EO500)</f>
        <v>1</v>
      </c>
      <c r="P500" s="1998">
        <f>IF(Construction!$F$31=Construction!$R$22,Oeko!CC500,Oeko!EP500)</f>
        <v>1</v>
      </c>
      <c r="Q500" s="1998">
        <f>IF(Construction!$F$31=Construction!$R$22,Oeko!CD500,Oeko!EQ500)</f>
        <v>1</v>
      </c>
      <c r="R500" s="1998">
        <f>IF(Construction!$F$31=Construction!$R$22,Oeko!CE500,Oeko!ER500)</f>
        <v>1</v>
      </c>
      <c r="S500" s="1979">
        <f>IF(Construction!$F$31=Construction!$R$22,Oeko!CF500,Oeko!ES500)</f>
        <v>1</v>
      </c>
      <c r="T500" s="1979">
        <f>IF(Construction!$F$31=Construction!$R$22,Oeko!CG500,Oeko!ET500)</f>
        <v>1</v>
      </c>
      <c r="U500" s="1979">
        <f>IF(Construction!$F$31=Construction!$R$22,Oeko!CH500,Oeko!EU500)</f>
        <v>1</v>
      </c>
      <c r="V500" s="1979">
        <f>IF(Construction!$F$31=Construction!$R$22,Oeko!CI500,Oeko!EV500)</f>
        <v>1</v>
      </c>
      <c r="W500" s="1979">
        <f>IF(Construction!$F$31=Construction!$R$22,Oeko!CJ500,Oeko!EW500)</f>
        <v>1</v>
      </c>
      <c r="X500" s="1998">
        <f>IF(Construction!$F$31=Construction!$R$22,Oeko!CK500,Oeko!EX500)</f>
        <v>1</v>
      </c>
      <c r="Y500" s="1998">
        <f>IF(Construction!$F$31=Construction!$R$22,Oeko!CL500,Oeko!EY500)</f>
        <v>1</v>
      </c>
      <c r="Z500" s="1998">
        <f>IF(Construction!$F$31=Construction!$R$22,Oeko!CM500,Oeko!EZ500)</f>
        <v>1</v>
      </c>
      <c r="AA500" s="1998">
        <f>IF(Construction!$F$31=Construction!$R$22,Oeko!CN500,Oeko!FA500)</f>
        <v>1</v>
      </c>
      <c r="AB500" s="1998">
        <f>IF(Construction!$F$31=Construction!$R$22,Oeko!CO500,Oeko!FB500)</f>
        <v>1</v>
      </c>
      <c r="AC500" s="1979">
        <f>IF(Construction!$F$31=Construction!$R$22,Oeko!CP500,Oeko!FC500)</f>
        <v>1</v>
      </c>
      <c r="AD500" s="1979">
        <f>IF(Construction!$F$31=Construction!$R$22,Oeko!CQ500,Oeko!FD500)</f>
        <v>1</v>
      </c>
      <c r="AE500" s="1979">
        <f>IF(Construction!$F$31=Construction!$R$22,Oeko!CR500,Oeko!FE500)</f>
        <v>1</v>
      </c>
      <c r="AF500" s="1979">
        <f>IF(Construction!$F$31=Construction!$R$22,Oeko!CS500,Oeko!FF500)</f>
        <v>1</v>
      </c>
      <c r="AG500" s="1979">
        <f>IF(Construction!$F$31=Construction!$R$22,Oeko!CT500,Oeko!FG500)</f>
        <v>1</v>
      </c>
      <c r="AH500" s="1998">
        <f>IF(Construction!$F$31=Construction!$R$22,Oeko!CU500,Oeko!FH500)</f>
        <v>1</v>
      </c>
      <c r="AI500" s="1998">
        <f>IF(Construction!$F$31=Construction!$R$22,Oeko!CV500,Oeko!FI500)</f>
        <v>1</v>
      </c>
      <c r="AJ500" s="1998">
        <f>IF(Construction!$F$31=Construction!$R$22,Oeko!CW500,Oeko!FJ500)</f>
        <v>1</v>
      </c>
      <c r="AK500" s="1998">
        <f>IF(Construction!$F$31=Construction!$R$22,Oeko!CX500,Oeko!FK500)</f>
        <v>1</v>
      </c>
      <c r="AL500" s="1998">
        <f>IF(Construction!$F$31=Construction!$R$22,Oeko!CY500,Oeko!FL500)</f>
        <v>1</v>
      </c>
      <c r="AM500" s="1979">
        <f>IF(Construction!$F$31=Construction!$R$22,Oeko!CZ500,Oeko!FM500)</f>
        <v>1</v>
      </c>
      <c r="AN500" s="1979">
        <f>IF(Construction!$F$31=Construction!$R$22,Oeko!DA500,Oeko!FN500)</f>
        <v>1</v>
      </c>
      <c r="AO500" s="1979">
        <f>IF(Construction!$F$31=Construction!$R$22,Oeko!DB500,Oeko!FO500)</f>
        <v>1</v>
      </c>
      <c r="AP500" s="1979">
        <f>IF(Construction!$F$31=Construction!$R$22,Oeko!DC500,Oeko!FP500)</f>
        <v>1</v>
      </c>
      <c r="AQ500" s="1979">
        <f>IF(Construction!$F$31=Construction!$R$22,Oeko!DD500,Oeko!FQ500)</f>
        <v>1</v>
      </c>
      <c r="AR500" s="1998">
        <f>IF(Construction!$F$31=Construction!$R$22,Oeko!DE500,Oeko!FR500)</f>
        <v>1</v>
      </c>
      <c r="AS500" s="1998">
        <f>IF(Construction!$F$31=Construction!$R$22,Oeko!DF500,Oeko!FS500)</f>
        <v>1</v>
      </c>
      <c r="AT500" s="1998">
        <f>IF(Construction!$F$31=Construction!$R$22,Oeko!DG500,Oeko!FT500)</f>
        <v>1</v>
      </c>
      <c r="AU500" s="1998">
        <f>IF(Construction!$F$31=Construction!$R$22,Oeko!DH500,Oeko!FU500)</f>
        <v>1</v>
      </c>
      <c r="AV500" s="1998">
        <f>IF(Construction!$F$31=Construction!$R$22,Oeko!DI500,Oeko!FV500)</f>
        <v>1</v>
      </c>
      <c r="AW500" s="1979">
        <f>IF(Construction!$F$31=Construction!$R$22,Oeko!DJ500,Oeko!FW500)</f>
        <v>1</v>
      </c>
      <c r="AX500" s="1979">
        <f>IF(Construction!$F$31=Construction!$R$22,Oeko!DK500,Oeko!FX500)</f>
        <v>1</v>
      </c>
      <c r="AY500" s="1979">
        <f>IF(Construction!$F$31=Construction!$R$22,Oeko!DL500,Oeko!FY500)</f>
        <v>1</v>
      </c>
      <c r="AZ500" s="1979">
        <f>IF(Construction!$F$31=Construction!$R$22,Oeko!DM500,Oeko!FZ500)</f>
        <v>1</v>
      </c>
      <c r="BA500" s="1979">
        <f>IF(Construction!$F$31=Construction!$R$22,Oeko!DN500,Oeko!GA500)</f>
        <v>1</v>
      </c>
      <c r="BB500" s="1998">
        <f>IF(Construction!$F$31=Construction!$R$22,Oeko!DO500,Oeko!GB500)</f>
        <v>1</v>
      </c>
      <c r="BC500" s="1998">
        <f>IF(Construction!$F$31=Construction!$R$22,Oeko!DP500,Oeko!GC500)</f>
        <v>1</v>
      </c>
      <c r="BD500" s="1998">
        <f>IF(Construction!$F$31=Construction!$R$22,Oeko!DQ500,Oeko!GD500)</f>
        <v>1</v>
      </c>
      <c r="BE500" s="1998">
        <f>IF(Construction!$F$31=Construction!$R$22,Oeko!DR500,Oeko!GE500)</f>
        <v>1</v>
      </c>
      <c r="BF500" s="1998">
        <f>IF(Construction!$F$31=Construction!$R$22,Oeko!DS500,Oeko!GF500)</f>
        <v>1</v>
      </c>
      <c r="BG500" s="1979">
        <f>IF(Construction!$F$31=Construction!$R$22,Oeko!DT500,Oeko!GG500)</f>
        <v>1</v>
      </c>
      <c r="BH500" s="1979">
        <f>IF(Construction!$F$31=Construction!$R$22,Oeko!DU500,Oeko!GH500)</f>
        <v>1</v>
      </c>
      <c r="BI500" s="1979">
        <f>IF(Construction!$F$31=Construction!$R$22,Oeko!DV500,Oeko!GI500)</f>
        <v>1</v>
      </c>
      <c r="BJ500" s="1979">
        <f>IF(Construction!$F$31=Construction!$R$22,Oeko!DW500,Oeko!GJ500)</f>
        <v>1</v>
      </c>
      <c r="BK500" s="2021">
        <f>IF(Construction!$F$31=Construction!$R$22,Oeko!DX500,Oeko!GK500)</f>
        <v>1</v>
      </c>
      <c r="BN500" s="2022"/>
      <c r="BO500" s="2">
        <v>38</v>
      </c>
      <c r="BP500" s="2" t="str">
        <f>$AF$17</f>
        <v/>
      </c>
      <c r="BQ500" s="1998">
        <v>1</v>
      </c>
      <c r="BR500" s="1998">
        <v>1</v>
      </c>
      <c r="BS500" s="1998">
        <v>1</v>
      </c>
      <c r="BT500" s="1998">
        <v>1</v>
      </c>
      <c r="BU500" s="1998">
        <v>1</v>
      </c>
      <c r="BV500" s="1979">
        <v>1</v>
      </c>
      <c r="BW500" s="1979">
        <v>1</v>
      </c>
      <c r="BX500" s="1979">
        <v>1</v>
      </c>
      <c r="BY500" s="1979">
        <v>1</v>
      </c>
      <c r="BZ500" s="1979">
        <v>1</v>
      </c>
      <c r="CA500" s="1998">
        <v>1</v>
      </c>
      <c r="CB500" s="1998">
        <v>1</v>
      </c>
      <c r="CC500" s="1998">
        <v>1</v>
      </c>
      <c r="CD500" s="1998">
        <v>1</v>
      </c>
      <c r="CE500" s="1998">
        <v>1</v>
      </c>
      <c r="CF500" s="1979">
        <v>1</v>
      </c>
      <c r="CG500" s="1979">
        <v>1</v>
      </c>
      <c r="CH500" s="1979">
        <v>1</v>
      </c>
      <c r="CI500" s="1979">
        <v>1</v>
      </c>
      <c r="CJ500" s="1979">
        <v>1</v>
      </c>
      <c r="CK500" s="1998">
        <v>1</v>
      </c>
      <c r="CL500" s="1998">
        <v>1</v>
      </c>
      <c r="CM500" s="1998">
        <v>1</v>
      </c>
      <c r="CN500" s="1998">
        <v>1</v>
      </c>
      <c r="CO500" s="1998">
        <v>1</v>
      </c>
      <c r="CP500" s="1979">
        <v>1</v>
      </c>
      <c r="CQ500" s="1979">
        <v>1</v>
      </c>
      <c r="CR500" s="1979">
        <v>1</v>
      </c>
      <c r="CS500" s="1979">
        <v>1</v>
      </c>
      <c r="CT500" s="1979">
        <v>1</v>
      </c>
      <c r="CU500" s="1998">
        <v>1</v>
      </c>
      <c r="CV500" s="1998">
        <v>1</v>
      </c>
      <c r="CW500" s="1998">
        <v>1</v>
      </c>
      <c r="CX500" s="1998">
        <v>1</v>
      </c>
      <c r="CY500" s="1998">
        <v>1</v>
      </c>
      <c r="CZ500" s="1979">
        <v>1</v>
      </c>
      <c r="DA500" s="1979">
        <v>1</v>
      </c>
      <c r="DB500" s="1979">
        <v>1</v>
      </c>
      <c r="DC500" s="1979">
        <v>1</v>
      </c>
      <c r="DD500" s="1979">
        <v>1</v>
      </c>
      <c r="DE500" s="1998">
        <v>1</v>
      </c>
      <c r="DF500" s="1998">
        <v>1</v>
      </c>
      <c r="DG500" s="1998">
        <v>1</v>
      </c>
      <c r="DH500" s="1998">
        <v>1</v>
      </c>
      <c r="DI500" s="1998">
        <v>1</v>
      </c>
      <c r="DJ500" s="1979">
        <v>1</v>
      </c>
      <c r="DK500" s="1979">
        <v>1</v>
      </c>
      <c r="DL500" s="1979">
        <v>1</v>
      </c>
      <c r="DM500" s="1979">
        <v>1</v>
      </c>
      <c r="DN500" s="1979">
        <v>1</v>
      </c>
      <c r="DO500" s="1998">
        <v>1</v>
      </c>
      <c r="DP500" s="1998">
        <v>1</v>
      </c>
      <c r="DQ500" s="1998">
        <v>1</v>
      </c>
      <c r="DR500" s="1998">
        <v>1</v>
      </c>
      <c r="DS500" s="1998">
        <v>1</v>
      </c>
      <c r="DT500" s="1979">
        <v>1</v>
      </c>
      <c r="DU500" s="1979">
        <v>1</v>
      </c>
      <c r="DV500" s="1979">
        <v>1</v>
      </c>
      <c r="DW500" s="1979">
        <v>1</v>
      </c>
      <c r="DX500" s="2021">
        <v>1</v>
      </c>
      <c r="EA500" s="2022"/>
      <c r="EB500" s="2">
        <v>38</v>
      </c>
      <c r="EC500" s="2" t="str">
        <f>$AF$17</f>
        <v/>
      </c>
      <c r="ED500" s="1998">
        <v>1.3605609674202821</v>
      </c>
      <c r="EE500" s="1998">
        <v>1.3605609674202821</v>
      </c>
      <c r="EF500" s="1998">
        <v>1.3605609674202821</v>
      </c>
      <c r="EG500" s="1998">
        <v>1.3605609674202821</v>
      </c>
      <c r="EH500" s="1998">
        <v>1.3605609674202821</v>
      </c>
      <c r="EI500" s="1979">
        <v>2.0966679740137137</v>
      </c>
      <c r="EJ500" s="1979">
        <v>2.0966679740137137</v>
      </c>
      <c r="EK500" s="1979">
        <v>2.0966679740137137</v>
      </c>
      <c r="EL500" s="1979">
        <v>2.0966679740137137</v>
      </c>
      <c r="EM500" s="1979">
        <v>2.0966679740137137</v>
      </c>
      <c r="EN500" s="1998">
        <v>1.4337071065592959</v>
      </c>
      <c r="EO500" s="1998">
        <v>1.4337071065592959</v>
      </c>
      <c r="EP500" s="1998">
        <v>1.4337071065592959</v>
      </c>
      <c r="EQ500" s="1998">
        <v>1.4337071065592959</v>
      </c>
      <c r="ER500" s="1998">
        <v>1.4337071065592959</v>
      </c>
      <c r="ES500" s="1979">
        <v>1.8379162318633464</v>
      </c>
      <c r="ET500" s="1979">
        <v>1.8379162318633464</v>
      </c>
      <c r="EU500" s="1979">
        <v>1.8379162318633464</v>
      </c>
      <c r="EV500" s="1979">
        <v>1.8379162318633464</v>
      </c>
      <c r="EW500" s="1979">
        <v>1.8379162318633464</v>
      </c>
      <c r="EX500" s="1998">
        <v>1.4662053104562123</v>
      </c>
      <c r="EY500" s="1998">
        <v>1.4662053104562123</v>
      </c>
      <c r="EZ500" s="1998">
        <v>1.4662053104562123</v>
      </c>
      <c r="FA500" s="1998">
        <v>1.4662053104562123</v>
      </c>
      <c r="FB500" s="1998">
        <v>1.4662053104562123</v>
      </c>
      <c r="FC500" s="1979">
        <v>1.6277744053108218</v>
      </c>
      <c r="FD500" s="1979">
        <v>1.6277744053108218</v>
      </c>
      <c r="FE500" s="1979">
        <v>1.6277744053108218</v>
      </c>
      <c r="FF500" s="1979">
        <v>1.6277744053108218</v>
      </c>
      <c r="FG500" s="1979">
        <v>1.6277744053108218</v>
      </c>
      <c r="FH500" s="1998">
        <v>2.3921927569513635</v>
      </c>
      <c r="FI500" s="1998">
        <v>2.3921927569513635</v>
      </c>
      <c r="FJ500" s="1998">
        <v>2.3921927569513635</v>
      </c>
      <c r="FK500" s="1998">
        <v>2.3921927569513635</v>
      </c>
      <c r="FL500" s="1998">
        <v>2.3921927569513635</v>
      </c>
      <c r="FM500" s="1979">
        <v>1.5115041757386145</v>
      </c>
      <c r="FN500" s="1979">
        <v>1.5115041757386145</v>
      </c>
      <c r="FO500" s="1979">
        <v>1.5115041757386145</v>
      </c>
      <c r="FP500" s="1979">
        <v>1.5115041757386145</v>
      </c>
      <c r="FQ500" s="1979">
        <v>1.5115041757386145</v>
      </c>
      <c r="FR500" s="1998">
        <v>8.1198212572277306</v>
      </c>
      <c r="FS500" s="1998">
        <v>8.1198212572277306</v>
      </c>
      <c r="FT500" s="1998">
        <v>8.1198212572277306</v>
      </c>
      <c r="FU500" s="1998">
        <v>8.1198212572277306</v>
      </c>
      <c r="FV500" s="1998">
        <v>8.1198212572277306</v>
      </c>
      <c r="FW500" s="1979">
        <v>8.4799072816005001</v>
      </c>
      <c r="FX500" s="1979">
        <v>8.4799072816005001</v>
      </c>
      <c r="FY500" s="1979">
        <v>8.4799072816005001</v>
      </c>
      <c r="FZ500" s="1979">
        <v>8.4799072816005001</v>
      </c>
      <c r="GA500" s="1979">
        <v>8.4799072816005001</v>
      </c>
      <c r="GB500" s="1998">
        <v>1.3861479372000356</v>
      </c>
      <c r="GC500" s="1998">
        <v>1.3861479372000356</v>
      </c>
      <c r="GD500" s="1998">
        <v>1.3861479372000356</v>
      </c>
      <c r="GE500" s="1998">
        <v>1.3861479372000356</v>
      </c>
      <c r="GF500" s="1998">
        <v>1.3861479372000356</v>
      </c>
      <c r="GG500" s="1979">
        <v>1.4313071575784038</v>
      </c>
      <c r="GH500" s="1979">
        <v>1.4313071575784038</v>
      </c>
      <c r="GI500" s="1979">
        <v>1.4313071575784038</v>
      </c>
      <c r="GJ500" s="1979">
        <v>1.4313071575784038</v>
      </c>
      <c r="GK500" s="2021">
        <v>1.4313071575784038</v>
      </c>
    </row>
    <row r="501" spans="1:193">
      <c r="A501" s="2020"/>
      <c r="B501" s="2">
        <v>39</v>
      </c>
      <c r="C501" s="2" t="str">
        <f>$AF$18</f>
        <v/>
      </c>
      <c r="D501" s="1998">
        <f>IF(Construction!$F$31=Construction!$R$22,Oeko!BQ501,Oeko!ED501)</f>
        <v>1</v>
      </c>
      <c r="E501" s="1998">
        <f>IF(Construction!$F$31=Construction!$R$22,Oeko!BR501,Oeko!EE501)</f>
        <v>1</v>
      </c>
      <c r="F501" s="1998">
        <f>IF(Construction!$F$31=Construction!$R$22,Oeko!BS501,Oeko!EF501)</f>
        <v>1</v>
      </c>
      <c r="G501" s="1998">
        <f>IF(Construction!$F$31=Construction!$R$22,Oeko!BT501,Oeko!EG501)</f>
        <v>1</v>
      </c>
      <c r="H501" s="1998">
        <f>IF(Construction!$F$31=Construction!$R$22,Oeko!BU501,Oeko!EH501)</f>
        <v>1</v>
      </c>
      <c r="I501" s="1979">
        <f>IF(Construction!$F$31=Construction!$R$22,Oeko!BV501,Oeko!EI501)</f>
        <v>1</v>
      </c>
      <c r="J501" s="1979">
        <f>IF(Construction!$F$31=Construction!$R$22,Oeko!BW501,Oeko!EJ501)</f>
        <v>1</v>
      </c>
      <c r="K501" s="1979">
        <f>IF(Construction!$F$31=Construction!$R$22,Oeko!BX501,Oeko!EK501)</f>
        <v>1</v>
      </c>
      <c r="L501" s="1979">
        <f>IF(Construction!$F$31=Construction!$R$22,Oeko!BY501,Oeko!EL501)</f>
        <v>1</v>
      </c>
      <c r="M501" s="1979">
        <f>IF(Construction!$F$31=Construction!$R$22,Oeko!BZ501,Oeko!EM501)</f>
        <v>1</v>
      </c>
      <c r="N501" s="1998">
        <f>IF(Construction!$F$31=Construction!$R$22,Oeko!CA501,Oeko!EN501)</f>
        <v>1</v>
      </c>
      <c r="O501" s="1998">
        <f>IF(Construction!$F$31=Construction!$R$22,Oeko!CB501,Oeko!EO501)</f>
        <v>1</v>
      </c>
      <c r="P501" s="1998">
        <f>IF(Construction!$F$31=Construction!$R$22,Oeko!CC501,Oeko!EP501)</f>
        <v>1</v>
      </c>
      <c r="Q501" s="1998">
        <f>IF(Construction!$F$31=Construction!$R$22,Oeko!CD501,Oeko!EQ501)</f>
        <v>1</v>
      </c>
      <c r="R501" s="1998">
        <f>IF(Construction!$F$31=Construction!$R$22,Oeko!CE501,Oeko!ER501)</f>
        <v>1</v>
      </c>
      <c r="S501" s="1979">
        <f>IF(Construction!$F$31=Construction!$R$22,Oeko!CF501,Oeko!ES501)</f>
        <v>1</v>
      </c>
      <c r="T501" s="1979">
        <f>IF(Construction!$F$31=Construction!$R$22,Oeko!CG501,Oeko!ET501)</f>
        <v>1</v>
      </c>
      <c r="U501" s="1979">
        <f>IF(Construction!$F$31=Construction!$R$22,Oeko!CH501,Oeko!EU501)</f>
        <v>1</v>
      </c>
      <c r="V501" s="1979">
        <f>IF(Construction!$F$31=Construction!$R$22,Oeko!CI501,Oeko!EV501)</f>
        <v>1</v>
      </c>
      <c r="W501" s="1979">
        <f>IF(Construction!$F$31=Construction!$R$22,Oeko!CJ501,Oeko!EW501)</f>
        <v>1</v>
      </c>
      <c r="X501" s="1998">
        <f>IF(Construction!$F$31=Construction!$R$22,Oeko!CK501,Oeko!EX501)</f>
        <v>1</v>
      </c>
      <c r="Y501" s="1998">
        <f>IF(Construction!$F$31=Construction!$R$22,Oeko!CL501,Oeko!EY501)</f>
        <v>1</v>
      </c>
      <c r="Z501" s="1998">
        <f>IF(Construction!$F$31=Construction!$R$22,Oeko!CM501,Oeko!EZ501)</f>
        <v>1</v>
      </c>
      <c r="AA501" s="1998">
        <f>IF(Construction!$F$31=Construction!$R$22,Oeko!CN501,Oeko!FA501)</f>
        <v>1</v>
      </c>
      <c r="AB501" s="1998">
        <f>IF(Construction!$F$31=Construction!$R$22,Oeko!CO501,Oeko!FB501)</f>
        <v>1</v>
      </c>
      <c r="AC501" s="1979">
        <f>IF(Construction!$F$31=Construction!$R$22,Oeko!CP501,Oeko!FC501)</f>
        <v>1</v>
      </c>
      <c r="AD501" s="1979">
        <f>IF(Construction!$F$31=Construction!$R$22,Oeko!CQ501,Oeko!FD501)</f>
        <v>1</v>
      </c>
      <c r="AE501" s="1979">
        <f>IF(Construction!$F$31=Construction!$R$22,Oeko!CR501,Oeko!FE501)</f>
        <v>1</v>
      </c>
      <c r="AF501" s="1979">
        <f>IF(Construction!$F$31=Construction!$R$22,Oeko!CS501,Oeko!FF501)</f>
        <v>1</v>
      </c>
      <c r="AG501" s="1979">
        <f>IF(Construction!$F$31=Construction!$R$22,Oeko!CT501,Oeko!FG501)</f>
        <v>1</v>
      </c>
      <c r="AH501" s="1998">
        <f>IF(Construction!$F$31=Construction!$R$22,Oeko!CU501,Oeko!FH501)</f>
        <v>1</v>
      </c>
      <c r="AI501" s="1998">
        <f>IF(Construction!$F$31=Construction!$R$22,Oeko!CV501,Oeko!FI501)</f>
        <v>1</v>
      </c>
      <c r="AJ501" s="1998">
        <f>IF(Construction!$F$31=Construction!$R$22,Oeko!CW501,Oeko!FJ501)</f>
        <v>1</v>
      </c>
      <c r="AK501" s="1998">
        <f>IF(Construction!$F$31=Construction!$R$22,Oeko!CX501,Oeko!FK501)</f>
        <v>1</v>
      </c>
      <c r="AL501" s="1998">
        <f>IF(Construction!$F$31=Construction!$R$22,Oeko!CY501,Oeko!FL501)</f>
        <v>1</v>
      </c>
      <c r="AM501" s="1979">
        <f>IF(Construction!$F$31=Construction!$R$22,Oeko!CZ501,Oeko!FM501)</f>
        <v>1</v>
      </c>
      <c r="AN501" s="1979">
        <f>IF(Construction!$F$31=Construction!$R$22,Oeko!DA501,Oeko!FN501)</f>
        <v>1</v>
      </c>
      <c r="AO501" s="1979">
        <f>IF(Construction!$F$31=Construction!$R$22,Oeko!DB501,Oeko!FO501)</f>
        <v>1</v>
      </c>
      <c r="AP501" s="1979">
        <f>IF(Construction!$F$31=Construction!$R$22,Oeko!DC501,Oeko!FP501)</f>
        <v>1</v>
      </c>
      <c r="AQ501" s="1979">
        <f>IF(Construction!$F$31=Construction!$R$22,Oeko!DD501,Oeko!FQ501)</f>
        <v>1</v>
      </c>
      <c r="AR501" s="1998">
        <f>IF(Construction!$F$31=Construction!$R$22,Oeko!DE501,Oeko!FR501)</f>
        <v>1</v>
      </c>
      <c r="AS501" s="1998">
        <f>IF(Construction!$F$31=Construction!$R$22,Oeko!DF501,Oeko!FS501)</f>
        <v>1</v>
      </c>
      <c r="AT501" s="1998">
        <f>IF(Construction!$F$31=Construction!$R$22,Oeko!DG501,Oeko!FT501)</f>
        <v>1</v>
      </c>
      <c r="AU501" s="1998">
        <f>IF(Construction!$F$31=Construction!$R$22,Oeko!DH501,Oeko!FU501)</f>
        <v>1</v>
      </c>
      <c r="AV501" s="1998">
        <f>IF(Construction!$F$31=Construction!$R$22,Oeko!DI501,Oeko!FV501)</f>
        <v>1</v>
      </c>
      <c r="AW501" s="1979">
        <f>IF(Construction!$F$31=Construction!$R$22,Oeko!DJ501,Oeko!FW501)</f>
        <v>1</v>
      </c>
      <c r="AX501" s="1979">
        <f>IF(Construction!$F$31=Construction!$R$22,Oeko!DK501,Oeko!FX501)</f>
        <v>1</v>
      </c>
      <c r="AY501" s="1979">
        <f>IF(Construction!$F$31=Construction!$R$22,Oeko!DL501,Oeko!FY501)</f>
        <v>1</v>
      </c>
      <c r="AZ501" s="1979">
        <f>IF(Construction!$F$31=Construction!$R$22,Oeko!DM501,Oeko!FZ501)</f>
        <v>1</v>
      </c>
      <c r="BA501" s="1979">
        <f>IF(Construction!$F$31=Construction!$R$22,Oeko!DN501,Oeko!GA501)</f>
        <v>1</v>
      </c>
      <c r="BB501" s="1998">
        <f>IF(Construction!$F$31=Construction!$R$22,Oeko!DO501,Oeko!GB501)</f>
        <v>1</v>
      </c>
      <c r="BC501" s="1998">
        <f>IF(Construction!$F$31=Construction!$R$22,Oeko!DP501,Oeko!GC501)</f>
        <v>1</v>
      </c>
      <c r="BD501" s="1998">
        <f>IF(Construction!$F$31=Construction!$R$22,Oeko!DQ501,Oeko!GD501)</f>
        <v>1</v>
      </c>
      <c r="BE501" s="1998">
        <f>IF(Construction!$F$31=Construction!$R$22,Oeko!DR501,Oeko!GE501)</f>
        <v>1</v>
      </c>
      <c r="BF501" s="1998">
        <f>IF(Construction!$F$31=Construction!$R$22,Oeko!DS501,Oeko!GF501)</f>
        <v>1</v>
      </c>
      <c r="BG501" s="1979">
        <f>IF(Construction!$F$31=Construction!$R$22,Oeko!DT501,Oeko!GG501)</f>
        <v>1</v>
      </c>
      <c r="BH501" s="1979">
        <f>IF(Construction!$F$31=Construction!$R$22,Oeko!DU501,Oeko!GH501)</f>
        <v>1</v>
      </c>
      <c r="BI501" s="1979">
        <f>IF(Construction!$F$31=Construction!$R$22,Oeko!DV501,Oeko!GI501)</f>
        <v>1</v>
      </c>
      <c r="BJ501" s="1979">
        <f>IF(Construction!$F$31=Construction!$R$22,Oeko!DW501,Oeko!GJ501)</f>
        <v>1</v>
      </c>
      <c r="BK501" s="2021">
        <f>IF(Construction!$F$31=Construction!$R$22,Oeko!DX501,Oeko!GK501)</f>
        <v>1</v>
      </c>
      <c r="BN501" s="2022"/>
      <c r="BO501" s="2">
        <v>39</v>
      </c>
      <c r="BP501" s="2" t="str">
        <f>$AF$18</f>
        <v/>
      </c>
      <c r="BQ501" s="1998">
        <v>1</v>
      </c>
      <c r="BR501" s="1998">
        <v>1</v>
      </c>
      <c r="BS501" s="1998">
        <v>1</v>
      </c>
      <c r="BT501" s="1998">
        <v>1</v>
      </c>
      <c r="BU501" s="1998">
        <v>1</v>
      </c>
      <c r="BV501" s="1979">
        <v>1</v>
      </c>
      <c r="BW501" s="1979">
        <v>1</v>
      </c>
      <c r="BX501" s="1979">
        <v>1</v>
      </c>
      <c r="BY501" s="1979">
        <v>1</v>
      </c>
      <c r="BZ501" s="1979">
        <v>1</v>
      </c>
      <c r="CA501" s="1998">
        <v>1</v>
      </c>
      <c r="CB501" s="1998">
        <v>1</v>
      </c>
      <c r="CC501" s="1998">
        <v>1</v>
      </c>
      <c r="CD501" s="1998">
        <v>1</v>
      </c>
      <c r="CE501" s="1998">
        <v>1</v>
      </c>
      <c r="CF501" s="1979">
        <v>1</v>
      </c>
      <c r="CG501" s="1979">
        <v>1</v>
      </c>
      <c r="CH501" s="1979">
        <v>1</v>
      </c>
      <c r="CI501" s="1979">
        <v>1</v>
      </c>
      <c r="CJ501" s="1979">
        <v>1</v>
      </c>
      <c r="CK501" s="1998">
        <v>1</v>
      </c>
      <c r="CL501" s="1998">
        <v>1</v>
      </c>
      <c r="CM501" s="1998">
        <v>1</v>
      </c>
      <c r="CN501" s="1998">
        <v>1</v>
      </c>
      <c r="CO501" s="1998">
        <v>1</v>
      </c>
      <c r="CP501" s="1979">
        <v>1</v>
      </c>
      <c r="CQ501" s="1979">
        <v>1</v>
      </c>
      <c r="CR501" s="1979">
        <v>1</v>
      </c>
      <c r="CS501" s="1979">
        <v>1</v>
      </c>
      <c r="CT501" s="1979">
        <v>1</v>
      </c>
      <c r="CU501" s="1998">
        <v>1</v>
      </c>
      <c r="CV501" s="1998">
        <v>1</v>
      </c>
      <c r="CW501" s="1998">
        <v>1</v>
      </c>
      <c r="CX501" s="1998">
        <v>1</v>
      </c>
      <c r="CY501" s="1998">
        <v>1</v>
      </c>
      <c r="CZ501" s="1979">
        <v>1</v>
      </c>
      <c r="DA501" s="1979">
        <v>1</v>
      </c>
      <c r="DB501" s="1979">
        <v>1</v>
      </c>
      <c r="DC501" s="1979">
        <v>1</v>
      </c>
      <c r="DD501" s="1979">
        <v>1</v>
      </c>
      <c r="DE501" s="1998">
        <v>1</v>
      </c>
      <c r="DF501" s="1998">
        <v>1</v>
      </c>
      <c r="DG501" s="1998">
        <v>1</v>
      </c>
      <c r="DH501" s="1998">
        <v>1</v>
      </c>
      <c r="DI501" s="1998">
        <v>1</v>
      </c>
      <c r="DJ501" s="1979">
        <v>1</v>
      </c>
      <c r="DK501" s="1979">
        <v>1</v>
      </c>
      <c r="DL501" s="1979">
        <v>1</v>
      </c>
      <c r="DM501" s="1979">
        <v>1</v>
      </c>
      <c r="DN501" s="1979">
        <v>1</v>
      </c>
      <c r="DO501" s="1998">
        <v>1</v>
      </c>
      <c r="DP501" s="1998">
        <v>1</v>
      </c>
      <c r="DQ501" s="1998">
        <v>1</v>
      </c>
      <c r="DR501" s="1998">
        <v>1</v>
      </c>
      <c r="DS501" s="1998">
        <v>1</v>
      </c>
      <c r="DT501" s="1979">
        <v>1</v>
      </c>
      <c r="DU501" s="1979">
        <v>1</v>
      </c>
      <c r="DV501" s="1979">
        <v>1</v>
      </c>
      <c r="DW501" s="1979">
        <v>1</v>
      </c>
      <c r="DX501" s="2021">
        <v>1</v>
      </c>
      <c r="EA501" s="2022"/>
      <c r="EB501" s="2">
        <v>39</v>
      </c>
      <c r="EC501" s="2" t="str">
        <f>$AF$18</f>
        <v/>
      </c>
      <c r="ED501" s="1998">
        <v>1.3605609674202821</v>
      </c>
      <c r="EE501" s="1998">
        <v>1.3605609674202821</v>
      </c>
      <c r="EF501" s="1998">
        <v>1.3605609674202821</v>
      </c>
      <c r="EG501" s="1998">
        <v>1.3605609674202821</v>
      </c>
      <c r="EH501" s="1998">
        <v>1.3605609674202821</v>
      </c>
      <c r="EI501" s="1979">
        <v>2.0966679740137137</v>
      </c>
      <c r="EJ501" s="1979">
        <v>2.0966679740137137</v>
      </c>
      <c r="EK501" s="1979">
        <v>2.0966679740137137</v>
      </c>
      <c r="EL501" s="1979">
        <v>2.0966679740137137</v>
      </c>
      <c r="EM501" s="1979">
        <v>2.0966679740137137</v>
      </c>
      <c r="EN501" s="1998">
        <v>1.4337071065592959</v>
      </c>
      <c r="EO501" s="1998">
        <v>1.4337071065592959</v>
      </c>
      <c r="EP501" s="1998">
        <v>1.4337071065592959</v>
      </c>
      <c r="EQ501" s="1998">
        <v>1.4337071065592959</v>
      </c>
      <c r="ER501" s="1998">
        <v>1.4337071065592959</v>
      </c>
      <c r="ES501" s="1979">
        <v>1.8379162318633464</v>
      </c>
      <c r="ET501" s="1979">
        <v>1.8379162318633464</v>
      </c>
      <c r="EU501" s="1979">
        <v>1.8379162318633464</v>
      </c>
      <c r="EV501" s="1979">
        <v>1.8379162318633464</v>
      </c>
      <c r="EW501" s="1979">
        <v>1.8379162318633464</v>
      </c>
      <c r="EX501" s="1998">
        <v>1.4662053104562123</v>
      </c>
      <c r="EY501" s="1998">
        <v>1.4662053104562123</v>
      </c>
      <c r="EZ501" s="1998">
        <v>1.4662053104562123</v>
      </c>
      <c r="FA501" s="1998">
        <v>1.4662053104562123</v>
      </c>
      <c r="FB501" s="1998">
        <v>1.4662053104562123</v>
      </c>
      <c r="FC501" s="1979">
        <v>1.6277744053108218</v>
      </c>
      <c r="FD501" s="1979">
        <v>1.6277744053108218</v>
      </c>
      <c r="FE501" s="1979">
        <v>1.6277744053108218</v>
      </c>
      <c r="FF501" s="1979">
        <v>1.6277744053108218</v>
      </c>
      <c r="FG501" s="1979">
        <v>1.6277744053108218</v>
      </c>
      <c r="FH501" s="1998">
        <v>2.3921927569513635</v>
      </c>
      <c r="FI501" s="1998">
        <v>2.3921927569513635</v>
      </c>
      <c r="FJ501" s="1998">
        <v>2.3921927569513635</v>
      </c>
      <c r="FK501" s="1998">
        <v>2.3921927569513635</v>
      </c>
      <c r="FL501" s="1998">
        <v>2.3921927569513635</v>
      </c>
      <c r="FM501" s="1979">
        <v>1.5115041757386145</v>
      </c>
      <c r="FN501" s="1979">
        <v>1.5115041757386145</v>
      </c>
      <c r="FO501" s="1979">
        <v>1.5115041757386145</v>
      </c>
      <c r="FP501" s="1979">
        <v>1.5115041757386145</v>
      </c>
      <c r="FQ501" s="1979">
        <v>1.5115041757386145</v>
      </c>
      <c r="FR501" s="1998">
        <v>8.1198212572277306</v>
      </c>
      <c r="FS501" s="1998">
        <v>8.1198212572277306</v>
      </c>
      <c r="FT501" s="1998">
        <v>8.1198212572277306</v>
      </c>
      <c r="FU501" s="1998">
        <v>8.1198212572277306</v>
      </c>
      <c r="FV501" s="1998">
        <v>8.1198212572277306</v>
      </c>
      <c r="FW501" s="1979">
        <v>8.4799072816005001</v>
      </c>
      <c r="FX501" s="1979">
        <v>8.4799072816005001</v>
      </c>
      <c r="FY501" s="1979">
        <v>8.4799072816005001</v>
      </c>
      <c r="FZ501" s="1979">
        <v>8.4799072816005001</v>
      </c>
      <c r="GA501" s="1979">
        <v>8.4799072816005001</v>
      </c>
      <c r="GB501" s="1998">
        <v>1.3861479372000356</v>
      </c>
      <c r="GC501" s="1998">
        <v>1.3861479372000356</v>
      </c>
      <c r="GD501" s="1998">
        <v>1.3861479372000356</v>
      </c>
      <c r="GE501" s="1998">
        <v>1.3861479372000356</v>
      </c>
      <c r="GF501" s="1998">
        <v>1.3861479372000356</v>
      </c>
      <c r="GG501" s="1979">
        <v>1.4313071575784038</v>
      </c>
      <c r="GH501" s="1979">
        <v>1.4313071575784038</v>
      </c>
      <c r="GI501" s="1979">
        <v>1.4313071575784038</v>
      </c>
      <c r="GJ501" s="1979">
        <v>1.4313071575784038</v>
      </c>
      <c r="GK501" s="2021">
        <v>1.4313071575784038</v>
      </c>
    </row>
    <row r="502" spans="1:193">
      <c r="A502" s="2023" t="str">
        <f>Uebersetzung!$D636</f>
        <v>Construction métallique</v>
      </c>
      <c r="B502" s="2">
        <v>1</v>
      </c>
      <c r="C502" s="2" t="s">
        <v>4327</v>
      </c>
      <c r="D502" s="2002">
        <f>IF(Construction!$F$31=Construction!$R$22,Oeko!BQ502,Oeko!ED502)</f>
        <v>0</v>
      </c>
      <c r="E502" s="2002">
        <f>IF(Construction!$F$31=Construction!$R$22,Oeko!BR502,Oeko!EE502)</f>
        <v>0</v>
      </c>
      <c r="F502" s="2002">
        <f>IF(Construction!$F$31=Construction!$R$22,Oeko!BS502,Oeko!EF502)</f>
        <v>0</v>
      </c>
      <c r="G502" s="2002">
        <f>IF(Construction!$F$31=Construction!$R$22,Oeko!BT502,Oeko!EG502)</f>
        <v>0</v>
      </c>
      <c r="H502" s="2002">
        <f>IF(Construction!$F$31=Construction!$R$22,Oeko!BU502,Oeko!EH502)</f>
        <v>0</v>
      </c>
      <c r="I502" s="2004">
        <f>IF(Construction!$F$31=Construction!$R$22,Oeko!BV502,Oeko!EI502)</f>
        <v>0</v>
      </c>
      <c r="J502" s="2004">
        <f>IF(Construction!$F$31=Construction!$R$22,Oeko!BW502,Oeko!EJ502)</f>
        <v>0</v>
      </c>
      <c r="K502" s="2004">
        <f>IF(Construction!$F$31=Construction!$R$22,Oeko!BX502,Oeko!EK502)</f>
        <v>0</v>
      </c>
      <c r="L502" s="2004">
        <f>IF(Construction!$F$31=Construction!$R$22,Oeko!BY502,Oeko!EL502)</f>
        <v>0</v>
      </c>
      <c r="M502" s="2004">
        <f>IF(Construction!$F$31=Construction!$R$22,Oeko!BZ502,Oeko!EM502)</f>
        <v>0</v>
      </c>
      <c r="N502" s="2002">
        <f>IF(Construction!$F$31=Construction!$R$22,Oeko!CA502,Oeko!EN502)</f>
        <v>0</v>
      </c>
      <c r="O502" s="2002">
        <f>IF(Construction!$F$31=Construction!$R$22,Oeko!CB502,Oeko!EO502)</f>
        <v>0</v>
      </c>
      <c r="P502" s="2002">
        <f>IF(Construction!$F$31=Construction!$R$22,Oeko!CC502,Oeko!EP502)</f>
        <v>0</v>
      </c>
      <c r="Q502" s="2002">
        <f>IF(Construction!$F$31=Construction!$R$22,Oeko!CD502,Oeko!EQ502)</f>
        <v>0</v>
      </c>
      <c r="R502" s="2002">
        <f>IF(Construction!$F$31=Construction!$R$22,Oeko!CE502,Oeko!ER502)</f>
        <v>0</v>
      </c>
      <c r="S502" s="2004">
        <f>IF(Construction!$F$31=Construction!$R$22,Oeko!CF502,Oeko!ES502)</f>
        <v>0</v>
      </c>
      <c r="T502" s="2004">
        <f>IF(Construction!$F$31=Construction!$R$22,Oeko!CG502,Oeko!ET502)</f>
        <v>0</v>
      </c>
      <c r="U502" s="2004">
        <f>IF(Construction!$F$31=Construction!$R$22,Oeko!CH502,Oeko!EU502)</f>
        <v>0</v>
      </c>
      <c r="V502" s="2004">
        <f>IF(Construction!$F$31=Construction!$R$22,Oeko!CI502,Oeko!EV502)</f>
        <v>0</v>
      </c>
      <c r="W502" s="2004">
        <f>IF(Construction!$F$31=Construction!$R$22,Oeko!CJ502,Oeko!EW502)</f>
        <v>0</v>
      </c>
      <c r="X502" s="2002">
        <f>IF(Construction!$F$31=Construction!$R$22,Oeko!CK502,Oeko!EX502)</f>
        <v>0</v>
      </c>
      <c r="Y502" s="2002">
        <f>IF(Construction!$F$31=Construction!$R$22,Oeko!CL502,Oeko!EY502)</f>
        <v>0</v>
      </c>
      <c r="Z502" s="2002">
        <f>IF(Construction!$F$31=Construction!$R$22,Oeko!CM502,Oeko!EZ502)</f>
        <v>0</v>
      </c>
      <c r="AA502" s="2002">
        <f>IF(Construction!$F$31=Construction!$R$22,Oeko!CN502,Oeko!FA502)</f>
        <v>0</v>
      </c>
      <c r="AB502" s="2002">
        <f>IF(Construction!$F$31=Construction!$R$22,Oeko!CO502,Oeko!FB502)</f>
        <v>0</v>
      </c>
      <c r="AC502" s="2004">
        <f>IF(Construction!$F$31=Construction!$R$22,Oeko!CP502,Oeko!FC502)</f>
        <v>0</v>
      </c>
      <c r="AD502" s="2004">
        <f>IF(Construction!$F$31=Construction!$R$22,Oeko!CQ502,Oeko!FD502)</f>
        <v>0</v>
      </c>
      <c r="AE502" s="2004">
        <f>IF(Construction!$F$31=Construction!$R$22,Oeko!CR502,Oeko!FE502)</f>
        <v>0</v>
      </c>
      <c r="AF502" s="2004">
        <f>IF(Construction!$F$31=Construction!$R$22,Oeko!CS502,Oeko!FF502)</f>
        <v>0</v>
      </c>
      <c r="AG502" s="2004">
        <f>IF(Construction!$F$31=Construction!$R$22,Oeko!CT502,Oeko!FG502)</f>
        <v>0</v>
      </c>
      <c r="AH502" s="2002">
        <f>IF(Construction!$F$31=Construction!$R$22,Oeko!CU502,Oeko!FH502)</f>
        <v>0.17256282243899088</v>
      </c>
      <c r="AI502" s="2002">
        <f>IF(Construction!$F$31=Construction!$R$22,Oeko!CV502,Oeko!FI502)</f>
        <v>0.1729112493531354</v>
      </c>
      <c r="AJ502" s="2002">
        <f>IF(Construction!$F$31=Construction!$R$22,Oeko!CW502,Oeko!FJ502)</f>
        <v>0.17331522258692614</v>
      </c>
      <c r="AK502" s="2002">
        <f>IF(Construction!$F$31=Construction!$R$22,Oeko!CX502,Oeko!FK502)</f>
        <v>0.17377979180578551</v>
      </c>
      <c r="AL502" s="2002">
        <f>IF(Construction!$F$31=Construction!$R$22,Oeko!CY502,Oeko!FL502)</f>
        <v>0.17435040399851495</v>
      </c>
      <c r="AM502" s="2004">
        <f>IF(Construction!$F$31=Construction!$R$22,Oeko!CZ502,Oeko!FM502)</f>
        <v>0</v>
      </c>
      <c r="AN502" s="2004">
        <f>IF(Construction!$F$31=Construction!$R$22,Oeko!DA502,Oeko!FN502)</f>
        <v>0</v>
      </c>
      <c r="AO502" s="2004">
        <f>IF(Construction!$F$31=Construction!$R$22,Oeko!DB502,Oeko!FO502)</f>
        <v>0</v>
      </c>
      <c r="AP502" s="2004">
        <f>IF(Construction!$F$31=Construction!$R$22,Oeko!DC502,Oeko!FP502)</f>
        <v>0</v>
      </c>
      <c r="AQ502" s="2004">
        <f>IF(Construction!$F$31=Construction!$R$22,Oeko!DD502,Oeko!FQ502)</f>
        <v>0</v>
      </c>
      <c r="AR502" s="2002">
        <f>IF(Construction!$F$31=Construction!$R$22,Oeko!DE502,Oeko!FR502)</f>
        <v>1.5331706998491803</v>
      </c>
      <c r="AS502" s="2002">
        <f>IF(Construction!$F$31=Construction!$R$22,Oeko!DF502,Oeko!FS502)</f>
        <v>1.534773236632393</v>
      </c>
      <c r="AT502" s="2002">
        <f>IF(Construction!$F$31=Construction!$R$22,Oeko!DG502,Oeko!FT502)</f>
        <v>1.5366312502940889</v>
      </c>
      <c r="AU502" s="2002">
        <f>IF(Construction!$F$31=Construction!$R$22,Oeko!DH502,Oeko!FU502)</f>
        <v>1.5387679660050388</v>
      </c>
      <c r="AV502" s="2002">
        <f>IF(Construction!$F$31=Construction!$R$22,Oeko!DI502,Oeko!FV502)</f>
        <v>1.5413924103021841</v>
      </c>
      <c r="AW502" s="2004">
        <f>IF(Construction!$F$31=Construction!$R$22,Oeko!DJ502,Oeko!FW502)</f>
        <v>1.5249288133955754</v>
      </c>
      <c r="AX502" s="2004">
        <f>IF(Construction!$F$31=Construction!$R$22,Oeko!DK502,Oeko!FX502)</f>
        <v>1.5265281737997602</v>
      </c>
      <c r="AY502" s="2004">
        <f>IF(Construction!$F$31=Construction!$R$22,Oeko!DL502,Oeko!FY502)</f>
        <v>1.5283825047031627</v>
      </c>
      <c r="AZ502" s="2004">
        <f>IF(Construction!$F$31=Construction!$R$22,Oeko!DM502,Oeko!FZ502)</f>
        <v>1.5305149852420761</v>
      </c>
      <c r="BA502" s="2004">
        <f>IF(Construction!$F$31=Construction!$R$22,Oeko!DN502,Oeko!GA502)</f>
        <v>1.5331342276431321</v>
      </c>
      <c r="BB502" s="2002">
        <f>IF(Construction!$F$31=Construction!$R$22,Oeko!DO502,Oeko!GB502)</f>
        <v>0.25415637332828928</v>
      </c>
      <c r="BC502" s="2002">
        <f>IF(Construction!$F$31=Construction!$R$22,Oeko!DP502,Oeko!GC502)</f>
        <v>0.25434272701995536</v>
      </c>
      <c r="BD502" s="2002">
        <f>IF(Construction!$F$31=Construction!$R$22,Oeko!DQ502,Oeko!GD502)</f>
        <v>0.25455876537047084</v>
      </c>
      <c r="BE502" s="2002">
        <f>IF(Construction!$F$31=Construction!$R$22,Oeko!DR502,Oeko!GE502)</f>
        <v>0.25481108497069122</v>
      </c>
      <c r="BF502" s="2002">
        <f>IF(Construction!$F$31=Construction!$R$22,Oeko!DS502,Oeko!GF502)</f>
        <v>0.25512442303632438</v>
      </c>
      <c r="BG502" s="2004">
        <f>IF(Construction!$F$31=Construction!$R$22,Oeko!DT502,Oeko!GG502)</f>
        <v>0.32727400084280167</v>
      </c>
      <c r="BH502" s="2004">
        <f>IF(Construction!$F$31=Construction!$R$22,Oeko!DU502,Oeko!GH502)</f>
        <v>0.32755250203598091</v>
      </c>
      <c r="BI502" s="2004">
        <f>IF(Construction!$F$31=Construction!$R$22,Oeko!DV502,Oeko!GI502)</f>
        <v>0.32787536625108249</v>
      </c>
      <c r="BJ502" s="2004">
        <f>IF(Construction!$F$31=Construction!$R$22,Oeko!DW502,Oeko!GJ502)</f>
        <v>0.32825245193742247</v>
      </c>
      <c r="BK502" s="2024">
        <f>IF(Construction!$F$31=Construction!$R$22,Oeko!DX502,Oeko!GK502)</f>
        <v>0.32872072827993615</v>
      </c>
      <c r="BN502" s="2025" t="str">
        <f>Uebersetzung!$D636</f>
        <v>Construction métallique</v>
      </c>
      <c r="BO502" s="2">
        <v>1</v>
      </c>
      <c r="BP502" s="2" t="s">
        <v>4327</v>
      </c>
      <c r="BQ502" s="2002">
        <v>0</v>
      </c>
      <c r="BR502" s="2002">
        <v>0</v>
      </c>
      <c r="BS502" s="2002">
        <v>0</v>
      </c>
      <c r="BT502" s="2002">
        <v>0</v>
      </c>
      <c r="BU502" s="2002">
        <v>0</v>
      </c>
      <c r="BV502" s="2004">
        <v>0</v>
      </c>
      <c r="BW502" s="2004">
        <v>0</v>
      </c>
      <c r="BX502" s="2004">
        <v>0</v>
      </c>
      <c r="BY502" s="2004">
        <v>0</v>
      </c>
      <c r="BZ502" s="2004">
        <v>0</v>
      </c>
      <c r="CA502" s="2002">
        <v>0</v>
      </c>
      <c r="CB502" s="2002">
        <v>0</v>
      </c>
      <c r="CC502" s="2002">
        <v>0</v>
      </c>
      <c r="CD502" s="2002">
        <v>0</v>
      </c>
      <c r="CE502" s="2002">
        <v>0</v>
      </c>
      <c r="CF502" s="2004">
        <v>0</v>
      </c>
      <c r="CG502" s="2004">
        <v>0</v>
      </c>
      <c r="CH502" s="2004">
        <v>0</v>
      </c>
      <c r="CI502" s="2004">
        <v>0</v>
      </c>
      <c r="CJ502" s="2004">
        <v>0</v>
      </c>
      <c r="CK502" s="2002">
        <v>0</v>
      </c>
      <c r="CL502" s="2002">
        <v>0</v>
      </c>
      <c r="CM502" s="2002">
        <v>0</v>
      </c>
      <c r="CN502" s="2002">
        <v>0</v>
      </c>
      <c r="CO502" s="2002">
        <v>0</v>
      </c>
      <c r="CP502" s="2004">
        <v>0</v>
      </c>
      <c r="CQ502" s="2004">
        <v>0</v>
      </c>
      <c r="CR502" s="2004">
        <v>0</v>
      </c>
      <c r="CS502" s="2004">
        <v>0</v>
      </c>
      <c r="CT502" s="2004">
        <v>0</v>
      </c>
      <c r="CU502" s="2002">
        <v>0.17256282243899088</v>
      </c>
      <c r="CV502" s="2002">
        <v>0.1729112493531354</v>
      </c>
      <c r="CW502" s="2002">
        <v>0.17331522258692614</v>
      </c>
      <c r="CX502" s="2002">
        <v>0.17377979180578551</v>
      </c>
      <c r="CY502" s="2002">
        <v>0.17435040399851495</v>
      </c>
      <c r="CZ502" s="2004">
        <v>0</v>
      </c>
      <c r="DA502" s="2004">
        <v>0</v>
      </c>
      <c r="DB502" s="2004">
        <v>0</v>
      </c>
      <c r="DC502" s="2004">
        <v>0</v>
      </c>
      <c r="DD502" s="2004">
        <v>0</v>
      </c>
      <c r="DE502" s="2002">
        <v>1.5331706998491803</v>
      </c>
      <c r="DF502" s="2002">
        <v>1.534773236632393</v>
      </c>
      <c r="DG502" s="2002">
        <v>1.5366312502940889</v>
      </c>
      <c r="DH502" s="2002">
        <v>1.5387679660050388</v>
      </c>
      <c r="DI502" s="2002">
        <v>1.5413924103021841</v>
      </c>
      <c r="DJ502" s="2004">
        <v>1.5249288133955754</v>
      </c>
      <c r="DK502" s="2004">
        <v>1.5265281737997602</v>
      </c>
      <c r="DL502" s="2004">
        <v>1.5283825047031627</v>
      </c>
      <c r="DM502" s="2004">
        <v>1.5305149852420761</v>
      </c>
      <c r="DN502" s="2004">
        <v>1.5331342276431321</v>
      </c>
      <c r="DO502" s="2002">
        <v>0.25415637332828928</v>
      </c>
      <c r="DP502" s="2002">
        <v>0.25434272701995536</v>
      </c>
      <c r="DQ502" s="2002">
        <v>0.25455876537047084</v>
      </c>
      <c r="DR502" s="2002">
        <v>0.25481108497069122</v>
      </c>
      <c r="DS502" s="2002">
        <v>0.25512442303632438</v>
      </c>
      <c r="DT502" s="2004">
        <v>0.32727400084280167</v>
      </c>
      <c r="DU502" s="2004">
        <v>0.32755250203598091</v>
      </c>
      <c r="DV502" s="2004">
        <v>0.32787536625108249</v>
      </c>
      <c r="DW502" s="2004">
        <v>0.32825245193742247</v>
      </c>
      <c r="DX502" s="2024">
        <v>0.32872072827993615</v>
      </c>
      <c r="EA502" s="2025" t="str">
        <f>Uebersetzung!$D636</f>
        <v>Construction métallique</v>
      </c>
      <c r="EB502" s="2">
        <v>1</v>
      </c>
      <c r="EC502" s="2" t="s">
        <v>4327</v>
      </c>
      <c r="ED502" s="2002">
        <v>0</v>
      </c>
      <c r="EE502" s="2002">
        <v>0</v>
      </c>
      <c r="EF502" s="2002">
        <v>0</v>
      </c>
      <c r="EG502" s="2002">
        <v>0</v>
      </c>
      <c r="EH502" s="2002">
        <v>0</v>
      </c>
      <c r="EI502" s="2004">
        <v>0</v>
      </c>
      <c r="EJ502" s="2004">
        <v>0</v>
      </c>
      <c r="EK502" s="2004">
        <v>0</v>
      </c>
      <c r="EL502" s="2004">
        <v>0</v>
      </c>
      <c r="EM502" s="2004">
        <v>0</v>
      </c>
      <c r="EN502" s="2002">
        <v>0</v>
      </c>
      <c r="EO502" s="2002">
        <v>0</v>
      </c>
      <c r="EP502" s="2002">
        <v>0</v>
      </c>
      <c r="EQ502" s="2002">
        <v>0</v>
      </c>
      <c r="ER502" s="2002">
        <v>0</v>
      </c>
      <c r="ES502" s="2004">
        <v>0</v>
      </c>
      <c r="ET502" s="2004">
        <v>0</v>
      </c>
      <c r="EU502" s="2004">
        <v>0</v>
      </c>
      <c r="EV502" s="2004">
        <v>0</v>
      </c>
      <c r="EW502" s="2004">
        <v>0</v>
      </c>
      <c r="EX502" s="2002">
        <v>0</v>
      </c>
      <c r="EY502" s="2002">
        <v>0</v>
      </c>
      <c r="EZ502" s="2002">
        <v>0</v>
      </c>
      <c r="FA502" s="2002">
        <v>0</v>
      </c>
      <c r="FB502" s="2002">
        <v>0</v>
      </c>
      <c r="FC502" s="2004">
        <v>0</v>
      </c>
      <c r="FD502" s="2004">
        <v>0</v>
      </c>
      <c r="FE502" s="2004">
        <v>0</v>
      </c>
      <c r="FF502" s="2004">
        <v>0</v>
      </c>
      <c r="FG502" s="2004">
        <v>0</v>
      </c>
      <c r="FH502" s="2002">
        <v>0.92723531981433105</v>
      </c>
      <c r="FI502" s="2002">
        <v>0.92758374672847543</v>
      </c>
      <c r="FJ502" s="2002">
        <v>0.92798771996226637</v>
      </c>
      <c r="FK502" s="2002">
        <v>0.92845228918112577</v>
      </c>
      <c r="FL502" s="2002">
        <v>0.92902290137385513</v>
      </c>
      <c r="FM502" s="2004">
        <v>0</v>
      </c>
      <c r="FN502" s="2004">
        <v>0</v>
      </c>
      <c r="FO502" s="2004">
        <v>0</v>
      </c>
      <c r="FP502" s="2004">
        <v>0</v>
      </c>
      <c r="FQ502" s="2004">
        <v>0</v>
      </c>
      <c r="FR502" s="2002">
        <v>5.5772535603838422</v>
      </c>
      <c r="FS502" s="2002">
        <v>5.578856097167054</v>
      </c>
      <c r="FT502" s="2002">
        <v>5.5807141108287492</v>
      </c>
      <c r="FU502" s="2002">
        <v>5.5828508265396994</v>
      </c>
      <c r="FV502" s="2002">
        <v>5.5854752708368451</v>
      </c>
      <c r="FW502" s="2004">
        <v>5.5427423505025679</v>
      </c>
      <c r="FX502" s="2004">
        <v>5.5443417109067523</v>
      </c>
      <c r="FY502" s="2004">
        <v>5.5461960418101546</v>
      </c>
      <c r="FZ502" s="2004">
        <v>5.5483285223490686</v>
      </c>
      <c r="GA502" s="2004">
        <v>5.5509477647501235</v>
      </c>
      <c r="GB502" s="2002">
        <v>0.46252618697434722</v>
      </c>
      <c r="GC502" s="2002">
        <v>0.46271254066601325</v>
      </c>
      <c r="GD502" s="2002">
        <v>0.46292857901652873</v>
      </c>
      <c r="GE502" s="2002">
        <v>0.4631808986167491</v>
      </c>
      <c r="GF502" s="2002">
        <v>0.46349423668238227</v>
      </c>
      <c r="GG502" s="2004">
        <v>0.54637803689263098</v>
      </c>
      <c r="GH502" s="2004">
        <v>0.54665653808581016</v>
      </c>
      <c r="GI502" s="2004">
        <v>0.54697940230091169</v>
      </c>
      <c r="GJ502" s="2004">
        <v>0.54735648798725178</v>
      </c>
      <c r="GK502" s="2024">
        <v>0.54782476432976546</v>
      </c>
    </row>
    <row r="503" spans="1:193">
      <c r="A503" s="2020"/>
      <c r="B503" s="2">
        <v>2</v>
      </c>
      <c r="C503" s="2" t="s">
        <v>4328</v>
      </c>
      <c r="D503" s="1979">
        <f>IF(Construction!$F$31=Construction!$R$22,Oeko!BQ503,Oeko!ED503)</f>
        <v>0</v>
      </c>
      <c r="E503" s="1979">
        <f>IF(Construction!$F$31=Construction!$R$22,Oeko!BR503,Oeko!EE503)</f>
        <v>0</v>
      </c>
      <c r="F503" s="1979">
        <f>IF(Construction!$F$31=Construction!$R$22,Oeko!BS503,Oeko!EF503)</f>
        <v>0</v>
      </c>
      <c r="G503" s="1979">
        <f>IF(Construction!$F$31=Construction!$R$22,Oeko!BT503,Oeko!EG503)</f>
        <v>0</v>
      </c>
      <c r="H503" s="1979">
        <f>IF(Construction!$F$31=Construction!$R$22,Oeko!BU503,Oeko!EH503)</f>
        <v>0</v>
      </c>
      <c r="I503" s="1998">
        <f>IF(Construction!$F$31=Construction!$R$22,Oeko!BV503,Oeko!EI503)</f>
        <v>0</v>
      </c>
      <c r="J503" s="1998">
        <f>IF(Construction!$F$31=Construction!$R$22,Oeko!BW503,Oeko!EJ503)</f>
        <v>0</v>
      </c>
      <c r="K503" s="1998">
        <f>IF(Construction!$F$31=Construction!$R$22,Oeko!BX503,Oeko!EK503)</f>
        <v>0</v>
      </c>
      <c r="L503" s="1998">
        <f>IF(Construction!$F$31=Construction!$R$22,Oeko!BY503,Oeko!EL503)</f>
        <v>0</v>
      </c>
      <c r="M503" s="1998">
        <f>IF(Construction!$F$31=Construction!$R$22,Oeko!BZ503,Oeko!EM503)</f>
        <v>0</v>
      </c>
      <c r="N503" s="1979">
        <f>IF(Construction!$F$31=Construction!$R$22,Oeko!CA503,Oeko!EN503)</f>
        <v>0</v>
      </c>
      <c r="O503" s="1979">
        <f>IF(Construction!$F$31=Construction!$R$22,Oeko!CB503,Oeko!EO503)</f>
        <v>0</v>
      </c>
      <c r="P503" s="1979">
        <f>IF(Construction!$F$31=Construction!$R$22,Oeko!CC503,Oeko!EP503)</f>
        <v>0</v>
      </c>
      <c r="Q503" s="1979">
        <f>IF(Construction!$F$31=Construction!$R$22,Oeko!CD503,Oeko!EQ503)</f>
        <v>0</v>
      </c>
      <c r="R503" s="1979">
        <f>IF(Construction!$F$31=Construction!$R$22,Oeko!CE503,Oeko!ER503)</f>
        <v>0</v>
      </c>
      <c r="S503" s="1998">
        <f>IF(Construction!$F$31=Construction!$R$22,Oeko!CF503,Oeko!ES503)</f>
        <v>0</v>
      </c>
      <c r="T503" s="1998">
        <f>IF(Construction!$F$31=Construction!$R$22,Oeko!CG503,Oeko!ET503)</f>
        <v>0</v>
      </c>
      <c r="U503" s="1998">
        <f>IF(Construction!$F$31=Construction!$R$22,Oeko!CH503,Oeko!EU503)</f>
        <v>0</v>
      </c>
      <c r="V503" s="1998">
        <f>IF(Construction!$F$31=Construction!$R$22,Oeko!CI503,Oeko!EV503)</f>
        <v>0</v>
      </c>
      <c r="W503" s="1998">
        <f>IF(Construction!$F$31=Construction!$R$22,Oeko!CJ503,Oeko!EW503)</f>
        <v>0</v>
      </c>
      <c r="X503" s="1979">
        <f>IF(Construction!$F$31=Construction!$R$22,Oeko!CK503,Oeko!EX503)</f>
        <v>0</v>
      </c>
      <c r="Y503" s="1979">
        <f>IF(Construction!$F$31=Construction!$R$22,Oeko!CL503,Oeko!EY503)</f>
        <v>0</v>
      </c>
      <c r="Z503" s="1979">
        <f>IF(Construction!$F$31=Construction!$R$22,Oeko!CM503,Oeko!EZ503)</f>
        <v>0</v>
      </c>
      <c r="AA503" s="1979">
        <f>IF(Construction!$F$31=Construction!$R$22,Oeko!CN503,Oeko!FA503)</f>
        <v>0</v>
      </c>
      <c r="AB503" s="1979">
        <f>IF(Construction!$F$31=Construction!$R$22,Oeko!CO503,Oeko!FB503)</f>
        <v>0</v>
      </c>
      <c r="AC503" s="1998">
        <f>IF(Construction!$F$31=Construction!$R$22,Oeko!CP503,Oeko!FC503)</f>
        <v>0</v>
      </c>
      <c r="AD503" s="1998">
        <f>IF(Construction!$F$31=Construction!$R$22,Oeko!CQ503,Oeko!FD503)</f>
        <v>0</v>
      </c>
      <c r="AE503" s="1998">
        <f>IF(Construction!$F$31=Construction!$R$22,Oeko!CR503,Oeko!FE503)</f>
        <v>0</v>
      </c>
      <c r="AF503" s="1998">
        <f>IF(Construction!$F$31=Construction!$R$22,Oeko!CS503,Oeko!FF503)</f>
        <v>0</v>
      </c>
      <c r="AG503" s="1998">
        <f>IF(Construction!$F$31=Construction!$R$22,Oeko!CT503,Oeko!FG503)</f>
        <v>0</v>
      </c>
      <c r="AH503" s="1979">
        <f>IF(Construction!$F$31=Construction!$R$22,Oeko!CU503,Oeko!FH503)</f>
        <v>0.17395077347698745</v>
      </c>
      <c r="AI503" s="1979">
        <f>IF(Construction!$F$31=Construction!$R$22,Oeko!CV503,Oeko!FI503)</f>
        <v>0.17429920039113198</v>
      </c>
      <c r="AJ503" s="1979">
        <f>IF(Construction!$F$31=Construction!$R$22,Oeko!CW503,Oeko!FJ503)</f>
        <v>0.17470317362492271</v>
      </c>
      <c r="AK503" s="1979">
        <f>IF(Construction!$F$31=Construction!$R$22,Oeko!CX503,Oeko!FK503)</f>
        <v>0.17516774284378209</v>
      </c>
      <c r="AL503" s="1979">
        <f>IF(Construction!$F$31=Construction!$R$22,Oeko!CY503,Oeko!FL503)</f>
        <v>0.1757383550365115</v>
      </c>
      <c r="AM503" s="1998">
        <f>IF(Construction!$F$31=Construction!$R$22,Oeko!CZ503,Oeko!FM503)</f>
        <v>0</v>
      </c>
      <c r="AN503" s="1998">
        <f>IF(Construction!$F$31=Construction!$R$22,Oeko!DA503,Oeko!FN503)</f>
        <v>0</v>
      </c>
      <c r="AO503" s="1998">
        <f>IF(Construction!$F$31=Construction!$R$22,Oeko!DB503,Oeko!FO503)</f>
        <v>0</v>
      </c>
      <c r="AP503" s="1998">
        <f>IF(Construction!$F$31=Construction!$R$22,Oeko!DC503,Oeko!FP503)</f>
        <v>0</v>
      </c>
      <c r="AQ503" s="1998">
        <f>IF(Construction!$F$31=Construction!$R$22,Oeko!DD503,Oeko!FQ503)</f>
        <v>0</v>
      </c>
      <c r="AR503" s="1979">
        <f>IF(Construction!$F$31=Construction!$R$22,Oeko!DE503,Oeko!FR503)</f>
        <v>1.4958013207256577</v>
      </c>
      <c r="AS503" s="1979">
        <f>IF(Construction!$F$31=Construction!$R$22,Oeko!DF503,Oeko!FS503)</f>
        <v>1.4976709469727392</v>
      </c>
      <c r="AT503" s="1979">
        <f>IF(Construction!$F$31=Construction!$R$22,Oeko!DG503,Oeko!FT503)</f>
        <v>1.4998386295780506</v>
      </c>
      <c r="AU503" s="1979">
        <f>IF(Construction!$F$31=Construction!$R$22,Oeko!DH503,Oeko!FU503)</f>
        <v>1.5023314645741592</v>
      </c>
      <c r="AV503" s="1979">
        <f>IF(Construction!$F$31=Construction!$R$22,Oeko!DI503,Oeko!FV503)</f>
        <v>1.505393316254162</v>
      </c>
      <c r="AW503" s="1998">
        <f>IF(Construction!$F$31=Construction!$R$22,Oeko!DJ503,Oeko!FW503)</f>
        <v>1.4357669371223745</v>
      </c>
      <c r="AX503" s="1998">
        <f>IF(Construction!$F$31=Construction!$R$22,Oeko!DK503,Oeko!FX503)</f>
        <v>1.438006041688233</v>
      </c>
      <c r="AY503" s="1998">
        <f>IF(Construction!$F$31=Construction!$R$22,Oeko!DL503,Oeko!FY503)</f>
        <v>1.4406021049529969</v>
      </c>
      <c r="AZ503" s="1998">
        <f>IF(Construction!$F$31=Construction!$R$22,Oeko!DM503,Oeko!FZ503)</f>
        <v>1.4435875777074749</v>
      </c>
      <c r="BA503" s="1998">
        <f>IF(Construction!$F$31=Construction!$R$22,Oeko!DN503,Oeko!GA503)</f>
        <v>1.4472545170689539</v>
      </c>
      <c r="BB503" s="1979">
        <f>IF(Construction!$F$31=Construction!$R$22,Oeko!DO503,Oeko!GB503)</f>
        <v>0.283796611106653</v>
      </c>
      <c r="BC503" s="1979">
        <f>IF(Construction!$F$31=Construction!$R$22,Oeko!DP503,Oeko!GC503)</f>
        <v>0.28402023553665223</v>
      </c>
      <c r="BD503" s="1979">
        <f>IF(Construction!$F$31=Construction!$R$22,Oeko!DQ503,Oeko!GD503)</f>
        <v>0.28427948155727084</v>
      </c>
      <c r="BE503" s="1979">
        <f>IF(Construction!$F$31=Construction!$R$22,Oeko!DR503,Oeko!GE503)</f>
        <v>0.28458226507753531</v>
      </c>
      <c r="BF503" s="1979">
        <f>IF(Construction!$F$31=Construction!$R$22,Oeko!DS503,Oeko!GF503)</f>
        <v>0.28495827075629515</v>
      </c>
      <c r="BG503" s="1998">
        <f>IF(Construction!$F$31=Construction!$R$22,Oeko!DT503,Oeko!GG503)</f>
        <v>0.32742453936385824</v>
      </c>
      <c r="BH503" s="1998">
        <f>IF(Construction!$F$31=Construction!$R$22,Oeko!DU503,Oeko!GH503)</f>
        <v>0.32770304055703742</v>
      </c>
      <c r="BI503" s="1998">
        <f>IF(Construction!$F$31=Construction!$R$22,Oeko!DV503,Oeko!GI503)</f>
        <v>0.328025904772139</v>
      </c>
      <c r="BJ503" s="1998">
        <f>IF(Construction!$F$31=Construction!$R$22,Oeko!DW503,Oeko!GJ503)</f>
        <v>0.32840299045847898</v>
      </c>
      <c r="BK503" s="2026">
        <f>IF(Construction!$F$31=Construction!$R$22,Oeko!DX503,Oeko!GK503)</f>
        <v>0.32887126680099266</v>
      </c>
      <c r="BN503" s="2022"/>
      <c r="BO503" s="2">
        <v>2</v>
      </c>
      <c r="BP503" s="2" t="s">
        <v>4328</v>
      </c>
      <c r="BQ503" s="1979">
        <v>0</v>
      </c>
      <c r="BR503" s="1979">
        <v>0</v>
      </c>
      <c r="BS503" s="1979">
        <v>0</v>
      </c>
      <c r="BT503" s="1979">
        <v>0</v>
      </c>
      <c r="BU503" s="1979">
        <v>0</v>
      </c>
      <c r="BV503" s="1998">
        <v>0</v>
      </c>
      <c r="BW503" s="1998">
        <v>0</v>
      </c>
      <c r="BX503" s="1998">
        <v>0</v>
      </c>
      <c r="BY503" s="1998">
        <v>0</v>
      </c>
      <c r="BZ503" s="1998">
        <v>0</v>
      </c>
      <c r="CA503" s="1979">
        <v>0</v>
      </c>
      <c r="CB503" s="1979">
        <v>0</v>
      </c>
      <c r="CC503" s="1979">
        <v>0</v>
      </c>
      <c r="CD503" s="1979">
        <v>0</v>
      </c>
      <c r="CE503" s="1979">
        <v>0</v>
      </c>
      <c r="CF503" s="1998">
        <v>0</v>
      </c>
      <c r="CG503" s="1998">
        <v>0</v>
      </c>
      <c r="CH503" s="1998">
        <v>0</v>
      </c>
      <c r="CI503" s="1998">
        <v>0</v>
      </c>
      <c r="CJ503" s="1998">
        <v>0</v>
      </c>
      <c r="CK503" s="1979">
        <v>0</v>
      </c>
      <c r="CL503" s="1979">
        <v>0</v>
      </c>
      <c r="CM503" s="1979">
        <v>0</v>
      </c>
      <c r="CN503" s="1979">
        <v>0</v>
      </c>
      <c r="CO503" s="1979">
        <v>0</v>
      </c>
      <c r="CP503" s="1998">
        <v>0</v>
      </c>
      <c r="CQ503" s="1998">
        <v>0</v>
      </c>
      <c r="CR503" s="1998">
        <v>0</v>
      </c>
      <c r="CS503" s="1998">
        <v>0</v>
      </c>
      <c r="CT503" s="1998">
        <v>0</v>
      </c>
      <c r="CU503" s="1979">
        <v>0.17395077347698745</v>
      </c>
      <c r="CV503" s="1979">
        <v>0.17429920039113198</v>
      </c>
      <c r="CW503" s="1979">
        <v>0.17470317362492271</v>
      </c>
      <c r="CX503" s="1979">
        <v>0.17516774284378209</v>
      </c>
      <c r="CY503" s="1979">
        <v>0.1757383550365115</v>
      </c>
      <c r="CZ503" s="1998">
        <v>0</v>
      </c>
      <c r="DA503" s="1998">
        <v>0</v>
      </c>
      <c r="DB503" s="1998">
        <v>0</v>
      </c>
      <c r="DC503" s="1998">
        <v>0</v>
      </c>
      <c r="DD503" s="1998">
        <v>0</v>
      </c>
      <c r="DE503" s="1979">
        <v>1.4958013207256577</v>
      </c>
      <c r="DF503" s="1979">
        <v>1.4976709469727392</v>
      </c>
      <c r="DG503" s="1979">
        <v>1.4998386295780506</v>
      </c>
      <c r="DH503" s="1979">
        <v>1.5023314645741592</v>
      </c>
      <c r="DI503" s="1979">
        <v>1.505393316254162</v>
      </c>
      <c r="DJ503" s="1998">
        <v>1.4357669371223745</v>
      </c>
      <c r="DK503" s="1998">
        <v>1.438006041688233</v>
      </c>
      <c r="DL503" s="1998">
        <v>1.4406021049529969</v>
      </c>
      <c r="DM503" s="1998">
        <v>1.4435875777074749</v>
      </c>
      <c r="DN503" s="1998">
        <v>1.4472545170689539</v>
      </c>
      <c r="DO503" s="1979">
        <v>0.283796611106653</v>
      </c>
      <c r="DP503" s="1979">
        <v>0.28402023553665223</v>
      </c>
      <c r="DQ503" s="1979">
        <v>0.28427948155727084</v>
      </c>
      <c r="DR503" s="1979">
        <v>0.28458226507753531</v>
      </c>
      <c r="DS503" s="1979">
        <v>0.28495827075629515</v>
      </c>
      <c r="DT503" s="1998">
        <v>0.32742453936385824</v>
      </c>
      <c r="DU503" s="1998">
        <v>0.32770304055703742</v>
      </c>
      <c r="DV503" s="1998">
        <v>0.328025904772139</v>
      </c>
      <c r="DW503" s="1998">
        <v>0.32840299045847898</v>
      </c>
      <c r="DX503" s="2026">
        <v>0.32887126680099266</v>
      </c>
      <c r="EA503" s="2022"/>
      <c r="EB503" s="2">
        <v>2</v>
      </c>
      <c r="EC503" s="2" t="s">
        <v>4328</v>
      </c>
      <c r="ED503" s="1979">
        <v>0</v>
      </c>
      <c r="EE503" s="1979">
        <v>0</v>
      </c>
      <c r="EF503" s="1979">
        <v>0</v>
      </c>
      <c r="EG503" s="1979">
        <v>0</v>
      </c>
      <c r="EH503" s="1979">
        <v>0</v>
      </c>
      <c r="EI503" s="1998">
        <v>0</v>
      </c>
      <c r="EJ503" s="1998">
        <v>0</v>
      </c>
      <c r="EK503" s="1998">
        <v>0</v>
      </c>
      <c r="EL503" s="1998">
        <v>0</v>
      </c>
      <c r="EM503" s="1998">
        <v>0</v>
      </c>
      <c r="EN503" s="1979">
        <v>0</v>
      </c>
      <c r="EO503" s="1979">
        <v>0</v>
      </c>
      <c r="EP503" s="1979">
        <v>0</v>
      </c>
      <c r="EQ503" s="1979">
        <v>0</v>
      </c>
      <c r="ER503" s="1979">
        <v>0</v>
      </c>
      <c r="ES503" s="1998">
        <v>0</v>
      </c>
      <c r="ET503" s="1998">
        <v>0</v>
      </c>
      <c r="EU503" s="1998">
        <v>0</v>
      </c>
      <c r="EV503" s="1998">
        <v>0</v>
      </c>
      <c r="EW503" s="1998">
        <v>0</v>
      </c>
      <c r="EX503" s="1979">
        <v>0</v>
      </c>
      <c r="EY503" s="1979">
        <v>0</v>
      </c>
      <c r="EZ503" s="1979">
        <v>0</v>
      </c>
      <c r="FA503" s="1979">
        <v>0</v>
      </c>
      <c r="FB503" s="1979">
        <v>0</v>
      </c>
      <c r="FC503" s="1998">
        <v>0</v>
      </c>
      <c r="FD503" s="1998">
        <v>0</v>
      </c>
      <c r="FE503" s="1998">
        <v>0</v>
      </c>
      <c r="FF503" s="1998">
        <v>0</v>
      </c>
      <c r="FG503" s="1998">
        <v>0</v>
      </c>
      <c r="FH503" s="1979">
        <v>0.93259988237245528</v>
      </c>
      <c r="FI503" s="1979">
        <v>0.93294830928659978</v>
      </c>
      <c r="FJ503" s="1979">
        <v>0.9333522825203906</v>
      </c>
      <c r="FK503" s="1979">
        <v>0.93381685173925</v>
      </c>
      <c r="FL503" s="1979">
        <v>0.93438746393197936</v>
      </c>
      <c r="FM503" s="1998">
        <v>0</v>
      </c>
      <c r="FN503" s="1998">
        <v>0</v>
      </c>
      <c r="FO503" s="1998">
        <v>0</v>
      </c>
      <c r="FP503" s="1998">
        <v>0</v>
      </c>
      <c r="FQ503" s="1998">
        <v>0</v>
      </c>
      <c r="FR503" s="1979">
        <v>5.6425104046055443</v>
      </c>
      <c r="FS503" s="1979">
        <v>5.6443800308526262</v>
      </c>
      <c r="FT503" s="1979">
        <v>5.6465477134579372</v>
      </c>
      <c r="FU503" s="1979">
        <v>5.649040548454046</v>
      </c>
      <c r="FV503" s="1979">
        <v>5.6521024001340487</v>
      </c>
      <c r="FW503" s="1998">
        <v>5.6920937866795347</v>
      </c>
      <c r="FX503" s="1998">
        <v>5.6943328912453932</v>
      </c>
      <c r="FY503" s="1998">
        <v>5.6969289545101578</v>
      </c>
      <c r="FZ503" s="1998">
        <v>5.6999144272646358</v>
      </c>
      <c r="GA503" s="1998">
        <v>5.703581366626115</v>
      </c>
      <c r="GB503" s="1979">
        <v>0.49678403835151563</v>
      </c>
      <c r="GC503" s="1979">
        <v>0.4970076627815147</v>
      </c>
      <c r="GD503" s="1979">
        <v>0.49726690880213342</v>
      </c>
      <c r="GE503" s="1979">
        <v>0.49756969232239784</v>
      </c>
      <c r="GF503" s="1979">
        <v>0.49794569800115768</v>
      </c>
      <c r="GG503" s="1998">
        <v>0.54652857541368749</v>
      </c>
      <c r="GH503" s="1998">
        <v>0.54680707660686667</v>
      </c>
      <c r="GI503" s="1998">
        <v>0.5471299408219682</v>
      </c>
      <c r="GJ503" s="1998">
        <v>0.54750702650830818</v>
      </c>
      <c r="GK503" s="2026">
        <v>0.54797530285082185</v>
      </c>
    </row>
    <row r="504" spans="1:193">
      <c r="A504" s="2020"/>
      <c r="B504" s="2">
        <v>3</v>
      </c>
      <c r="C504" s="2" t="s">
        <v>4329</v>
      </c>
      <c r="D504" s="1979">
        <f>IF(Construction!$F$31=Construction!$R$22,Oeko!BQ504,Oeko!ED504)</f>
        <v>0</v>
      </c>
      <c r="E504" s="1979">
        <f>IF(Construction!$F$31=Construction!$R$22,Oeko!BR504,Oeko!EE504)</f>
        <v>0</v>
      </c>
      <c r="F504" s="1979">
        <f>IF(Construction!$F$31=Construction!$R$22,Oeko!BS504,Oeko!EF504)</f>
        <v>0</v>
      </c>
      <c r="G504" s="1979">
        <f>IF(Construction!$F$31=Construction!$R$22,Oeko!BT504,Oeko!EG504)</f>
        <v>0</v>
      </c>
      <c r="H504" s="1979">
        <f>IF(Construction!$F$31=Construction!$R$22,Oeko!BU504,Oeko!EH504)</f>
        <v>0</v>
      </c>
      <c r="I504" s="1998">
        <f>IF(Construction!$F$31=Construction!$R$22,Oeko!BV504,Oeko!EI504)</f>
        <v>0</v>
      </c>
      <c r="J504" s="1998">
        <f>IF(Construction!$F$31=Construction!$R$22,Oeko!BW504,Oeko!EJ504)</f>
        <v>0</v>
      </c>
      <c r="K504" s="1998">
        <f>IF(Construction!$F$31=Construction!$R$22,Oeko!BX504,Oeko!EK504)</f>
        <v>0</v>
      </c>
      <c r="L504" s="1998">
        <f>IF(Construction!$F$31=Construction!$R$22,Oeko!BY504,Oeko!EL504)</f>
        <v>0</v>
      </c>
      <c r="M504" s="1998">
        <f>IF(Construction!$F$31=Construction!$R$22,Oeko!BZ504,Oeko!EM504)</f>
        <v>0</v>
      </c>
      <c r="N504" s="1979">
        <f>IF(Construction!$F$31=Construction!$R$22,Oeko!CA504,Oeko!EN504)</f>
        <v>0</v>
      </c>
      <c r="O504" s="1979">
        <f>IF(Construction!$F$31=Construction!$R$22,Oeko!CB504,Oeko!EO504)</f>
        <v>0</v>
      </c>
      <c r="P504" s="1979">
        <f>IF(Construction!$F$31=Construction!$R$22,Oeko!CC504,Oeko!EP504)</f>
        <v>0</v>
      </c>
      <c r="Q504" s="1979">
        <f>IF(Construction!$F$31=Construction!$R$22,Oeko!CD504,Oeko!EQ504)</f>
        <v>0</v>
      </c>
      <c r="R504" s="1979">
        <f>IF(Construction!$F$31=Construction!$R$22,Oeko!CE504,Oeko!ER504)</f>
        <v>0</v>
      </c>
      <c r="S504" s="1998">
        <f>IF(Construction!$F$31=Construction!$R$22,Oeko!CF504,Oeko!ES504)</f>
        <v>0</v>
      </c>
      <c r="T504" s="1998">
        <f>IF(Construction!$F$31=Construction!$R$22,Oeko!CG504,Oeko!ET504)</f>
        <v>0</v>
      </c>
      <c r="U504" s="1998">
        <f>IF(Construction!$F$31=Construction!$R$22,Oeko!CH504,Oeko!EU504)</f>
        <v>0</v>
      </c>
      <c r="V504" s="1998">
        <f>IF(Construction!$F$31=Construction!$R$22,Oeko!CI504,Oeko!EV504)</f>
        <v>0</v>
      </c>
      <c r="W504" s="1998">
        <f>IF(Construction!$F$31=Construction!$R$22,Oeko!CJ504,Oeko!EW504)</f>
        <v>0</v>
      </c>
      <c r="X504" s="1979">
        <f>IF(Construction!$F$31=Construction!$R$22,Oeko!CK504,Oeko!EX504)</f>
        <v>0</v>
      </c>
      <c r="Y504" s="1979">
        <f>IF(Construction!$F$31=Construction!$R$22,Oeko!CL504,Oeko!EY504)</f>
        <v>0</v>
      </c>
      <c r="Z504" s="1979">
        <f>IF(Construction!$F$31=Construction!$R$22,Oeko!CM504,Oeko!EZ504)</f>
        <v>0</v>
      </c>
      <c r="AA504" s="1979">
        <f>IF(Construction!$F$31=Construction!$R$22,Oeko!CN504,Oeko!FA504)</f>
        <v>0</v>
      </c>
      <c r="AB504" s="1979">
        <f>IF(Construction!$F$31=Construction!$R$22,Oeko!CO504,Oeko!FB504)</f>
        <v>0</v>
      </c>
      <c r="AC504" s="1998">
        <f>IF(Construction!$F$31=Construction!$R$22,Oeko!CP504,Oeko!FC504)</f>
        <v>0</v>
      </c>
      <c r="AD504" s="1998">
        <f>IF(Construction!$F$31=Construction!$R$22,Oeko!CQ504,Oeko!FD504)</f>
        <v>0</v>
      </c>
      <c r="AE504" s="1998">
        <f>IF(Construction!$F$31=Construction!$R$22,Oeko!CR504,Oeko!FE504)</f>
        <v>0</v>
      </c>
      <c r="AF504" s="1998">
        <f>IF(Construction!$F$31=Construction!$R$22,Oeko!CS504,Oeko!FF504)</f>
        <v>0</v>
      </c>
      <c r="AG504" s="1998">
        <f>IF(Construction!$F$31=Construction!$R$22,Oeko!CT504,Oeko!FG504)</f>
        <v>0</v>
      </c>
      <c r="AH504" s="1979">
        <f>IF(Construction!$F$31=Construction!$R$22,Oeko!CU504,Oeko!FH504)</f>
        <v>0.17549294129698362</v>
      </c>
      <c r="AI504" s="1979">
        <f>IF(Construction!$F$31=Construction!$R$22,Oeko!CV504,Oeko!FI504)</f>
        <v>0.17584136821112814</v>
      </c>
      <c r="AJ504" s="1979">
        <f>IF(Construction!$F$31=Construction!$R$22,Oeko!CW504,Oeko!FJ504)</f>
        <v>0.17624534144491888</v>
      </c>
      <c r="AK504" s="1979">
        <f>IF(Construction!$F$31=Construction!$R$22,Oeko!CX504,Oeko!FK504)</f>
        <v>0.17670991066377825</v>
      </c>
      <c r="AL504" s="1979">
        <f>IF(Construction!$F$31=Construction!$R$22,Oeko!CY504,Oeko!FL504)</f>
        <v>0.17728052285650769</v>
      </c>
      <c r="AM504" s="1998">
        <f>IF(Construction!$F$31=Construction!$R$22,Oeko!CZ504,Oeko!FM504)</f>
        <v>0</v>
      </c>
      <c r="AN504" s="1998">
        <f>IF(Construction!$F$31=Construction!$R$22,Oeko!DA504,Oeko!FN504)</f>
        <v>0</v>
      </c>
      <c r="AO504" s="1998">
        <f>IF(Construction!$F$31=Construction!$R$22,Oeko!DB504,Oeko!FO504)</f>
        <v>0</v>
      </c>
      <c r="AP504" s="1998">
        <f>IF(Construction!$F$31=Construction!$R$22,Oeko!DC504,Oeko!FP504)</f>
        <v>0</v>
      </c>
      <c r="AQ504" s="1998">
        <f>IF(Construction!$F$31=Construction!$R$22,Oeko!DD504,Oeko!FQ504)</f>
        <v>0</v>
      </c>
      <c r="AR504" s="1979">
        <f>IF(Construction!$F$31=Construction!$R$22,Oeko!DE504,Oeko!FR504)</f>
        <v>1.4515938157315877</v>
      </c>
      <c r="AS504" s="1979">
        <f>IF(Construction!$F$31=Construction!$R$22,Oeko!DF504,Oeko!FS504)</f>
        <v>1.4538373672280858</v>
      </c>
      <c r="AT504" s="1979">
        <f>IF(Construction!$F$31=Construction!$R$22,Oeko!DG504,Oeko!FT504)</f>
        <v>1.4564385863544598</v>
      </c>
      <c r="AU504" s="1979">
        <f>IF(Construction!$F$31=Construction!$R$22,Oeko!DH504,Oeko!FU504)</f>
        <v>1.4594299883497899</v>
      </c>
      <c r="AV504" s="1979">
        <f>IF(Construction!$F$31=Construction!$R$22,Oeko!DI504,Oeko!FV504)</f>
        <v>1.4631042103657932</v>
      </c>
      <c r="AW504" s="1998">
        <f>IF(Construction!$F$31=Construction!$R$22,Oeko!DJ504,Oeko!FW504)</f>
        <v>1.4440917331934922</v>
      </c>
      <c r="AX504" s="1998">
        <f>IF(Construction!$F$31=Construction!$R$22,Oeko!DK504,Oeko!FX504)</f>
        <v>1.4463308377593509</v>
      </c>
      <c r="AY504" s="1998">
        <f>IF(Construction!$F$31=Construction!$R$22,Oeko!DL504,Oeko!FY504)</f>
        <v>1.4489269010241146</v>
      </c>
      <c r="AZ504" s="1998">
        <f>IF(Construction!$F$31=Construction!$R$22,Oeko!DM504,Oeko!FZ504)</f>
        <v>1.4519123737785928</v>
      </c>
      <c r="BA504" s="1998">
        <f>IF(Construction!$F$31=Construction!$R$22,Oeko!DN504,Oeko!GA504)</f>
        <v>1.4555793131400716</v>
      </c>
      <c r="BB504" s="1979">
        <f>IF(Construction!$F$31=Construction!$R$22,Oeko!DO504,Oeko!GB504)</f>
        <v>0.3282569677741986</v>
      </c>
      <c r="BC504" s="1979">
        <f>IF(Construction!$F$31=Construction!$R$22,Oeko!DP504,Oeko!GC504)</f>
        <v>0.32853649831169768</v>
      </c>
      <c r="BD504" s="1979">
        <f>IF(Construction!$F$31=Construction!$R$22,Oeko!DQ504,Oeko!GD504)</f>
        <v>0.32886055583747092</v>
      </c>
      <c r="BE504" s="1979">
        <f>IF(Construction!$F$31=Construction!$R$22,Oeko!DR504,Oeko!GE504)</f>
        <v>0.32923903523780146</v>
      </c>
      <c r="BF504" s="1979">
        <f>IF(Construction!$F$31=Construction!$R$22,Oeko!DS504,Oeko!GF504)</f>
        <v>0.3297090423362512</v>
      </c>
      <c r="BG504" s="1998">
        <f>IF(Construction!$F$31=Construction!$R$22,Oeko!DT504,Oeko!GG504)</f>
        <v>0.40125226549751064</v>
      </c>
      <c r="BH504" s="1998">
        <f>IF(Construction!$F$31=Construction!$R$22,Oeko!DU504,Oeko!GH504)</f>
        <v>0.4016236004217496</v>
      </c>
      <c r="BI504" s="1998">
        <f>IF(Construction!$F$31=Construction!$R$22,Oeko!DV504,Oeko!GI504)</f>
        <v>0.40205408604188486</v>
      </c>
      <c r="BJ504" s="1998">
        <f>IF(Construction!$F$31=Construction!$R$22,Oeko!DW504,Oeko!GJ504)</f>
        <v>0.40255686695700493</v>
      </c>
      <c r="BK504" s="2026">
        <f>IF(Construction!$F$31=Construction!$R$22,Oeko!DX504,Oeko!GK504)</f>
        <v>0.40318123541368989</v>
      </c>
      <c r="BN504" s="2022"/>
      <c r="BO504" s="2">
        <v>3</v>
      </c>
      <c r="BP504" s="2" t="s">
        <v>4329</v>
      </c>
      <c r="BQ504" s="1979">
        <v>0</v>
      </c>
      <c r="BR504" s="1979">
        <v>0</v>
      </c>
      <c r="BS504" s="1979">
        <v>0</v>
      </c>
      <c r="BT504" s="1979">
        <v>0</v>
      </c>
      <c r="BU504" s="1979">
        <v>0</v>
      </c>
      <c r="BV504" s="1998">
        <v>0</v>
      </c>
      <c r="BW504" s="1998">
        <v>0</v>
      </c>
      <c r="BX504" s="1998">
        <v>0</v>
      </c>
      <c r="BY504" s="1998">
        <v>0</v>
      </c>
      <c r="BZ504" s="1998">
        <v>0</v>
      </c>
      <c r="CA504" s="1979">
        <v>0</v>
      </c>
      <c r="CB504" s="1979">
        <v>0</v>
      </c>
      <c r="CC504" s="1979">
        <v>0</v>
      </c>
      <c r="CD504" s="1979">
        <v>0</v>
      </c>
      <c r="CE504" s="1979">
        <v>0</v>
      </c>
      <c r="CF504" s="1998">
        <v>0</v>
      </c>
      <c r="CG504" s="1998">
        <v>0</v>
      </c>
      <c r="CH504" s="1998">
        <v>0</v>
      </c>
      <c r="CI504" s="1998">
        <v>0</v>
      </c>
      <c r="CJ504" s="1998">
        <v>0</v>
      </c>
      <c r="CK504" s="1979">
        <v>0</v>
      </c>
      <c r="CL504" s="1979">
        <v>0</v>
      </c>
      <c r="CM504" s="1979">
        <v>0</v>
      </c>
      <c r="CN504" s="1979">
        <v>0</v>
      </c>
      <c r="CO504" s="1979">
        <v>0</v>
      </c>
      <c r="CP504" s="1998">
        <v>0</v>
      </c>
      <c r="CQ504" s="1998">
        <v>0</v>
      </c>
      <c r="CR504" s="1998">
        <v>0</v>
      </c>
      <c r="CS504" s="1998">
        <v>0</v>
      </c>
      <c r="CT504" s="1998">
        <v>0</v>
      </c>
      <c r="CU504" s="1979">
        <v>0.17549294129698362</v>
      </c>
      <c r="CV504" s="1979">
        <v>0.17584136821112814</v>
      </c>
      <c r="CW504" s="1979">
        <v>0.17624534144491888</v>
      </c>
      <c r="CX504" s="1979">
        <v>0.17670991066377825</v>
      </c>
      <c r="CY504" s="1979">
        <v>0.17728052285650769</v>
      </c>
      <c r="CZ504" s="1998">
        <v>0</v>
      </c>
      <c r="DA504" s="1998">
        <v>0</v>
      </c>
      <c r="DB504" s="1998">
        <v>0</v>
      </c>
      <c r="DC504" s="1998">
        <v>0</v>
      </c>
      <c r="DD504" s="1998">
        <v>0</v>
      </c>
      <c r="DE504" s="1979">
        <v>1.4515938157315877</v>
      </c>
      <c r="DF504" s="1979">
        <v>1.4538373672280858</v>
      </c>
      <c r="DG504" s="1979">
        <v>1.4564385863544598</v>
      </c>
      <c r="DH504" s="1979">
        <v>1.4594299883497899</v>
      </c>
      <c r="DI504" s="1979">
        <v>1.4631042103657932</v>
      </c>
      <c r="DJ504" s="1998">
        <v>1.4440917331934922</v>
      </c>
      <c r="DK504" s="1998">
        <v>1.4463308377593509</v>
      </c>
      <c r="DL504" s="1998">
        <v>1.4489269010241146</v>
      </c>
      <c r="DM504" s="1998">
        <v>1.4519123737785928</v>
      </c>
      <c r="DN504" s="1998">
        <v>1.4555793131400716</v>
      </c>
      <c r="DO504" s="1979">
        <v>0.3282569677741986</v>
      </c>
      <c r="DP504" s="1979">
        <v>0.32853649831169768</v>
      </c>
      <c r="DQ504" s="1979">
        <v>0.32886055583747092</v>
      </c>
      <c r="DR504" s="1979">
        <v>0.32923903523780146</v>
      </c>
      <c r="DS504" s="1979">
        <v>0.3297090423362512</v>
      </c>
      <c r="DT504" s="1998">
        <v>0.40125226549751064</v>
      </c>
      <c r="DU504" s="1998">
        <v>0.4016236004217496</v>
      </c>
      <c r="DV504" s="1998">
        <v>0.40205408604188486</v>
      </c>
      <c r="DW504" s="1998">
        <v>0.40255686695700493</v>
      </c>
      <c r="DX504" s="2026">
        <v>0.40318123541368989</v>
      </c>
      <c r="EA504" s="2022"/>
      <c r="EB504" s="2">
        <v>3</v>
      </c>
      <c r="EC504" s="2" t="s">
        <v>4329</v>
      </c>
      <c r="ED504" s="1979">
        <v>0</v>
      </c>
      <c r="EE504" s="1979">
        <v>0</v>
      </c>
      <c r="EF504" s="1979">
        <v>0</v>
      </c>
      <c r="EG504" s="1979">
        <v>0</v>
      </c>
      <c r="EH504" s="1979">
        <v>0</v>
      </c>
      <c r="EI504" s="1998">
        <v>0</v>
      </c>
      <c r="EJ504" s="1998">
        <v>0</v>
      </c>
      <c r="EK504" s="1998">
        <v>0</v>
      </c>
      <c r="EL504" s="1998">
        <v>0</v>
      </c>
      <c r="EM504" s="1998">
        <v>0</v>
      </c>
      <c r="EN504" s="1979">
        <v>0</v>
      </c>
      <c r="EO504" s="1979">
        <v>0</v>
      </c>
      <c r="EP504" s="1979">
        <v>0</v>
      </c>
      <c r="EQ504" s="1979">
        <v>0</v>
      </c>
      <c r="ER504" s="1979">
        <v>0</v>
      </c>
      <c r="ES504" s="1998">
        <v>0</v>
      </c>
      <c r="ET504" s="1998">
        <v>0</v>
      </c>
      <c r="EU504" s="1998">
        <v>0</v>
      </c>
      <c r="EV504" s="1998">
        <v>0</v>
      </c>
      <c r="EW504" s="1998">
        <v>0</v>
      </c>
      <c r="EX504" s="1979">
        <v>0</v>
      </c>
      <c r="EY504" s="1979">
        <v>0</v>
      </c>
      <c r="EZ504" s="1979">
        <v>0</v>
      </c>
      <c r="FA504" s="1979">
        <v>0</v>
      </c>
      <c r="FB504" s="1979">
        <v>0</v>
      </c>
      <c r="FC504" s="1998">
        <v>0</v>
      </c>
      <c r="FD504" s="1998">
        <v>0</v>
      </c>
      <c r="FE504" s="1998">
        <v>0</v>
      </c>
      <c r="FF504" s="1998">
        <v>0</v>
      </c>
      <c r="FG504" s="1998">
        <v>0</v>
      </c>
      <c r="FH504" s="1979">
        <v>0.94076973605933101</v>
      </c>
      <c r="FI504" s="1979">
        <v>0.94111816297347539</v>
      </c>
      <c r="FJ504" s="1979">
        <v>0.94152213620726621</v>
      </c>
      <c r="FK504" s="1979">
        <v>0.9419867054261255</v>
      </c>
      <c r="FL504" s="1979">
        <v>0.94255731761885508</v>
      </c>
      <c r="FM504" s="1998">
        <v>0</v>
      </c>
      <c r="FN504" s="1998">
        <v>0</v>
      </c>
      <c r="FO504" s="1998">
        <v>0</v>
      </c>
      <c r="FP504" s="1998">
        <v>0</v>
      </c>
      <c r="FQ504" s="1998">
        <v>0</v>
      </c>
      <c r="FR504" s="1979">
        <v>5.7846558635868659</v>
      </c>
      <c r="FS504" s="1979">
        <v>5.7868994150833641</v>
      </c>
      <c r="FT504" s="1979">
        <v>5.7895006342097375</v>
      </c>
      <c r="FU504" s="1979">
        <v>5.7924920362050676</v>
      </c>
      <c r="FV504" s="1979">
        <v>5.7961662582210707</v>
      </c>
      <c r="FW504" s="1998">
        <v>6.083743549188422</v>
      </c>
      <c r="FX504" s="1998">
        <v>6.0859826537542814</v>
      </c>
      <c r="FY504" s="1998">
        <v>6.0885787170190442</v>
      </c>
      <c r="FZ504" s="1998">
        <v>6.0915641897735222</v>
      </c>
      <c r="GA504" s="1998">
        <v>6.0952311291350014</v>
      </c>
      <c r="GB504" s="1979">
        <v>0.54817081541726798</v>
      </c>
      <c r="GC504" s="1979">
        <v>0.54845034595476716</v>
      </c>
      <c r="GD504" s="1979">
        <v>0.54877440348054041</v>
      </c>
      <c r="GE504" s="1979">
        <v>0.54915288288087094</v>
      </c>
      <c r="GF504" s="1979">
        <v>0.54962288997932063</v>
      </c>
      <c r="GG504" s="1998">
        <v>0.63185782574943061</v>
      </c>
      <c r="GH504" s="1998">
        <v>0.63222916067366952</v>
      </c>
      <c r="GI504" s="1998">
        <v>0.63265964629380489</v>
      </c>
      <c r="GJ504" s="1998">
        <v>0.63316242720892479</v>
      </c>
      <c r="GK504" s="2026">
        <v>0.6337867956656098</v>
      </c>
    </row>
    <row r="505" spans="1:193">
      <c r="A505" s="2020"/>
      <c r="B505" s="2">
        <v>4</v>
      </c>
      <c r="C505" s="2" t="s">
        <v>4330</v>
      </c>
      <c r="D505" s="1979">
        <f>IF(Construction!$F$31=Construction!$R$22,Oeko!BQ505,Oeko!ED505)</f>
        <v>0</v>
      </c>
      <c r="E505" s="1979">
        <f>IF(Construction!$F$31=Construction!$R$22,Oeko!BR505,Oeko!EE505)</f>
        <v>0</v>
      </c>
      <c r="F505" s="1979">
        <f>IF(Construction!$F$31=Construction!$R$22,Oeko!BS505,Oeko!EF505)</f>
        <v>0</v>
      </c>
      <c r="G505" s="1979">
        <f>IF(Construction!$F$31=Construction!$R$22,Oeko!BT505,Oeko!EG505)</f>
        <v>0</v>
      </c>
      <c r="H505" s="1979">
        <f>IF(Construction!$F$31=Construction!$R$22,Oeko!BU505,Oeko!EH505)</f>
        <v>0</v>
      </c>
      <c r="I505" s="1998">
        <f>IF(Construction!$F$31=Construction!$R$22,Oeko!BV505,Oeko!EI505)</f>
        <v>0</v>
      </c>
      <c r="J505" s="1998">
        <f>IF(Construction!$F$31=Construction!$R$22,Oeko!BW505,Oeko!EJ505)</f>
        <v>0</v>
      </c>
      <c r="K505" s="1998">
        <f>IF(Construction!$F$31=Construction!$R$22,Oeko!BX505,Oeko!EK505)</f>
        <v>0</v>
      </c>
      <c r="L505" s="1998">
        <f>IF(Construction!$F$31=Construction!$R$22,Oeko!BY505,Oeko!EL505)</f>
        <v>0</v>
      </c>
      <c r="M505" s="1998">
        <f>IF(Construction!$F$31=Construction!$R$22,Oeko!BZ505,Oeko!EM505)</f>
        <v>0</v>
      </c>
      <c r="N505" s="1979">
        <f>IF(Construction!$F$31=Construction!$R$22,Oeko!CA505,Oeko!EN505)</f>
        <v>0</v>
      </c>
      <c r="O505" s="1979">
        <f>IF(Construction!$F$31=Construction!$R$22,Oeko!CB505,Oeko!EO505)</f>
        <v>0</v>
      </c>
      <c r="P505" s="1979">
        <f>IF(Construction!$F$31=Construction!$R$22,Oeko!CC505,Oeko!EP505)</f>
        <v>0</v>
      </c>
      <c r="Q505" s="1979">
        <f>IF(Construction!$F$31=Construction!$R$22,Oeko!CD505,Oeko!EQ505)</f>
        <v>0</v>
      </c>
      <c r="R505" s="1979">
        <f>IF(Construction!$F$31=Construction!$R$22,Oeko!CE505,Oeko!ER505)</f>
        <v>0</v>
      </c>
      <c r="S505" s="1998">
        <f>IF(Construction!$F$31=Construction!$R$22,Oeko!CF505,Oeko!ES505)</f>
        <v>0</v>
      </c>
      <c r="T505" s="1998">
        <f>IF(Construction!$F$31=Construction!$R$22,Oeko!CG505,Oeko!ET505)</f>
        <v>0</v>
      </c>
      <c r="U505" s="1998">
        <f>IF(Construction!$F$31=Construction!$R$22,Oeko!CH505,Oeko!EU505)</f>
        <v>0</v>
      </c>
      <c r="V505" s="1998">
        <f>IF(Construction!$F$31=Construction!$R$22,Oeko!CI505,Oeko!EV505)</f>
        <v>0</v>
      </c>
      <c r="W505" s="1998">
        <f>IF(Construction!$F$31=Construction!$R$22,Oeko!CJ505,Oeko!EW505)</f>
        <v>0</v>
      </c>
      <c r="X505" s="1979">
        <f>IF(Construction!$F$31=Construction!$R$22,Oeko!CK505,Oeko!EX505)</f>
        <v>0</v>
      </c>
      <c r="Y505" s="1979">
        <f>IF(Construction!$F$31=Construction!$R$22,Oeko!CL505,Oeko!EY505)</f>
        <v>0</v>
      </c>
      <c r="Z505" s="1979">
        <f>IF(Construction!$F$31=Construction!$R$22,Oeko!CM505,Oeko!EZ505)</f>
        <v>0</v>
      </c>
      <c r="AA505" s="1979">
        <f>IF(Construction!$F$31=Construction!$R$22,Oeko!CN505,Oeko!FA505)</f>
        <v>0</v>
      </c>
      <c r="AB505" s="1979">
        <f>IF(Construction!$F$31=Construction!$R$22,Oeko!CO505,Oeko!FB505)</f>
        <v>0</v>
      </c>
      <c r="AC505" s="1998">
        <f>IF(Construction!$F$31=Construction!$R$22,Oeko!CP505,Oeko!FC505)</f>
        <v>0</v>
      </c>
      <c r="AD505" s="1998">
        <f>IF(Construction!$F$31=Construction!$R$22,Oeko!CQ505,Oeko!FD505)</f>
        <v>0</v>
      </c>
      <c r="AE505" s="1998">
        <f>IF(Construction!$F$31=Construction!$R$22,Oeko!CR505,Oeko!FE505)</f>
        <v>0</v>
      </c>
      <c r="AF505" s="1998">
        <f>IF(Construction!$F$31=Construction!$R$22,Oeko!CS505,Oeko!FF505)</f>
        <v>0</v>
      </c>
      <c r="AG505" s="1998">
        <f>IF(Construction!$F$31=Construction!$R$22,Oeko!CT505,Oeko!FG505)</f>
        <v>0</v>
      </c>
      <c r="AH505" s="1979">
        <f>IF(Construction!$F$31=Construction!$R$22,Oeko!CU505,Oeko!FH505)</f>
        <v>0.15858723375825537</v>
      </c>
      <c r="AI505" s="1979">
        <f>IF(Construction!$F$31=Construction!$R$22,Oeko!CV505,Oeko!FI505)</f>
        <v>0.15905180297711471</v>
      </c>
      <c r="AJ505" s="1979">
        <f>IF(Construction!$F$31=Construction!$R$22,Oeko!CW505,Oeko!FJ505)</f>
        <v>0.1595904339555024</v>
      </c>
      <c r="AK505" s="1979">
        <f>IF(Construction!$F$31=Construction!$R$22,Oeko!CX505,Oeko!FK505)</f>
        <v>0.16020985958064821</v>
      </c>
      <c r="AL505" s="1979">
        <f>IF(Construction!$F$31=Construction!$R$22,Oeko!CY505,Oeko!FL505)</f>
        <v>0.16097067583762079</v>
      </c>
      <c r="AM505" s="1998">
        <f>IF(Construction!$F$31=Construction!$R$22,Oeko!CZ505,Oeko!FM505)</f>
        <v>0</v>
      </c>
      <c r="AN505" s="1998">
        <f>IF(Construction!$F$31=Construction!$R$22,Oeko!DA505,Oeko!FN505)</f>
        <v>0</v>
      </c>
      <c r="AO505" s="1998">
        <f>IF(Construction!$F$31=Construction!$R$22,Oeko!DB505,Oeko!FO505)</f>
        <v>0</v>
      </c>
      <c r="AP505" s="1998">
        <f>IF(Construction!$F$31=Construction!$R$22,Oeko!DC505,Oeko!FP505)</f>
        <v>0</v>
      </c>
      <c r="AQ505" s="1998">
        <f>IF(Construction!$F$31=Construction!$R$22,Oeko!DD505,Oeko!FQ505)</f>
        <v>0</v>
      </c>
      <c r="AR505" s="1979">
        <f>IF(Construction!$F$31=Construction!$R$22,Oeko!DE505,Oeko!FR505)</f>
        <v>1.3726112679610114</v>
      </c>
      <c r="AS505" s="1979">
        <f>IF(Construction!$F$31=Construction!$R$22,Oeko!DF505,Oeko!FS505)</f>
        <v>1.3754157073316338</v>
      </c>
      <c r="AT505" s="1979">
        <f>IF(Construction!$F$31=Construction!$R$22,Oeko!DG505,Oeko!FT505)</f>
        <v>1.3786672312396013</v>
      </c>
      <c r="AU505" s="1979">
        <f>IF(Construction!$F$31=Construction!$R$22,Oeko!DH505,Oeko!FU505)</f>
        <v>1.382406483733764</v>
      </c>
      <c r="AV505" s="1979">
        <f>IF(Construction!$F$31=Construction!$R$22,Oeko!DI505,Oeko!FV505)</f>
        <v>1.386999261253768</v>
      </c>
      <c r="AW505" s="1998">
        <f>IF(Construction!$F$31=Construction!$R$22,Oeko!DJ505,Oeko!FW505)</f>
        <v>1.3705719679035719</v>
      </c>
      <c r="AX505" s="1998">
        <f>IF(Construction!$F$31=Construction!$R$22,Oeko!DK505,Oeko!FX505)</f>
        <v>1.3733708486108955</v>
      </c>
      <c r="AY505" s="1998">
        <f>IF(Construction!$F$31=Construction!$R$22,Oeko!DL505,Oeko!FY505)</f>
        <v>1.3766159276918499</v>
      </c>
      <c r="AZ505" s="1998">
        <f>IF(Construction!$F$31=Construction!$R$22,Oeko!DM505,Oeko!FZ505)</f>
        <v>1.3803477686349481</v>
      </c>
      <c r="BA505" s="1998">
        <f>IF(Construction!$F$31=Construction!$R$22,Oeko!DN505,Oeko!GA505)</f>
        <v>1.3849314428367965</v>
      </c>
      <c r="BB505" s="1979">
        <f>IF(Construction!$F$31=Construction!$R$22,Oeko!DO505,Oeko!GB505)</f>
        <v>0.32860952257246728</v>
      </c>
      <c r="BC505" s="1979">
        <f>IF(Construction!$F$31=Construction!$R$22,Oeko!DP505,Oeko!GC505)</f>
        <v>0.32888905310996636</v>
      </c>
      <c r="BD505" s="1979">
        <f>IF(Construction!$F$31=Construction!$R$22,Oeko!DQ505,Oeko!GD505)</f>
        <v>0.32921311063573966</v>
      </c>
      <c r="BE505" s="1979">
        <f>IF(Construction!$F$31=Construction!$R$22,Oeko!DR505,Oeko!GE505)</f>
        <v>0.32959159003607025</v>
      </c>
      <c r="BF505" s="1979">
        <f>IF(Construction!$F$31=Construction!$R$22,Oeko!DS505,Oeko!GF505)</f>
        <v>0.33006159713451994</v>
      </c>
      <c r="BG505" s="1998">
        <f>IF(Construction!$F$31=Construction!$R$22,Oeko!DT505,Oeko!GG505)</f>
        <v>0.3288922899441592</v>
      </c>
      <c r="BH505" s="1998">
        <f>IF(Construction!$F$31=Construction!$R$22,Oeko!DU505,Oeko!GH505)</f>
        <v>0.32917079113733833</v>
      </c>
      <c r="BI505" s="1998">
        <f>IF(Construction!$F$31=Construction!$R$22,Oeko!DV505,Oeko!GI505)</f>
        <v>0.32949365535243991</v>
      </c>
      <c r="BJ505" s="1998">
        <f>IF(Construction!$F$31=Construction!$R$22,Oeko!DW505,Oeko!GJ505)</f>
        <v>0.32987074103877995</v>
      </c>
      <c r="BK505" s="2026">
        <f>IF(Construction!$F$31=Construction!$R$22,Oeko!DX505,Oeko!GK505)</f>
        <v>0.33033901738129362</v>
      </c>
      <c r="BN505" s="2022"/>
      <c r="BO505" s="2">
        <v>4</v>
      </c>
      <c r="BP505" s="2" t="s">
        <v>4330</v>
      </c>
      <c r="BQ505" s="1979">
        <v>0</v>
      </c>
      <c r="BR505" s="1979">
        <v>0</v>
      </c>
      <c r="BS505" s="1979">
        <v>0</v>
      </c>
      <c r="BT505" s="1979">
        <v>0</v>
      </c>
      <c r="BU505" s="1979">
        <v>0</v>
      </c>
      <c r="BV505" s="1998">
        <v>0</v>
      </c>
      <c r="BW505" s="1998">
        <v>0</v>
      </c>
      <c r="BX505" s="1998">
        <v>0</v>
      </c>
      <c r="BY505" s="1998">
        <v>0</v>
      </c>
      <c r="BZ505" s="1998">
        <v>0</v>
      </c>
      <c r="CA505" s="1979">
        <v>0</v>
      </c>
      <c r="CB505" s="1979">
        <v>0</v>
      </c>
      <c r="CC505" s="1979">
        <v>0</v>
      </c>
      <c r="CD505" s="1979">
        <v>0</v>
      </c>
      <c r="CE505" s="1979">
        <v>0</v>
      </c>
      <c r="CF505" s="1998">
        <v>0</v>
      </c>
      <c r="CG505" s="1998">
        <v>0</v>
      </c>
      <c r="CH505" s="1998">
        <v>0</v>
      </c>
      <c r="CI505" s="1998">
        <v>0</v>
      </c>
      <c r="CJ505" s="1998">
        <v>0</v>
      </c>
      <c r="CK505" s="1979">
        <v>0</v>
      </c>
      <c r="CL505" s="1979">
        <v>0</v>
      </c>
      <c r="CM505" s="1979">
        <v>0</v>
      </c>
      <c r="CN505" s="1979">
        <v>0</v>
      </c>
      <c r="CO505" s="1979">
        <v>0</v>
      </c>
      <c r="CP505" s="1998">
        <v>0</v>
      </c>
      <c r="CQ505" s="1998">
        <v>0</v>
      </c>
      <c r="CR505" s="1998">
        <v>0</v>
      </c>
      <c r="CS505" s="1998">
        <v>0</v>
      </c>
      <c r="CT505" s="1998">
        <v>0</v>
      </c>
      <c r="CU505" s="1979">
        <v>0.15858723375825537</v>
      </c>
      <c r="CV505" s="1979">
        <v>0.15905180297711471</v>
      </c>
      <c r="CW505" s="1979">
        <v>0.1595904339555024</v>
      </c>
      <c r="CX505" s="1979">
        <v>0.16020985958064821</v>
      </c>
      <c r="CY505" s="1979">
        <v>0.16097067583762079</v>
      </c>
      <c r="CZ505" s="1998">
        <v>0</v>
      </c>
      <c r="DA505" s="1998">
        <v>0</v>
      </c>
      <c r="DB505" s="1998">
        <v>0</v>
      </c>
      <c r="DC505" s="1998">
        <v>0</v>
      </c>
      <c r="DD505" s="1998">
        <v>0</v>
      </c>
      <c r="DE505" s="1979">
        <v>1.3726112679610114</v>
      </c>
      <c r="DF505" s="1979">
        <v>1.3754157073316338</v>
      </c>
      <c r="DG505" s="1979">
        <v>1.3786672312396013</v>
      </c>
      <c r="DH505" s="1979">
        <v>1.382406483733764</v>
      </c>
      <c r="DI505" s="1979">
        <v>1.386999261253768</v>
      </c>
      <c r="DJ505" s="1998">
        <v>1.3705719679035719</v>
      </c>
      <c r="DK505" s="1998">
        <v>1.3733708486108955</v>
      </c>
      <c r="DL505" s="1998">
        <v>1.3766159276918499</v>
      </c>
      <c r="DM505" s="1998">
        <v>1.3803477686349481</v>
      </c>
      <c r="DN505" s="1998">
        <v>1.3849314428367965</v>
      </c>
      <c r="DO505" s="1979">
        <v>0.32860952257246728</v>
      </c>
      <c r="DP505" s="1979">
        <v>0.32888905310996636</v>
      </c>
      <c r="DQ505" s="1979">
        <v>0.32921311063573966</v>
      </c>
      <c r="DR505" s="1979">
        <v>0.32959159003607025</v>
      </c>
      <c r="DS505" s="1979">
        <v>0.33006159713451994</v>
      </c>
      <c r="DT505" s="1998">
        <v>0.3288922899441592</v>
      </c>
      <c r="DU505" s="1998">
        <v>0.32917079113733833</v>
      </c>
      <c r="DV505" s="1998">
        <v>0.32949365535243991</v>
      </c>
      <c r="DW505" s="1998">
        <v>0.32987074103877995</v>
      </c>
      <c r="DX505" s="2026">
        <v>0.33033901738129362</v>
      </c>
      <c r="EA505" s="2022"/>
      <c r="EB505" s="2">
        <v>4</v>
      </c>
      <c r="EC505" s="2" t="s">
        <v>4330</v>
      </c>
      <c r="ED505" s="1979">
        <v>0</v>
      </c>
      <c r="EE505" s="1979">
        <v>0</v>
      </c>
      <c r="EF505" s="1979">
        <v>0</v>
      </c>
      <c r="EG505" s="1979">
        <v>0</v>
      </c>
      <c r="EH505" s="1979">
        <v>0</v>
      </c>
      <c r="EI505" s="1998">
        <v>0</v>
      </c>
      <c r="EJ505" s="1998">
        <v>0</v>
      </c>
      <c r="EK505" s="1998">
        <v>0</v>
      </c>
      <c r="EL505" s="1998">
        <v>0</v>
      </c>
      <c r="EM505" s="1998">
        <v>0</v>
      </c>
      <c r="EN505" s="1979">
        <v>0</v>
      </c>
      <c r="EO505" s="1979">
        <v>0</v>
      </c>
      <c r="EP505" s="1979">
        <v>0</v>
      </c>
      <c r="EQ505" s="1979">
        <v>0</v>
      </c>
      <c r="ER505" s="1979">
        <v>0</v>
      </c>
      <c r="ES505" s="1998">
        <v>0</v>
      </c>
      <c r="ET505" s="1998">
        <v>0</v>
      </c>
      <c r="EU505" s="1998">
        <v>0</v>
      </c>
      <c r="EV505" s="1998">
        <v>0</v>
      </c>
      <c r="EW505" s="1998">
        <v>0</v>
      </c>
      <c r="EX505" s="1979">
        <v>0</v>
      </c>
      <c r="EY505" s="1979">
        <v>0</v>
      </c>
      <c r="EZ505" s="1979">
        <v>0</v>
      </c>
      <c r="FA505" s="1979">
        <v>0</v>
      </c>
      <c r="FB505" s="1979">
        <v>0</v>
      </c>
      <c r="FC505" s="1998">
        <v>0</v>
      </c>
      <c r="FD505" s="1998">
        <v>0</v>
      </c>
      <c r="FE505" s="1998">
        <v>0</v>
      </c>
      <c r="FF505" s="1998">
        <v>0</v>
      </c>
      <c r="FG505" s="1998">
        <v>0</v>
      </c>
      <c r="FH505" s="1979">
        <v>0.97335074965996926</v>
      </c>
      <c r="FI505" s="1979">
        <v>0.97381531887882866</v>
      </c>
      <c r="FJ505" s="1979">
        <v>0.97435394985721635</v>
      </c>
      <c r="FK505" s="1979">
        <v>0.97497337548236196</v>
      </c>
      <c r="FL505" s="1979">
        <v>0.97573419173933473</v>
      </c>
      <c r="FM505" s="1998">
        <v>0</v>
      </c>
      <c r="FN505" s="1998">
        <v>0</v>
      </c>
      <c r="FO505" s="1998">
        <v>0</v>
      </c>
      <c r="FP505" s="1998">
        <v>0</v>
      </c>
      <c r="FQ505" s="1998">
        <v>0</v>
      </c>
      <c r="FR505" s="1979">
        <v>5.9318574476642834</v>
      </c>
      <c r="FS505" s="1979">
        <v>5.9346618870349062</v>
      </c>
      <c r="FT505" s="1979">
        <v>5.9379134109428735</v>
      </c>
      <c r="FU505" s="1979">
        <v>5.9416526634370372</v>
      </c>
      <c r="FV505" s="1979">
        <v>5.94624544095704</v>
      </c>
      <c r="FW505" s="1998">
        <v>6.2463032870379536</v>
      </c>
      <c r="FX505" s="1998">
        <v>6.2491021677452752</v>
      </c>
      <c r="FY505" s="1998">
        <v>6.2523472468262318</v>
      </c>
      <c r="FZ505" s="1998">
        <v>6.2560790877693284</v>
      </c>
      <c r="GA505" s="1998">
        <v>6.2606627619711768</v>
      </c>
      <c r="GB505" s="1979">
        <v>0.54852337021553677</v>
      </c>
      <c r="GC505" s="1979">
        <v>0.54880290075303584</v>
      </c>
      <c r="GD505" s="1979">
        <v>0.54912695827880909</v>
      </c>
      <c r="GE505" s="1979">
        <v>0.54950543767913973</v>
      </c>
      <c r="GF505" s="1979">
        <v>0.54997544477758942</v>
      </c>
      <c r="GG505" s="1998">
        <v>0.59457749901245605</v>
      </c>
      <c r="GH505" s="1998">
        <v>0.59485600020563534</v>
      </c>
      <c r="GI505" s="1998">
        <v>0.59517886442073686</v>
      </c>
      <c r="GJ505" s="1998">
        <v>0.59555595010707674</v>
      </c>
      <c r="GK505" s="2026">
        <v>0.59602422644959041</v>
      </c>
    </row>
    <row r="506" spans="1:193">
      <c r="A506" s="2020"/>
      <c r="B506" s="2">
        <v>5</v>
      </c>
      <c r="C506" s="2" t="s">
        <v>4331</v>
      </c>
      <c r="D506" s="1979">
        <f>IF(Construction!$F$31=Construction!$R$22,Oeko!BQ506,Oeko!ED506)</f>
        <v>0</v>
      </c>
      <c r="E506" s="1979">
        <f>IF(Construction!$F$31=Construction!$R$22,Oeko!BR506,Oeko!EE506)</f>
        <v>0</v>
      </c>
      <c r="F506" s="1979">
        <f>IF(Construction!$F$31=Construction!$R$22,Oeko!BS506,Oeko!EF506)</f>
        <v>0</v>
      </c>
      <c r="G506" s="1979">
        <f>IF(Construction!$F$31=Construction!$R$22,Oeko!BT506,Oeko!EG506)</f>
        <v>0</v>
      </c>
      <c r="H506" s="1979">
        <f>IF(Construction!$F$31=Construction!$R$22,Oeko!BU506,Oeko!EH506)</f>
        <v>0</v>
      </c>
      <c r="I506" s="1998">
        <f>IF(Construction!$F$31=Construction!$R$22,Oeko!BV506,Oeko!EI506)</f>
        <v>0</v>
      </c>
      <c r="J506" s="1998">
        <f>IF(Construction!$F$31=Construction!$R$22,Oeko!BW506,Oeko!EJ506)</f>
        <v>0</v>
      </c>
      <c r="K506" s="1998">
        <f>IF(Construction!$F$31=Construction!$R$22,Oeko!BX506,Oeko!EK506)</f>
        <v>0</v>
      </c>
      <c r="L506" s="1998">
        <f>IF(Construction!$F$31=Construction!$R$22,Oeko!BY506,Oeko!EL506)</f>
        <v>0</v>
      </c>
      <c r="M506" s="1998">
        <f>IF(Construction!$F$31=Construction!$R$22,Oeko!BZ506,Oeko!EM506)</f>
        <v>0</v>
      </c>
      <c r="N506" s="1979">
        <f>IF(Construction!$F$31=Construction!$R$22,Oeko!CA506,Oeko!EN506)</f>
        <v>0</v>
      </c>
      <c r="O506" s="1979">
        <f>IF(Construction!$F$31=Construction!$R$22,Oeko!CB506,Oeko!EO506)</f>
        <v>0</v>
      </c>
      <c r="P506" s="1979">
        <f>IF(Construction!$F$31=Construction!$R$22,Oeko!CC506,Oeko!EP506)</f>
        <v>0</v>
      </c>
      <c r="Q506" s="1979">
        <f>IF(Construction!$F$31=Construction!$R$22,Oeko!CD506,Oeko!EQ506)</f>
        <v>0</v>
      </c>
      <c r="R506" s="1979">
        <f>IF(Construction!$F$31=Construction!$R$22,Oeko!CE506,Oeko!ER506)</f>
        <v>0</v>
      </c>
      <c r="S506" s="1998">
        <f>IF(Construction!$F$31=Construction!$R$22,Oeko!CF506,Oeko!ES506)</f>
        <v>0</v>
      </c>
      <c r="T506" s="1998">
        <f>IF(Construction!$F$31=Construction!$R$22,Oeko!CG506,Oeko!ET506)</f>
        <v>0</v>
      </c>
      <c r="U506" s="1998">
        <f>IF(Construction!$F$31=Construction!$R$22,Oeko!CH506,Oeko!EU506)</f>
        <v>0</v>
      </c>
      <c r="V506" s="1998">
        <f>IF(Construction!$F$31=Construction!$R$22,Oeko!CI506,Oeko!EV506)</f>
        <v>0</v>
      </c>
      <c r="W506" s="1998">
        <f>IF(Construction!$F$31=Construction!$R$22,Oeko!CJ506,Oeko!EW506)</f>
        <v>0</v>
      </c>
      <c r="X506" s="1979">
        <f>IF(Construction!$F$31=Construction!$R$22,Oeko!CK506,Oeko!EX506)</f>
        <v>0</v>
      </c>
      <c r="Y506" s="1979">
        <f>IF(Construction!$F$31=Construction!$R$22,Oeko!CL506,Oeko!EY506)</f>
        <v>0</v>
      </c>
      <c r="Z506" s="1979">
        <f>IF(Construction!$F$31=Construction!$R$22,Oeko!CM506,Oeko!EZ506)</f>
        <v>0</v>
      </c>
      <c r="AA506" s="1979">
        <f>IF(Construction!$F$31=Construction!$R$22,Oeko!CN506,Oeko!FA506)</f>
        <v>0</v>
      </c>
      <c r="AB506" s="1979">
        <f>IF(Construction!$F$31=Construction!$R$22,Oeko!CO506,Oeko!FB506)</f>
        <v>0</v>
      </c>
      <c r="AC506" s="1998">
        <f>IF(Construction!$F$31=Construction!$R$22,Oeko!CP506,Oeko!FC506)</f>
        <v>0</v>
      </c>
      <c r="AD506" s="1998">
        <f>IF(Construction!$F$31=Construction!$R$22,Oeko!CQ506,Oeko!FD506)</f>
        <v>0</v>
      </c>
      <c r="AE506" s="1998">
        <f>IF(Construction!$F$31=Construction!$R$22,Oeko!CR506,Oeko!FE506)</f>
        <v>0</v>
      </c>
      <c r="AF506" s="1998">
        <f>IF(Construction!$F$31=Construction!$R$22,Oeko!CS506,Oeko!FF506)</f>
        <v>0</v>
      </c>
      <c r="AG506" s="1998">
        <f>IF(Construction!$F$31=Construction!$R$22,Oeko!CT506,Oeko!FG506)</f>
        <v>0</v>
      </c>
      <c r="AH506" s="1979">
        <f>IF(Construction!$F$31=Construction!$R$22,Oeko!CU506,Oeko!FH506)</f>
        <v>0.15940972326225333</v>
      </c>
      <c r="AI506" s="1979">
        <f>IF(Construction!$F$31=Construction!$R$22,Oeko!CV506,Oeko!FI506)</f>
        <v>0.15987429248111271</v>
      </c>
      <c r="AJ506" s="1979">
        <f>IF(Construction!$F$31=Construction!$R$22,Oeko!CW506,Oeko!FJ506)</f>
        <v>0.16041292345950037</v>
      </c>
      <c r="AK506" s="1979">
        <f>IF(Construction!$F$31=Construction!$R$22,Oeko!CX506,Oeko!FK506)</f>
        <v>0.1610323490846462</v>
      </c>
      <c r="AL506" s="1979">
        <f>IF(Construction!$F$31=Construction!$R$22,Oeko!CY506,Oeko!FL506)</f>
        <v>0.16179316534161875</v>
      </c>
      <c r="AM506" s="1998">
        <f>IF(Construction!$F$31=Construction!$R$22,Oeko!CZ506,Oeko!FM506)</f>
        <v>0</v>
      </c>
      <c r="AN506" s="1998">
        <f>IF(Construction!$F$31=Construction!$R$22,Oeko!DA506,Oeko!FN506)</f>
        <v>0</v>
      </c>
      <c r="AO506" s="1998">
        <f>IF(Construction!$F$31=Construction!$R$22,Oeko!DB506,Oeko!FO506)</f>
        <v>0</v>
      </c>
      <c r="AP506" s="1998">
        <f>IF(Construction!$F$31=Construction!$R$22,Oeko!DC506,Oeko!FP506)</f>
        <v>0</v>
      </c>
      <c r="AQ506" s="1998">
        <f>IF(Construction!$F$31=Construction!$R$22,Oeko!DD506,Oeko!FQ506)</f>
        <v>0</v>
      </c>
      <c r="AR506" s="1979">
        <f>IF(Construction!$F$31=Construction!$R$22,Oeko!DE506,Oeko!FR506)</f>
        <v>1.3817345969622312</v>
      </c>
      <c r="AS506" s="1979">
        <f>IF(Construction!$F$31=Construction!$R$22,Oeko!DF506,Oeko!FS506)</f>
        <v>1.3845390363328534</v>
      </c>
      <c r="AT506" s="1979">
        <f>IF(Construction!$F$31=Construction!$R$22,Oeko!DG506,Oeko!FT506)</f>
        <v>1.3877905602408209</v>
      </c>
      <c r="AU506" s="1979">
        <f>IF(Construction!$F$31=Construction!$R$22,Oeko!DH506,Oeko!FU506)</f>
        <v>1.3915298127349836</v>
      </c>
      <c r="AV506" s="1979">
        <f>IF(Construction!$F$31=Construction!$R$22,Oeko!DI506,Oeko!FV506)</f>
        <v>1.3961225902549876</v>
      </c>
      <c r="AW506" s="1998">
        <f>IF(Construction!$F$31=Construction!$R$22,Oeko!DJ506,Oeko!FW506)</f>
        <v>1.2391196013917929</v>
      </c>
      <c r="AX506" s="1998">
        <f>IF(Construction!$F$31=Construction!$R$22,Oeko!DK506,Oeko!FX506)</f>
        <v>1.2428514423348906</v>
      </c>
      <c r="AY506" s="1998">
        <f>IF(Construction!$F$31=Construction!$R$22,Oeko!DL506,Oeko!FY506)</f>
        <v>1.2471782144428303</v>
      </c>
      <c r="AZ506" s="1998">
        <f>IF(Construction!$F$31=Construction!$R$22,Oeko!DM506,Oeko!FZ506)</f>
        <v>1.2521540023669608</v>
      </c>
      <c r="BA506" s="1998">
        <f>IF(Construction!$F$31=Construction!$R$22,Oeko!DN506,Oeko!GA506)</f>
        <v>1.2582655679694255</v>
      </c>
      <c r="BB506" s="1979">
        <f>IF(Construction!$F$31=Construction!$R$22,Oeko!DO506,Oeko!GB506)</f>
        <v>0.40271011701837661</v>
      </c>
      <c r="BC506" s="1979">
        <f>IF(Construction!$F$31=Construction!$R$22,Oeko!DP506,Oeko!GC506)</f>
        <v>0.40308282440170867</v>
      </c>
      <c r="BD506" s="1979">
        <f>IF(Construction!$F$31=Construction!$R$22,Oeko!DQ506,Oeko!GD506)</f>
        <v>0.40351490110273969</v>
      </c>
      <c r="BE506" s="1979">
        <f>IF(Construction!$F$31=Construction!$R$22,Oeko!DR506,Oeko!GE506)</f>
        <v>0.40401954030318049</v>
      </c>
      <c r="BF506" s="1979">
        <f>IF(Construction!$F$31=Construction!$R$22,Oeko!DS506,Oeko!GF506)</f>
        <v>0.40464621643444687</v>
      </c>
      <c r="BG506" s="1998">
        <f>IF(Construction!$F$31=Construction!$R$22,Oeko!DT506,Oeko!GG506)</f>
        <v>0.33060466562117691</v>
      </c>
      <c r="BH506" s="1998">
        <f>IF(Construction!$F$31=Construction!$R$22,Oeko!DU506,Oeko!GH506)</f>
        <v>0.3308831668143562</v>
      </c>
      <c r="BI506" s="1998">
        <f>IF(Construction!$F$31=Construction!$R$22,Oeko!DV506,Oeko!GI506)</f>
        <v>0.33120603102945773</v>
      </c>
      <c r="BJ506" s="1998">
        <f>IF(Construction!$F$31=Construction!$R$22,Oeko!DW506,Oeko!GJ506)</f>
        <v>0.33158311671579765</v>
      </c>
      <c r="BK506" s="2026">
        <f>IF(Construction!$F$31=Construction!$R$22,Oeko!DX506,Oeko!GK506)</f>
        <v>0.33205139305831138</v>
      </c>
      <c r="BN506" s="2022"/>
      <c r="BO506" s="2">
        <v>5</v>
      </c>
      <c r="BP506" s="2" t="s">
        <v>4331</v>
      </c>
      <c r="BQ506" s="1979">
        <v>0</v>
      </c>
      <c r="BR506" s="1979">
        <v>0</v>
      </c>
      <c r="BS506" s="1979">
        <v>0</v>
      </c>
      <c r="BT506" s="1979">
        <v>0</v>
      </c>
      <c r="BU506" s="1979">
        <v>0</v>
      </c>
      <c r="BV506" s="1998">
        <v>0</v>
      </c>
      <c r="BW506" s="1998">
        <v>0</v>
      </c>
      <c r="BX506" s="1998">
        <v>0</v>
      </c>
      <c r="BY506" s="1998">
        <v>0</v>
      </c>
      <c r="BZ506" s="1998">
        <v>0</v>
      </c>
      <c r="CA506" s="1979">
        <v>0</v>
      </c>
      <c r="CB506" s="1979">
        <v>0</v>
      </c>
      <c r="CC506" s="1979">
        <v>0</v>
      </c>
      <c r="CD506" s="1979">
        <v>0</v>
      </c>
      <c r="CE506" s="1979">
        <v>0</v>
      </c>
      <c r="CF506" s="1998">
        <v>0</v>
      </c>
      <c r="CG506" s="1998">
        <v>0</v>
      </c>
      <c r="CH506" s="1998">
        <v>0</v>
      </c>
      <c r="CI506" s="1998">
        <v>0</v>
      </c>
      <c r="CJ506" s="1998">
        <v>0</v>
      </c>
      <c r="CK506" s="1979">
        <v>0</v>
      </c>
      <c r="CL506" s="1979">
        <v>0</v>
      </c>
      <c r="CM506" s="1979">
        <v>0</v>
      </c>
      <c r="CN506" s="1979">
        <v>0</v>
      </c>
      <c r="CO506" s="1979">
        <v>0</v>
      </c>
      <c r="CP506" s="1998">
        <v>0</v>
      </c>
      <c r="CQ506" s="1998">
        <v>0</v>
      </c>
      <c r="CR506" s="1998">
        <v>0</v>
      </c>
      <c r="CS506" s="1998">
        <v>0</v>
      </c>
      <c r="CT506" s="1998">
        <v>0</v>
      </c>
      <c r="CU506" s="1979">
        <v>0.15940972326225333</v>
      </c>
      <c r="CV506" s="1979">
        <v>0.15987429248111271</v>
      </c>
      <c r="CW506" s="1979">
        <v>0.16041292345950037</v>
      </c>
      <c r="CX506" s="1979">
        <v>0.1610323490846462</v>
      </c>
      <c r="CY506" s="1979">
        <v>0.16179316534161875</v>
      </c>
      <c r="CZ506" s="1998">
        <v>0</v>
      </c>
      <c r="DA506" s="1998">
        <v>0</v>
      </c>
      <c r="DB506" s="1998">
        <v>0</v>
      </c>
      <c r="DC506" s="1998">
        <v>0</v>
      </c>
      <c r="DD506" s="1998">
        <v>0</v>
      </c>
      <c r="DE506" s="1979">
        <v>1.3817345969622312</v>
      </c>
      <c r="DF506" s="1979">
        <v>1.3845390363328534</v>
      </c>
      <c r="DG506" s="1979">
        <v>1.3877905602408209</v>
      </c>
      <c r="DH506" s="1979">
        <v>1.3915298127349836</v>
      </c>
      <c r="DI506" s="1979">
        <v>1.3961225902549876</v>
      </c>
      <c r="DJ506" s="1998">
        <v>1.2391196013917929</v>
      </c>
      <c r="DK506" s="1998">
        <v>1.2428514423348906</v>
      </c>
      <c r="DL506" s="1998">
        <v>1.2471782144428303</v>
      </c>
      <c r="DM506" s="1998">
        <v>1.2521540023669608</v>
      </c>
      <c r="DN506" s="1998">
        <v>1.2582655679694255</v>
      </c>
      <c r="DO506" s="1979">
        <v>0.40271011701837661</v>
      </c>
      <c r="DP506" s="1979">
        <v>0.40308282440170867</v>
      </c>
      <c r="DQ506" s="1979">
        <v>0.40351490110273969</v>
      </c>
      <c r="DR506" s="1979">
        <v>0.40401954030318049</v>
      </c>
      <c r="DS506" s="1979">
        <v>0.40464621643444687</v>
      </c>
      <c r="DT506" s="1998">
        <v>0.33060466562117691</v>
      </c>
      <c r="DU506" s="1998">
        <v>0.3308831668143562</v>
      </c>
      <c r="DV506" s="1998">
        <v>0.33120603102945773</v>
      </c>
      <c r="DW506" s="1998">
        <v>0.33158311671579765</v>
      </c>
      <c r="DX506" s="2026">
        <v>0.33205139305831138</v>
      </c>
      <c r="EA506" s="2022"/>
      <c r="EB506" s="2">
        <v>5</v>
      </c>
      <c r="EC506" s="2" t="s">
        <v>4331</v>
      </c>
      <c r="ED506" s="1979">
        <v>0</v>
      </c>
      <c r="EE506" s="1979">
        <v>0</v>
      </c>
      <c r="EF506" s="1979">
        <v>0</v>
      </c>
      <c r="EG506" s="1979">
        <v>0</v>
      </c>
      <c r="EH506" s="1979">
        <v>0</v>
      </c>
      <c r="EI506" s="1998">
        <v>0</v>
      </c>
      <c r="EJ506" s="1998">
        <v>0</v>
      </c>
      <c r="EK506" s="1998">
        <v>0</v>
      </c>
      <c r="EL506" s="1998">
        <v>0</v>
      </c>
      <c r="EM506" s="1998">
        <v>0</v>
      </c>
      <c r="EN506" s="1979">
        <v>0</v>
      </c>
      <c r="EO506" s="1979">
        <v>0</v>
      </c>
      <c r="EP506" s="1979">
        <v>0</v>
      </c>
      <c r="EQ506" s="1979">
        <v>0</v>
      </c>
      <c r="ER506" s="1979">
        <v>0</v>
      </c>
      <c r="ES506" s="1998">
        <v>0</v>
      </c>
      <c r="ET506" s="1998">
        <v>0</v>
      </c>
      <c r="EU506" s="1998">
        <v>0</v>
      </c>
      <c r="EV506" s="1998">
        <v>0</v>
      </c>
      <c r="EW506" s="1998">
        <v>0</v>
      </c>
      <c r="EX506" s="1979">
        <v>0</v>
      </c>
      <c r="EY506" s="1979">
        <v>0</v>
      </c>
      <c r="EZ506" s="1979">
        <v>0</v>
      </c>
      <c r="FA506" s="1979">
        <v>0</v>
      </c>
      <c r="FB506" s="1979">
        <v>0</v>
      </c>
      <c r="FC506" s="1998">
        <v>0</v>
      </c>
      <c r="FD506" s="1998">
        <v>0</v>
      </c>
      <c r="FE506" s="1998">
        <v>0</v>
      </c>
      <c r="FF506" s="1998">
        <v>0</v>
      </c>
      <c r="FG506" s="1998">
        <v>0</v>
      </c>
      <c r="FH506" s="1979">
        <v>0.97947538785747079</v>
      </c>
      <c r="FI506" s="1979">
        <v>0.97993995707633019</v>
      </c>
      <c r="FJ506" s="1979">
        <v>0.98047858805471788</v>
      </c>
      <c r="FK506" s="1979">
        <v>0.98109801367986349</v>
      </c>
      <c r="FL506" s="1979">
        <v>0.98185882993683626</v>
      </c>
      <c r="FM506" s="1998">
        <v>0</v>
      </c>
      <c r="FN506" s="1998">
        <v>0</v>
      </c>
      <c r="FO506" s="1998">
        <v>0</v>
      </c>
      <c r="FP506" s="1998">
        <v>0</v>
      </c>
      <c r="FQ506" s="1998">
        <v>0</v>
      </c>
      <c r="FR506" s="1979">
        <v>6.0049951536036144</v>
      </c>
      <c r="FS506" s="1979">
        <v>6.0077995929742372</v>
      </c>
      <c r="FT506" s="1979">
        <v>6.0110511168822036</v>
      </c>
      <c r="FU506" s="1979">
        <v>6.0147903693763674</v>
      </c>
      <c r="FV506" s="1979">
        <v>6.019383146896371</v>
      </c>
      <c r="FW506" s="1998">
        <v>6.4718096194311876</v>
      </c>
      <c r="FX506" s="1998">
        <v>6.475541460374286</v>
      </c>
      <c r="FY506" s="1998">
        <v>6.4798682324822252</v>
      </c>
      <c r="FZ506" s="1998">
        <v>6.4848440204063555</v>
      </c>
      <c r="GA506" s="1998">
        <v>6.4909555860088206</v>
      </c>
      <c r="GB506" s="1979">
        <v>0.63416799865845752</v>
      </c>
      <c r="GC506" s="1979">
        <v>0.63454070604178958</v>
      </c>
      <c r="GD506" s="1979">
        <v>0.63497278274282076</v>
      </c>
      <c r="GE506" s="1979">
        <v>0.63547742194326151</v>
      </c>
      <c r="GF506" s="1979">
        <v>0.63610409807452784</v>
      </c>
      <c r="GG506" s="1998">
        <v>0.65839810538076404</v>
      </c>
      <c r="GH506" s="1998">
        <v>0.65867660657394322</v>
      </c>
      <c r="GI506" s="1998">
        <v>0.65899947078904475</v>
      </c>
      <c r="GJ506" s="1998">
        <v>0.65937655647538473</v>
      </c>
      <c r="GK506" s="2026">
        <v>0.65984483281789841</v>
      </c>
    </row>
    <row r="507" spans="1:193">
      <c r="A507" s="2020"/>
      <c r="B507" s="2">
        <v>6</v>
      </c>
      <c r="C507" s="2" t="s">
        <v>4332</v>
      </c>
      <c r="D507" s="1979">
        <f>IF(Construction!$F$31=Construction!$R$22,Oeko!BQ507,Oeko!ED507)</f>
        <v>0</v>
      </c>
      <c r="E507" s="1979">
        <f>IF(Construction!$F$31=Construction!$R$22,Oeko!BR507,Oeko!EE507)</f>
        <v>0</v>
      </c>
      <c r="F507" s="1979">
        <f>IF(Construction!$F$31=Construction!$R$22,Oeko!BS507,Oeko!EF507)</f>
        <v>0</v>
      </c>
      <c r="G507" s="1979">
        <f>IF(Construction!$F$31=Construction!$R$22,Oeko!BT507,Oeko!EG507)</f>
        <v>0</v>
      </c>
      <c r="H507" s="1979">
        <f>IF(Construction!$F$31=Construction!$R$22,Oeko!BU507,Oeko!EH507)</f>
        <v>0</v>
      </c>
      <c r="I507" s="1998">
        <f>IF(Construction!$F$31=Construction!$R$22,Oeko!BV507,Oeko!EI507)</f>
        <v>0</v>
      </c>
      <c r="J507" s="1998">
        <f>IF(Construction!$F$31=Construction!$R$22,Oeko!BW507,Oeko!EJ507)</f>
        <v>0</v>
      </c>
      <c r="K507" s="1998">
        <f>IF(Construction!$F$31=Construction!$R$22,Oeko!BX507,Oeko!EK507)</f>
        <v>0</v>
      </c>
      <c r="L507" s="1998">
        <f>IF(Construction!$F$31=Construction!$R$22,Oeko!BY507,Oeko!EL507)</f>
        <v>0</v>
      </c>
      <c r="M507" s="1998">
        <f>IF(Construction!$F$31=Construction!$R$22,Oeko!BZ507,Oeko!EM507)</f>
        <v>0</v>
      </c>
      <c r="N507" s="1979">
        <f>IF(Construction!$F$31=Construction!$R$22,Oeko!CA507,Oeko!EN507)</f>
        <v>0</v>
      </c>
      <c r="O507" s="1979">
        <f>IF(Construction!$F$31=Construction!$R$22,Oeko!CB507,Oeko!EO507)</f>
        <v>0</v>
      </c>
      <c r="P507" s="1979">
        <f>IF(Construction!$F$31=Construction!$R$22,Oeko!CC507,Oeko!EP507)</f>
        <v>0</v>
      </c>
      <c r="Q507" s="1979">
        <f>IF(Construction!$F$31=Construction!$R$22,Oeko!CD507,Oeko!EQ507)</f>
        <v>0</v>
      </c>
      <c r="R507" s="1979">
        <f>IF(Construction!$F$31=Construction!$R$22,Oeko!CE507,Oeko!ER507)</f>
        <v>0</v>
      </c>
      <c r="S507" s="1998">
        <f>IF(Construction!$F$31=Construction!$R$22,Oeko!CF507,Oeko!ES507)</f>
        <v>0</v>
      </c>
      <c r="T507" s="1998">
        <f>IF(Construction!$F$31=Construction!$R$22,Oeko!CG507,Oeko!ET507)</f>
        <v>0</v>
      </c>
      <c r="U507" s="1998">
        <f>IF(Construction!$F$31=Construction!$R$22,Oeko!CH507,Oeko!EU507)</f>
        <v>0</v>
      </c>
      <c r="V507" s="1998">
        <f>IF(Construction!$F$31=Construction!$R$22,Oeko!CI507,Oeko!EV507)</f>
        <v>0</v>
      </c>
      <c r="W507" s="1998">
        <f>IF(Construction!$F$31=Construction!$R$22,Oeko!CJ507,Oeko!EW507)</f>
        <v>0</v>
      </c>
      <c r="X507" s="1979">
        <f>IF(Construction!$F$31=Construction!$R$22,Oeko!CK507,Oeko!EX507)</f>
        <v>0</v>
      </c>
      <c r="Y507" s="1979">
        <f>IF(Construction!$F$31=Construction!$R$22,Oeko!CL507,Oeko!EY507)</f>
        <v>0</v>
      </c>
      <c r="Z507" s="1979">
        <f>IF(Construction!$F$31=Construction!$R$22,Oeko!CM507,Oeko!EZ507)</f>
        <v>0</v>
      </c>
      <c r="AA507" s="1979">
        <f>IF(Construction!$F$31=Construction!$R$22,Oeko!CN507,Oeko!FA507)</f>
        <v>0</v>
      </c>
      <c r="AB507" s="1979">
        <f>IF(Construction!$F$31=Construction!$R$22,Oeko!CO507,Oeko!FB507)</f>
        <v>0</v>
      </c>
      <c r="AC507" s="1998">
        <f>IF(Construction!$F$31=Construction!$R$22,Oeko!CP507,Oeko!FC507)</f>
        <v>0</v>
      </c>
      <c r="AD507" s="1998">
        <f>IF(Construction!$F$31=Construction!$R$22,Oeko!CQ507,Oeko!FD507)</f>
        <v>0</v>
      </c>
      <c r="AE507" s="1998">
        <f>IF(Construction!$F$31=Construction!$R$22,Oeko!CR507,Oeko!FE507)</f>
        <v>0</v>
      </c>
      <c r="AF507" s="1998">
        <f>IF(Construction!$F$31=Construction!$R$22,Oeko!CS507,Oeko!FF507)</f>
        <v>0</v>
      </c>
      <c r="AG507" s="1998">
        <f>IF(Construction!$F$31=Construction!$R$22,Oeko!CT507,Oeko!FG507)</f>
        <v>0</v>
      </c>
      <c r="AH507" s="1979">
        <f>IF(Construction!$F$31=Construction!$R$22,Oeko!CU507,Oeko!FH507)</f>
        <v>0.16050637593425063</v>
      </c>
      <c r="AI507" s="1979">
        <f>IF(Construction!$F$31=Construction!$R$22,Oeko!CV507,Oeko!FI507)</f>
        <v>0.16097094515311</v>
      </c>
      <c r="AJ507" s="1979">
        <f>IF(Construction!$F$31=Construction!$R$22,Oeko!CW507,Oeko!FJ507)</f>
        <v>0.16150957613149763</v>
      </c>
      <c r="AK507" s="1979">
        <f>IF(Construction!$F$31=Construction!$R$22,Oeko!CX507,Oeko!FK507)</f>
        <v>0.16212900175664346</v>
      </c>
      <c r="AL507" s="1979">
        <f>IF(Construction!$F$31=Construction!$R$22,Oeko!CY507,Oeko!FL507)</f>
        <v>0.16288981801361604</v>
      </c>
      <c r="AM507" s="1998">
        <f>IF(Construction!$F$31=Construction!$R$22,Oeko!CZ507,Oeko!FM507)</f>
        <v>0</v>
      </c>
      <c r="AN507" s="1998">
        <f>IF(Construction!$F$31=Construction!$R$22,Oeko!DA507,Oeko!FN507)</f>
        <v>0</v>
      </c>
      <c r="AO507" s="1998">
        <f>IF(Construction!$F$31=Construction!$R$22,Oeko!DB507,Oeko!FO507)</f>
        <v>0</v>
      </c>
      <c r="AP507" s="1998">
        <f>IF(Construction!$F$31=Construction!$R$22,Oeko!DC507,Oeko!FP507)</f>
        <v>0</v>
      </c>
      <c r="AQ507" s="1998">
        <f>IF(Construction!$F$31=Construction!$R$22,Oeko!DD507,Oeko!FQ507)</f>
        <v>0</v>
      </c>
      <c r="AR507" s="1979">
        <f>IF(Construction!$F$31=Construction!$R$22,Oeko!DE507,Oeko!FR507)</f>
        <v>1.2490833141222462</v>
      </c>
      <c r="AS507" s="1979">
        <f>IF(Construction!$F$31=Construction!$R$22,Oeko!DF507,Oeko!FS507)</f>
        <v>1.252822566616409</v>
      </c>
      <c r="AT507" s="1979">
        <f>IF(Construction!$F$31=Construction!$R$22,Oeko!DG507,Oeko!FT507)</f>
        <v>1.2571579318270323</v>
      </c>
      <c r="AU507" s="1979">
        <f>IF(Construction!$F$31=Construction!$R$22,Oeko!DH507,Oeko!FU507)</f>
        <v>1.2621436018192493</v>
      </c>
      <c r="AV507" s="1979">
        <f>IF(Construction!$F$31=Construction!$R$22,Oeko!DI507,Oeko!FV507)</f>
        <v>1.2682673051792548</v>
      </c>
      <c r="AW507" s="1998">
        <f>IF(Construction!$F$31=Construction!$R$22,Oeko!DJ507,Oeko!FW507)</f>
        <v>1.2470479786023814</v>
      </c>
      <c r="AX507" s="1998">
        <f>IF(Construction!$F$31=Construction!$R$22,Oeko!DK507,Oeko!FX507)</f>
        <v>1.2507798195454793</v>
      </c>
      <c r="AY507" s="1998">
        <f>IF(Construction!$F$31=Construction!$R$22,Oeko!DL507,Oeko!FY507)</f>
        <v>1.2551065916534188</v>
      </c>
      <c r="AZ507" s="1998">
        <f>IF(Construction!$F$31=Construction!$R$22,Oeko!DM507,Oeko!FZ507)</f>
        <v>1.2600823795775493</v>
      </c>
      <c r="BA507" s="1998">
        <f>IF(Construction!$F$31=Construction!$R$22,Oeko!DN507,Oeko!GA507)</f>
        <v>1.2661939451800137</v>
      </c>
      <c r="BB507" s="1979">
        <f>IF(Construction!$F$31=Construction!$R$22,Oeko!DO507,Oeko!GB507)</f>
        <v>0.40326413170137032</v>
      </c>
      <c r="BC507" s="1979">
        <f>IF(Construction!$F$31=Construction!$R$22,Oeko!DP507,Oeko!GC507)</f>
        <v>0.40363683908470244</v>
      </c>
      <c r="BD507" s="1979">
        <f>IF(Construction!$F$31=Construction!$R$22,Oeko!DQ507,Oeko!GD507)</f>
        <v>0.40406891578573345</v>
      </c>
      <c r="BE507" s="1979">
        <f>IF(Construction!$F$31=Construction!$R$22,Oeko!DR507,Oeko!GE507)</f>
        <v>0.4045735549861742</v>
      </c>
      <c r="BF507" s="1979">
        <f>IF(Construction!$F$31=Construction!$R$22,Oeko!DS507,Oeko!GF507)</f>
        <v>0.40520023111744058</v>
      </c>
      <c r="BG507" s="1998">
        <f>IF(Construction!$F$31=Construction!$R$22,Oeko!DT507,Oeko!GG507)</f>
        <v>0.33205359888634589</v>
      </c>
      <c r="BH507" s="1998">
        <f>IF(Construction!$F$31=Construction!$R$22,Oeko!DU507,Oeko!GH507)</f>
        <v>0.33233210007952502</v>
      </c>
      <c r="BI507" s="1998">
        <f>IF(Construction!$F$31=Construction!$R$22,Oeko!DV507,Oeko!GI507)</f>
        <v>0.3326549642946266</v>
      </c>
      <c r="BJ507" s="1998">
        <f>IF(Construction!$F$31=Construction!$R$22,Oeko!DW507,Oeko!GJ507)</f>
        <v>0.33303204998096658</v>
      </c>
      <c r="BK507" s="2026">
        <f>IF(Construction!$F$31=Construction!$R$22,Oeko!DX507,Oeko!GK507)</f>
        <v>0.33350032632348031</v>
      </c>
      <c r="BN507" s="2022"/>
      <c r="BO507" s="2">
        <v>6</v>
      </c>
      <c r="BP507" s="2" t="s">
        <v>4332</v>
      </c>
      <c r="BQ507" s="1979">
        <v>0</v>
      </c>
      <c r="BR507" s="1979">
        <v>0</v>
      </c>
      <c r="BS507" s="1979">
        <v>0</v>
      </c>
      <c r="BT507" s="1979">
        <v>0</v>
      </c>
      <c r="BU507" s="1979">
        <v>0</v>
      </c>
      <c r="BV507" s="1998">
        <v>0</v>
      </c>
      <c r="BW507" s="1998">
        <v>0</v>
      </c>
      <c r="BX507" s="1998">
        <v>0</v>
      </c>
      <c r="BY507" s="1998">
        <v>0</v>
      </c>
      <c r="BZ507" s="1998">
        <v>0</v>
      </c>
      <c r="CA507" s="1979">
        <v>0</v>
      </c>
      <c r="CB507" s="1979">
        <v>0</v>
      </c>
      <c r="CC507" s="1979">
        <v>0</v>
      </c>
      <c r="CD507" s="1979">
        <v>0</v>
      </c>
      <c r="CE507" s="1979">
        <v>0</v>
      </c>
      <c r="CF507" s="1998">
        <v>0</v>
      </c>
      <c r="CG507" s="1998">
        <v>0</v>
      </c>
      <c r="CH507" s="1998">
        <v>0</v>
      </c>
      <c r="CI507" s="1998">
        <v>0</v>
      </c>
      <c r="CJ507" s="1998">
        <v>0</v>
      </c>
      <c r="CK507" s="1979">
        <v>0</v>
      </c>
      <c r="CL507" s="1979">
        <v>0</v>
      </c>
      <c r="CM507" s="1979">
        <v>0</v>
      </c>
      <c r="CN507" s="1979">
        <v>0</v>
      </c>
      <c r="CO507" s="1979">
        <v>0</v>
      </c>
      <c r="CP507" s="1998">
        <v>0</v>
      </c>
      <c r="CQ507" s="1998">
        <v>0</v>
      </c>
      <c r="CR507" s="1998">
        <v>0</v>
      </c>
      <c r="CS507" s="1998">
        <v>0</v>
      </c>
      <c r="CT507" s="1998">
        <v>0</v>
      </c>
      <c r="CU507" s="1979">
        <v>0.16050637593425063</v>
      </c>
      <c r="CV507" s="1979">
        <v>0.16097094515311</v>
      </c>
      <c r="CW507" s="1979">
        <v>0.16150957613149763</v>
      </c>
      <c r="CX507" s="1979">
        <v>0.16212900175664346</v>
      </c>
      <c r="CY507" s="1979">
        <v>0.16288981801361604</v>
      </c>
      <c r="CZ507" s="1998">
        <v>0</v>
      </c>
      <c r="DA507" s="1998">
        <v>0</v>
      </c>
      <c r="DB507" s="1998">
        <v>0</v>
      </c>
      <c r="DC507" s="1998">
        <v>0</v>
      </c>
      <c r="DD507" s="1998">
        <v>0</v>
      </c>
      <c r="DE507" s="1979">
        <v>1.2490833141222462</v>
      </c>
      <c r="DF507" s="1979">
        <v>1.252822566616409</v>
      </c>
      <c r="DG507" s="1979">
        <v>1.2571579318270323</v>
      </c>
      <c r="DH507" s="1979">
        <v>1.2621436018192493</v>
      </c>
      <c r="DI507" s="1979">
        <v>1.2682673051792548</v>
      </c>
      <c r="DJ507" s="1998">
        <v>1.2470479786023814</v>
      </c>
      <c r="DK507" s="1998">
        <v>1.2507798195454793</v>
      </c>
      <c r="DL507" s="1998">
        <v>1.2551065916534188</v>
      </c>
      <c r="DM507" s="1998">
        <v>1.2600823795775493</v>
      </c>
      <c r="DN507" s="1998">
        <v>1.2661939451800137</v>
      </c>
      <c r="DO507" s="1979">
        <v>0.40326413170137032</v>
      </c>
      <c r="DP507" s="1979">
        <v>0.40363683908470244</v>
      </c>
      <c r="DQ507" s="1979">
        <v>0.40406891578573345</v>
      </c>
      <c r="DR507" s="1979">
        <v>0.4045735549861742</v>
      </c>
      <c r="DS507" s="1979">
        <v>0.40520023111744058</v>
      </c>
      <c r="DT507" s="1998">
        <v>0.33205359888634589</v>
      </c>
      <c r="DU507" s="1998">
        <v>0.33233210007952502</v>
      </c>
      <c r="DV507" s="1998">
        <v>0.3326549642946266</v>
      </c>
      <c r="DW507" s="1998">
        <v>0.33303204998096658</v>
      </c>
      <c r="DX507" s="2026">
        <v>0.33350032632348031</v>
      </c>
      <c r="EA507" s="2022"/>
      <c r="EB507" s="2">
        <v>6</v>
      </c>
      <c r="EC507" s="2" t="s">
        <v>4332</v>
      </c>
      <c r="ED507" s="1979">
        <v>0</v>
      </c>
      <c r="EE507" s="1979">
        <v>0</v>
      </c>
      <c r="EF507" s="1979">
        <v>0</v>
      </c>
      <c r="EG507" s="1979">
        <v>0</v>
      </c>
      <c r="EH507" s="1979">
        <v>0</v>
      </c>
      <c r="EI507" s="1998">
        <v>0</v>
      </c>
      <c r="EJ507" s="1998">
        <v>0</v>
      </c>
      <c r="EK507" s="1998">
        <v>0</v>
      </c>
      <c r="EL507" s="1998">
        <v>0</v>
      </c>
      <c r="EM507" s="1998">
        <v>0</v>
      </c>
      <c r="EN507" s="1979">
        <v>0</v>
      </c>
      <c r="EO507" s="1979">
        <v>0</v>
      </c>
      <c r="EP507" s="1979">
        <v>0</v>
      </c>
      <c r="EQ507" s="1979">
        <v>0</v>
      </c>
      <c r="ER507" s="1979">
        <v>0</v>
      </c>
      <c r="ES507" s="1998">
        <v>0</v>
      </c>
      <c r="ET507" s="1998">
        <v>0</v>
      </c>
      <c r="EU507" s="1998">
        <v>0</v>
      </c>
      <c r="EV507" s="1998">
        <v>0</v>
      </c>
      <c r="EW507" s="1998">
        <v>0</v>
      </c>
      <c r="EX507" s="1979">
        <v>0</v>
      </c>
      <c r="EY507" s="1979">
        <v>0</v>
      </c>
      <c r="EZ507" s="1979">
        <v>0</v>
      </c>
      <c r="FA507" s="1979">
        <v>0</v>
      </c>
      <c r="FB507" s="1979">
        <v>0</v>
      </c>
      <c r="FC507" s="1998">
        <v>0</v>
      </c>
      <c r="FD507" s="1998">
        <v>0</v>
      </c>
      <c r="FE507" s="1998">
        <v>0</v>
      </c>
      <c r="FF507" s="1998">
        <v>0</v>
      </c>
      <c r="FG507" s="1998">
        <v>0</v>
      </c>
      <c r="FH507" s="1979">
        <v>0.98764157212080605</v>
      </c>
      <c r="FI507" s="1979">
        <v>0.98810614133966546</v>
      </c>
      <c r="FJ507" s="1979">
        <v>0.98864477231805314</v>
      </c>
      <c r="FK507" s="1979">
        <v>0.98926419794319909</v>
      </c>
      <c r="FL507" s="1979">
        <v>0.9900250142001713</v>
      </c>
      <c r="FM507" s="1998">
        <v>0</v>
      </c>
      <c r="FN507" s="1998">
        <v>0</v>
      </c>
      <c r="FO507" s="1998">
        <v>0</v>
      </c>
      <c r="FP507" s="1998">
        <v>0</v>
      </c>
      <c r="FQ507" s="1998">
        <v>0</v>
      </c>
      <c r="FR507" s="1979">
        <v>6.2706555494896561</v>
      </c>
      <c r="FS507" s="1979">
        <v>6.2743948019838189</v>
      </c>
      <c r="FT507" s="1979">
        <v>6.2787301671944427</v>
      </c>
      <c r="FU507" s="1979">
        <v>6.2837158371866595</v>
      </c>
      <c r="FV507" s="1979">
        <v>6.2898395405466658</v>
      </c>
      <c r="FW507" s="1998">
        <v>6.8630629630795461</v>
      </c>
      <c r="FX507" s="1998">
        <v>6.8667948040226436</v>
      </c>
      <c r="FY507" s="1998">
        <v>6.8711215761305837</v>
      </c>
      <c r="FZ507" s="1998">
        <v>6.8760973640547132</v>
      </c>
      <c r="GA507" s="1998">
        <v>6.8822089296571782</v>
      </c>
      <c r="GB507" s="1979">
        <v>0.65030645923741681</v>
      </c>
      <c r="GC507" s="1979">
        <v>0.65067916662074887</v>
      </c>
      <c r="GD507" s="1979">
        <v>0.65111124332177983</v>
      </c>
      <c r="GE507" s="1979">
        <v>0.65161588252222069</v>
      </c>
      <c r="GF507" s="1979">
        <v>0.65224255865348701</v>
      </c>
      <c r="GG507" s="1998">
        <v>0.65984703864593297</v>
      </c>
      <c r="GH507" s="1998">
        <v>0.66012553983911204</v>
      </c>
      <c r="GI507" s="1998">
        <v>0.66044840405421368</v>
      </c>
      <c r="GJ507" s="1998">
        <v>0.66082548974055366</v>
      </c>
      <c r="GK507" s="2026">
        <v>0.66129376608306745</v>
      </c>
    </row>
    <row r="508" spans="1:193">
      <c r="A508" s="2020"/>
      <c r="B508" s="2">
        <v>7</v>
      </c>
      <c r="C508" s="2" t="s">
        <v>4333</v>
      </c>
      <c r="D508" s="1979">
        <f>IF(Construction!$F$31=Construction!$R$22,Oeko!BQ508,Oeko!ED508)</f>
        <v>0</v>
      </c>
      <c r="E508" s="1979">
        <f>IF(Construction!$F$31=Construction!$R$22,Oeko!BR508,Oeko!EE508)</f>
        <v>0</v>
      </c>
      <c r="F508" s="1979">
        <f>IF(Construction!$F$31=Construction!$R$22,Oeko!BS508,Oeko!EF508)</f>
        <v>0</v>
      </c>
      <c r="G508" s="1979">
        <f>IF(Construction!$F$31=Construction!$R$22,Oeko!BT508,Oeko!EG508)</f>
        <v>0</v>
      </c>
      <c r="H508" s="1979">
        <f>IF(Construction!$F$31=Construction!$R$22,Oeko!BU508,Oeko!EH508)</f>
        <v>0</v>
      </c>
      <c r="I508" s="1998">
        <f>IF(Construction!$F$31=Construction!$R$22,Oeko!BV508,Oeko!EI508)</f>
        <v>0</v>
      </c>
      <c r="J508" s="1998">
        <f>IF(Construction!$F$31=Construction!$R$22,Oeko!BW508,Oeko!EJ508)</f>
        <v>0</v>
      </c>
      <c r="K508" s="1998">
        <f>IF(Construction!$F$31=Construction!$R$22,Oeko!BX508,Oeko!EK508)</f>
        <v>0</v>
      </c>
      <c r="L508" s="1998">
        <f>IF(Construction!$F$31=Construction!$R$22,Oeko!BY508,Oeko!EL508)</f>
        <v>0</v>
      </c>
      <c r="M508" s="1998">
        <f>IF(Construction!$F$31=Construction!$R$22,Oeko!BZ508,Oeko!EM508)</f>
        <v>0</v>
      </c>
      <c r="N508" s="1979">
        <f>IF(Construction!$F$31=Construction!$R$22,Oeko!CA508,Oeko!EN508)</f>
        <v>0</v>
      </c>
      <c r="O508" s="1979">
        <f>IF(Construction!$F$31=Construction!$R$22,Oeko!CB508,Oeko!EO508)</f>
        <v>0</v>
      </c>
      <c r="P508" s="1979">
        <f>IF(Construction!$F$31=Construction!$R$22,Oeko!CC508,Oeko!EP508)</f>
        <v>0</v>
      </c>
      <c r="Q508" s="1979">
        <f>IF(Construction!$F$31=Construction!$R$22,Oeko!CD508,Oeko!EQ508)</f>
        <v>0</v>
      </c>
      <c r="R508" s="1979">
        <f>IF(Construction!$F$31=Construction!$R$22,Oeko!CE508,Oeko!ER508)</f>
        <v>0</v>
      </c>
      <c r="S508" s="1998">
        <f>IF(Construction!$F$31=Construction!$R$22,Oeko!CF508,Oeko!ES508)</f>
        <v>0</v>
      </c>
      <c r="T508" s="1998">
        <f>IF(Construction!$F$31=Construction!$R$22,Oeko!CG508,Oeko!ET508)</f>
        <v>0</v>
      </c>
      <c r="U508" s="1998">
        <f>IF(Construction!$F$31=Construction!$R$22,Oeko!CH508,Oeko!EU508)</f>
        <v>0</v>
      </c>
      <c r="V508" s="1998">
        <f>IF(Construction!$F$31=Construction!$R$22,Oeko!CI508,Oeko!EV508)</f>
        <v>0</v>
      </c>
      <c r="W508" s="1998">
        <f>IF(Construction!$F$31=Construction!$R$22,Oeko!CJ508,Oeko!EW508)</f>
        <v>0</v>
      </c>
      <c r="X508" s="1979">
        <f>IF(Construction!$F$31=Construction!$R$22,Oeko!CK508,Oeko!EX508)</f>
        <v>0</v>
      </c>
      <c r="Y508" s="1979">
        <f>IF(Construction!$F$31=Construction!$R$22,Oeko!CL508,Oeko!EY508)</f>
        <v>0</v>
      </c>
      <c r="Z508" s="1979">
        <f>IF(Construction!$F$31=Construction!$R$22,Oeko!CM508,Oeko!EZ508)</f>
        <v>0</v>
      </c>
      <c r="AA508" s="1979">
        <f>IF(Construction!$F$31=Construction!$R$22,Oeko!CN508,Oeko!FA508)</f>
        <v>0</v>
      </c>
      <c r="AB508" s="1979">
        <f>IF(Construction!$F$31=Construction!$R$22,Oeko!CO508,Oeko!FB508)</f>
        <v>0</v>
      </c>
      <c r="AC508" s="1998">
        <f>IF(Construction!$F$31=Construction!$R$22,Oeko!CP508,Oeko!FC508)</f>
        <v>0</v>
      </c>
      <c r="AD508" s="1998">
        <f>IF(Construction!$F$31=Construction!$R$22,Oeko!CQ508,Oeko!FD508)</f>
        <v>0</v>
      </c>
      <c r="AE508" s="1998">
        <f>IF(Construction!$F$31=Construction!$R$22,Oeko!CR508,Oeko!FE508)</f>
        <v>0</v>
      </c>
      <c r="AF508" s="1998">
        <f>IF(Construction!$F$31=Construction!$R$22,Oeko!CS508,Oeko!FF508)</f>
        <v>0</v>
      </c>
      <c r="AG508" s="1998">
        <f>IF(Construction!$F$31=Construction!$R$22,Oeko!CT508,Oeko!FG508)</f>
        <v>0</v>
      </c>
      <c r="AH508" s="1979">
        <f>IF(Construction!$F$31=Construction!$R$22,Oeko!CU508,Oeko!FH508)</f>
        <v>0.16166603504858315</v>
      </c>
      <c r="AI508" s="1979">
        <f>IF(Construction!$F$31=Construction!$R$22,Oeko!CV508,Oeko!FI508)</f>
        <v>0.16213060426744252</v>
      </c>
      <c r="AJ508" s="1979">
        <f>IF(Construction!$F$31=Construction!$R$22,Oeko!CW508,Oeko!FJ508)</f>
        <v>0.16266923524583018</v>
      </c>
      <c r="AK508" s="1979">
        <f>IF(Construction!$F$31=Construction!$R$22,Oeko!CX508,Oeko!FK508)</f>
        <v>0.16328866087097602</v>
      </c>
      <c r="AL508" s="1979">
        <f>IF(Construction!$F$31=Construction!$R$22,Oeko!CY508,Oeko!FL508)</f>
        <v>0.16404947712794857</v>
      </c>
      <c r="AM508" s="1998">
        <f>IF(Construction!$F$31=Construction!$R$22,Oeko!CZ508,Oeko!FM508)</f>
        <v>0</v>
      </c>
      <c r="AN508" s="1998">
        <f>IF(Construction!$F$31=Construction!$R$22,Oeko!DA508,Oeko!FN508)</f>
        <v>0</v>
      </c>
      <c r="AO508" s="1998">
        <f>IF(Construction!$F$31=Construction!$R$22,Oeko!DB508,Oeko!FO508)</f>
        <v>0</v>
      </c>
      <c r="AP508" s="1998">
        <f>IF(Construction!$F$31=Construction!$R$22,Oeko!DC508,Oeko!FP508)</f>
        <v>0</v>
      </c>
      <c r="AQ508" s="1998">
        <f>IF(Construction!$F$31=Construction!$R$22,Oeko!DD508,Oeko!FQ508)</f>
        <v>0</v>
      </c>
      <c r="AR508" s="1979">
        <f>IF(Construction!$F$31=Construction!$R$22,Oeko!DE508,Oeko!FR508)</f>
        <v>1.2734121914588319</v>
      </c>
      <c r="AS508" s="1979">
        <f>IF(Construction!$F$31=Construction!$R$22,Oeko!DF508,Oeko!FS508)</f>
        <v>1.2771514439529945</v>
      </c>
      <c r="AT508" s="1979">
        <f>IF(Construction!$F$31=Construction!$R$22,Oeko!DG508,Oeko!FT508)</f>
        <v>1.2814868091636182</v>
      </c>
      <c r="AU508" s="1979">
        <f>IF(Construction!$F$31=Construction!$R$22,Oeko!DH508,Oeko!FU508)</f>
        <v>1.2864724791558348</v>
      </c>
      <c r="AV508" s="1979">
        <f>IF(Construction!$F$31=Construction!$R$22,Oeko!DI508,Oeko!FV508)</f>
        <v>1.2925961825158405</v>
      </c>
      <c r="AW508" s="1998">
        <f>IF(Construction!$F$31=Construction!$R$22,Oeko!DJ508,Oeko!FW508)</f>
        <v>0.97026858546029338</v>
      </c>
      <c r="AX508" s="1998">
        <f>IF(Construction!$F$31=Construction!$R$22,Oeko!DK508,Oeko!FX508)</f>
        <v>0.97586634687494034</v>
      </c>
      <c r="AY508" s="1998">
        <f>IF(Construction!$F$31=Construction!$R$22,Oeko!DL508,Oeko!FY508)</f>
        <v>0.98235650503684968</v>
      </c>
      <c r="AZ508" s="1998">
        <f>IF(Construction!$F$31=Construction!$R$22,Oeko!DM508,Oeko!FZ508)</f>
        <v>0.9898201869230453</v>
      </c>
      <c r="BA508" s="1998">
        <f>IF(Construction!$F$31=Construction!$R$22,Oeko!DN508,Oeko!GA508)</f>
        <v>0.99898753532674212</v>
      </c>
      <c r="BB508" s="1979">
        <f>IF(Construction!$F$31=Construction!$R$22,Oeko!DO508,Oeko!GB508)</f>
        <v>0.4049261757503515</v>
      </c>
      <c r="BC508" s="1979">
        <f>IF(Construction!$F$31=Construction!$R$22,Oeko!DP508,Oeko!GC508)</f>
        <v>0.40529888313368356</v>
      </c>
      <c r="BD508" s="1979">
        <f>IF(Construction!$F$31=Construction!$R$22,Oeko!DQ508,Oeko!GD508)</f>
        <v>0.40573095983471463</v>
      </c>
      <c r="BE508" s="1979">
        <f>IF(Construction!$F$31=Construction!$R$22,Oeko!DR508,Oeko!GE508)</f>
        <v>0.40623559903515538</v>
      </c>
      <c r="BF508" s="1979">
        <f>IF(Construction!$F$31=Construction!$R$22,Oeko!DS508,Oeko!GF508)</f>
        <v>0.40686227516642171</v>
      </c>
      <c r="BG508" s="1998">
        <f>IF(Construction!$F$31=Construction!$R$22,Oeko!DT508,Oeko!GG508)</f>
        <v>0.40640820984369602</v>
      </c>
      <c r="BH508" s="1998">
        <f>IF(Construction!$F$31=Construction!$R$22,Oeko!DU508,Oeko!GH508)</f>
        <v>0.40677954476793499</v>
      </c>
      <c r="BI508" s="1998">
        <f>IF(Construction!$F$31=Construction!$R$22,Oeko!DV508,Oeko!GI508)</f>
        <v>0.4072100303880703</v>
      </c>
      <c r="BJ508" s="1998">
        <f>IF(Construction!$F$31=Construction!$R$22,Oeko!DW508,Oeko!GJ508)</f>
        <v>0.40771281130319031</v>
      </c>
      <c r="BK508" s="2026">
        <f>IF(Construction!$F$31=Construction!$R$22,Oeko!DX508,Oeko!GK508)</f>
        <v>0.40833717975987521</v>
      </c>
      <c r="BN508" s="2022"/>
      <c r="BO508" s="2">
        <v>7</v>
      </c>
      <c r="BP508" s="2" t="s">
        <v>4333</v>
      </c>
      <c r="BQ508" s="1979">
        <v>0</v>
      </c>
      <c r="BR508" s="1979">
        <v>0</v>
      </c>
      <c r="BS508" s="1979">
        <v>0</v>
      </c>
      <c r="BT508" s="1979">
        <v>0</v>
      </c>
      <c r="BU508" s="1979">
        <v>0</v>
      </c>
      <c r="BV508" s="1998">
        <v>0</v>
      </c>
      <c r="BW508" s="1998">
        <v>0</v>
      </c>
      <c r="BX508" s="1998">
        <v>0</v>
      </c>
      <c r="BY508" s="1998">
        <v>0</v>
      </c>
      <c r="BZ508" s="1998">
        <v>0</v>
      </c>
      <c r="CA508" s="1979">
        <v>0</v>
      </c>
      <c r="CB508" s="1979">
        <v>0</v>
      </c>
      <c r="CC508" s="1979">
        <v>0</v>
      </c>
      <c r="CD508" s="1979">
        <v>0</v>
      </c>
      <c r="CE508" s="1979">
        <v>0</v>
      </c>
      <c r="CF508" s="1998">
        <v>0</v>
      </c>
      <c r="CG508" s="1998">
        <v>0</v>
      </c>
      <c r="CH508" s="1998">
        <v>0</v>
      </c>
      <c r="CI508" s="1998">
        <v>0</v>
      </c>
      <c r="CJ508" s="1998">
        <v>0</v>
      </c>
      <c r="CK508" s="1979">
        <v>0</v>
      </c>
      <c r="CL508" s="1979">
        <v>0</v>
      </c>
      <c r="CM508" s="1979">
        <v>0</v>
      </c>
      <c r="CN508" s="1979">
        <v>0</v>
      </c>
      <c r="CO508" s="1979">
        <v>0</v>
      </c>
      <c r="CP508" s="1998">
        <v>0</v>
      </c>
      <c r="CQ508" s="1998">
        <v>0</v>
      </c>
      <c r="CR508" s="1998">
        <v>0</v>
      </c>
      <c r="CS508" s="1998">
        <v>0</v>
      </c>
      <c r="CT508" s="1998">
        <v>0</v>
      </c>
      <c r="CU508" s="1979">
        <v>0.16166603504858315</v>
      </c>
      <c r="CV508" s="1979">
        <v>0.16213060426744252</v>
      </c>
      <c r="CW508" s="1979">
        <v>0.16266923524583018</v>
      </c>
      <c r="CX508" s="1979">
        <v>0.16328866087097602</v>
      </c>
      <c r="CY508" s="1979">
        <v>0.16404947712794857</v>
      </c>
      <c r="CZ508" s="1998">
        <v>0</v>
      </c>
      <c r="DA508" s="1998">
        <v>0</v>
      </c>
      <c r="DB508" s="1998">
        <v>0</v>
      </c>
      <c r="DC508" s="1998">
        <v>0</v>
      </c>
      <c r="DD508" s="1998">
        <v>0</v>
      </c>
      <c r="DE508" s="1979">
        <v>1.2734121914588319</v>
      </c>
      <c r="DF508" s="1979">
        <v>1.2771514439529945</v>
      </c>
      <c r="DG508" s="1979">
        <v>1.2814868091636182</v>
      </c>
      <c r="DH508" s="1979">
        <v>1.2864724791558348</v>
      </c>
      <c r="DI508" s="1979">
        <v>1.2925961825158405</v>
      </c>
      <c r="DJ508" s="1998">
        <v>0.97026858546029338</v>
      </c>
      <c r="DK508" s="1998">
        <v>0.97586634687494034</v>
      </c>
      <c r="DL508" s="1998">
        <v>0.98235650503684968</v>
      </c>
      <c r="DM508" s="1998">
        <v>0.9898201869230453</v>
      </c>
      <c r="DN508" s="1998">
        <v>0.99898753532674212</v>
      </c>
      <c r="DO508" s="1979">
        <v>0.4049261757503515</v>
      </c>
      <c r="DP508" s="1979">
        <v>0.40529888313368356</v>
      </c>
      <c r="DQ508" s="1979">
        <v>0.40573095983471463</v>
      </c>
      <c r="DR508" s="1979">
        <v>0.40623559903515538</v>
      </c>
      <c r="DS508" s="1979">
        <v>0.40686227516642171</v>
      </c>
      <c r="DT508" s="1998">
        <v>0.40640820984369602</v>
      </c>
      <c r="DU508" s="1998">
        <v>0.40677954476793499</v>
      </c>
      <c r="DV508" s="1998">
        <v>0.4072100303880703</v>
      </c>
      <c r="DW508" s="1998">
        <v>0.40771281130319031</v>
      </c>
      <c r="DX508" s="2026">
        <v>0.40833717975987521</v>
      </c>
      <c r="EA508" s="2022"/>
      <c r="EB508" s="2">
        <v>7</v>
      </c>
      <c r="EC508" s="2" t="s">
        <v>4333</v>
      </c>
      <c r="ED508" s="1979">
        <v>0</v>
      </c>
      <c r="EE508" s="1979">
        <v>0</v>
      </c>
      <c r="EF508" s="1979">
        <v>0</v>
      </c>
      <c r="EG508" s="1979">
        <v>0</v>
      </c>
      <c r="EH508" s="1979">
        <v>0</v>
      </c>
      <c r="EI508" s="1998">
        <v>0</v>
      </c>
      <c r="EJ508" s="1998">
        <v>0</v>
      </c>
      <c r="EK508" s="1998">
        <v>0</v>
      </c>
      <c r="EL508" s="1998">
        <v>0</v>
      </c>
      <c r="EM508" s="1998">
        <v>0</v>
      </c>
      <c r="EN508" s="1979">
        <v>0</v>
      </c>
      <c r="EO508" s="1979">
        <v>0</v>
      </c>
      <c r="EP508" s="1979">
        <v>0</v>
      </c>
      <c r="EQ508" s="1979">
        <v>0</v>
      </c>
      <c r="ER508" s="1979">
        <v>0</v>
      </c>
      <c r="ES508" s="1998">
        <v>0</v>
      </c>
      <c r="ET508" s="1998">
        <v>0</v>
      </c>
      <c r="EU508" s="1998">
        <v>0</v>
      </c>
      <c r="EV508" s="1998">
        <v>0</v>
      </c>
      <c r="EW508" s="1998">
        <v>0</v>
      </c>
      <c r="EX508" s="1979">
        <v>0</v>
      </c>
      <c r="EY508" s="1979">
        <v>0</v>
      </c>
      <c r="EZ508" s="1979">
        <v>0</v>
      </c>
      <c r="FA508" s="1979">
        <v>0</v>
      </c>
      <c r="FB508" s="1979">
        <v>0</v>
      </c>
      <c r="FC508" s="1998">
        <v>0</v>
      </c>
      <c r="FD508" s="1998">
        <v>0</v>
      </c>
      <c r="FE508" s="1998">
        <v>0</v>
      </c>
      <c r="FF508" s="1998">
        <v>0</v>
      </c>
      <c r="FG508" s="1998">
        <v>0</v>
      </c>
      <c r="FH508" s="1979">
        <v>0.99627693156697295</v>
      </c>
      <c r="FI508" s="1979">
        <v>0.99674150078583212</v>
      </c>
      <c r="FJ508" s="1979">
        <v>0.99728013176422003</v>
      </c>
      <c r="FK508" s="1979">
        <v>0.99789955738936587</v>
      </c>
      <c r="FL508" s="1979">
        <v>0.99866037364633842</v>
      </c>
      <c r="FM508" s="1998">
        <v>0</v>
      </c>
      <c r="FN508" s="1998">
        <v>0</v>
      </c>
      <c r="FO508" s="1998">
        <v>0</v>
      </c>
      <c r="FP508" s="1998">
        <v>0</v>
      </c>
      <c r="FQ508" s="1998">
        <v>0</v>
      </c>
      <c r="FR508" s="1979">
        <v>6.551041934578687</v>
      </c>
      <c r="FS508" s="1979">
        <v>6.5547811870728516</v>
      </c>
      <c r="FT508" s="1979">
        <v>6.5591165522834736</v>
      </c>
      <c r="FU508" s="1979">
        <v>6.5641022222756904</v>
      </c>
      <c r="FV508" s="1979">
        <v>6.5702259256356967</v>
      </c>
      <c r="FW508" s="1998">
        <v>6.5335510348719446</v>
      </c>
      <c r="FX508" s="1998">
        <v>6.5391487962865904</v>
      </c>
      <c r="FY508" s="1998">
        <v>6.545638954448501</v>
      </c>
      <c r="FZ508" s="1998">
        <v>6.553102636334696</v>
      </c>
      <c r="GA508" s="1998">
        <v>6.5622699847383927</v>
      </c>
      <c r="GB508" s="1979">
        <v>0.69872184097429468</v>
      </c>
      <c r="GC508" s="1979">
        <v>0.69909454835762674</v>
      </c>
      <c r="GD508" s="1979">
        <v>0.6995266250586577</v>
      </c>
      <c r="GE508" s="1979">
        <v>0.70003126425909856</v>
      </c>
      <c r="GF508" s="1979">
        <v>0.70065794039036489</v>
      </c>
      <c r="GG508" s="1998">
        <v>0.74570317380537365</v>
      </c>
      <c r="GH508" s="1998">
        <v>0.74607450872961278</v>
      </c>
      <c r="GI508" s="1998">
        <v>0.74650499434974815</v>
      </c>
      <c r="GJ508" s="1998">
        <v>0.74700777526486795</v>
      </c>
      <c r="GK508" s="2026">
        <v>0.74763214372155296</v>
      </c>
    </row>
    <row r="509" spans="1:193">
      <c r="A509" s="2020"/>
      <c r="B509" s="2">
        <v>8</v>
      </c>
      <c r="C509" s="2" t="s">
        <v>4334</v>
      </c>
      <c r="D509" s="1979">
        <f>IF(Construction!$F$31=Construction!$R$22,Oeko!BQ509,Oeko!ED509)</f>
        <v>0</v>
      </c>
      <c r="E509" s="1979">
        <f>IF(Construction!$F$31=Construction!$R$22,Oeko!BR509,Oeko!EE509)</f>
        <v>0</v>
      </c>
      <c r="F509" s="1979">
        <f>IF(Construction!$F$31=Construction!$R$22,Oeko!BS509,Oeko!EF509)</f>
        <v>0</v>
      </c>
      <c r="G509" s="1979">
        <f>IF(Construction!$F$31=Construction!$R$22,Oeko!BT509,Oeko!EG509)</f>
        <v>0</v>
      </c>
      <c r="H509" s="1979">
        <f>IF(Construction!$F$31=Construction!$R$22,Oeko!BU509,Oeko!EH509)</f>
        <v>0</v>
      </c>
      <c r="I509" s="1998">
        <f>IF(Construction!$F$31=Construction!$R$22,Oeko!BV509,Oeko!EI509)</f>
        <v>0</v>
      </c>
      <c r="J509" s="1998">
        <f>IF(Construction!$F$31=Construction!$R$22,Oeko!BW509,Oeko!EJ509)</f>
        <v>0</v>
      </c>
      <c r="K509" s="1998">
        <f>IF(Construction!$F$31=Construction!$R$22,Oeko!BX509,Oeko!EK509)</f>
        <v>0</v>
      </c>
      <c r="L509" s="1998">
        <f>IF(Construction!$F$31=Construction!$R$22,Oeko!BY509,Oeko!EL509)</f>
        <v>0</v>
      </c>
      <c r="M509" s="1998">
        <f>IF(Construction!$F$31=Construction!$R$22,Oeko!BZ509,Oeko!EM509)</f>
        <v>0</v>
      </c>
      <c r="N509" s="1979">
        <f>IF(Construction!$F$31=Construction!$R$22,Oeko!CA509,Oeko!EN509)</f>
        <v>0</v>
      </c>
      <c r="O509" s="1979">
        <f>IF(Construction!$F$31=Construction!$R$22,Oeko!CB509,Oeko!EO509)</f>
        <v>0</v>
      </c>
      <c r="P509" s="1979">
        <f>IF(Construction!$F$31=Construction!$R$22,Oeko!CC509,Oeko!EP509)</f>
        <v>0</v>
      </c>
      <c r="Q509" s="1979">
        <f>IF(Construction!$F$31=Construction!$R$22,Oeko!CD509,Oeko!EQ509)</f>
        <v>0</v>
      </c>
      <c r="R509" s="1979">
        <f>IF(Construction!$F$31=Construction!$R$22,Oeko!CE509,Oeko!ER509)</f>
        <v>0</v>
      </c>
      <c r="S509" s="1998">
        <f>IF(Construction!$F$31=Construction!$R$22,Oeko!CF509,Oeko!ES509)</f>
        <v>0</v>
      </c>
      <c r="T509" s="1998">
        <f>IF(Construction!$F$31=Construction!$R$22,Oeko!CG509,Oeko!ET509)</f>
        <v>0</v>
      </c>
      <c r="U509" s="1998">
        <f>IF(Construction!$F$31=Construction!$R$22,Oeko!CH509,Oeko!EU509)</f>
        <v>0</v>
      </c>
      <c r="V509" s="1998">
        <f>IF(Construction!$F$31=Construction!$R$22,Oeko!CI509,Oeko!EV509)</f>
        <v>0</v>
      </c>
      <c r="W509" s="1998">
        <f>IF(Construction!$F$31=Construction!$R$22,Oeko!CJ509,Oeko!EW509)</f>
        <v>0</v>
      </c>
      <c r="X509" s="1979">
        <f>IF(Construction!$F$31=Construction!$R$22,Oeko!CK509,Oeko!EX509)</f>
        <v>0</v>
      </c>
      <c r="Y509" s="1979">
        <f>IF(Construction!$F$31=Construction!$R$22,Oeko!CL509,Oeko!EY509)</f>
        <v>0</v>
      </c>
      <c r="Z509" s="1979">
        <f>IF(Construction!$F$31=Construction!$R$22,Oeko!CM509,Oeko!EZ509)</f>
        <v>0</v>
      </c>
      <c r="AA509" s="1979">
        <f>IF(Construction!$F$31=Construction!$R$22,Oeko!CN509,Oeko!FA509)</f>
        <v>0</v>
      </c>
      <c r="AB509" s="1979">
        <f>IF(Construction!$F$31=Construction!$R$22,Oeko!CO509,Oeko!FB509)</f>
        <v>0</v>
      </c>
      <c r="AC509" s="1998">
        <f>IF(Construction!$F$31=Construction!$R$22,Oeko!CP509,Oeko!FC509)</f>
        <v>0</v>
      </c>
      <c r="AD509" s="1998">
        <f>IF(Construction!$F$31=Construction!$R$22,Oeko!CQ509,Oeko!FD509)</f>
        <v>0</v>
      </c>
      <c r="AE509" s="1998">
        <f>IF(Construction!$F$31=Construction!$R$22,Oeko!CR509,Oeko!FE509)</f>
        <v>0</v>
      </c>
      <c r="AF509" s="1998">
        <f>IF(Construction!$F$31=Construction!$R$22,Oeko!CS509,Oeko!FF509)</f>
        <v>0</v>
      </c>
      <c r="AG509" s="1998">
        <f>IF(Construction!$F$31=Construction!$R$22,Oeko!CT509,Oeko!FG509)</f>
        <v>0</v>
      </c>
      <c r="AH509" s="1979">
        <f>IF(Construction!$F$31=Construction!$R$22,Oeko!CU509,Oeko!FH509)</f>
        <v>0.16273884744510222</v>
      </c>
      <c r="AI509" s="1979">
        <f>IF(Construction!$F$31=Construction!$R$22,Oeko!CV509,Oeko!FI509)</f>
        <v>0.1632034166639616</v>
      </c>
      <c r="AJ509" s="1979">
        <f>IF(Construction!$F$31=Construction!$R$22,Oeko!CW509,Oeko!FJ509)</f>
        <v>0.16374204764234926</v>
      </c>
      <c r="AK509" s="1979">
        <f>IF(Construction!$F$31=Construction!$R$22,Oeko!CX509,Oeko!FK509)</f>
        <v>0.16436147326749506</v>
      </c>
      <c r="AL509" s="1979">
        <f>IF(Construction!$F$31=Construction!$R$22,Oeko!CY509,Oeko!FL509)</f>
        <v>0.16512228952446764</v>
      </c>
      <c r="AM509" s="1998">
        <f>IF(Construction!$F$31=Construction!$R$22,Oeko!CZ509,Oeko!FM509)</f>
        <v>0</v>
      </c>
      <c r="AN509" s="1998">
        <f>IF(Construction!$F$31=Construction!$R$22,Oeko!DA509,Oeko!FN509)</f>
        <v>0</v>
      </c>
      <c r="AO509" s="1998">
        <f>IF(Construction!$F$31=Construction!$R$22,Oeko!DB509,Oeko!FO509)</f>
        <v>0</v>
      </c>
      <c r="AP509" s="1998">
        <f>IF(Construction!$F$31=Construction!$R$22,Oeko!DC509,Oeko!FP509)</f>
        <v>0</v>
      </c>
      <c r="AQ509" s="1998">
        <f>IF(Construction!$F$31=Construction!$R$22,Oeko!DD509,Oeko!FQ509)</f>
        <v>0</v>
      </c>
      <c r="AR509" s="1979">
        <f>IF(Construction!$F$31=Construction!$R$22,Oeko!DE509,Oeko!FR509)</f>
        <v>1</v>
      </c>
      <c r="AS509" s="1979">
        <f>IF(Construction!$F$31=Construction!$R$22,Oeko!DF509,Oeko!FS509)</f>
        <v>1.0056088787412443</v>
      </c>
      <c r="AT509" s="1979">
        <f>IF(Construction!$F$31=Construction!$R$22,Oeko!DG509,Oeko!FT509)</f>
        <v>1.0121119265571794</v>
      </c>
      <c r="AU509" s="1979">
        <f>IF(Construction!$F$31=Construction!$R$22,Oeko!DH509,Oeko!FU509)</f>
        <v>1.0195904315455047</v>
      </c>
      <c r="AV509" s="1979">
        <f>IF(Construction!$F$31=Construction!$R$22,Oeko!DI509,Oeko!FV509)</f>
        <v>1.0287759865855131</v>
      </c>
      <c r="AW509" s="1998">
        <f>IF(Construction!$F$31=Construction!$R$22,Oeko!DJ509,Oeko!FW509)</f>
        <v>1</v>
      </c>
      <c r="AX509" s="1998">
        <f>IF(Construction!$F$31=Construction!$R$22,Oeko!DK509,Oeko!FX509)</f>
        <v>1.005597761414647</v>
      </c>
      <c r="AY509" s="1998">
        <f>IF(Construction!$F$31=Construction!$R$22,Oeko!DL509,Oeko!FY509)</f>
        <v>1.0120879195765562</v>
      </c>
      <c r="AZ509" s="1998">
        <f>IF(Construction!$F$31=Construction!$R$22,Oeko!DM509,Oeko!FZ509)</f>
        <v>1.0195516014627519</v>
      </c>
      <c r="BA509" s="1998">
        <f>IF(Construction!$F$31=Construction!$R$22,Oeko!DN509,Oeko!GA509)</f>
        <v>1.0287189498664489</v>
      </c>
      <c r="BB509" s="1979">
        <f>IF(Construction!$F$31=Construction!$R$22,Oeko!DO509,Oeko!GB509)</f>
        <v>0.40643712488578893</v>
      </c>
      <c r="BC509" s="1979">
        <f>IF(Construction!$F$31=Construction!$R$22,Oeko!DP509,Oeko!GC509)</f>
        <v>0.40680983226912104</v>
      </c>
      <c r="BD509" s="1979">
        <f>IF(Construction!$F$31=Construction!$R$22,Oeko!DQ509,Oeko!GD509)</f>
        <v>0.40724190897015206</v>
      </c>
      <c r="BE509" s="1979">
        <f>IF(Construction!$F$31=Construction!$R$22,Oeko!DR509,Oeko!GE509)</f>
        <v>0.4077465481705928</v>
      </c>
      <c r="BF509" s="1979">
        <f>IF(Construction!$F$31=Construction!$R$22,Oeko!DS509,Oeko!GF509)</f>
        <v>0.40837322430185924</v>
      </c>
      <c r="BG509" s="1998">
        <f>IF(Construction!$F$31=Construction!$R$22,Oeko!DT509,Oeko!GG509)</f>
        <v>0.40772542190294048</v>
      </c>
      <c r="BH509" s="1998">
        <f>IF(Construction!$F$31=Construction!$R$22,Oeko!DU509,Oeko!GH509)</f>
        <v>0.40809675682717939</v>
      </c>
      <c r="BI509" s="1998">
        <f>IF(Construction!$F$31=Construction!$R$22,Oeko!DV509,Oeko!GI509)</f>
        <v>0.40852724244731486</v>
      </c>
      <c r="BJ509" s="1998">
        <f>IF(Construction!$F$31=Construction!$R$22,Oeko!DW509,Oeko!GJ509)</f>
        <v>0.40903002336243471</v>
      </c>
      <c r="BK509" s="2026">
        <f>IF(Construction!$F$31=Construction!$R$22,Oeko!DX509,Oeko!GK509)</f>
        <v>0.40965439181911967</v>
      </c>
      <c r="BN509" s="2022"/>
      <c r="BO509" s="2">
        <v>8</v>
      </c>
      <c r="BP509" s="2" t="s">
        <v>4334</v>
      </c>
      <c r="BQ509" s="1979">
        <v>0</v>
      </c>
      <c r="BR509" s="1979">
        <v>0</v>
      </c>
      <c r="BS509" s="1979">
        <v>0</v>
      </c>
      <c r="BT509" s="1979">
        <v>0</v>
      </c>
      <c r="BU509" s="1979">
        <v>0</v>
      </c>
      <c r="BV509" s="1998">
        <v>0</v>
      </c>
      <c r="BW509" s="1998">
        <v>0</v>
      </c>
      <c r="BX509" s="1998">
        <v>0</v>
      </c>
      <c r="BY509" s="1998">
        <v>0</v>
      </c>
      <c r="BZ509" s="1998">
        <v>0</v>
      </c>
      <c r="CA509" s="1979">
        <v>0</v>
      </c>
      <c r="CB509" s="1979">
        <v>0</v>
      </c>
      <c r="CC509" s="1979">
        <v>0</v>
      </c>
      <c r="CD509" s="1979">
        <v>0</v>
      </c>
      <c r="CE509" s="1979">
        <v>0</v>
      </c>
      <c r="CF509" s="1998">
        <v>0</v>
      </c>
      <c r="CG509" s="1998">
        <v>0</v>
      </c>
      <c r="CH509" s="1998">
        <v>0</v>
      </c>
      <c r="CI509" s="1998">
        <v>0</v>
      </c>
      <c r="CJ509" s="1998">
        <v>0</v>
      </c>
      <c r="CK509" s="1979">
        <v>0</v>
      </c>
      <c r="CL509" s="1979">
        <v>0</v>
      </c>
      <c r="CM509" s="1979">
        <v>0</v>
      </c>
      <c r="CN509" s="1979">
        <v>0</v>
      </c>
      <c r="CO509" s="1979">
        <v>0</v>
      </c>
      <c r="CP509" s="1998">
        <v>0</v>
      </c>
      <c r="CQ509" s="1998">
        <v>0</v>
      </c>
      <c r="CR509" s="1998">
        <v>0</v>
      </c>
      <c r="CS509" s="1998">
        <v>0</v>
      </c>
      <c r="CT509" s="1998">
        <v>0</v>
      </c>
      <c r="CU509" s="1979">
        <v>0.16273884744510222</v>
      </c>
      <c r="CV509" s="1979">
        <v>0.1632034166639616</v>
      </c>
      <c r="CW509" s="1979">
        <v>0.16374204764234926</v>
      </c>
      <c r="CX509" s="1979">
        <v>0.16436147326749506</v>
      </c>
      <c r="CY509" s="1979">
        <v>0.16512228952446764</v>
      </c>
      <c r="CZ509" s="1998">
        <v>0</v>
      </c>
      <c r="DA509" s="1998">
        <v>0</v>
      </c>
      <c r="DB509" s="1998">
        <v>0</v>
      </c>
      <c r="DC509" s="1998">
        <v>0</v>
      </c>
      <c r="DD509" s="1998">
        <v>0</v>
      </c>
      <c r="DE509" s="1979">
        <v>1</v>
      </c>
      <c r="DF509" s="1979">
        <v>1.0056088787412443</v>
      </c>
      <c r="DG509" s="1979">
        <v>1.0121119265571794</v>
      </c>
      <c r="DH509" s="1979">
        <v>1.0195904315455047</v>
      </c>
      <c r="DI509" s="1979">
        <v>1.0287759865855131</v>
      </c>
      <c r="DJ509" s="1998">
        <v>1</v>
      </c>
      <c r="DK509" s="1998">
        <v>1.005597761414647</v>
      </c>
      <c r="DL509" s="1998">
        <v>1.0120879195765562</v>
      </c>
      <c r="DM509" s="1998">
        <v>1.0195516014627519</v>
      </c>
      <c r="DN509" s="1998">
        <v>1.0287189498664489</v>
      </c>
      <c r="DO509" s="1979">
        <v>0.40643712488578893</v>
      </c>
      <c r="DP509" s="1979">
        <v>0.40680983226912104</v>
      </c>
      <c r="DQ509" s="1979">
        <v>0.40724190897015206</v>
      </c>
      <c r="DR509" s="1979">
        <v>0.4077465481705928</v>
      </c>
      <c r="DS509" s="1979">
        <v>0.40837322430185924</v>
      </c>
      <c r="DT509" s="1998">
        <v>0.40772542190294048</v>
      </c>
      <c r="DU509" s="1998">
        <v>0.40809675682717939</v>
      </c>
      <c r="DV509" s="1998">
        <v>0.40852724244731486</v>
      </c>
      <c r="DW509" s="1998">
        <v>0.40903002336243471</v>
      </c>
      <c r="DX509" s="2026">
        <v>0.40965439181911967</v>
      </c>
      <c r="EA509" s="2022"/>
      <c r="EB509" s="2">
        <v>8</v>
      </c>
      <c r="EC509" s="2" t="s">
        <v>4334</v>
      </c>
      <c r="ED509" s="1979">
        <v>0</v>
      </c>
      <c r="EE509" s="1979">
        <v>0</v>
      </c>
      <c r="EF509" s="1979">
        <v>0</v>
      </c>
      <c r="EG509" s="1979">
        <v>0</v>
      </c>
      <c r="EH509" s="1979">
        <v>0</v>
      </c>
      <c r="EI509" s="1998">
        <v>0</v>
      </c>
      <c r="EJ509" s="1998">
        <v>0</v>
      </c>
      <c r="EK509" s="1998">
        <v>0</v>
      </c>
      <c r="EL509" s="1998">
        <v>0</v>
      </c>
      <c r="EM509" s="1998">
        <v>0</v>
      </c>
      <c r="EN509" s="1979">
        <v>0</v>
      </c>
      <c r="EO509" s="1979">
        <v>0</v>
      </c>
      <c r="EP509" s="1979">
        <v>0</v>
      </c>
      <c r="EQ509" s="1979">
        <v>0</v>
      </c>
      <c r="ER509" s="1979">
        <v>0</v>
      </c>
      <c r="ES509" s="1998">
        <v>0</v>
      </c>
      <c r="ET509" s="1998">
        <v>0</v>
      </c>
      <c r="EU509" s="1998">
        <v>0</v>
      </c>
      <c r="EV509" s="1998">
        <v>0</v>
      </c>
      <c r="EW509" s="1998">
        <v>0</v>
      </c>
      <c r="EX509" s="1979">
        <v>0</v>
      </c>
      <c r="EY509" s="1979">
        <v>0</v>
      </c>
      <c r="EZ509" s="1979">
        <v>0</v>
      </c>
      <c r="FA509" s="1979">
        <v>0</v>
      </c>
      <c r="FB509" s="1979">
        <v>0</v>
      </c>
      <c r="FC509" s="1998">
        <v>0</v>
      </c>
      <c r="FD509" s="1998">
        <v>0</v>
      </c>
      <c r="FE509" s="1998">
        <v>0</v>
      </c>
      <c r="FF509" s="1998">
        <v>0</v>
      </c>
      <c r="FG509" s="1998">
        <v>0</v>
      </c>
      <c r="FH509" s="1979">
        <v>1.0042655900854534</v>
      </c>
      <c r="FI509" s="1979">
        <v>1.0047301593043123</v>
      </c>
      <c r="FJ509" s="1979">
        <v>1.0052687902827002</v>
      </c>
      <c r="FK509" s="1979">
        <v>1.0058882159078457</v>
      </c>
      <c r="FL509" s="1979">
        <v>1.0066490321648185</v>
      </c>
      <c r="FM509" s="1998">
        <v>0</v>
      </c>
      <c r="FN509" s="1998">
        <v>0</v>
      </c>
      <c r="FO509" s="1998">
        <v>0</v>
      </c>
      <c r="FP509" s="1998">
        <v>0</v>
      </c>
      <c r="FQ509" s="1998">
        <v>0</v>
      </c>
      <c r="FR509" s="1979">
        <v>8.1198212572277306</v>
      </c>
      <c r="FS509" s="1979">
        <v>8.1254301359689745</v>
      </c>
      <c r="FT509" s="1979">
        <v>8.1319331837849091</v>
      </c>
      <c r="FU509" s="1979">
        <v>8.1394116887732348</v>
      </c>
      <c r="FV509" s="1979">
        <v>8.1485972438132421</v>
      </c>
      <c r="FW509" s="1998">
        <v>8.4799072816005001</v>
      </c>
      <c r="FX509" s="1998">
        <v>8.4855050430151451</v>
      </c>
      <c r="FY509" s="1998">
        <v>8.4919952011770565</v>
      </c>
      <c r="FZ509" s="1998">
        <v>8.4994588830632498</v>
      </c>
      <c r="GA509" s="1998">
        <v>8.5086262314669483</v>
      </c>
      <c r="GB509" s="1979">
        <v>0.70023279010973227</v>
      </c>
      <c r="GC509" s="1979">
        <v>0.70060549749306411</v>
      </c>
      <c r="GD509" s="1979">
        <v>0.70103757419409518</v>
      </c>
      <c r="GE509" s="1979">
        <v>0.70154221339453604</v>
      </c>
      <c r="GF509" s="1979">
        <v>0.70216888952580236</v>
      </c>
      <c r="GG509" s="1998">
        <v>0.74702038586461827</v>
      </c>
      <c r="GH509" s="1998">
        <v>0.74739172078885718</v>
      </c>
      <c r="GI509" s="1998">
        <v>0.74782220640899266</v>
      </c>
      <c r="GJ509" s="1998">
        <v>0.74832498732411257</v>
      </c>
      <c r="GK509" s="2026">
        <v>0.74894935578079747</v>
      </c>
    </row>
    <row r="510" spans="1:193">
      <c r="A510" s="2020"/>
      <c r="B510" s="2">
        <v>9</v>
      </c>
      <c r="C510" s="2" t="s">
        <v>4335</v>
      </c>
      <c r="D510" s="1979">
        <f>IF(Construction!$F$31=Construction!$R$22,Oeko!BQ510,Oeko!ED510)</f>
        <v>0</v>
      </c>
      <c r="E510" s="1979">
        <f>IF(Construction!$F$31=Construction!$R$22,Oeko!BR510,Oeko!EE510)</f>
        <v>0</v>
      </c>
      <c r="F510" s="1979">
        <f>IF(Construction!$F$31=Construction!$R$22,Oeko!BS510,Oeko!EF510)</f>
        <v>0</v>
      </c>
      <c r="G510" s="1979">
        <f>IF(Construction!$F$31=Construction!$R$22,Oeko!BT510,Oeko!EG510)</f>
        <v>0</v>
      </c>
      <c r="H510" s="1979">
        <f>IF(Construction!$F$31=Construction!$R$22,Oeko!BU510,Oeko!EH510)</f>
        <v>0</v>
      </c>
      <c r="I510" s="1998">
        <f>IF(Construction!$F$31=Construction!$R$22,Oeko!BV510,Oeko!EI510)</f>
        <v>0</v>
      </c>
      <c r="J510" s="1998">
        <f>IF(Construction!$F$31=Construction!$R$22,Oeko!BW510,Oeko!EJ510)</f>
        <v>0</v>
      </c>
      <c r="K510" s="1998">
        <f>IF(Construction!$F$31=Construction!$R$22,Oeko!BX510,Oeko!EK510)</f>
        <v>0</v>
      </c>
      <c r="L510" s="1998">
        <f>IF(Construction!$F$31=Construction!$R$22,Oeko!BY510,Oeko!EL510)</f>
        <v>0</v>
      </c>
      <c r="M510" s="1998">
        <f>IF(Construction!$F$31=Construction!$R$22,Oeko!BZ510,Oeko!EM510)</f>
        <v>0</v>
      </c>
      <c r="N510" s="1979">
        <f>IF(Construction!$F$31=Construction!$R$22,Oeko!CA510,Oeko!EN510)</f>
        <v>0</v>
      </c>
      <c r="O510" s="1979">
        <f>IF(Construction!$F$31=Construction!$R$22,Oeko!CB510,Oeko!EO510)</f>
        <v>0</v>
      </c>
      <c r="P510" s="1979">
        <f>IF(Construction!$F$31=Construction!$R$22,Oeko!CC510,Oeko!EP510)</f>
        <v>0</v>
      </c>
      <c r="Q510" s="1979">
        <f>IF(Construction!$F$31=Construction!$R$22,Oeko!CD510,Oeko!EQ510)</f>
        <v>0</v>
      </c>
      <c r="R510" s="1979">
        <f>IF(Construction!$F$31=Construction!$R$22,Oeko!CE510,Oeko!ER510)</f>
        <v>0</v>
      </c>
      <c r="S510" s="1998">
        <f>IF(Construction!$F$31=Construction!$R$22,Oeko!CF510,Oeko!ES510)</f>
        <v>0</v>
      </c>
      <c r="T510" s="1998">
        <f>IF(Construction!$F$31=Construction!$R$22,Oeko!CG510,Oeko!ET510)</f>
        <v>0</v>
      </c>
      <c r="U510" s="1998">
        <f>IF(Construction!$F$31=Construction!$R$22,Oeko!CH510,Oeko!EU510)</f>
        <v>0</v>
      </c>
      <c r="V510" s="1998">
        <f>IF(Construction!$F$31=Construction!$R$22,Oeko!CI510,Oeko!EV510)</f>
        <v>0</v>
      </c>
      <c r="W510" s="1998">
        <f>IF(Construction!$F$31=Construction!$R$22,Oeko!CJ510,Oeko!EW510)</f>
        <v>0</v>
      </c>
      <c r="X510" s="1979">
        <f>IF(Construction!$F$31=Construction!$R$22,Oeko!CK510,Oeko!EX510)</f>
        <v>0</v>
      </c>
      <c r="Y510" s="1979">
        <f>IF(Construction!$F$31=Construction!$R$22,Oeko!CL510,Oeko!EY510)</f>
        <v>0</v>
      </c>
      <c r="Z510" s="1979">
        <f>IF(Construction!$F$31=Construction!$R$22,Oeko!CM510,Oeko!EZ510)</f>
        <v>0</v>
      </c>
      <c r="AA510" s="1979">
        <f>IF(Construction!$F$31=Construction!$R$22,Oeko!CN510,Oeko!FA510)</f>
        <v>0</v>
      </c>
      <c r="AB510" s="1979">
        <f>IF(Construction!$F$31=Construction!$R$22,Oeko!CO510,Oeko!FB510)</f>
        <v>0</v>
      </c>
      <c r="AC510" s="1998">
        <f>IF(Construction!$F$31=Construction!$R$22,Oeko!CP510,Oeko!FC510)</f>
        <v>0</v>
      </c>
      <c r="AD510" s="1998">
        <f>IF(Construction!$F$31=Construction!$R$22,Oeko!CQ510,Oeko!FD510)</f>
        <v>0</v>
      </c>
      <c r="AE510" s="1998">
        <f>IF(Construction!$F$31=Construction!$R$22,Oeko!CR510,Oeko!FE510)</f>
        <v>0</v>
      </c>
      <c r="AF510" s="1998">
        <f>IF(Construction!$F$31=Construction!$R$22,Oeko!CS510,Oeko!FF510)</f>
        <v>0</v>
      </c>
      <c r="AG510" s="1998">
        <f>IF(Construction!$F$31=Construction!$R$22,Oeko!CT510,Oeko!FG510)</f>
        <v>0</v>
      </c>
      <c r="AH510" s="1979">
        <f>IF(Construction!$F$31=Construction!$R$22,Oeko!CU510,Oeko!FH510)</f>
        <v>0.16461882345424045</v>
      </c>
      <c r="AI510" s="1979">
        <f>IF(Construction!$F$31=Construction!$R$22,Oeko!CV510,Oeko!FI510)</f>
        <v>0.16508339267309979</v>
      </c>
      <c r="AJ510" s="1979">
        <f>IF(Construction!$F$31=Construction!$R$22,Oeko!CW510,Oeko!FJ510)</f>
        <v>0.16562202365148748</v>
      </c>
      <c r="AK510" s="1979">
        <f>IF(Construction!$F$31=Construction!$R$22,Oeko!CX510,Oeko!FK510)</f>
        <v>0.16624144927663329</v>
      </c>
      <c r="AL510" s="1979">
        <f>IF(Construction!$F$31=Construction!$R$22,Oeko!CY510,Oeko!FL510)</f>
        <v>0.16700226553360584</v>
      </c>
      <c r="AM510" s="1998">
        <f>IF(Construction!$F$31=Construction!$R$22,Oeko!CZ510,Oeko!FM510)</f>
        <v>0</v>
      </c>
      <c r="AN510" s="1998">
        <f>IF(Construction!$F$31=Construction!$R$22,Oeko!DA510,Oeko!FN510)</f>
        <v>0</v>
      </c>
      <c r="AO510" s="1998">
        <f>IF(Construction!$F$31=Construction!$R$22,Oeko!DB510,Oeko!FO510)</f>
        <v>0</v>
      </c>
      <c r="AP510" s="1998">
        <f>IF(Construction!$F$31=Construction!$R$22,Oeko!DC510,Oeko!FP510)</f>
        <v>0</v>
      </c>
      <c r="AQ510" s="1998">
        <f>IF(Construction!$F$31=Construction!$R$22,Oeko!DD510,Oeko!FQ510)</f>
        <v>0</v>
      </c>
      <c r="AR510" s="1979">
        <f>IF(Construction!$F$31=Construction!$R$22,Oeko!DE510,Oeko!FR510)</f>
        <v>1.0208533234313593</v>
      </c>
      <c r="AS510" s="1979">
        <f>IF(Construction!$F$31=Construction!$R$22,Oeko!DF510,Oeko!FS510)</f>
        <v>1.0264622021726031</v>
      </c>
      <c r="AT510" s="1979">
        <f>IF(Construction!$F$31=Construction!$R$22,Oeko!DG510,Oeko!FT510)</f>
        <v>1.0329652499885382</v>
      </c>
      <c r="AU510" s="1979">
        <f>IF(Construction!$F$31=Construction!$R$22,Oeko!DH510,Oeko!FU510)</f>
        <v>1.0404437549768639</v>
      </c>
      <c r="AV510" s="1979">
        <f>IF(Construction!$F$31=Construction!$R$22,Oeko!DI510,Oeko!FV510)</f>
        <v>1.0496293100168721</v>
      </c>
      <c r="AW510" s="1998">
        <f>IF(Construction!$F$31=Construction!$R$22,Oeko!DJ510,Oeko!FW510)</f>
        <v>1.0280796692875007</v>
      </c>
      <c r="AX510" s="1998">
        <f>IF(Construction!$F$31=Construction!$R$22,Oeko!DK510,Oeko!FX510)</f>
        <v>1.0336774307021477</v>
      </c>
      <c r="AY510" s="1998">
        <f>IF(Construction!$F$31=Construction!$R$22,Oeko!DL510,Oeko!FY510)</f>
        <v>1.0401675888640569</v>
      </c>
      <c r="AZ510" s="1998">
        <f>IF(Construction!$F$31=Construction!$R$22,Oeko!DM510,Oeko!FZ510)</f>
        <v>1.0476312707502529</v>
      </c>
      <c r="BA510" s="1998">
        <f>IF(Construction!$F$31=Construction!$R$22,Oeko!DN510,Oeko!GA510)</f>
        <v>1.0567986191539496</v>
      </c>
      <c r="BB510" s="1979">
        <f>IF(Construction!$F$31=Construction!$R$22,Oeko!DO510,Oeko!GB510)</f>
        <v>0.55312736464217016</v>
      </c>
      <c r="BC510" s="1979">
        <f>IF(Construction!$F$31=Construction!$R$22,Oeko!DP510,Oeko!GC510)</f>
        <v>0.5536864257171682</v>
      </c>
      <c r="BD510" s="1979">
        <f>IF(Construction!$F$31=Construction!$R$22,Oeko!DQ510,Oeko!GD510)</f>
        <v>0.55433454076871469</v>
      </c>
      <c r="BE510" s="1979">
        <f>IF(Construction!$F$31=Construction!$R$22,Oeko!DR510,Oeko!GE510)</f>
        <v>0.55509149956937587</v>
      </c>
      <c r="BF510" s="1979">
        <f>IF(Construction!$F$31=Construction!$R$22,Oeko!DS510,Oeko!GF510)</f>
        <v>0.55603151376627546</v>
      </c>
      <c r="BG510" s="1998">
        <f>IF(Construction!$F$31=Construction!$R$22,Oeko!DT510,Oeko!GG510)</f>
        <v>0.55462818156496274</v>
      </c>
      <c r="BH510" s="1998">
        <f>IF(Construction!$F$31=Construction!$R$22,Oeko!DU510,Oeko!GH510)</f>
        <v>0.5551851839513211</v>
      </c>
      <c r="BI510" s="1998">
        <f>IF(Construction!$F$31=Construction!$R$22,Oeko!DV510,Oeko!GI510)</f>
        <v>0.55583091238152416</v>
      </c>
      <c r="BJ510" s="1998">
        <f>IF(Construction!$F$31=Construction!$R$22,Oeko!DW510,Oeko!GJ510)</f>
        <v>0.55658508375420412</v>
      </c>
      <c r="BK510" s="2026">
        <f>IF(Construction!$F$31=Construction!$R$22,Oeko!DX510,Oeko!GK510)</f>
        <v>0.55752163643923158</v>
      </c>
      <c r="BN510" s="2022"/>
      <c r="BO510" s="2">
        <v>9</v>
      </c>
      <c r="BP510" s="2" t="s">
        <v>4335</v>
      </c>
      <c r="BQ510" s="1979">
        <v>0</v>
      </c>
      <c r="BR510" s="1979">
        <v>0</v>
      </c>
      <c r="BS510" s="1979">
        <v>0</v>
      </c>
      <c r="BT510" s="1979">
        <v>0</v>
      </c>
      <c r="BU510" s="1979">
        <v>0</v>
      </c>
      <c r="BV510" s="1998">
        <v>0</v>
      </c>
      <c r="BW510" s="1998">
        <v>0</v>
      </c>
      <c r="BX510" s="1998">
        <v>0</v>
      </c>
      <c r="BY510" s="1998">
        <v>0</v>
      </c>
      <c r="BZ510" s="1998">
        <v>0</v>
      </c>
      <c r="CA510" s="1979">
        <v>0</v>
      </c>
      <c r="CB510" s="1979">
        <v>0</v>
      </c>
      <c r="CC510" s="1979">
        <v>0</v>
      </c>
      <c r="CD510" s="1979">
        <v>0</v>
      </c>
      <c r="CE510" s="1979">
        <v>0</v>
      </c>
      <c r="CF510" s="1998">
        <v>0</v>
      </c>
      <c r="CG510" s="1998">
        <v>0</v>
      </c>
      <c r="CH510" s="1998">
        <v>0</v>
      </c>
      <c r="CI510" s="1998">
        <v>0</v>
      </c>
      <c r="CJ510" s="1998">
        <v>0</v>
      </c>
      <c r="CK510" s="1979">
        <v>0</v>
      </c>
      <c r="CL510" s="1979">
        <v>0</v>
      </c>
      <c r="CM510" s="1979">
        <v>0</v>
      </c>
      <c r="CN510" s="1979">
        <v>0</v>
      </c>
      <c r="CO510" s="1979">
        <v>0</v>
      </c>
      <c r="CP510" s="1998">
        <v>0</v>
      </c>
      <c r="CQ510" s="1998">
        <v>0</v>
      </c>
      <c r="CR510" s="1998">
        <v>0</v>
      </c>
      <c r="CS510" s="1998">
        <v>0</v>
      </c>
      <c r="CT510" s="1998">
        <v>0</v>
      </c>
      <c r="CU510" s="1979">
        <v>0.16461882345424045</v>
      </c>
      <c r="CV510" s="1979">
        <v>0.16508339267309979</v>
      </c>
      <c r="CW510" s="1979">
        <v>0.16562202365148748</v>
      </c>
      <c r="CX510" s="1979">
        <v>0.16624144927663329</v>
      </c>
      <c r="CY510" s="1979">
        <v>0.16700226553360584</v>
      </c>
      <c r="CZ510" s="1998">
        <v>0</v>
      </c>
      <c r="DA510" s="1998">
        <v>0</v>
      </c>
      <c r="DB510" s="1998">
        <v>0</v>
      </c>
      <c r="DC510" s="1998">
        <v>0</v>
      </c>
      <c r="DD510" s="1998">
        <v>0</v>
      </c>
      <c r="DE510" s="1979">
        <v>1.0208533234313593</v>
      </c>
      <c r="DF510" s="1979">
        <v>1.0264622021726031</v>
      </c>
      <c r="DG510" s="1979">
        <v>1.0329652499885382</v>
      </c>
      <c r="DH510" s="1979">
        <v>1.0404437549768639</v>
      </c>
      <c r="DI510" s="1979">
        <v>1.0496293100168721</v>
      </c>
      <c r="DJ510" s="1998">
        <v>1.0280796692875007</v>
      </c>
      <c r="DK510" s="1998">
        <v>1.0336774307021477</v>
      </c>
      <c r="DL510" s="1998">
        <v>1.0401675888640569</v>
      </c>
      <c r="DM510" s="1998">
        <v>1.0476312707502529</v>
      </c>
      <c r="DN510" s="1998">
        <v>1.0567986191539496</v>
      </c>
      <c r="DO510" s="1979">
        <v>0.55312736464217016</v>
      </c>
      <c r="DP510" s="1979">
        <v>0.5536864257171682</v>
      </c>
      <c r="DQ510" s="1979">
        <v>0.55433454076871469</v>
      </c>
      <c r="DR510" s="1979">
        <v>0.55509149956937587</v>
      </c>
      <c r="DS510" s="1979">
        <v>0.55603151376627546</v>
      </c>
      <c r="DT510" s="1998">
        <v>0.55462818156496274</v>
      </c>
      <c r="DU510" s="1998">
        <v>0.5551851839513211</v>
      </c>
      <c r="DV510" s="1998">
        <v>0.55583091238152416</v>
      </c>
      <c r="DW510" s="1998">
        <v>0.55658508375420412</v>
      </c>
      <c r="DX510" s="2026">
        <v>0.55752163643923158</v>
      </c>
      <c r="EA510" s="2022"/>
      <c r="EB510" s="2">
        <v>9</v>
      </c>
      <c r="EC510" s="2" t="s">
        <v>4335</v>
      </c>
      <c r="ED510" s="1979">
        <v>0</v>
      </c>
      <c r="EE510" s="1979">
        <v>0</v>
      </c>
      <c r="EF510" s="1979">
        <v>0</v>
      </c>
      <c r="EG510" s="1979">
        <v>0</v>
      </c>
      <c r="EH510" s="1979">
        <v>0</v>
      </c>
      <c r="EI510" s="1998">
        <v>0</v>
      </c>
      <c r="EJ510" s="1998">
        <v>0</v>
      </c>
      <c r="EK510" s="1998">
        <v>0</v>
      </c>
      <c r="EL510" s="1998">
        <v>0</v>
      </c>
      <c r="EM510" s="1998">
        <v>0</v>
      </c>
      <c r="EN510" s="1979">
        <v>0</v>
      </c>
      <c r="EO510" s="1979">
        <v>0</v>
      </c>
      <c r="EP510" s="1979">
        <v>0</v>
      </c>
      <c r="EQ510" s="1979">
        <v>0</v>
      </c>
      <c r="ER510" s="1979">
        <v>0</v>
      </c>
      <c r="ES510" s="1998">
        <v>0</v>
      </c>
      <c r="ET510" s="1998">
        <v>0</v>
      </c>
      <c r="EU510" s="1998">
        <v>0</v>
      </c>
      <c r="EV510" s="1998">
        <v>0</v>
      </c>
      <c r="EW510" s="1998">
        <v>0</v>
      </c>
      <c r="EX510" s="1979">
        <v>0</v>
      </c>
      <c r="EY510" s="1979">
        <v>0</v>
      </c>
      <c r="EZ510" s="1979">
        <v>0</v>
      </c>
      <c r="FA510" s="1979">
        <v>0</v>
      </c>
      <c r="FB510" s="1979">
        <v>0</v>
      </c>
      <c r="FC510" s="1998">
        <v>0</v>
      </c>
      <c r="FD510" s="1998">
        <v>0</v>
      </c>
      <c r="FE510" s="1998">
        <v>0</v>
      </c>
      <c r="FF510" s="1998">
        <v>0</v>
      </c>
      <c r="FG510" s="1998">
        <v>0</v>
      </c>
      <c r="FH510" s="1979">
        <v>1.0182647631083139</v>
      </c>
      <c r="FI510" s="1979">
        <v>1.0187293323271733</v>
      </c>
      <c r="FJ510" s="1979">
        <v>1.0192679633055608</v>
      </c>
      <c r="FK510" s="1979">
        <v>1.0198873889307063</v>
      </c>
      <c r="FL510" s="1979">
        <v>1.0206482051876791</v>
      </c>
      <c r="FM510" s="1998">
        <v>0</v>
      </c>
      <c r="FN510" s="1998">
        <v>0</v>
      </c>
      <c r="FO510" s="1998">
        <v>0</v>
      </c>
      <c r="FP510" s="1998">
        <v>0</v>
      </c>
      <c r="FQ510" s="1998">
        <v>0</v>
      </c>
      <c r="FR510" s="1979">
        <v>8.332717711473423</v>
      </c>
      <c r="FS510" s="1979">
        <v>8.3383265902146668</v>
      </c>
      <c r="FT510" s="1979">
        <v>8.3448296380306033</v>
      </c>
      <c r="FU510" s="1979">
        <v>8.352308143018929</v>
      </c>
      <c r="FV510" s="1979">
        <v>8.3614936980589381</v>
      </c>
      <c r="FW510" s="1998">
        <v>8.7513678819596006</v>
      </c>
      <c r="FX510" s="1998">
        <v>8.7569656433742473</v>
      </c>
      <c r="FY510" s="1998">
        <v>8.763455801536157</v>
      </c>
      <c r="FZ510" s="1998">
        <v>8.7709194834223521</v>
      </c>
      <c r="GA510" s="1998">
        <v>8.780086831826047</v>
      </c>
      <c r="GB510" s="1979">
        <v>0.8700110978601362</v>
      </c>
      <c r="GC510" s="1979">
        <v>0.87057015893513434</v>
      </c>
      <c r="GD510" s="1979">
        <v>0.87121827398668095</v>
      </c>
      <c r="GE510" s="1979">
        <v>0.87197523278734212</v>
      </c>
      <c r="GF510" s="1979">
        <v>0.8729152469842415</v>
      </c>
      <c r="GG510" s="1998">
        <v>0.91692619393082198</v>
      </c>
      <c r="GH510" s="1998">
        <v>0.91748319631718045</v>
      </c>
      <c r="GI510" s="1998">
        <v>0.9181289247473835</v>
      </c>
      <c r="GJ510" s="1998">
        <v>0.91888309612006336</v>
      </c>
      <c r="GK510" s="2026">
        <v>0.91981964880509071</v>
      </c>
    </row>
    <row r="511" spans="1:193">
      <c r="A511" s="2020"/>
      <c r="B511" s="2">
        <v>10</v>
      </c>
      <c r="C511" s="2" t="s">
        <v>4336</v>
      </c>
      <c r="D511" s="1979">
        <f>IF(Construction!$F$31=Construction!$R$22,Oeko!BQ511,Oeko!ED511)</f>
        <v>0</v>
      </c>
      <c r="E511" s="1979">
        <f>IF(Construction!$F$31=Construction!$R$22,Oeko!BR511,Oeko!EE511)</f>
        <v>0</v>
      </c>
      <c r="F511" s="1979">
        <f>IF(Construction!$F$31=Construction!$R$22,Oeko!BS511,Oeko!EF511)</f>
        <v>0</v>
      </c>
      <c r="G511" s="1979">
        <f>IF(Construction!$F$31=Construction!$R$22,Oeko!BT511,Oeko!EG511)</f>
        <v>0</v>
      </c>
      <c r="H511" s="1979">
        <f>IF(Construction!$F$31=Construction!$R$22,Oeko!BU511,Oeko!EH511)</f>
        <v>0</v>
      </c>
      <c r="I511" s="1998">
        <f>IF(Construction!$F$31=Construction!$R$22,Oeko!BV511,Oeko!EI511)</f>
        <v>0</v>
      </c>
      <c r="J511" s="1998">
        <f>IF(Construction!$F$31=Construction!$R$22,Oeko!BW511,Oeko!EJ511)</f>
        <v>0</v>
      </c>
      <c r="K511" s="1998">
        <f>IF(Construction!$F$31=Construction!$R$22,Oeko!BX511,Oeko!EK511)</f>
        <v>0</v>
      </c>
      <c r="L511" s="1998">
        <f>IF(Construction!$F$31=Construction!$R$22,Oeko!BY511,Oeko!EL511)</f>
        <v>0</v>
      </c>
      <c r="M511" s="1998">
        <f>IF(Construction!$F$31=Construction!$R$22,Oeko!BZ511,Oeko!EM511)</f>
        <v>0</v>
      </c>
      <c r="N511" s="1979">
        <f>IF(Construction!$F$31=Construction!$R$22,Oeko!CA511,Oeko!EN511)</f>
        <v>0</v>
      </c>
      <c r="O511" s="1979">
        <f>IF(Construction!$F$31=Construction!$R$22,Oeko!CB511,Oeko!EO511)</f>
        <v>0</v>
      </c>
      <c r="P511" s="1979">
        <f>IF(Construction!$F$31=Construction!$R$22,Oeko!CC511,Oeko!EP511)</f>
        <v>0</v>
      </c>
      <c r="Q511" s="1979">
        <f>IF(Construction!$F$31=Construction!$R$22,Oeko!CD511,Oeko!EQ511)</f>
        <v>0</v>
      </c>
      <c r="R511" s="1979">
        <f>IF(Construction!$F$31=Construction!$R$22,Oeko!CE511,Oeko!ER511)</f>
        <v>0</v>
      </c>
      <c r="S511" s="1998">
        <f>IF(Construction!$F$31=Construction!$R$22,Oeko!CF511,Oeko!ES511)</f>
        <v>0</v>
      </c>
      <c r="T511" s="1998">
        <f>IF(Construction!$F$31=Construction!$R$22,Oeko!CG511,Oeko!ET511)</f>
        <v>0</v>
      </c>
      <c r="U511" s="1998">
        <f>IF(Construction!$F$31=Construction!$R$22,Oeko!CH511,Oeko!EU511)</f>
        <v>0</v>
      </c>
      <c r="V511" s="1998">
        <f>IF(Construction!$F$31=Construction!$R$22,Oeko!CI511,Oeko!EV511)</f>
        <v>0</v>
      </c>
      <c r="W511" s="1998">
        <f>IF(Construction!$F$31=Construction!$R$22,Oeko!CJ511,Oeko!EW511)</f>
        <v>0</v>
      </c>
      <c r="X511" s="1979">
        <f>IF(Construction!$F$31=Construction!$R$22,Oeko!CK511,Oeko!EX511)</f>
        <v>0</v>
      </c>
      <c r="Y511" s="1979">
        <f>IF(Construction!$F$31=Construction!$R$22,Oeko!CL511,Oeko!EY511)</f>
        <v>0</v>
      </c>
      <c r="Z511" s="1979">
        <f>IF(Construction!$F$31=Construction!$R$22,Oeko!CM511,Oeko!EZ511)</f>
        <v>0</v>
      </c>
      <c r="AA511" s="1979">
        <f>IF(Construction!$F$31=Construction!$R$22,Oeko!CN511,Oeko!FA511)</f>
        <v>0</v>
      </c>
      <c r="AB511" s="1979">
        <f>IF(Construction!$F$31=Construction!$R$22,Oeko!CO511,Oeko!FB511)</f>
        <v>0</v>
      </c>
      <c r="AC511" s="1998">
        <f>IF(Construction!$F$31=Construction!$R$22,Oeko!CP511,Oeko!FC511)</f>
        <v>0</v>
      </c>
      <c r="AD511" s="1998">
        <f>IF(Construction!$F$31=Construction!$R$22,Oeko!CQ511,Oeko!FD511)</f>
        <v>0</v>
      </c>
      <c r="AE511" s="1998">
        <f>IF(Construction!$F$31=Construction!$R$22,Oeko!CR511,Oeko!FE511)</f>
        <v>0</v>
      </c>
      <c r="AF511" s="1998">
        <f>IF(Construction!$F$31=Construction!$R$22,Oeko!CS511,Oeko!FF511)</f>
        <v>0</v>
      </c>
      <c r="AG511" s="1998">
        <f>IF(Construction!$F$31=Construction!$R$22,Oeko!CT511,Oeko!FG511)</f>
        <v>0</v>
      </c>
      <c r="AH511" s="1979">
        <f>IF(Construction!$F$31=Construction!$R$22,Oeko!CU511,Oeko!FH511)</f>
        <v>0.12788952894593403</v>
      </c>
      <c r="AI511" s="1979">
        <f>IF(Construction!$F$31=Construction!$R$22,Oeko!CV511,Oeko!FI511)</f>
        <v>0.12858638277422305</v>
      </c>
      <c r="AJ511" s="1979">
        <f>IF(Construction!$F$31=Construction!$R$22,Oeko!CW511,Oeko!FJ511)</f>
        <v>0.12939432924180455</v>
      </c>
      <c r="AK511" s="1979">
        <f>IF(Construction!$F$31=Construction!$R$22,Oeko!CX511,Oeko!FK511)</f>
        <v>0.13032346767952327</v>
      </c>
      <c r="AL511" s="1979">
        <f>IF(Construction!$F$31=Construction!$R$22,Oeko!CY511,Oeko!FL511)</f>
        <v>0.13146469206498215</v>
      </c>
      <c r="AM511" s="1998">
        <f>IF(Construction!$F$31=Construction!$R$22,Oeko!CZ511,Oeko!FM511)</f>
        <v>0</v>
      </c>
      <c r="AN511" s="1998">
        <f>IF(Construction!$F$31=Construction!$R$22,Oeko!DA511,Oeko!FN511)</f>
        <v>0</v>
      </c>
      <c r="AO511" s="1998">
        <f>IF(Construction!$F$31=Construction!$R$22,Oeko!DB511,Oeko!FO511)</f>
        <v>0</v>
      </c>
      <c r="AP511" s="1998">
        <f>IF(Construction!$F$31=Construction!$R$22,Oeko!DC511,Oeko!FP511)</f>
        <v>0</v>
      </c>
      <c r="AQ511" s="1998">
        <f>IF(Construction!$F$31=Construction!$R$22,Oeko!DD511,Oeko!FQ511)</f>
        <v>0</v>
      </c>
      <c r="AR511" s="1979">
        <f>IF(Construction!$F$31=Construction!$R$22,Oeko!DE511,Oeko!FR511)</f>
        <v>1.053291826546807</v>
      </c>
      <c r="AS511" s="1979">
        <f>IF(Construction!$F$31=Construction!$R$22,Oeko!DF511,Oeko!FS511)</f>
        <v>1.0589007052880508</v>
      </c>
      <c r="AT511" s="1979">
        <f>IF(Construction!$F$31=Construction!$R$22,Oeko!DG511,Oeko!FT511)</f>
        <v>1.0654037531039859</v>
      </c>
      <c r="AU511" s="1979">
        <f>IF(Construction!$F$31=Construction!$R$22,Oeko!DH511,Oeko!FU511)</f>
        <v>1.0728822580923114</v>
      </c>
      <c r="AV511" s="1979">
        <f>IF(Construction!$F$31=Construction!$R$22,Oeko!DI511,Oeko!FV511)</f>
        <v>1.0820678131323196</v>
      </c>
      <c r="AW511" s="1998">
        <f>IF(Construction!$F$31=Construction!$R$22,Oeko!DJ511,Oeko!FW511)</f>
        <v>1.0526493799140639</v>
      </c>
      <c r="AX511" s="1998">
        <f>IF(Construction!$F$31=Construction!$R$22,Oeko!DK511,Oeko!FX511)</f>
        <v>1.0582471413287109</v>
      </c>
      <c r="AY511" s="1998">
        <f>IF(Construction!$F$31=Construction!$R$22,Oeko!DL511,Oeko!FY511)</f>
        <v>1.0647372994906201</v>
      </c>
      <c r="AZ511" s="1998">
        <f>IF(Construction!$F$31=Construction!$R$22,Oeko!DM511,Oeko!FZ511)</f>
        <v>1.0722009813768159</v>
      </c>
      <c r="BA511" s="1998">
        <f>IF(Construction!$F$31=Construction!$R$22,Oeko!DN511,Oeko!GA511)</f>
        <v>1.0813683297805128</v>
      </c>
      <c r="BB511" s="1979">
        <f>IF(Construction!$F$31=Construction!$R$22,Oeko!DO511,Oeko!GB511)</f>
        <v>0.55463831377760764</v>
      </c>
      <c r="BC511" s="1979">
        <f>IF(Construction!$F$31=Construction!$R$22,Oeko!DP511,Oeko!GC511)</f>
        <v>0.55519737485260579</v>
      </c>
      <c r="BD511" s="1979">
        <f>IF(Construction!$F$31=Construction!$R$22,Oeko!DQ511,Oeko!GD511)</f>
        <v>0.55584548990415217</v>
      </c>
      <c r="BE511" s="1979">
        <f>IF(Construction!$F$31=Construction!$R$22,Oeko!DR511,Oeko!GE511)</f>
        <v>0.55660244870481335</v>
      </c>
      <c r="BF511" s="1979">
        <f>IF(Construction!$F$31=Construction!$R$22,Oeko!DS511,Oeko!GF511)</f>
        <v>0.55754246290171283</v>
      </c>
      <c r="BG511" s="1998">
        <f>IF(Construction!$F$31=Construction!$R$22,Oeko!DT511,Oeko!GG511)</f>
        <v>0.55598302825447121</v>
      </c>
      <c r="BH511" s="1998">
        <f>IF(Construction!$F$31=Construction!$R$22,Oeko!DU511,Oeko!GH511)</f>
        <v>0.55654003064082969</v>
      </c>
      <c r="BI511" s="1998">
        <f>IF(Construction!$F$31=Construction!$R$22,Oeko!DV511,Oeko!GI511)</f>
        <v>0.55718575907103285</v>
      </c>
      <c r="BJ511" s="1998">
        <f>IF(Construction!$F$31=Construction!$R$22,Oeko!DW511,Oeko!GJ511)</f>
        <v>0.55793993044371271</v>
      </c>
      <c r="BK511" s="2026">
        <f>IF(Construction!$F$31=Construction!$R$22,Oeko!DX511,Oeko!GK511)</f>
        <v>0.55887648312874005</v>
      </c>
      <c r="BN511" s="2022"/>
      <c r="BO511" s="2">
        <v>10</v>
      </c>
      <c r="BP511" s="2" t="s">
        <v>4336</v>
      </c>
      <c r="BQ511" s="1979">
        <v>0</v>
      </c>
      <c r="BR511" s="1979">
        <v>0</v>
      </c>
      <c r="BS511" s="1979">
        <v>0</v>
      </c>
      <c r="BT511" s="1979">
        <v>0</v>
      </c>
      <c r="BU511" s="1979">
        <v>0</v>
      </c>
      <c r="BV511" s="1998">
        <v>0</v>
      </c>
      <c r="BW511" s="1998">
        <v>0</v>
      </c>
      <c r="BX511" s="1998">
        <v>0</v>
      </c>
      <c r="BY511" s="1998">
        <v>0</v>
      </c>
      <c r="BZ511" s="1998">
        <v>0</v>
      </c>
      <c r="CA511" s="1979">
        <v>0</v>
      </c>
      <c r="CB511" s="1979">
        <v>0</v>
      </c>
      <c r="CC511" s="1979">
        <v>0</v>
      </c>
      <c r="CD511" s="1979">
        <v>0</v>
      </c>
      <c r="CE511" s="1979">
        <v>0</v>
      </c>
      <c r="CF511" s="1998">
        <v>0</v>
      </c>
      <c r="CG511" s="1998">
        <v>0</v>
      </c>
      <c r="CH511" s="1998">
        <v>0</v>
      </c>
      <c r="CI511" s="1998">
        <v>0</v>
      </c>
      <c r="CJ511" s="1998">
        <v>0</v>
      </c>
      <c r="CK511" s="1979">
        <v>0</v>
      </c>
      <c r="CL511" s="1979">
        <v>0</v>
      </c>
      <c r="CM511" s="1979">
        <v>0</v>
      </c>
      <c r="CN511" s="1979">
        <v>0</v>
      </c>
      <c r="CO511" s="1979">
        <v>0</v>
      </c>
      <c r="CP511" s="1998">
        <v>0</v>
      </c>
      <c r="CQ511" s="1998">
        <v>0</v>
      </c>
      <c r="CR511" s="1998">
        <v>0</v>
      </c>
      <c r="CS511" s="1998">
        <v>0</v>
      </c>
      <c r="CT511" s="1998">
        <v>0</v>
      </c>
      <c r="CU511" s="1979">
        <v>0.12788952894593403</v>
      </c>
      <c r="CV511" s="1979">
        <v>0.12858638277422305</v>
      </c>
      <c r="CW511" s="1979">
        <v>0.12939432924180455</v>
      </c>
      <c r="CX511" s="1979">
        <v>0.13032346767952327</v>
      </c>
      <c r="CY511" s="1979">
        <v>0.13146469206498215</v>
      </c>
      <c r="CZ511" s="1998">
        <v>0</v>
      </c>
      <c r="DA511" s="1998">
        <v>0</v>
      </c>
      <c r="DB511" s="1998">
        <v>0</v>
      </c>
      <c r="DC511" s="1998">
        <v>0</v>
      </c>
      <c r="DD511" s="1998">
        <v>0</v>
      </c>
      <c r="DE511" s="1979">
        <v>1.053291826546807</v>
      </c>
      <c r="DF511" s="1979">
        <v>1.0589007052880508</v>
      </c>
      <c r="DG511" s="1979">
        <v>1.0654037531039859</v>
      </c>
      <c r="DH511" s="1979">
        <v>1.0728822580923114</v>
      </c>
      <c r="DI511" s="1979">
        <v>1.0820678131323196</v>
      </c>
      <c r="DJ511" s="1998">
        <v>1.0526493799140639</v>
      </c>
      <c r="DK511" s="1998">
        <v>1.0582471413287109</v>
      </c>
      <c r="DL511" s="1998">
        <v>1.0647372994906201</v>
      </c>
      <c r="DM511" s="1998">
        <v>1.0722009813768159</v>
      </c>
      <c r="DN511" s="1998">
        <v>1.0813683297805128</v>
      </c>
      <c r="DO511" s="1979">
        <v>0.55463831377760764</v>
      </c>
      <c r="DP511" s="1979">
        <v>0.55519737485260579</v>
      </c>
      <c r="DQ511" s="1979">
        <v>0.55584548990415217</v>
      </c>
      <c r="DR511" s="1979">
        <v>0.55660244870481335</v>
      </c>
      <c r="DS511" s="1979">
        <v>0.55754246290171283</v>
      </c>
      <c r="DT511" s="1998">
        <v>0.55598302825447121</v>
      </c>
      <c r="DU511" s="1998">
        <v>0.55654003064082969</v>
      </c>
      <c r="DV511" s="1998">
        <v>0.55718575907103285</v>
      </c>
      <c r="DW511" s="1998">
        <v>0.55793993044371271</v>
      </c>
      <c r="DX511" s="2026">
        <v>0.55887648312874005</v>
      </c>
      <c r="EA511" s="2022"/>
      <c r="EB511" s="2">
        <v>10</v>
      </c>
      <c r="EC511" s="2" t="s">
        <v>4336</v>
      </c>
      <c r="ED511" s="1979">
        <v>0</v>
      </c>
      <c r="EE511" s="1979">
        <v>0</v>
      </c>
      <c r="EF511" s="1979">
        <v>0</v>
      </c>
      <c r="EG511" s="1979">
        <v>0</v>
      </c>
      <c r="EH511" s="1979">
        <v>0</v>
      </c>
      <c r="EI511" s="1998">
        <v>0</v>
      </c>
      <c r="EJ511" s="1998">
        <v>0</v>
      </c>
      <c r="EK511" s="1998">
        <v>0</v>
      </c>
      <c r="EL511" s="1998">
        <v>0</v>
      </c>
      <c r="EM511" s="1998">
        <v>0</v>
      </c>
      <c r="EN511" s="1979">
        <v>0</v>
      </c>
      <c r="EO511" s="1979">
        <v>0</v>
      </c>
      <c r="EP511" s="1979">
        <v>0</v>
      </c>
      <c r="EQ511" s="1979">
        <v>0</v>
      </c>
      <c r="ER511" s="1979">
        <v>0</v>
      </c>
      <c r="ES511" s="1998">
        <v>0</v>
      </c>
      <c r="ET511" s="1998">
        <v>0</v>
      </c>
      <c r="EU511" s="1998">
        <v>0</v>
      </c>
      <c r="EV511" s="1998">
        <v>0</v>
      </c>
      <c r="EW511" s="1998">
        <v>0</v>
      </c>
      <c r="EX511" s="1979">
        <v>0</v>
      </c>
      <c r="EY511" s="1979">
        <v>0</v>
      </c>
      <c r="EZ511" s="1979">
        <v>0</v>
      </c>
      <c r="FA511" s="1979">
        <v>0</v>
      </c>
      <c r="FB511" s="1979">
        <v>0</v>
      </c>
      <c r="FC511" s="1998">
        <v>0</v>
      </c>
      <c r="FD511" s="1998">
        <v>0</v>
      </c>
      <c r="FE511" s="1998">
        <v>0</v>
      </c>
      <c r="FF511" s="1998">
        <v>0</v>
      </c>
      <c r="FG511" s="1998">
        <v>0</v>
      </c>
      <c r="FH511" s="1979">
        <v>1.0817713272343368</v>
      </c>
      <c r="FI511" s="1979">
        <v>1.0824681810626255</v>
      </c>
      <c r="FJ511" s="1979">
        <v>1.0832761275302072</v>
      </c>
      <c r="FK511" s="1979">
        <v>1.084205265967926</v>
      </c>
      <c r="FL511" s="1979">
        <v>1.0853464903533847</v>
      </c>
      <c r="FM511" s="1998">
        <v>0</v>
      </c>
      <c r="FN511" s="1998">
        <v>0</v>
      </c>
      <c r="FO511" s="1998">
        <v>0</v>
      </c>
      <c r="FP511" s="1998">
        <v>0</v>
      </c>
      <c r="FQ511" s="1998">
        <v>0</v>
      </c>
      <c r="FR511" s="1979">
        <v>8.6638899736333919</v>
      </c>
      <c r="FS511" s="1979">
        <v>8.6694988523746357</v>
      </c>
      <c r="FT511" s="1979">
        <v>8.6760019001905704</v>
      </c>
      <c r="FU511" s="1979">
        <v>8.6834804051788961</v>
      </c>
      <c r="FV511" s="1979">
        <v>8.6926659602189051</v>
      </c>
      <c r="FW511" s="1998">
        <v>8.988895907273811</v>
      </c>
      <c r="FX511" s="1998">
        <v>8.9944936686884578</v>
      </c>
      <c r="FY511" s="1998">
        <v>9.0009838268503675</v>
      </c>
      <c r="FZ511" s="1998">
        <v>9.0084475087365643</v>
      </c>
      <c r="GA511" s="1998">
        <v>9.017614857140261</v>
      </c>
      <c r="GB511" s="1979">
        <v>0.87152204699557378</v>
      </c>
      <c r="GC511" s="1979">
        <v>0.87208110807057193</v>
      </c>
      <c r="GD511" s="1979">
        <v>0.87272922312211842</v>
      </c>
      <c r="GE511" s="1979">
        <v>0.87348618192277971</v>
      </c>
      <c r="GF511" s="1979">
        <v>0.8744261961196792</v>
      </c>
      <c r="GG511" s="1998">
        <v>0.91828104062033056</v>
      </c>
      <c r="GH511" s="1998">
        <v>0.91883804300668892</v>
      </c>
      <c r="GI511" s="1998">
        <v>0.91948377143689208</v>
      </c>
      <c r="GJ511" s="1998">
        <v>0.92023794280957205</v>
      </c>
      <c r="GK511" s="2026">
        <v>0.9211744954945994</v>
      </c>
    </row>
    <row r="512" spans="1:193">
      <c r="A512" s="2020"/>
      <c r="B512" s="2">
        <v>11</v>
      </c>
      <c r="C512" s="2" t="s">
        <v>4337</v>
      </c>
      <c r="D512" s="1979">
        <f>IF(Construction!$F$31=Construction!$R$22,Oeko!BQ512,Oeko!ED512)</f>
        <v>0</v>
      </c>
      <c r="E512" s="1979">
        <f>IF(Construction!$F$31=Construction!$R$22,Oeko!BR512,Oeko!EE512)</f>
        <v>0</v>
      </c>
      <c r="F512" s="1979">
        <f>IF(Construction!$F$31=Construction!$R$22,Oeko!BS512,Oeko!EF512)</f>
        <v>0</v>
      </c>
      <c r="G512" s="1979">
        <f>IF(Construction!$F$31=Construction!$R$22,Oeko!BT512,Oeko!EG512)</f>
        <v>0</v>
      </c>
      <c r="H512" s="1979">
        <f>IF(Construction!$F$31=Construction!$R$22,Oeko!BU512,Oeko!EH512)</f>
        <v>0</v>
      </c>
      <c r="I512" s="1998">
        <f>IF(Construction!$F$31=Construction!$R$22,Oeko!BV512,Oeko!EI512)</f>
        <v>0</v>
      </c>
      <c r="J512" s="1998">
        <f>IF(Construction!$F$31=Construction!$R$22,Oeko!BW512,Oeko!EJ512)</f>
        <v>0</v>
      </c>
      <c r="K512" s="1998">
        <f>IF(Construction!$F$31=Construction!$R$22,Oeko!BX512,Oeko!EK512)</f>
        <v>0</v>
      </c>
      <c r="L512" s="1998">
        <f>IF(Construction!$F$31=Construction!$R$22,Oeko!BY512,Oeko!EL512)</f>
        <v>0</v>
      </c>
      <c r="M512" s="1998">
        <f>IF(Construction!$F$31=Construction!$R$22,Oeko!BZ512,Oeko!EM512)</f>
        <v>0</v>
      </c>
      <c r="N512" s="1979">
        <f>IF(Construction!$F$31=Construction!$R$22,Oeko!CA512,Oeko!EN512)</f>
        <v>0</v>
      </c>
      <c r="O512" s="1979">
        <f>IF(Construction!$F$31=Construction!$R$22,Oeko!CB512,Oeko!EO512)</f>
        <v>0</v>
      </c>
      <c r="P512" s="1979">
        <f>IF(Construction!$F$31=Construction!$R$22,Oeko!CC512,Oeko!EP512)</f>
        <v>0</v>
      </c>
      <c r="Q512" s="1979">
        <f>IF(Construction!$F$31=Construction!$R$22,Oeko!CD512,Oeko!EQ512)</f>
        <v>0</v>
      </c>
      <c r="R512" s="1979">
        <f>IF(Construction!$F$31=Construction!$R$22,Oeko!CE512,Oeko!ER512)</f>
        <v>0</v>
      </c>
      <c r="S512" s="1998">
        <f>IF(Construction!$F$31=Construction!$R$22,Oeko!CF512,Oeko!ES512)</f>
        <v>0</v>
      </c>
      <c r="T512" s="1998">
        <f>IF(Construction!$F$31=Construction!$R$22,Oeko!CG512,Oeko!ET512)</f>
        <v>0</v>
      </c>
      <c r="U512" s="1998">
        <f>IF(Construction!$F$31=Construction!$R$22,Oeko!CH512,Oeko!EU512)</f>
        <v>0</v>
      </c>
      <c r="V512" s="1998">
        <f>IF(Construction!$F$31=Construction!$R$22,Oeko!CI512,Oeko!EV512)</f>
        <v>0</v>
      </c>
      <c r="W512" s="1998">
        <f>IF(Construction!$F$31=Construction!$R$22,Oeko!CJ512,Oeko!EW512)</f>
        <v>0</v>
      </c>
      <c r="X512" s="1979">
        <f>IF(Construction!$F$31=Construction!$R$22,Oeko!CK512,Oeko!EX512)</f>
        <v>0</v>
      </c>
      <c r="Y512" s="1979">
        <f>IF(Construction!$F$31=Construction!$R$22,Oeko!CL512,Oeko!EY512)</f>
        <v>0</v>
      </c>
      <c r="Z512" s="1979">
        <f>IF(Construction!$F$31=Construction!$R$22,Oeko!CM512,Oeko!EZ512)</f>
        <v>0</v>
      </c>
      <c r="AA512" s="1979">
        <f>IF(Construction!$F$31=Construction!$R$22,Oeko!CN512,Oeko!FA512)</f>
        <v>0</v>
      </c>
      <c r="AB512" s="1979">
        <f>IF(Construction!$F$31=Construction!$R$22,Oeko!CO512,Oeko!FB512)</f>
        <v>0</v>
      </c>
      <c r="AC512" s="1998">
        <f>IF(Construction!$F$31=Construction!$R$22,Oeko!CP512,Oeko!FC512)</f>
        <v>0</v>
      </c>
      <c r="AD512" s="1998">
        <f>IF(Construction!$F$31=Construction!$R$22,Oeko!CQ512,Oeko!FD512)</f>
        <v>0</v>
      </c>
      <c r="AE512" s="1998">
        <f>IF(Construction!$F$31=Construction!$R$22,Oeko!CR512,Oeko!FE512)</f>
        <v>0</v>
      </c>
      <c r="AF512" s="1998">
        <f>IF(Construction!$F$31=Construction!$R$22,Oeko!CS512,Oeko!FF512)</f>
        <v>0</v>
      </c>
      <c r="AG512" s="1998">
        <f>IF(Construction!$F$31=Construction!$R$22,Oeko!CT512,Oeko!FG512)</f>
        <v>0</v>
      </c>
      <c r="AH512" s="1979">
        <f>IF(Construction!$F$31=Construction!$R$22,Oeko!CU512,Oeko!FH512)</f>
        <v>0.12929951095278769</v>
      </c>
      <c r="AI512" s="1979">
        <f>IF(Construction!$F$31=Construction!$R$22,Oeko!CV512,Oeko!FI512)</f>
        <v>0.12999636478107671</v>
      </c>
      <c r="AJ512" s="1979">
        <f>IF(Construction!$F$31=Construction!$R$22,Oeko!CW512,Oeko!FJ512)</f>
        <v>0.13080431124865824</v>
      </c>
      <c r="AK512" s="1979">
        <f>IF(Construction!$F$31=Construction!$R$22,Oeko!CX512,Oeko!FK512)</f>
        <v>0.13173344968637693</v>
      </c>
      <c r="AL512" s="1979">
        <f>IF(Construction!$F$31=Construction!$R$22,Oeko!CY512,Oeko!FL512)</f>
        <v>0.13287467407183579</v>
      </c>
      <c r="AM512" s="1998">
        <f>IF(Construction!$F$31=Construction!$R$22,Oeko!CZ512,Oeko!FM512)</f>
        <v>0</v>
      </c>
      <c r="AN512" s="1998">
        <f>IF(Construction!$F$31=Construction!$R$22,Oeko!DA512,Oeko!FN512)</f>
        <v>0</v>
      </c>
      <c r="AO512" s="1998">
        <f>IF(Construction!$F$31=Construction!$R$22,Oeko!DB512,Oeko!FO512)</f>
        <v>0</v>
      </c>
      <c r="AP512" s="1998">
        <f>IF(Construction!$F$31=Construction!$R$22,Oeko!DC512,Oeko!FP512)</f>
        <v>0</v>
      </c>
      <c r="AQ512" s="1998">
        <f>IF(Construction!$F$31=Construction!$R$22,Oeko!DD512,Oeko!FQ512)</f>
        <v>0</v>
      </c>
      <c r="AR512" s="1979">
        <f>IF(Construction!$F$31=Construction!$R$22,Oeko!DE512,Oeko!FR512)</f>
        <v>1.0764621859149837</v>
      </c>
      <c r="AS512" s="1979">
        <f>IF(Construction!$F$31=Construction!$R$22,Oeko!DF512,Oeko!FS512)</f>
        <v>1.0820710646562277</v>
      </c>
      <c r="AT512" s="1979">
        <f>IF(Construction!$F$31=Construction!$R$22,Oeko!DG512,Oeko!FT512)</f>
        <v>1.0885741124721628</v>
      </c>
      <c r="AU512" s="1979">
        <f>IF(Construction!$F$31=Construction!$R$22,Oeko!DH512,Oeko!FU512)</f>
        <v>1.0960526174604883</v>
      </c>
      <c r="AV512" s="1979">
        <f>IF(Construction!$F$31=Construction!$R$22,Oeko!DI512,Oeko!FV512)</f>
        <v>1.1052381725004967</v>
      </c>
      <c r="AW512" s="1998">
        <f>IF(Construction!$F$31=Construction!$R$22,Oeko!DJ512,Oeko!FW512)</f>
        <v>1.0723051484153143</v>
      </c>
      <c r="AX512" s="1998">
        <f>IF(Construction!$F$31=Construction!$R$22,Oeko!DK512,Oeko!FX512)</f>
        <v>1.0779029098299613</v>
      </c>
      <c r="AY512" s="1998">
        <f>IF(Construction!$F$31=Construction!$R$22,Oeko!DL512,Oeko!FY512)</f>
        <v>1.0843930679918705</v>
      </c>
      <c r="AZ512" s="1998">
        <f>IF(Construction!$F$31=Construction!$R$22,Oeko!DM512,Oeko!FZ512)</f>
        <v>1.0918567498780662</v>
      </c>
      <c r="BA512" s="1998">
        <f>IF(Construction!$F$31=Construction!$R$22,Oeko!DN512,Oeko!GA512)</f>
        <v>1.1010240982817632</v>
      </c>
      <c r="BB512" s="1979">
        <f>IF(Construction!$F$31=Construction!$R$22,Oeko!DO512,Oeko!GB512)</f>
        <v>0.55652700019690438</v>
      </c>
      <c r="BC512" s="1979">
        <f>IF(Construction!$F$31=Construction!$R$22,Oeko!DP512,Oeko!GC512)</f>
        <v>0.55708606127190252</v>
      </c>
      <c r="BD512" s="1979">
        <f>IF(Construction!$F$31=Construction!$R$22,Oeko!DQ512,Oeko!GD512)</f>
        <v>0.5577341763234489</v>
      </c>
      <c r="BE512" s="1979">
        <f>IF(Construction!$F$31=Construction!$R$22,Oeko!DR512,Oeko!GE512)</f>
        <v>0.55849113512411008</v>
      </c>
      <c r="BF512" s="1979">
        <f>IF(Construction!$F$31=Construction!$R$22,Oeko!DS512,Oeko!GF512)</f>
        <v>0.55943114932100968</v>
      </c>
      <c r="BG512" s="1998">
        <f>IF(Construction!$F$31=Construction!$R$22,Oeko!DT512,Oeko!GG512)</f>
        <v>0.55722497105318747</v>
      </c>
      <c r="BH512" s="1998">
        <f>IF(Construction!$F$31=Construction!$R$22,Oeko!DU512,Oeko!GH512)</f>
        <v>0.55778197343954583</v>
      </c>
      <c r="BI512" s="1998">
        <f>IF(Construction!$F$31=Construction!$R$22,Oeko!DV512,Oeko!GI512)</f>
        <v>0.55842770186974899</v>
      </c>
      <c r="BJ512" s="1998">
        <f>IF(Construction!$F$31=Construction!$R$22,Oeko!DW512,Oeko!GJ512)</f>
        <v>0.55918187324242885</v>
      </c>
      <c r="BK512" s="2026">
        <f>IF(Construction!$F$31=Construction!$R$22,Oeko!DX512,Oeko!GK512)</f>
        <v>0.5601184259274562</v>
      </c>
      <c r="BN512" s="2022"/>
      <c r="BO512" s="2">
        <v>11</v>
      </c>
      <c r="BP512" s="2" t="s">
        <v>4337</v>
      </c>
      <c r="BQ512" s="1979">
        <v>0</v>
      </c>
      <c r="BR512" s="1979">
        <v>0</v>
      </c>
      <c r="BS512" s="1979">
        <v>0</v>
      </c>
      <c r="BT512" s="1979">
        <v>0</v>
      </c>
      <c r="BU512" s="1979">
        <v>0</v>
      </c>
      <c r="BV512" s="1998">
        <v>0</v>
      </c>
      <c r="BW512" s="1998">
        <v>0</v>
      </c>
      <c r="BX512" s="1998">
        <v>0</v>
      </c>
      <c r="BY512" s="1998">
        <v>0</v>
      </c>
      <c r="BZ512" s="1998">
        <v>0</v>
      </c>
      <c r="CA512" s="1979">
        <v>0</v>
      </c>
      <c r="CB512" s="1979">
        <v>0</v>
      </c>
      <c r="CC512" s="1979">
        <v>0</v>
      </c>
      <c r="CD512" s="1979">
        <v>0</v>
      </c>
      <c r="CE512" s="1979">
        <v>0</v>
      </c>
      <c r="CF512" s="1998">
        <v>0</v>
      </c>
      <c r="CG512" s="1998">
        <v>0</v>
      </c>
      <c r="CH512" s="1998">
        <v>0</v>
      </c>
      <c r="CI512" s="1998">
        <v>0</v>
      </c>
      <c r="CJ512" s="1998">
        <v>0</v>
      </c>
      <c r="CK512" s="1979">
        <v>0</v>
      </c>
      <c r="CL512" s="1979">
        <v>0</v>
      </c>
      <c r="CM512" s="1979">
        <v>0</v>
      </c>
      <c r="CN512" s="1979">
        <v>0</v>
      </c>
      <c r="CO512" s="1979">
        <v>0</v>
      </c>
      <c r="CP512" s="1998">
        <v>0</v>
      </c>
      <c r="CQ512" s="1998">
        <v>0</v>
      </c>
      <c r="CR512" s="1998">
        <v>0</v>
      </c>
      <c r="CS512" s="1998">
        <v>0</v>
      </c>
      <c r="CT512" s="1998">
        <v>0</v>
      </c>
      <c r="CU512" s="1979">
        <v>0.12929951095278769</v>
      </c>
      <c r="CV512" s="1979">
        <v>0.12999636478107671</v>
      </c>
      <c r="CW512" s="1979">
        <v>0.13080431124865824</v>
      </c>
      <c r="CX512" s="1979">
        <v>0.13173344968637693</v>
      </c>
      <c r="CY512" s="1979">
        <v>0.13287467407183579</v>
      </c>
      <c r="CZ512" s="1998">
        <v>0</v>
      </c>
      <c r="DA512" s="1998">
        <v>0</v>
      </c>
      <c r="DB512" s="1998">
        <v>0</v>
      </c>
      <c r="DC512" s="1998">
        <v>0</v>
      </c>
      <c r="DD512" s="1998">
        <v>0</v>
      </c>
      <c r="DE512" s="1979">
        <v>1.0764621859149837</v>
      </c>
      <c r="DF512" s="1979">
        <v>1.0820710646562277</v>
      </c>
      <c r="DG512" s="1979">
        <v>1.0885741124721628</v>
      </c>
      <c r="DH512" s="1979">
        <v>1.0960526174604883</v>
      </c>
      <c r="DI512" s="1979">
        <v>1.1052381725004967</v>
      </c>
      <c r="DJ512" s="1998">
        <v>1.0723051484153143</v>
      </c>
      <c r="DK512" s="1998">
        <v>1.0779029098299613</v>
      </c>
      <c r="DL512" s="1998">
        <v>1.0843930679918705</v>
      </c>
      <c r="DM512" s="1998">
        <v>1.0918567498780662</v>
      </c>
      <c r="DN512" s="1998">
        <v>1.1010240982817632</v>
      </c>
      <c r="DO512" s="1979">
        <v>0.55652700019690438</v>
      </c>
      <c r="DP512" s="1979">
        <v>0.55708606127190252</v>
      </c>
      <c r="DQ512" s="1979">
        <v>0.5577341763234489</v>
      </c>
      <c r="DR512" s="1979">
        <v>0.55849113512411008</v>
      </c>
      <c r="DS512" s="1979">
        <v>0.55943114932100968</v>
      </c>
      <c r="DT512" s="1998">
        <v>0.55722497105318747</v>
      </c>
      <c r="DU512" s="1998">
        <v>0.55778197343954583</v>
      </c>
      <c r="DV512" s="1998">
        <v>0.55842770186974899</v>
      </c>
      <c r="DW512" s="1998">
        <v>0.55918187324242885</v>
      </c>
      <c r="DX512" s="2026">
        <v>0.5601184259274562</v>
      </c>
      <c r="EA512" s="2022"/>
      <c r="EB512" s="2">
        <v>11</v>
      </c>
      <c r="EC512" s="2" t="s">
        <v>4337</v>
      </c>
      <c r="ED512" s="1979">
        <v>0</v>
      </c>
      <c r="EE512" s="1979">
        <v>0</v>
      </c>
      <c r="EF512" s="1979">
        <v>0</v>
      </c>
      <c r="EG512" s="1979">
        <v>0</v>
      </c>
      <c r="EH512" s="1979">
        <v>0</v>
      </c>
      <c r="EI512" s="1998">
        <v>0</v>
      </c>
      <c r="EJ512" s="1998">
        <v>0</v>
      </c>
      <c r="EK512" s="1998">
        <v>0</v>
      </c>
      <c r="EL512" s="1998">
        <v>0</v>
      </c>
      <c r="EM512" s="1998">
        <v>0</v>
      </c>
      <c r="EN512" s="1979">
        <v>0</v>
      </c>
      <c r="EO512" s="1979">
        <v>0</v>
      </c>
      <c r="EP512" s="1979">
        <v>0</v>
      </c>
      <c r="EQ512" s="1979">
        <v>0</v>
      </c>
      <c r="ER512" s="1979">
        <v>0</v>
      </c>
      <c r="ES512" s="1998">
        <v>0</v>
      </c>
      <c r="ET512" s="1998">
        <v>0</v>
      </c>
      <c r="EU512" s="1998">
        <v>0</v>
      </c>
      <c r="EV512" s="1998">
        <v>0</v>
      </c>
      <c r="EW512" s="1998">
        <v>0</v>
      </c>
      <c r="EX512" s="1979">
        <v>0</v>
      </c>
      <c r="EY512" s="1979">
        <v>0</v>
      </c>
      <c r="EZ512" s="1979">
        <v>0</v>
      </c>
      <c r="FA512" s="1979">
        <v>0</v>
      </c>
      <c r="FB512" s="1979">
        <v>0</v>
      </c>
      <c r="FC512" s="1998">
        <v>0</v>
      </c>
      <c r="FD512" s="1998">
        <v>0</v>
      </c>
      <c r="FE512" s="1998">
        <v>0</v>
      </c>
      <c r="FF512" s="1998">
        <v>0</v>
      </c>
      <c r="FG512" s="1998">
        <v>0</v>
      </c>
      <c r="FH512" s="1979">
        <v>1.101360104761774</v>
      </c>
      <c r="FI512" s="1979">
        <v>1.102056958590063</v>
      </c>
      <c r="FJ512" s="1979">
        <v>1.1028649050576442</v>
      </c>
      <c r="FK512" s="1979">
        <v>1.103794043495363</v>
      </c>
      <c r="FL512" s="1979">
        <v>1.1049352678808217</v>
      </c>
      <c r="FM512" s="1998">
        <v>0</v>
      </c>
      <c r="FN512" s="1998">
        <v>0</v>
      </c>
      <c r="FO512" s="1998">
        <v>0</v>
      </c>
      <c r="FP512" s="1998">
        <v>0</v>
      </c>
      <c r="FQ512" s="1998">
        <v>0</v>
      </c>
      <c r="FR512" s="1979">
        <v>8.9004415894619395</v>
      </c>
      <c r="FS512" s="1979">
        <v>8.9060504682031834</v>
      </c>
      <c r="FT512" s="1979">
        <v>8.9125535160191198</v>
      </c>
      <c r="FU512" s="1979">
        <v>8.9200320210074437</v>
      </c>
      <c r="FV512" s="1979">
        <v>8.9292175760474546</v>
      </c>
      <c r="FW512" s="1998">
        <v>9.1789183275251833</v>
      </c>
      <c r="FX512" s="1998">
        <v>9.1845160889398301</v>
      </c>
      <c r="FY512" s="1998">
        <v>9.191006247101738</v>
      </c>
      <c r="FZ512" s="1998">
        <v>9.1984699289879348</v>
      </c>
      <c r="GA512" s="1998">
        <v>9.2076372773916297</v>
      </c>
      <c r="GB512" s="1979">
        <v>0.87341073341487052</v>
      </c>
      <c r="GC512" s="1979">
        <v>0.87396979448986867</v>
      </c>
      <c r="GD512" s="1979">
        <v>0.87461790954141527</v>
      </c>
      <c r="GE512" s="1979">
        <v>0.87537486834207634</v>
      </c>
      <c r="GF512" s="1979">
        <v>0.87631488253897594</v>
      </c>
      <c r="GG512" s="1998">
        <v>0.91952298341904681</v>
      </c>
      <c r="GH512" s="1998">
        <v>0.92007998580540507</v>
      </c>
      <c r="GI512" s="1998">
        <v>0.92072571423560823</v>
      </c>
      <c r="GJ512" s="1998">
        <v>0.92147988560828831</v>
      </c>
      <c r="GK512" s="2026">
        <v>0.92241643829331554</v>
      </c>
    </row>
    <row r="513" spans="1:193">
      <c r="A513" s="2020"/>
      <c r="B513" s="2">
        <v>12</v>
      </c>
      <c r="C513" s="2" t="s">
        <v>4338</v>
      </c>
      <c r="D513" s="1979">
        <f>IF(Construction!$F$31=Construction!$R$22,Oeko!BQ513,Oeko!ED513)</f>
        <v>0</v>
      </c>
      <c r="E513" s="1979">
        <f>IF(Construction!$F$31=Construction!$R$22,Oeko!BR513,Oeko!EE513)</f>
        <v>0</v>
      </c>
      <c r="F513" s="1979">
        <f>IF(Construction!$F$31=Construction!$R$22,Oeko!BS513,Oeko!EF513)</f>
        <v>0</v>
      </c>
      <c r="G513" s="1979">
        <f>IF(Construction!$F$31=Construction!$R$22,Oeko!BT513,Oeko!EG513)</f>
        <v>0</v>
      </c>
      <c r="H513" s="1979">
        <f>IF(Construction!$F$31=Construction!$R$22,Oeko!BU513,Oeko!EH513)</f>
        <v>0</v>
      </c>
      <c r="I513" s="1998">
        <f>IF(Construction!$F$31=Construction!$R$22,Oeko!BV513,Oeko!EI513)</f>
        <v>0</v>
      </c>
      <c r="J513" s="1998">
        <f>IF(Construction!$F$31=Construction!$R$22,Oeko!BW513,Oeko!EJ513)</f>
        <v>0</v>
      </c>
      <c r="K513" s="1998">
        <f>IF(Construction!$F$31=Construction!$R$22,Oeko!BX513,Oeko!EK513)</f>
        <v>0</v>
      </c>
      <c r="L513" s="1998">
        <f>IF(Construction!$F$31=Construction!$R$22,Oeko!BY513,Oeko!EL513)</f>
        <v>0</v>
      </c>
      <c r="M513" s="1998">
        <f>IF(Construction!$F$31=Construction!$R$22,Oeko!BZ513,Oeko!EM513)</f>
        <v>0</v>
      </c>
      <c r="N513" s="1979">
        <f>IF(Construction!$F$31=Construction!$R$22,Oeko!CA513,Oeko!EN513)</f>
        <v>0</v>
      </c>
      <c r="O513" s="1979">
        <f>IF(Construction!$F$31=Construction!$R$22,Oeko!CB513,Oeko!EO513)</f>
        <v>0</v>
      </c>
      <c r="P513" s="1979">
        <f>IF(Construction!$F$31=Construction!$R$22,Oeko!CC513,Oeko!EP513)</f>
        <v>0</v>
      </c>
      <c r="Q513" s="1979">
        <f>IF(Construction!$F$31=Construction!$R$22,Oeko!CD513,Oeko!EQ513)</f>
        <v>0</v>
      </c>
      <c r="R513" s="1979">
        <f>IF(Construction!$F$31=Construction!$R$22,Oeko!CE513,Oeko!ER513)</f>
        <v>0</v>
      </c>
      <c r="S513" s="1998">
        <f>IF(Construction!$F$31=Construction!$R$22,Oeko!CF513,Oeko!ES513)</f>
        <v>0</v>
      </c>
      <c r="T513" s="1998">
        <f>IF(Construction!$F$31=Construction!$R$22,Oeko!CG513,Oeko!ET513)</f>
        <v>0</v>
      </c>
      <c r="U513" s="1998">
        <f>IF(Construction!$F$31=Construction!$R$22,Oeko!CH513,Oeko!EU513)</f>
        <v>0</v>
      </c>
      <c r="V513" s="1998">
        <f>IF(Construction!$F$31=Construction!$R$22,Oeko!CI513,Oeko!EV513)</f>
        <v>0</v>
      </c>
      <c r="W513" s="1998">
        <f>IF(Construction!$F$31=Construction!$R$22,Oeko!CJ513,Oeko!EW513)</f>
        <v>0</v>
      </c>
      <c r="X513" s="1979">
        <f>IF(Construction!$F$31=Construction!$R$22,Oeko!CK513,Oeko!EX513)</f>
        <v>0</v>
      </c>
      <c r="Y513" s="1979">
        <f>IF(Construction!$F$31=Construction!$R$22,Oeko!CL513,Oeko!EY513)</f>
        <v>0</v>
      </c>
      <c r="Z513" s="1979">
        <f>IF(Construction!$F$31=Construction!$R$22,Oeko!CM513,Oeko!EZ513)</f>
        <v>0</v>
      </c>
      <c r="AA513" s="1979">
        <f>IF(Construction!$F$31=Construction!$R$22,Oeko!CN513,Oeko!FA513)</f>
        <v>0</v>
      </c>
      <c r="AB513" s="1979">
        <f>IF(Construction!$F$31=Construction!$R$22,Oeko!CO513,Oeko!FB513)</f>
        <v>0</v>
      </c>
      <c r="AC513" s="1998">
        <f>IF(Construction!$F$31=Construction!$R$22,Oeko!CP513,Oeko!FC513)</f>
        <v>0</v>
      </c>
      <c r="AD513" s="1998">
        <f>IF(Construction!$F$31=Construction!$R$22,Oeko!CQ513,Oeko!FD513)</f>
        <v>0</v>
      </c>
      <c r="AE513" s="1998">
        <f>IF(Construction!$F$31=Construction!$R$22,Oeko!CR513,Oeko!FE513)</f>
        <v>0</v>
      </c>
      <c r="AF513" s="1998">
        <f>IF(Construction!$F$31=Construction!$R$22,Oeko!CS513,Oeko!FF513)</f>
        <v>0</v>
      </c>
      <c r="AG513" s="1998">
        <f>IF(Construction!$F$31=Construction!$R$22,Oeko!CT513,Oeko!FG513)</f>
        <v>0</v>
      </c>
      <c r="AH513" s="1979">
        <f>IF(Construction!$F$31=Construction!$R$22,Oeko!CU513,Oeko!FH513)</f>
        <v>0.13546818223277238</v>
      </c>
      <c r="AI513" s="1979">
        <f>IF(Construction!$F$31=Construction!$R$22,Oeko!CV513,Oeko!FI513)</f>
        <v>0.13616503606106145</v>
      </c>
      <c r="AJ513" s="1979">
        <f>IF(Construction!$F$31=Construction!$R$22,Oeko!CW513,Oeko!FJ513)</f>
        <v>0.13697298252864293</v>
      </c>
      <c r="AK513" s="1979">
        <f>IF(Construction!$F$31=Construction!$R$22,Oeko!CX513,Oeko!FK513)</f>
        <v>0.13790212096636167</v>
      </c>
      <c r="AL513" s="1979">
        <f>IF(Construction!$F$31=Construction!$R$22,Oeko!CY513,Oeko!FL513)</f>
        <v>0.13904334535182047</v>
      </c>
      <c r="AM513" s="1998">
        <f>IF(Construction!$F$31=Construction!$R$22,Oeko!CZ513,Oeko!FM513)</f>
        <v>0</v>
      </c>
      <c r="AN513" s="1998">
        <f>IF(Construction!$F$31=Construction!$R$22,Oeko!DA513,Oeko!FN513)</f>
        <v>0</v>
      </c>
      <c r="AO513" s="1998">
        <f>IF(Construction!$F$31=Construction!$R$22,Oeko!DB513,Oeko!FO513)</f>
        <v>0</v>
      </c>
      <c r="AP513" s="1998">
        <f>IF(Construction!$F$31=Construction!$R$22,Oeko!DC513,Oeko!FP513)</f>
        <v>0</v>
      </c>
      <c r="AQ513" s="1998">
        <f>IF(Construction!$F$31=Construction!$R$22,Oeko!DD513,Oeko!FQ513)</f>
        <v>0</v>
      </c>
      <c r="AR513" s="1979">
        <f>IF(Construction!$F$31=Construction!$R$22,Oeko!DE513,Oeko!FR513)</f>
        <v>1.1367051202722438</v>
      </c>
      <c r="AS513" s="1979">
        <f>IF(Construction!$F$31=Construction!$R$22,Oeko!DF513,Oeko!FS513)</f>
        <v>1.1423139990134878</v>
      </c>
      <c r="AT513" s="1979">
        <f>IF(Construction!$F$31=Construction!$R$22,Oeko!DG513,Oeko!FT513)</f>
        <v>1.1488170468294225</v>
      </c>
      <c r="AU513" s="1979">
        <f>IF(Construction!$F$31=Construction!$R$22,Oeko!DH513,Oeko!FU513)</f>
        <v>1.1562955518177482</v>
      </c>
      <c r="AV513" s="1979">
        <f>IF(Construction!$F$31=Construction!$R$22,Oeko!DI513,Oeko!FV513)</f>
        <v>1.1654811068577566</v>
      </c>
      <c r="AW513" s="1998">
        <f>IF(Construction!$F$31=Construction!$R$22,Oeko!DJ513,Oeko!FW513)</f>
        <v>1.146014280295004</v>
      </c>
      <c r="AX513" s="1998">
        <f>IF(Construction!$F$31=Construction!$R$22,Oeko!DK513,Oeko!FX513)</f>
        <v>1.1516120417096507</v>
      </c>
      <c r="AY513" s="1998">
        <f>IF(Construction!$F$31=Construction!$R$22,Oeko!DL513,Oeko!FY513)</f>
        <v>1.1581021998715597</v>
      </c>
      <c r="AZ513" s="1998">
        <f>IF(Construction!$F$31=Construction!$R$22,Oeko!DM513,Oeko!FZ513)</f>
        <v>1.1655658817577557</v>
      </c>
      <c r="BA513" s="1998">
        <f>IF(Construction!$F$31=Construction!$R$22,Oeko!DN513,Oeko!GA513)</f>
        <v>1.1747332301614526</v>
      </c>
      <c r="BB513" s="1979">
        <f>IF(Construction!$F$31=Construction!$R$22,Oeko!DO513,Oeko!GB513)</f>
        <v>0.9971013691778603</v>
      </c>
      <c r="BC513" s="1979">
        <f>IF(Construction!$F$31=Construction!$R$22,Oeko!DP513,Oeko!GC513)</f>
        <v>0.99821949132785659</v>
      </c>
      <c r="BD513" s="1979">
        <f>IF(Construction!$F$31=Construction!$R$22,Oeko!DQ513,Oeko!GD513)</f>
        <v>0.99951572143094947</v>
      </c>
      <c r="BE513" s="1979">
        <f>IF(Construction!$F$31=Construction!$R$22,Oeko!DR513,Oeko!GE513)</f>
        <v>1.0010296390322719</v>
      </c>
      <c r="BF513" s="1979">
        <f>IF(Construction!$F$31=Construction!$R$22,Oeko!DS513,Oeko!GF513)</f>
        <v>1.0029096674260711</v>
      </c>
      <c r="BG513" s="1998">
        <f>IF(Construction!$F$31=Construction!$R$22,Oeko!DT513,Oeko!GG513)</f>
        <v>0.99759453836687695</v>
      </c>
      <c r="BH513" s="1998">
        <f>IF(Construction!$F$31=Construction!$R$22,Oeko!DU513,Oeko!GH513)</f>
        <v>0.99870854313959367</v>
      </c>
      <c r="BI513" s="1998">
        <f>IF(Construction!$F$31=Construction!$R$22,Oeko!DV513,Oeko!GI513)</f>
        <v>1</v>
      </c>
      <c r="BJ513" s="1998">
        <f>IF(Construction!$F$31=Construction!$R$22,Oeko!DW513,Oeko!GJ513)</f>
        <v>1.0015083427453599</v>
      </c>
      <c r="BK513" s="2026">
        <f>IF(Construction!$F$31=Construction!$R$22,Oeko!DX513,Oeko!GK513)</f>
        <v>1.0033814481154146</v>
      </c>
      <c r="BN513" s="2022"/>
      <c r="BO513" s="2">
        <v>12</v>
      </c>
      <c r="BP513" s="2" t="s">
        <v>4338</v>
      </c>
      <c r="BQ513" s="1979">
        <v>0</v>
      </c>
      <c r="BR513" s="1979">
        <v>0</v>
      </c>
      <c r="BS513" s="1979">
        <v>0</v>
      </c>
      <c r="BT513" s="1979">
        <v>0</v>
      </c>
      <c r="BU513" s="1979">
        <v>0</v>
      </c>
      <c r="BV513" s="1998">
        <v>0</v>
      </c>
      <c r="BW513" s="1998">
        <v>0</v>
      </c>
      <c r="BX513" s="1998">
        <v>0</v>
      </c>
      <c r="BY513" s="1998">
        <v>0</v>
      </c>
      <c r="BZ513" s="1998">
        <v>0</v>
      </c>
      <c r="CA513" s="1979">
        <v>0</v>
      </c>
      <c r="CB513" s="1979">
        <v>0</v>
      </c>
      <c r="CC513" s="1979">
        <v>0</v>
      </c>
      <c r="CD513" s="1979">
        <v>0</v>
      </c>
      <c r="CE513" s="1979">
        <v>0</v>
      </c>
      <c r="CF513" s="1998">
        <v>0</v>
      </c>
      <c r="CG513" s="1998">
        <v>0</v>
      </c>
      <c r="CH513" s="1998">
        <v>0</v>
      </c>
      <c r="CI513" s="1998">
        <v>0</v>
      </c>
      <c r="CJ513" s="1998">
        <v>0</v>
      </c>
      <c r="CK513" s="1979">
        <v>0</v>
      </c>
      <c r="CL513" s="1979">
        <v>0</v>
      </c>
      <c r="CM513" s="1979">
        <v>0</v>
      </c>
      <c r="CN513" s="1979">
        <v>0</v>
      </c>
      <c r="CO513" s="1979">
        <v>0</v>
      </c>
      <c r="CP513" s="1998">
        <v>0</v>
      </c>
      <c r="CQ513" s="1998">
        <v>0</v>
      </c>
      <c r="CR513" s="1998">
        <v>0</v>
      </c>
      <c r="CS513" s="1998">
        <v>0</v>
      </c>
      <c r="CT513" s="1998">
        <v>0</v>
      </c>
      <c r="CU513" s="1979">
        <v>0.13546818223277238</v>
      </c>
      <c r="CV513" s="1979">
        <v>0.13616503606106145</v>
      </c>
      <c r="CW513" s="1979">
        <v>0.13697298252864293</v>
      </c>
      <c r="CX513" s="1979">
        <v>0.13790212096636167</v>
      </c>
      <c r="CY513" s="1979">
        <v>0.13904334535182047</v>
      </c>
      <c r="CZ513" s="1998">
        <v>0</v>
      </c>
      <c r="DA513" s="1998">
        <v>0</v>
      </c>
      <c r="DB513" s="1998">
        <v>0</v>
      </c>
      <c r="DC513" s="1998">
        <v>0</v>
      </c>
      <c r="DD513" s="1998">
        <v>0</v>
      </c>
      <c r="DE513" s="1979">
        <v>1.1367051202722438</v>
      </c>
      <c r="DF513" s="1979">
        <v>1.1423139990134878</v>
      </c>
      <c r="DG513" s="1979">
        <v>1.1488170468294225</v>
      </c>
      <c r="DH513" s="1979">
        <v>1.1562955518177482</v>
      </c>
      <c r="DI513" s="1979">
        <v>1.1654811068577566</v>
      </c>
      <c r="DJ513" s="1998">
        <v>1.146014280295004</v>
      </c>
      <c r="DK513" s="1998">
        <v>1.1516120417096507</v>
      </c>
      <c r="DL513" s="1998">
        <v>1.1581021998715597</v>
      </c>
      <c r="DM513" s="1998">
        <v>1.1655658817577557</v>
      </c>
      <c r="DN513" s="1998">
        <v>1.1747332301614526</v>
      </c>
      <c r="DO513" s="1979">
        <v>0.9971013691778603</v>
      </c>
      <c r="DP513" s="1979">
        <v>0.99821949132785659</v>
      </c>
      <c r="DQ513" s="1979">
        <v>0.99951572143094947</v>
      </c>
      <c r="DR513" s="1979">
        <v>1.0010296390322719</v>
      </c>
      <c r="DS513" s="1979">
        <v>1.0029096674260711</v>
      </c>
      <c r="DT513" s="1998">
        <v>0.99759453836687695</v>
      </c>
      <c r="DU513" s="1998">
        <v>0.99870854313959367</v>
      </c>
      <c r="DV513" s="1998">
        <v>1</v>
      </c>
      <c r="DW513" s="1998">
        <v>1.0015083427453599</v>
      </c>
      <c r="DX513" s="2026">
        <v>1.0033814481154146</v>
      </c>
      <c r="EA513" s="2022"/>
      <c r="EB513" s="2">
        <v>12</v>
      </c>
      <c r="EC513" s="2" t="s">
        <v>4338</v>
      </c>
      <c r="ED513" s="1979">
        <v>0</v>
      </c>
      <c r="EE513" s="1979">
        <v>0</v>
      </c>
      <c r="EF513" s="1979">
        <v>0</v>
      </c>
      <c r="EG513" s="1979">
        <v>0</v>
      </c>
      <c r="EH513" s="1979">
        <v>0</v>
      </c>
      <c r="EI513" s="1998">
        <v>0</v>
      </c>
      <c r="EJ513" s="1998">
        <v>0</v>
      </c>
      <c r="EK513" s="1998">
        <v>0</v>
      </c>
      <c r="EL513" s="1998">
        <v>0</v>
      </c>
      <c r="EM513" s="1998">
        <v>0</v>
      </c>
      <c r="EN513" s="1979">
        <v>0</v>
      </c>
      <c r="EO513" s="1979">
        <v>0</v>
      </c>
      <c r="EP513" s="1979">
        <v>0</v>
      </c>
      <c r="EQ513" s="1979">
        <v>0</v>
      </c>
      <c r="ER513" s="1979">
        <v>0</v>
      </c>
      <c r="ES513" s="1998">
        <v>0</v>
      </c>
      <c r="ET513" s="1998">
        <v>0</v>
      </c>
      <c r="EU513" s="1998">
        <v>0</v>
      </c>
      <c r="EV513" s="1998">
        <v>0</v>
      </c>
      <c r="EW513" s="1998">
        <v>0</v>
      </c>
      <c r="EX513" s="1979">
        <v>0</v>
      </c>
      <c r="EY513" s="1979">
        <v>0</v>
      </c>
      <c r="EZ513" s="1979">
        <v>0</v>
      </c>
      <c r="FA513" s="1979">
        <v>0</v>
      </c>
      <c r="FB513" s="1979">
        <v>0</v>
      </c>
      <c r="FC513" s="1998">
        <v>0</v>
      </c>
      <c r="FD513" s="1998">
        <v>0</v>
      </c>
      <c r="FE513" s="1998">
        <v>0</v>
      </c>
      <c r="FF513" s="1998">
        <v>0</v>
      </c>
      <c r="FG513" s="1998">
        <v>0</v>
      </c>
      <c r="FH513" s="1979">
        <v>1.1870610064443119</v>
      </c>
      <c r="FI513" s="1979">
        <v>1.1877578602726009</v>
      </c>
      <c r="FJ513" s="1979">
        <v>1.1885658067401823</v>
      </c>
      <c r="FK513" s="1979">
        <v>1.1894949451779011</v>
      </c>
      <c r="FL513" s="1979">
        <v>1.19063616956336</v>
      </c>
      <c r="FM513" s="1998">
        <v>0</v>
      </c>
      <c r="FN513" s="1998">
        <v>0</v>
      </c>
      <c r="FO513" s="1998">
        <v>0</v>
      </c>
      <c r="FP513" s="1998">
        <v>0</v>
      </c>
      <c r="FQ513" s="1998">
        <v>0</v>
      </c>
      <c r="FR513" s="1979">
        <v>9.5154757906161684</v>
      </c>
      <c r="FS513" s="1979">
        <v>9.5210846693574105</v>
      </c>
      <c r="FT513" s="1979">
        <v>9.5275877171733452</v>
      </c>
      <c r="FU513" s="1979">
        <v>9.5350662221616727</v>
      </c>
      <c r="FV513" s="1979">
        <v>9.5442517772016799</v>
      </c>
      <c r="FW513" s="1998">
        <v>9.8915024034678218</v>
      </c>
      <c r="FX513" s="1998">
        <v>9.8971001648824686</v>
      </c>
      <c r="FY513" s="1998">
        <v>9.9035903230443783</v>
      </c>
      <c r="FZ513" s="1998">
        <v>9.9110540049305769</v>
      </c>
      <c r="GA513" s="1998">
        <v>9.92022135333427</v>
      </c>
      <c r="GB513" s="1979">
        <v>1.3209115227940336</v>
      </c>
      <c r="GC513" s="1979">
        <v>1.3220296449440296</v>
      </c>
      <c r="GD513" s="1979">
        <v>1.3233258750471228</v>
      </c>
      <c r="GE513" s="1979">
        <v>1.3248397926484452</v>
      </c>
      <c r="GF513" s="1979">
        <v>1.326719821042244</v>
      </c>
      <c r="GG513" s="1998">
        <v>1.4289016959452807</v>
      </c>
      <c r="GH513" s="1998">
        <v>1.4300157007179974</v>
      </c>
      <c r="GI513" s="1998">
        <v>1.4313071575784038</v>
      </c>
      <c r="GJ513" s="1998">
        <v>1.4328155003237637</v>
      </c>
      <c r="GK513" s="2026">
        <v>1.4346886056938184</v>
      </c>
    </row>
    <row r="514" spans="1:193">
      <c r="A514" s="2020"/>
      <c r="B514" s="2">
        <v>13</v>
      </c>
      <c r="C514" s="2" t="str">
        <f>CONCATENATE($U$8," ",EI$7)</f>
        <v xml:space="preserve">Proportion de fenêtres </v>
      </c>
      <c r="D514" s="1979">
        <f>IF(Construction!$F$31=Construction!$R$22,Oeko!BQ514,Oeko!ED514)</f>
        <v>0</v>
      </c>
      <c r="E514" s="1979">
        <f>IF(Construction!$F$31=Construction!$R$22,Oeko!BR514,Oeko!EE514)</f>
        <v>0</v>
      </c>
      <c r="F514" s="1979">
        <f>IF(Construction!$F$31=Construction!$R$22,Oeko!BS514,Oeko!EF514)</f>
        <v>0</v>
      </c>
      <c r="G514" s="1979">
        <f>IF(Construction!$F$31=Construction!$R$22,Oeko!BT514,Oeko!EG514)</f>
        <v>0</v>
      </c>
      <c r="H514" s="1979">
        <f>IF(Construction!$F$31=Construction!$R$22,Oeko!BU514,Oeko!EH514)</f>
        <v>0</v>
      </c>
      <c r="I514" s="1998">
        <f>IF(Construction!$F$31=Construction!$R$22,Oeko!BV514,Oeko!EI514)</f>
        <v>0</v>
      </c>
      <c r="J514" s="1998">
        <f>IF(Construction!$F$31=Construction!$R$22,Oeko!BW514,Oeko!EJ514)</f>
        <v>0</v>
      </c>
      <c r="K514" s="1998">
        <f>IF(Construction!$F$31=Construction!$R$22,Oeko!BX514,Oeko!EK514)</f>
        <v>0</v>
      </c>
      <c r="L514" s="1998">
        <f>IF(Construction!$F$31=Construction!$R$22,Oeko!BY514,Oeko!EL514)</f>
        <v>0</v>
      </c>
      <c r="M514" s="1998">
        <f>IF(Construction!$F$31=Construction!$R$22,Oeko!BZ514,Oeko!EM514)</f>
        <v>0</v>
      </c>
      <c r="N514" s="1979">
        <f>IF(Construction!$F$31=Construction!$R$22,Oeko!CA514,Oeko!EN514)</f>
        <v>0</v>
      </c>
      <c r="O514" s="1979">
        <f>IF(Construction!$F$31=Construction!$R$22,Oeko!CB514,Oeko!EO514)</f>
        <v>0</v>
      </c>
      <c r="P514" s="1979">
        <f>IF(Construction!$F$31=Construction!$R$22,Oeko!CC514,Oeko!EP514)</f>
        <v>0</v>
      </c>
      <c r="Q514" s="1979">
        <f>IF(Construction!$F$31=Construction!$R$22,Oeko!CD514,Oeko!EQ514)</f>
        <v>0</v>
      </c>
      <c r="R514" s="1979">
        <f>IF(Construction!$F$31=Construction!$R$22,Oeko!CE514,Oeko!ER514)</f>
        <v>0</v>
      </c>
      <c r="S514" s="1998">
        <f>IF(Construction!$F$31=Construction!$R$22,Oeko!CF514,Oeko!ES514)</f>
        <v>0</v>
      </c>
      <c r="T514" s="1998">
        <f>IF(Construction!$F$31=Construction!$R$22,Oeko!CG514,Oeko!ET514)</f>
        <v>0</v>
      </c>
      <c r="U514" s="1998">
        <f>IF(Construction!$F$31=Construction!$R$22,Oeko!CH514,Oeko!EU514)</f>
        <v>0</v>
      </c>
      <c r="V514" s="1998">
        <f>IF(Construction!$F$31=Construction!$R$22,Oeko!CI514,Oeko!EV514)</f>
        <v>0</v>
      </c>
      <c r="W514" s="1998">
        <f>IF(Construction!$F$31=Construction!$R$22,Oeko!CJ514,Oeko!EW514)</f>
        <v>0</v>
      </c>
      <c r="X514" s="1979">
        <f>IF(Construction!$F$31=Construction!$R$22,Oeko!CK514,Oeko!EX514)</f>
        <v>0</v>
      </c>
      <c r="Y514" s="1979">
        <f>IF(Construction!$F$31=Construction!$R$22,Oeko!CL514,Oeko!EY514)</f>
        <v>0</v>
      </c>
      <c r="Z514" s="1979">
        <f>IF(Construction!$F$31=Construction!$R$22,Oeko!CM514,Oeko!EZ514)</f>
        <v>0</v>
      </c>
      <c r="AA514" s="1979">
        <f>IF(Construction!$F$31=Construction!$R$22,Oeko!CN514,Oeko!FA514)</f>
        <v>0</v>
      </c>
      <c r="AB514" s="1979">
        <f>IF(Construction!$F$31=Construction!$R$22,Oeko!CO514,Oeko!FB514)</f>
        <v>0</v>
      </c>
      <c r="AC514" s="1998">
        <f>IF(Construction!$F$31=Construction!$R$22,Oeko!CP514,Oeko!FC514)</f>
        <v>0</v>
      </c>
      <c r="AD514" s="1998">
        <f>IF(Construction!$F$31=Construction!$R$22,Oeko!CQ514,Oeko!FD514)</f>
        <v>0</v>
      </c>
      <c r="AE514" s="1998">
        <f>IF(Construction!$F$31=Construction!$R$22,Oeko!CR514,Oeko!FE514)</f>
        <v>0</v>
      </c>
      <c r="AF514" s="1998">
        <f>IF(Construction!$F$31=Construction!$R$22,Oeko!CS514,Oeko!FF514)</f>
        <v>0</v>
      </c>
      <c r="AG514" s="1998">
        <f>IF(Construction!$F$31=Construction!$R$22,Oeko!CT514,Oeko!FG514)</f>
        <v>0</v>
      </c>
      <c r="AH514" s="1979">
        <f>IF(Construction!$F$31=Construction!$R$22,Oeko!CU514,Oeko!FH514)</f>
        <v>0.13758315524305284</v>
      </c>
      <c r="AI514" s="1979">
        <f>IF(Construction!$F$31=Construction!$R$22,Oeko!CV514,Oeko!FI514)</f>
        <v>0.13828000907134189</v>
      </c>
      <c r="AJ514" s="1979">
        <f>IF(Construction!$F$31=Construction!$R$22,Oeko!CW514,Oeko!FJ514)</f>
        <v>0.13908795553892336</v>
      </c>
      <c r="AK514" s="1979">
        <f>IF(Construction!$F$31=Construction!$R$22,Oeko!CX514,Oeko!FK514)</f>
        <v>0.14001709397664211</v>
      </c>
      <c r="AL514" s="1979">
        <f>IF(Construction!$F$31=Construction!$R$22,Oeko!CY514,Oeko!FL514)</f>
        <v>0.14115831836210097</v>
      </c>
      <c r="AM514" s="1998">
        <f>IF(Construction!$F$31=Construction!$R$22,Oeko!CZ514,Oeko!FM514)</f>
        <v>0</v>
      </c>
      <c r="AN514" s="1998">
        <f>IF(Construction!$F$31=Construction!$R$22,Oeko!DA514,Oeko!FN514)</f>
        <v>0</v>
      </c>
      <c r="AO514" s="1998">
        <f>IF(Construction!$F$31=Construction!$R$22,Oeko!DB514,Oeko!FO514)</f>
        <v>0</v>
      </c>
      <c r="AP514" s="1998">
        <f>IF(Construction!$F$31=Construction!$R$22,Oeko!DC514,Oeko!FP514)</f>
        <v>0</v>
      </c>
      <c r="AQ514" s="1998">
        <f>IF(Construction!$F$31=Construction!$R$22,Oeko!DD514,Oeko!FQ514)</f>
        <v>0</v>
      </c>
      <c r="AR514" s="1979">
        <f>IF(Construction!$F$31=Construction!$R$22,Oeko!DE514,Oeko!FR514)</f>
        <v>1.0208533234313593</v>
      </c>
      <c r="AS514" s="1979">
        <f>IF(Construction!$F$31=Construction!$R$22,Oeko!DF514,Oeko!FS514)</f>
        <v>1.0264622021726031</v>
      </c>
      <c r="AT514" s="1979">
        <f>IF(Construction!$F$31=Construction!$R$22,Oeko!DG514,Oeko!FT514)</f>
        <v>1.0329652499885382</v>
      </c>
      <c r="AU514" s="1979">
        <f>IF(Construction!$F$31=Construction!$R$22,Oeko!DH514,Oeko!FU514)</f>
        <v>1.0404437549768639</v>
      </c>
      <c r="AV514" s="1979">
        <f>IF(Construction!$F$31=Construction!$R$22,Oeko!DI514,Oeko!FV514)</f>
        <v>1.0496293100168721</v>
      </c>
      <c r="AW514" s="1998">
        <f>IF(Construction!$F$31=Construction!$R$22,Oeko!DJ514,Oeko!FW514)</f>
        <v>1.0216614591646436</v>
      </c>
      <c r="AX514" s="1998">
        <f>IF(Construction!$F$31=Construction!$R$22,Oeko!DK514,Oeko!FX514)</f>
        <v>1.0272592205792901</v>
      </c>
      <c r="AY514" s="1998">
        <f>IF(Construction!$F$31=Construction!$R$22,Oeko!DL514,Oeko!FY514)</f>
        <v>1.0337493787411995</v>
      </c>
      <c r="AZ514" s="1998">
        <f>IF(Construction!$F$31=Construction!$R$22,Oeko!DM514,Oeko!FZ514)</f>
        <v>1.0412130606273953</v>
      </c>
      <c r="BA514" s="1998">
        <f>IF(Construction!$F$31=Construction!$R$22,Oeko!DN514,Oeko!GA514)</f>
        <v>1.0503804090310922</v>
      </c>
      <c r="BB514" s="1979">
        <f>IF(Construction!$F$31=Construction!$R$22,Oeko!DO514,Oeko!GB514)</f>
        <v>1.0015954742986486</v>
      </c>
      <c r="BC514" s="1979">
        <f>IF(Construction!$F$31=Construction!$R$22,Oeko!DP514,Oeko!GC514)</f>
        <v>1.0027135964486447</v>
      </c>
      <c r="BD514" s="1979">
        <f>IF(Construction!$F$31=Construction!$R$22,Oeko!DQ514,Oeko!GD514)</f>
        <v>1.0040098265517376</v>
      </c>
      <c r="BE514" s="1979">
        <f>IF(Construction!$F$31=Construction!$R$22,Oeko!DR514,Oeko!GE514)</f>
        <v>1.00552374415306</v>
      </c>
      <c r="BF514" s="1979">
        <f>IF(Construction!$F$31=Construction!$R$22,Oeko!DS514,Oeko!GF514)</f>
        <v>1.007403772546859</v>
      </c>
      <c r="BG514" s="1998">
        <f>IF(Construction!$F$31=Construction!$R$22,Oeko!DT514,Oeko!GG514)</f>
        <v>1.0052720029407589</v>
      </c>
      <c r="BH514" s="1998">
        <f>IF(Construction!$F$31=Construction!$R$22,Oeko!DU514,Oeko!GH514)</f>
        <v>1.0063860077134756</v>
      </c>
      <c r="BI514" s="1998">
        <f>IF(Construction!$F$31=Construction!$R$22,Oeko!DV514,Oeko!GI514)</f>
        <v>1.007677464573882</v>
      </c>
      <c r="BJ514" s="1998">
        <f>IF(Construction!$F$31=Construction!$R$22,Oeko!DW514,Oeko!GJ514)</f>
        <v>1.0091858073192419</v>
      </c>
      <c r="BK514" s="2026">
        <f>IF(Construction!$F$31=Construction!$R$22,Oeko!DX514,Oeko!GK514)</f>
        <v>1.0110589126892966</v>
      </c>
      <c r="BN514" s="2022"/>
      <c r="BO514" s="2">
        <v>13</v>
      </c>
      <c r="BP514" s="2" t="str">
        <f>CONCATENATE($U$8," ",GV$7)</f>
        <v xml:space="preserve">Proportion de fenêtres </v>
      </c>
      <c r="BQ514" s="1979">
        <v>0</v>
      </c>
      <c r="BR514" s="1979">
        <v>0</v>
      </c>
      <c r="BS514" s="1979">
        <v>0</v>
      </c>
      <c r="BT514" s="1979">
        <v>0</v>
      </c>
      <c r="BU514" s="1979">
        <v>0</v>
      </c>
      <c r="BV514" s="1998">
        <v>0</v>
      </c>
      <c r="BW514" s="1998">
        <v>0</v>
      </c>
      <c r="BX514" s="1998">
        <v>0</v>
      </c>
      <c r="BY514" s="1998">
        <v>0</v>
      </c>
      <c r="BZ514" s="1998">
        <v>0</v>
      </c>
      <c r="CA514" s="1979">
        <v>0</v>
      </c>
      <c r="CB514" s="1979">
        <v>0</v>
      </c>
      <c r="CC514" s="1979">
        <v>0</v>
      </c>
      <c r="CD514" s="1979">
        <v>0</v>
      </c>
      <c r="CE514" s="1979">
        <v>0</v>
      </c>
      <c r="CF514" s="1998">
        <v>0</v>
      </c>
      <c r="CG514" s="1998">
        <v>0</v>
      </c>
      <c r="CH514" s="1998">
        <v>0</v>
      </c>
      <c r="CI514" s="1998">
        <v>0</v>
      </c>
      <c r="CJ514" s="1998">
        <v>0</v>
      </c>
      <c r="CK514" s="1979">
        <v>0</v>
      </c>
      <c r="CL514" s="1979">
        <v>0</v>
      </c>
      <c r="CM514" s="1979">
        <v>0</v>
      </c>
      <c r="CN514" s="1979">
        <v>0</v>
      </c>
      <c r="CO514" s="1979">
        <v>0</v>
      </c>
      <c r="CP514" s="1998">
        <v>0</v>
      </c>
      <c r="CQ514" s="1998">
        <v>0</v>
      </c>
      <c r="CR514" s="1998">
        <v>0</v>
      </c>
      <c r="CS514" s="1998">
        <v>0</v>
      </c>
      <c r="CT514" s="1998">
        <v>0</v>
      </c>
      <c r="CU514" s="1979">
        <v>0.13758315524305284</v>
      </c>
      <c r="CV514" s="1979">
        <v>0.13828000907134189</v>
      </c>
      <c r="CW514" s="1979">
        <v>0.13908795553892336</v>
      </c>
      <c r="CX514" s="1979">
        <v>0.14001709397664211</v>
      </c>
      <c r="CY514" s="1979">
        <v>0.14115831836210097</v>
      </c>
      <c r="CZ514" s="1998">
        <v>0</v>
      </c>
      <c r="DA514" s="1998">
        <v>0</v>
      </c>
      <c r="DB514" s="1998">
        <v>0</v>
      </c>
      <c r="DC514" s="1998">
        <v>0</v>
      </c>
      <c r="DD514" s="1998">
        <v>0</v>
      </c>
      <c r="DE514" s="1979">
        <v>1.0208533234313593</v>
      </c>
      <c r="DF514" s="1979">
        <v>1.0264622021726031</v>
      </c>
      <c r="DG514" s="1979">
        <v>1.0329652499885382</v>
      </c>
      <c r="DH514" s="1979">
        <v>1.0404437549768639</v>
      </c>
      <c r="DI514" s="1979">
        <v>1.0496293100168721</v>
      </c>
      <c r="DJ514" s="1998">
        <v>1.0216614591646436</v>
      </c>
      <c r="DK514" s="1998">
        <v>1.0272592205792901</v>
      </c>
      <c r="DL514" s="1998">
        <v>1.0337493787411995</v>
      </c>
      <c r="DM514" s="1998">
        <v>1.0412130606273953</v>
      </c>
      <c r="DN514" s="1998">
        <v>1.0503804090310922</v>
      </c>
      <c r="DO514" s="1979">
        <v>1.0015954742986486</v>
      </c>
      <c r="DP514" s="1979">
        <v>1.0027135964486447</v>
      </c>
      <c r="DQ514" s="1979">
        <v>1.0040098265517376</v>
      </c>
      <c r="DR514" s="1979">
        <v>1.00552374415306</v>
      </c>
      <c r="DS514" s="1979">
        <v>1.007403772546859</v>
      </c>
      <c r="DT514" s="1998">
        <v>1.0052720029407589</v>
      </c>
      <c r="DU514" s="1998">
        <v>1.0063860077134756</v>
      </c>
      <c r="DV514" s="1998">
        <v>1.007677464573882</v>
      </c>
      <c r="DW514" s="1998">
        <v>1.0091858073192419</v>
      </c>
      <c r="DX514" s="2026">
        <v>1.0110589126892966</v>
      </c>
      <c r="EA514" s="2022"/>
      <c r="EB514" s="2">
        <v>13</v>
      </c>
      <c r="EC514" s="2" t="str">
        <f>CONCATENATE($U$8," ",JI$7)</f>
        <v xml:space="preserve">Proportion de fenêtres </v>
      </c>
      <c r="ED514" s="1979">
        <v>0</v>
      </c>
      <c r="EE514" s="1979">
        <v>0</v>
      </c>
      <c r="EF514" s="1979">
        <v>0</v>
      </c>
      <c r="EG514" s="1979">
        <v>0</v>
      </c>
      <c r="EH514" s="1979">
        <v>0</v>
      </c>
      <c r="EI514" s="1998">
        <v>0</v>
      </c>
      <c r="EJ514" s="1998">
        <v>0</v>
      </c>
      <c r="EK514" s="1998">
        <v>0</v>
      </c>
      <c r="EL514" s="1998">
        <v>0</v>
      </c>
      <c r="EM514" s="1998">
        <v>0</v>
      </c>
      <c r="EN514" s="1979">
        <v>0</v>
      </c>
      <c r="EO514" s="1979">
        <v>0</v>
      </c>
      <c r="EP514" s="1979">
        <v>0</v>
      </c>
      <c r="EQ514" s="1979">
        <v>0</v>
      </c>
      <c r="ER514" s="1979">
        <v>0</v>
      </c>
      <c r="ES514" s="1998">
        <v>0</v>
      </c>
      <c r="ET514" s="1998">
        <v>0</v>
      </c>
      <c r="EU514" s="1998">
        <v>0</v>
      </c>
      <c r="EV514" s="1998">
        <v>0</v>
      </c>
      <c r="EW514" s="1998">
        <v>0</v>
      </c>
      <c r="EX514" s="1979">
        <v>0</v>
      </c>
      <c r="EY514" s="1979">
        <v>0</v>
      </c>
      <c r="EZ514" s="1979">
        <v>0</v>
      </c>
      <c r="FA514" s="1979">
        <v>0</v>
      </c>
      <c r="FB514" s="1979">
        <v>0</v>
      </c>
      <c r="FC514" s="1998">
        <v>0</v>
      </c>
      <c r="FD514" s="1998">
        <v>0</v>
      </c>
      <c r="FE514" s="1998">
        <v>0</v>
      </c>
      <c r="FF514" s="1998">
        <v>0</v>
      </c>
      <c r="FG514" s="1998">
        <v>0</v>
      </c>
      <c r="FH514" s="1979">
        <v>1.0914649535314553</v>
      </c>
      <c r="FI514" s="1979">
        <v>1.0921618073597443</v>
      </c>
      <c r="FJ514" s="1979">
        <v>1.092969753827326</v>
      </c>
      <c r="FK514" s="1979">
        <v>1.0938988922650448</v>
      </c>
      <c r="FL514" s="1979">
        <v>1.0950401166505035</v>
      </c>
      <c r="FM514" s="1998">
        <v>0</v>
      </c>
      <c r="FN514" s="1998">
        <v>0</v>
      </c>
      <c r="FO514" s="1998">
        <v>0</v>
      </c>
      <c r="FP514" s="1998">
        <v>0</v>
      </c>
      <c r="FQ514" s="1998">
        <v>0</v>
      </c>
      <c r="FR514" s="1979">
        <v>8.1406745806590877</v>
      </c>
      <c r="FS514" s="1979">
        <v>8.1462834594003315</v>
      </c>
      <c r="FT514" s="1979">
        <v>8.1527865072162697</v>
      </c>
      <c r="FU514" s="1979">
        <v>8.1602650122045937</v>
      </c>
      <c r="FV514" s="1979">
        <v>8.1694505672446009</v>
      </c>
      <c r="FW514" s="1998">
        <v>8.5015687407651424</v>
      </c>
      <c r="FX514" s="1998">
        <v>8.5071665021797891</v>
      </c>
      <c r="FY514" s="1998">
        <v>8.5136566603416988</v>
      </c>
      <c r="FZ514" s="1998">
        <v>8.5211203422278938</v>
      </c>
      <c r="GA514" s="1998">
        <v>8.5302876906315923</v>
      </c>
      <c r="GB514" s="1979">
        <v>1.387743411498684</v>
      </c>
      <c r="GC514" s="1979">
        <v>1.3888615336486803</v>
      </c>
      <c r="GD514" s="1979">
        <v>1.3901577637517732</v>
      </c>
      <c r="GE514" s="1979">
        <v>1.3916716813530958</v>
      </c>
      <c r="GF514" s="1979">
        <v>1.3935517097468946</v>
      </c>
      <c r="GG514" s="1998">
        <v>1.4365791605191627</v>
      </c>
      <c r="GH514" s="1998">
        <v>1.4376931652918796</v>
      </c>
      <c r="GI514" s="1998">
        <v>1.438984622152286</v>
      </c>
      <c r="GJ514" s="1998">
        <v>1.4404929648976457</v>
      </c>
      <c r="GK514" s="2026">
        <v>1.4423660702677004</v>
      </c>
    </row>
    <row r="515" spans="1:193">
      <c r="A515" s="2020"/>
      <c r="B515" s="2">
        <v>14</v>
      </c>
      <c r="C515" s="2" t="str">
        <f>CONCATENATE($U$8," ",EI$8)</f>
        <v xml:space="preserve">Proportion de fenêtres </v>
      </c>
      <c r="D515" s="1979">
        <f>IF(Construction!$F$31=Construction!$R$22,Oeko!BQ515,Oeko!ED515)</f>
        <v>0</v>
      </c>
      <c r="E515" s="1979">
        <f>IF(Construction!$F$31=Construction!$R$22,Oeko!BR515,Oeko!EE515)</f>
        <v>0</v>
      </c>
      <c r="F515" s="1979">
        <f>IF(Construction!$F$31=Construction!$R$22,Oeko!BS515,Oeko!EF515)</f>
        <v>0</v>
      </c>
      <c r="G515" s="1979">
        <f>IF(Construction!$F$31=Construction!$R$22,Oeko!BT515,Oeko!EG515)</f>
        <v>0</v>
      </c>
      <c r="H515" s="1979">
        <f>IF(Construction!$F$31=Construction!$R$22,Oeko!BU515,Oeko!EH515)</f>
        <v>0</v>
      </c>
      <c r="I515" s="1998">
        <f>IF(Construction!$F$31=Construction!$R$22,Oeko!BV515,Oeko!EI515)</f>
        <v>0</v>
      </c>
      <c r="J515" s="1998">
        <f>IF(Construction!$F$31=Construction!$R$22,Oeko!BW515,Oeko!EJ515)</f>
        <v>0</v>
      </c>
      <c r="K515" s="1998">
        <f>IF(Construction!$F$31=Construction!$R$22,Oeko!BX515,Oeko!EK515)</f>
        <v>0</v>
      </c>
      <c r="L515" s="1998">
        <f>IF(Construction!$F$31=Construction!$R$22,Oeko!BY515,Oeko!EL515)</f>
        <v>0</v>
      </c>
      <c r="M515" s="1998">
        <f>IF(Construction!$F$31=Construction!$R$22,Oeko!BZ515,Oeko!EM515)</f>
        <v>0</v>
      </c>
      <c r="N515" s="1979">
        <f>IF(Construction!$F$31=Construction!$R$22,Oeko!CA515,Oeko!EN515)</f>
        <v>0</v>
      </c>
      <c r="O515" s="1979">
        <f>IF(Construction!$F$31=Construction!$R$22,Oeko!CB515,Oeko!EO515)</f>
        <v>0</v>
      </c>
      <c r="P515" s="1979">
        <f>IF(Construction!$F$31=Construction!$R$22,Oeko!CC515,Oeko!EP515)</f>
        <v>0</v>
      </c>
      <c r="Q515" s="1979">
        <f>IF(Construction!$F$31=Construction!$R$22,Oeko!CD515,Oeko!EQ515)</f>
        <v>0</v>
      </c>
      <c r="R515" s="1979">
        <f>IF(Construction!$F$31=Construction!$R$22,Oeko!CE515,Oeko!ER515)</f>
        <v>0</v>
      </c>
      <c r="S515" s="1998">
        <f>IF(Construction!$F$31=Construction!$R$22,Oeko!CF515,Oeko!ES515)</f>
        <v>0</v>
      </c>
      <c r="T515" s="1998">
        <f>IF(Construction!$F$31=Construction!$R$22,Oeko!CG515,Oeko!ET515)</f>
        <v>0</v>
      </c>
      <c r="U515" s="1998">
        <f>IF(Construction!$F$31=Construction!$R$22,Oeko!CH515,Oeko!EU515)</f>
        <v>0</v>
      </c>
      <c r="V515" s="1998">
        <f>IF(Construction!$F$31=Construction!$R$22,Oeko!CI515,Oeko!EV515)</f>
        <v>0</v>
      </c>
      <c r="W515" s="1998">
        <f>IF(Construction!$F$31=Construction!$R$22,Oeko!CJ515,Oeko!EW515)</f>
        <v>0</v>
      </c>
      <c r="X515" s="1979">
        <f>IF(Construction!$F$31=Construction!$R$22,Oeko!CK515,Oeko!EX515)</f>
        <v>0</v>
      </c>
      <c r="Y515" s="1979">
        <f>IF(Construction!$F$31=Construction!$R$22,Oeko!CL515,Oeko!EY515)</f>
        <v>0</v>
      </c>
      <c r="Z515" s="1979">
        <f>IF(Construction!$F$31=Construction!$R$22,Oeko!CM515,Oeko!EZ515)</f>
        <v>0</v>
      </c>
      <c r="AA515" s="1979">
        <f>IF(Construction!$F$31=Construction!$R$22,Oeko!CN515,Oeko!FA515)</f>
        <v>0</v>
      </c>
      <c r="AB515" s="1979">
        <f>IF(Construction!$F$31=Construction!$R$22,Oeko!CO515,Oeko!FB515)</f>
        <v>0</v>
      </c>
      <c r="AC515" s="1998">
        <f>IF(Construction!$F$31=Construction!$R$22,Oeko!CP515,Oeko!FC515)</f>
        <v>0</v>
      </c>
      <c r="AD515" s="1998">
        <f>IF(Construction!$F$31=Construction!$R$22,Oeko!CQ515,Oeko!FD515)</f>
        <v>0</v>
      </c>
      <c r="AE515" s="1998">
        <f>IF(Construction!$F$31=Construction!$R$22,Oeko!CR515,Oeko!FE515)</f>
        <v>0</v>
      </c>
      <c r="AF515" s="1998">
        <f>IF(Construction!$F$31=Construction!$R$22,Oeko!CS515,Oeko!FF515)</f>
        <v>0</v>
      </c>
      <c r="AG515" s="1998">
        <f>IF(Construction!$F$31=Construction!$R$22,Oeko!CT515,Oeko!FG515)</f>
        <v>0</v>
      </c>
      <c r="AH515" s="1979">
        <f>IF(Construction!$F$31=Construction!$R$22,Oeko!CU515,Oeko!FH515)</f>
        <v>0.13564442998362908</v>
      </c>
      <c r="AI515" s="1979">
        <f>IF(Construction!$F$31=Construction!$R$22,Oeko!CV515,Oeko!FI515)</f>
        <v>0.13634128381191812</v>
      </c>
      <c r="AJ515" s="1979">
        <f>IF(Construction!$F$31=Construction!$R$22,Oeko!CW515,Oeko!FJ515)</f>
        <v>0.13714923027949963</v>
      </c>
      <c r="AK515" s="1979">
        <f>IF(Construction!$F$31=Construction!$R$22,Oeko!CX515,Oeko!FK515)</f>
        <v>0.13807836871721832</v>
      </c>
      <c r="AL515" s="1979">
        <f>IF(Construction!$F$31=Construction!$R$22,Oeko!CY515,Oeko!FL515)</f>
        <v>0.1392195931026772</v>
      </c>
      <c r="AM515" s="1998">
        <f>IF(Construction!$F$31=Construction!$R$22,Oeko!CZ515,Oeko!FM515)</f>
        <v>0</v>
      </c>
      <c r="AN515" s="1998">
        <f>IF(Construction!$F$31=Construction!$R$22,Oeko!DA515,Oeko!FN515)</f>
        <v>0</v>
      </c>
      <c r="AO515" s="1998">
        <f>IF(Construction!$F$31=Construction!$R$22,Oeko!DB515,Oeko!FO515)</f>
        <v>0</v>
      </c>
      <c r="AP515" s="1998">
        <f>IF(Construction!$F$31=Construction!$R$22,Oeko!DC515,Oeko!FP515)</f>
        <v>0</v>
      </c>
      <c r="AQ515" s="1998">
        <f>IF(Construction!$F$31=Construction!$R$22,Oeko!DD515,Oeko!FQ515)</f>
        <v>0</v>
      </c>
      <c r="AR515" s="1979">
        <f>IF(Construction!$F$31=Construction!$R$22,Oeko!DE515,Oeko!FR515)</f>
        <v>1.0139022156209063</v>
      </c>
      <c r="AS515" s="1979">
        <f>IF(Construction!$F$31=Construction!$R$22,Oeko!DF515,Oeko!FS515)</f>
        <v>1.0195110943621501</v>
      </c>
      <c r="AT515" s="1979">
        <f>IF(Construction!$F$31=Construction!$R$22,Oeko!DG515,Oeko!FT515)</f>
        <v>1.0260141421780853</v>
      </c>
      <c r="AU515" s="1979">
        <f>IF(Construction!$F$31=Construction!$R$22,Oeko!DH515,Oeko!FU515)</f>
        <v>1.0334926471664108</v>
      </c>
      <c r="AV515" s="1979">
        <f>IF(Construction!$F$31=Construction!$R$22,Oeko!DI515,Oeko!FV515)</f>
        <v>1.0426782022064192</v>
      </c>
      <c r="AW515" s="1998">
        <f>IF(Construction!$F$31=Construction!$R$22,Oeko!DJ515,Oeko!FW515)</f>
        <v>1.014440972776429</v>
      </c>
      <c r="AX515" s="1998">
        <f>IF(Construction!$F$31=Construction!$R$22,Oeko!DK515,Oeko!FX515)</f>
        <v>1.0200387341910759</v>
      </c>
      <c r="AY515" s="1998">
        <f>IF(Construction!$F$31=Construction!$R$22,Oeko!DL515,Oeko!FY515)</f>
        <v>1.0265288923529852</v>
      </c>
      <c r="AZ515" s="1998">
        <f>IF(Construction!$F$31=Construction!$R$22,Oeko!DM515,Oeko!FZ515)</f>
        <v>1.0339925742391809</v>
      </c>
      <c r="BA515" s="1998">
        <f>IF(Construction!$F$31=Construction!$R$22,Oeko!DN515,Oeko!GA515)</f>
        <v>1.0431599226428778</v>
      </c>
      <c r="BB515" s="1979">
        <f>IF(Construction!$F$31=Construction!$R$22,Oeko!DO515,Oeko!GB515)</f>
        <v>1.0007935089883011</v>
      </c>
      <c r="BC515" s="1979">
        <f>IF(Construction!$F$31=Construction!$R$22,Oeko!DP515,Oeko!GC515)</f>
        <v>1.0019116311382972</v>
      </c>
      <c r="BD515" s="1979">
        <f>IF(Construction!$F$31=Construction!$R$22,Oeko!DQ515,Oeko!GD515)</f>
        <v>1.0032078612413902</v>
      </c>
      <c r="BE515" s="1979">
        <f>IF(Construction!$F$31=Construction!$R$22,Oeko!DR515,Oeko!GE515)</f>
        <v>1.0047217788427125</v>
      </c>
      <c r="BF515" s="1979">
        <f>IF(Construction!$F$31=Construction!$R$22,Oeko!DS515,Oeko!GF515)</f>
        <v>1.0066018072365115</v>
      </c>
      <c r="BG515" s="1998">
        <f>IF(Construction!$F$31=Construction!$R$22,Oeko!DT515,Oeko!GG515)</f>
        <v>1.0037365100259827</v>
      </c>
      <c r="BH515" s="1998">
        <f>IF(Construction!$F$31=Construction!$R$22,Oeko!DU515,Oeko!GH515)</f>
        <v>1.0048505147986992</v>
      </c>
      <c r="BI515" s="1998">
        <f>IF(Construction!$F$31=Construction!$R$22,Oeko!DV515,Oeko!GI515)</f>
        <v>1.0061419716591056</v>
      </c>
      <c r="BJ515" s="1998">
        <f>IF(Construction!$F$31=Construction!$R$22,Oeko!DW515,Oeko!GJ515)</f>
        <v>1.0076503144044655</v>
      </c>
      <c r="BK515" s="2026">
        <f>IF(Construction!$F$31=Construction!$R$22,Oeko!DX515,Oeko!GK515)</f>
        <v>1.0095234197745202</v>
      </c>
      <c r="BN515" s="2022"/>
      <c r="BO515" s="2">
        <v>14</v>
      </c>
      <c r="BP515" s="2" t="str">
        <f>CONCATENATE($U$8," ",GV$8)</f>
        <v xml:space="preserve">Proportion de fenêtres </v>
      </c>
      <c r="BQ515" s="1979">
        <v>0</v>
      </c>
      <c r="BR515" s="1979">
        <v>0</v>
      </c>
      <c r="BS515" s="1979">
        <v>0</v>
      </c>
      <c r="BT515" s="1979">
        <v>0</v>
      </c>
      <c r="BU515" s="1979">
        <v>0</v>
      </c>
      <c r="BV515" s="1998">
        <v>0</v>
      </c>
      <c r="BW515" s="1998">
        <v>0</v>
      </c>
      <c r="BX515" s="1998">
        <v>0</v>
      </c>
      <c r="BY515" s="1998">
        <v>0</v>
      </c>
      <c r="BZ515" s="1998">
        <v>0</v>
      </c>
      <c r="CA515" s="1979">
        <v>0</v>
      </c>
      <c r="CB515" s="1979">
        <v>0</v>
      </c>
      <c r="CC515" s="1979">
        <v>0</v>
      </c>
      <c r="CD515" s="1979">
        <v>0</v>
      </c>
      <c r="CE515" s="1979">
        <v>0</v>
      </c>
      <c r="CF515" s="1998">
        <v>0</v>
      </c>
      <c r="CG515" s="1998">
        <v>0</v>
      </c>
      <c r="CH515" s="1998">
        <v>0</v>
      </c>
      <c r="CI515" s="1998">
        <v>0</v>
      </c>
      <c r="CJ515" s="1998">
        <v>0</v>
      </c>
      <c r="CK515" s="1979">
        <v>0</v>
      </c>
      <c r="CL515" s="1979">
        <v>0</v>
      </c>
      <c r="CM515" s="1979">
        <v>0</v>
      </c>
      <c r="CN515" s="1979">
        <v>0</v>
      </c>
      <c r="CO515" s="1979">
        <v>0</v>
      </c>
      <c r="CP515" s="1998">
        <v>0</v>
      </c>
      <c r="CQ515" s="1998">
        <v>0</v>
      </c>
      <c r="CR515" s="1998">
        <v>0</v>
      </c>
      <c r="CS515" s="1998">
        <v>0</v>
      </c>
      <c r="CT515" s="1998">
        <v>0</v>
      </c>
      <c r="CU515" s="1979">
        <v>0.13564442998362908</v>
      </c>
      <c r="CV515" s="1979">
        <v>0.13634128381191812</v>
      </c>
      <c r="CW515" s="1979">
        <v>0.13714923027949963</v>
      </c>
      <c r="CX515" s="1979">
        <v>0.13807836871721832</v>
      </c>
      <c r="CY515" s="1979">
        <v>0.1392195931026772</v>
      </c>
      <c r="CZ515" s="1998">
        <v>0</v>
      </c>
      <c r="DA515" s="1998">
        <v>0</v>
      </c>
      <c r="DB515" s="1998">
        <v>0</v>
      </c>
      <c r="DC515" s="1998">
        <v>0</v>
      </c>
      <c r="DD515" s="1998">
        <v>0</v>
      </c>
      <c r="DE515" s="1979">
        <v>1.0139022156209063</v>
      </c>
      <c r="DF515" s="1979">
        <v>1.0195110943621501</v>
      </c>
      <c r="DG515" s="1979">
        <v>1.0260141421780853</v>
      </c>
      <c r="DH515" s="1979">
        <v>1.0334926471664108</v>
      </c>
      <c r="DI515" s="1979">
        <v>1.0426782022064192</v>
      </c>
      <c r="DJ515" s="1998">
        <v>1.014440972776429</v>
      </c>
      <c r="DK515" s="1998">
        <v>1.0200387341910759</v>
      </c>
      <c r="DL515" s="1998">
        <v>1.0265288923529852</v>
      </c>
      <c r="DM515" s="1998">
        <v>1.0339925742391809</v>
      </c>
      <c r="DN515" s="1998">
        <v>1.0431599226428778</v>
      </c>
      <c r="DO515" s="1979">
        <v>1.0007935089883011</v>
      </c>
      <c r="DP515" s="1979">
        <v>1.0019116311382972</v>
      </c>
      <c r="DQ515" s="1979">
        <v>1.0032078612413902</v>
      </c>
      <c r="DR515" s="1979">
        <v>1.0047217788427125</v>
      </c>
      <c r="DS515" s="1979">
        <v>1.0066018072365115</v>
      </c>
      <c r="DT515" s="1998">
        <v>1.0037365100259827</v>
      </c>
      <c r="DU515" s="1998">
        <v>1.0048505147986992</v>
      </c>
      <c r="DV515" s="1998">
        <v>1.0061419716591056</v>
      </c>
      <c r="DW515" s="1998">
        <v>1.0076503144044655</v>
      </c>
      <c r="DX515" s="2026">
        <v>1.0095234197745202</v>
      </c>
      <c r="EA515" s="2022"/>
      <c r="EB515" s="2">
        <v>14</v>
      </c>
      <c r="EC515" s="2" t="str">
        <f>CONCATENATE($U$8," ",JI$8)</f>
        <v xml:space="preserve">Proportion de fenêtres </v>
      </c>
      <c r="ED515" s="1979">
        <v>0</v>
      </c>
      <c r="EE515" s="1979">
        <v>0</v>
      </c>
      <c r="EF515" s="1979">
        <v>0</v>
      </c>
      <c r="EG515" s="1979">
        <v>0</v>
      </c>
      <c r="EH515" s="1979">
        <v>0</v>
      </c>
      <c r="EI515" s="1998">
        <v>0</v>
      </c>
      <c r="EJ515" s="1998">
        <v>0</v>
      </c>
      <c r="EK515" s="1998">
        <v>0</v>
      </c>
      <c r="EL515" s="1998">
        <v>0</v>
      </c>
      <c r="EM515" s="1998">
        <v>0</v>
      </c>
      <c r="EN515" s="1979">
        <v>0</v>
      </c>
      <c r="EO515" s="1979">
        <v>0</v>
      </c>
      <c r="EP515" s="1979">
        <v>0</v>
      </c>
      <c r="EQ515" s="1979">
        <v>0</v>
      </c>
      <c r="ER515" s="1979">
        <v>0</v>
      </c>
      <c r="ES515" s="1998">
        <v>0</v>
      </c>
      <c r="ET515" s="1998">
        <v>0</v>
      </c>
      <c r="EU515" s="1998">
        <v>0</v>
      </c>
      <c r="EV515" s="1998">
        <v>0</v>
      </c>
      <c r="EW515" s="1998">
        <v>0</v>
      </c>
      <c r="EX515" s="1979">
        <v>0</v>
      </c>
      <c r="EY515" s="1979">
        <v>0</v>
      </c>
      <c r="EZ515" s="1979">
        <v>0</v>
      </c>
      <c r="FA515" s="1979">
        <v>0</v>
      </c>
      <c r="FB515" s="1979">
        <v>0</v>
      </c>
      <c r="FC515" s="1998">
        <v>0</v>
      </c>
      <c r="FD515" s="1998">
        <v>0</v>
      </c>
      <c r="FE515" s="1998">
        <v>0</v>
      </c>
      <c r="FF515" s="1998">
        <v>0</v>
      </c>
      <c r="FG515" s="1998">
        <v>0</v>
      </c>
      <c r="FH515" s="1979">
        <v>1.0895262282720315</v>
      </c>
      <c r="FI515" s="1979">
        <v>1.0902230821003207</v>
      </c>
      <c r="FJ515" s="1979">
        <v>1.0910310285679019</v>
      </c>
      <c r="FK515" s="1979">
        <v>1.0919601670056209</v>
      </c>
      <c r="FL515" s="1979">
        <v>1.0931013913910799</v>
      </c>
      <c r="FM515" s="1998">
        <v>0</v>
      </c>
      <c r="FN515" s="1998">
        <v>0</v>
      </c>
      <c r="FO515" s="1998">
        <v>0</v>
      </c>
      <c r="FP515" s="1998">
        <v>0</v>
      </c>
      <c r="FQ515" s="1998">
        <v>0</v>
      </c>
      <c r="FR515" s="1979">
        <v>8.1337234728486365</v>
      </c>
      <c r="FS515" s="1979">
        <v>8.1393323515898803</v>
      </c>
      <c r="FT515" s="1979">
        <v>8.145835399405815</v>
      </c>
      <c r="FU515" s="1979">
        <v>8.1533139043941407</v>
      </c>
      <c r="FV515" s="1979">
        <v>8.1624994594341498</v>
      </c>
      <c r="FW515" s="1998">
        <v>8.4943482543769271</v>
      </c>
      <c r="FX515" s="1998">
        <v>8.4999460157915738</v>
      </c>
      <c r="FY515" s="1998">
        <v>8.5064361739534835</v>
      </c>
      <c r="FZ515" s="1998">
        <v>8.5138998558396803</v>
      </c>
      <c r="GA515" s="1998">
        <v>8.523067204243377</v>
      </c>
      <c r="GB515" s="1979">
        <v>1.3869414461883363</v>
      </c>
      <c r="GC515" s="1979">
        <v>1.3880595683383326</v>
      </c>
      <c r="GD515" s="1979">
        <v>1.3893557984414258</v>
      </c>
      <c r="GE515" s="1979">
        <v>1.3908697160427481</v>
      </c>
      <c r="GF515" s="1979">
        <v>1.3927497444365471</v>
      </c>
      <c r="GG515" s="1998">
        <v>1.4350436676043865</v>
      </c>
      <c r="GH515" s="1998">
        <v>1.4361576723771032</v>
      </c>
      <c r="GI515" s="1998">
        <v>1.4374491292375093</v>
      </c>
      <c r="GJ515" s="1998">
        <v>1.4389574719828695</v>
      </c>
      <c r="GK515" s="2026">
        <v>1.440830577352924</v>
      </c>
    </row>
    <row r="516" spans="1:193">
      <c r="A516" s="2020"/>
      <c r="B516" s="2">
        <v>15</v>
      </c>
      <c r="C516" s="2" t="str">
        <f>CONCATENATE($U$8," ",EI$9)</f>
        <v xml:space="preserve">Proportion de fenêtres </v>
      </c>
      <c r="D516" s="1979">
        <f>IF(Construction!$F$31=Construction!$R$22,Oeko!BQ516,Oeko!ED516)</f>
        <v>0</v>
      </c>
      <c r="E516" s="1979">
        <f>IF(Construction!$F$31=Construction!$R$22,Oeko!BR516,Oeko!EE516)</f>
        <v>0</v>
      </c>
      <c r="F516" s="1979">
        <f>IF(Construction!$F$31=Construction!$R$22,Oeko!BS516,Oeko!EF516)</f>
        <v>0</v>
      </c>
      <c r="G516" s="1979">
        <f>IF(Construction!$F$31=Construction!$R$22,Oeko!BT516,Oeko!EG516)</f>
        <v>0</v>
      </c>
      <c r="H516" s="1979">
        <f>IF(Construction!$F$31=Construction!$R$22,Oeko!BU516,Oeko!EH516)</f>
        <v>0</v>
      </c>
      <c r="I516" s="1998">
        <f>IF(Construction!$F$31=Construction!$R$22,Oeko!BV516,Oeko!EI516)</f>
        <v>0</v>
      </c>
      <c r="J516" s="1998">
        <f>IF(Construction!$F$31=Construction!$R$22,Oeko!BW516,Oeko!EJ516)</f>
        <v>0</v>
      </c>
      <c r="K516" s="1998">
        <f>IF(Construction!$F$31=Construction!$R$22,Oeko!BX516,Oeko!EK516)</f>
        <v>0</v>
      </c>
      <c r="L516" s="1998">
        <f>IF(Construction!$F$31=Construction!$R$22,Oeko!BY516,Oeko!EL516)</f>
        <v>0</v>
      </c>
      <c r="M516" s="1998">
        <f>IF(Construction!$F$31=Construction!$R$22,Oeko!BZ516,Oeko!EM516)</f>
        <v>0</v>
      </c>
      <c r="N516" s="1979">
        <f>IF(Construction!$F$31=Construction!$R$22,Oeko!CA516,Oeko!EN516)</f>
        <v>0</v>
      </c>
      <c r="O516" s="1979">
        <f>IF(Construction!$F$31=Construction!$R$22,Oeko!CB516,Oeko!EO516)</f>
        <v>0</v>
      </c>
      <c r="P516" s="1979">
        <f>IF(Construction!$F$31=Construction!$R$22,Oeko!CC516,Oeko!EP516)</f>
        <v>0</v>
      </c>
      <c r="Q516" s="1979">
        <f>IF(Construction!$F$31=Construction!$R$22,Oeko!CD516,Oeko!EQ516)</f>
        <v>0</v>
      </c>
      <c r="R516" s="1979">
        <f>IF(Construction!$F$31=Construction!$R$22,Oeko!CE516,Oeko!ER516)</f>
        <v>0</v>
      </c>
      <c r="S516" s="1998">
        <f>IF(Construction!$F$31=Construction!$R$22,Oeko!CF516,Oeko!ES516)</f>
        <v>0</v>
      </c>
      <c r="T516" s="1998">
        <f>IF(Construction!$F$31=Construction!$R$22,Oeko!CG516,Oeko!ET516)</f>
        <v>0</v>
      </c>
      <c r="U516" s="1998">
        <f>IF(Construction!$F$31=Construction!$R$22,Oeko!CH516,Oeko!EU516)</f>
        <v>0</v>
      </c>
      <c r="V516" s="1998">
        <f>IF(Construction!$F$31=Construction!$R$22,Oeko!CI516,Oeko!EV516)</f>
        <v>0</v>
      </c>
      <c r="W516" s="1998">
        <f>IF(Construction!$F$31=Construction!$R$22,Oeko!CJ516,Oeko!EW516)</f>
        <v>0</v>
      </c>
      <c r="X516" s="1979">
        <f>IF(Construction!$F$31=Construction!$R$22,Oeko!CK516,Oeko!EX516)</f>
        <v>0</v>
      </c>
      <c r="Y516" s="1979">
        <f>IF(Construction!$F$31=Construction!$R$22,Oeko!CL516,Oeko!EY516)</f>
        <v>0</v>
      </c>
      <c r="Z516" s="1979">
        <f>IF(Construction!$F$31=Construction!$R$22,Oeko!CM516,Oeko!EZ516)</f>
        <v>0</v>
      </c>
      <c r="AA516" s="1979">
        <f>IF(Construction!$F$31=Construction!$R$22,Oeko!CN516,Oeko!FA516)</f>
        <v>0</v>
      </c>
      <c r="AB516" s="1979">
        <f>IF(Construction!$F$31=Construction!$R$22,Oeko!CO516,Oeko!FB516)</f>
        <v>0</v>
      </c>
      <c r="AC516" s="1998">
        <f>IF(Construction!$F$31=Construction!$R$22,Oeko!CP516,Oeko!FC516)</f>
        <v>0</v>
      </c>
      <c r="AD516" s="1998">
        <f>IF(Construction!$F$31=Construction!$R$22,Oeko!CQ516,Oeko!FD516)</f>
        <v>0</v>
      </c>
      <c r="AE516" s="1998">
        <f>IF(Construction!$F$31=Construction!$R$22,Oeko!CR516,Oeko!FE516)</f>
        <v>0</v>
      </c>
      <c r="AF516" s="1998">
        <f>IF(Construction!$F$31=Construction!$R$22,Oeko!CS516,Oeko!FF516)</f>
        <v>0</v>
      </c>
      <c r="AG516" s="1998">
        <f>IF(Construction!$F$31=Construction!$R$22,Oeko!CT516,Oeko!FG516)</f>
        <v>0</v>
      </c>
      <c r="AH516" s="1979">
        <f>IF(Construction!$F$31=Construction!$R$22,Oeko!CU516,Oeko!FH516)</f>
        <v>0.13370570472420532</v>
      </c>
      <c r="AI516" s="1979">
        <f>IF(Construction!$F$31=Construction!$R$22,Oeko!CV516,Oeko!FI516)</f>
        <v>0.13440255855249436</v>
      </c>
      <c r="AJ516" s="1979">
        <f>IF(Construction!$F$31=Construction!$R$22,Oeko!CW516,Oeko!FJ516)</f>
        <v>0.13521050502007587</v>
      </c>
      <c r="AK516" s="1979">
        <f>IF(Construction!$F$31=Construction!$R$22,Oeko!CX516,Oeko!FK516)</f>
        <v>0.13613964345779458</v>
      </c>
      <c r="AL516" s="1979">
        <f>IF(Construction!$F$31=Construction!$R$22,Oeko!CY516,Oeko!FL516)</f>
        <v>0.13728086784325344</v>
      </c>
      <c r="AM516" s="1998">
        <f>IF(Construction!$F$31=Construction!$R$22,Oeko!CZ516,Oeko!FM516)</f>
        <v>0</v>
      </c>
      <c r="AN516" s="1998">
        <f>IF(Construction!$F$31=Construction!$R$22,Oeko!DA516,Oeko!FN516)</f>
        <v>0</v>
      </c>
      <c r="AO516" s="1998">
        <f>IF(Construction!$F$31=Construction!$R$22,Oeko!DB516,Oeko!FO516)</f>
        <v>0</v>
      </c>
      <c r="AP516" s="1998">
        <f>IF(Construction!$F$31=Construction!$R$22,Oeko!DC516,Oeko!FP516)</f>
        <v>0</v>
      </c>
      <c r="AQ516" s="1998">
        <f>IF(Construction!$F$31=Construction!$R$22,Oeko!DD516,Oeko!FQ516)</f>
        <v>0</v>
      </c>
      <c r="AR516" s="1979">
        <f>IF(Construction!$F$31=Construction!$R$22,Oeko!DE516,Oeko!FR516)</f>
        <v>1.0069511078104532</v>
      </c>
      <c r="AS516" s="1979">
        <f>IF(Construction!$F$31=Construction!$R$22,Oeko!DF516,Oeko!FS516)</f>
        <v>1.0125599865516972</v>
      </c>
      <c r="AT516" s="1979">
        <f>IF(Construction!$F$31=Construction!$R$22,Oeko!DG516,Oeko!FT516)</f>
        <v>1.0190630343676323</v>
      </c>
      <c r="AU516" s="1979">
        <f>IF(Construction!$F$31=Construction!$R$22,Oeko!DH516,Oeko!FU516)</f>
        <v>1.0265415393559576</v>
      </c>
      <c r="AV516" s="1979">
        <f>IF(Construction!$F$31=Construction!$R$22,Oeko!DI516,Oeko!FV516)</f>
        <v>1.035727094395966</v>
      </c>
      <c r="AW516" s="1998">
        <f>IF(Construction!$F$31=Construction!$R$22,Oeko!DJ516,Oeko!FW516)</f>
        <v>1.0072204863882146</v>
      </c>
      <c r="AX516" s="1998">
        <f>IF(Construction!$F$31=Construction!$R$22,Oeko!DK516,Oeko!FX516)</f>
        <v>1.0128182478028613</v>
      </c>
      <c r="AY516" s="1998">
        <f>IF(Construction!$F$31=Construction!$R$22,Oeko!DL516,Oeko!FY516)</f>
        <v>1.0193084059647708</v>
      </c>
      <c r="AZ516" s="1998">
        <f>IF(Construction!$F$31=Construction!$R$22,Oeko!DM516,Oeko!FZ516)</f>
        <v>1.0267720878509663</v>
      </c>
      <c r="BA516" s="1998">
        <f>IF(Construction!$F$31=Construction!$R$22,Oeko!DN516,Oeko!GA516)</f>
        <v>1.0359394362546634</v>
      </c>
      <c r="BB516" s="1979">
        <f>IF(Construction!$F$31=Construction!$R$22,Oeko!DO516,Oeko!GB516)</f>
        <v>0.99999154367795351</v>
      </c>
      <c r="BC516" s="1979">
        <f>IF(Construction!$F$31=Construction!$R$22,Oeko!DP516,Oeko!GC516)</f>
        <v>1.0011096658279495</v>
      </c>
      <c r="BD516" s="1979">
        <f>IF(Construction!$F$31=Construction!$R$22,Oeko!DQ516,Oeko!GD516)</f>
        <v>1.0024058959310427</v>
      </c>
      <c r="BE516" s="1979">
        <f>IF(Construction!$F$31=Construction!$R$22,Oeko!DR516,Oeko!GE516)</f>
        <v>1.003919813532365</v>
      </c>
      <c r="BF516" s="1979">
        <f>IF(Construction!$F$31=Construction!$R$22,Oeko!DS516,Oeko!GF516)</f>
        <v>1.005799841926164</v>
      </c>
      <c r="BG516" s="1998">
        <f>IF(Construction!$F$31=Construction!$R$22,Oeko!DT516,Oeko!GG516)</f>
        <v>1.0022010171112061</v>
      </c>
      <c r="BH516" s="1998">
        <f>IF(Construction!$F$31=Construction!$R$22,Oeko!DU516,Oeko!GH516)</f>
        <v>1.0033150218839231</v>
      </c>
      <c r="BI516" s="1998">
        <f>IF(Construction!$F$31=Construction!$R$22,Oeko!DV516,Oeko!GI516)</f>
        <v>1.0046064787443292</v>
      </c>
      <c r="BJ516" s="1998">
        <f>IF(Construction!$F$31=Construction!$R$22,Oeko!DW516,Oeko!GJ516)</f>
        <v>1.0061148214896891</v>
      </c>
      <c r="BK516" s="2026">
        <f>IF(Construction!$F$31=Construction!$R$22,Oeko!DX516,Oeko!GK516)</f>
        <v>1.0079879268597438</v>
      </c>
      <c r="BN516" s="2022"/>
      <c r="BO516" s="2">
        <v>15</v>
      </c>
      <c r="BP516" s="2" t="str">
        <f>CONCATENATE($U$8," ",GV$9)</f>
        <v xml:space="preserve">Proportion de fenêtres </v>
      </c>
      <c r="BQ516" s="1979">
        <v>0</v>
      </c>
      <c r="BR516" s="1979">
        <v>0</v>
      </c>
      <c r="BS516" s="1979">
        <v>0</v>
      </c>
      <c r="BT516" s="1979">
        <v>0</v>
      </c>
      <c r="BU516" s="1979">
        <v>0</v>
      </c>
      <c r="BV516" s="1998">
        <v>0</v>
      </c>
      <c r="BW516" s="1998">
        <v>0</v>
      </c>
      <c r="BX516" s="1998">
        <v>0</v>
      </c>
      <c r="BY516" s="1998">
        <v>0</v>
      </c>
      <c r="BZ516" s="1998">
        <v>0</v>
      </c>
      <c r="CA516" s="1979">
        <v>0</v>
      </c>
      <c r="CB516" s="1979">
        <v>0</v>
      </c>
      <c r="CC516" s="1979">
        <v>0</v>
      </c>
      <c r="CD516" s="1979">
        <v>0</v>
      </c>
      <c r="CE516" s="1979">
        <v>0</v>
      </c>
      <c r="CF516" s="1998">
        <v>0</v>
      </c>
      <c r="CG516" s="1998">
        <v>0</v>
      </c>
      <c r="CH516" s="1998">
        <v>0</v>
      </c>
      <c r="CI516" s="1998">
        <v>0</v>
      </c>
      <c r="CJ516" s="1998">
        <v>0</v>
      </c>
      <c r="CK516" s="1979">
        <v>0</v>
      </c>
      <c r="CL516" s="1979">
        <v>0</v>
      </c>
      <c r="CM516" s="1979">
        <v>0</v>
      </c>
      <c r="CN516" s="1979">
        <v>0</v>
      </c>
      <c r="CO516" s="1979">
        <v>0</v>
      </c>
      <c r="CP516" s="1998">
        <v>0</v>
      </c>
      <c r="CQ516" s="1998">
        <v>0</v>
      </c>
      <c r="CR516" s="1998">
        <v>0</v>
      </c>
      <c r="CS516" s="1998">
        <v>0</v>
      </c>
      <c r="CT516" s="1998">
        <v>0</v>
      </c>
      <c r="CU516" s="1979">
        <v>0.13370570472420532</v>
      </c>
      <c r="CV516" s="1979">
        <v>0.13440255855249436</v>
      </c>
      <c r="CW516" s="1979">
        <v>0.13521050502007587</v>
      </c>
      <c r="CX516" s="1979">
        <v>0.13613964345779458</v>
      </c>
      <c r="CY516" s="1979">
        <v>0.13728086784325344</v>
      </c>
      <c r="CZ516" s="1998">
        <v>0</v>
      </c>
      <c r="DA516" s="1998">
        <v>0</v>
      </c>
      <c r="DB516" s="1998">
        <v>0</v>
      </c>
      <c r="DC516" s="1998">
        <v>0</v>
      </c>
      <c r="DD516" s="1998">
        <v>0</v>
      </c>
      <c r="DE516" s="1979">
        <v>1.0069511078104532</v>
      </c>
      <c r="DF516" s="1979">
        <v>1.0125599865516972</v>
      </c>
      <c r="DG516" s="1979">
        <v>1.0190630343676323</v>
      </c>
      <c r="DH516" s="1979">
        <v>1.0265415393559576</v>
      </c>
      <c r="DI516" s="1979">
        <v>1.035727094395966</v>
      </c>
      <c r="DJ516" s="1998">
        <v>1.0072204863882146</v>
      </c>
      <c r="DK516" s="1998">
        <v>1.0128182478028613</v>
      </c>
      <c r="DL516" s="1998">
        <v>1.0193084059647708</v>
      </c>
      <c r="DM516" s="1998">
        <v>1.0267720878509663</v>
      </c>
      <c r="DN516" s="1998">
        <v>1.0359394362546634</v>
      </c>
      <c r="DO516" s="1979">
        <v>0.99999154367795351</v>
      </c>
      <c r="DP516" s="1979">
        <v>1.0011096658279495</v>
      </c>
      <c r="DQ516" s="1979">
        <v>1.0024058959310427</v>
      </c>
      <c r="DR516" s="1979">
        <v>1.003919813532365</v>
      </c>
      <c r="DS516" s="1979">
        <v>1.005799841926164</v>
      </c>
      <c r="DT516" s="1998">
        <v>1.0022010171112061</v>
      </c>
      <c r="DU516" s="1998">
        <v>1.0033150218839231</v>
      </c>
      <c r="DV516" s="1998">
        <v>1.0046064787443292</v>
      </c>
      <c r="DW516" s="1998">
        <v>1.0061148214896891</v>
      </c>
      <c r="DX516" s="2026">
        <v>1.0079879268597438</v>
      </c>
      <c r="EA516" s="2022"/>
      <c r="EB516" s="2">
        <v>15</v>
      </c>
      <c r="EC516" s="2" t="str">
        <f>CONCATENATE($U$8," ",JI$9)</f>
        <v xml:space="preserve">Proportion de fenêtres </v>
      </c>
      <c r="ED516" s="1979">
        <v>0</v>
      </c>
      <c r="EE516" s="1979">
        <v>0</v>
      </c>
      <c r="EF516" s="1979">
        <v>0</v>
      </c>
      <c r="EG516" s="1979">
        <v>0</v>
      </c>
      <c r="EH516" s="1979">
        <v>0</v>
      </c>
      <c r="EI516" s="1998">
        <v>0</v>
      </c>
      <c r="EJ516" s="1998">
        <v>0</v>
      </c>
      <c r="EK516" s="1998">
        <v>0</v>
      </c>
      <c r="EL516" s="1998">
        <v>0</v>
      </c>
      <c r="EM516" s="1998">
        <v>0</v>
      </c>
      <c r="EN516" s="1979">
        <v>0</v>
      </c>
      <c r="EO516" s="1979">
        <v>0</v>
      </c>
      <c r="EP516" s="1979">
        <v>0</v>
      </c>
      <c r="EQ516" s="1979">
        <v>0</v>
      </c>
      <c r="ER516" s="1979">
        <v>0</v>
      </c>
      <c r="ES516" s="1998">
        <v>0</v>
      </c>
      <c r="ET516" s="1998">
        <v>0</v>
      </c>
      <c r="EU516" s="1998">
        <v>0</v>
      </c>
      <c r="EV516" s="1998">
        <v>0</v>
      </c>
      <c r="EW516" s="1998">
        <v>0</v>
      </c>
      <c r="EX516" s="1979">
        <v>0</v>
      </c>
      <c r="EY516" s="1979">
        <v>0</v>
      </c>
      <c r="EZ516" s="1979">
        <v>0</v>
      </c>
      <c r="FA516" s="1979">
        <v>0</v>
      </c>
      <c r="FB516" s="1979">
        <v>0</v>
      </c>
      <c r="FC516" s="1998">
        <v>0</v>
      </c>
      <c r="FD516" s="1998">
        <v>0</v>
      </c>
      <c r="FE516" s="1998">
        <v>0</v>
      </c>
      <c r="FF516" s="1998">
        <v>0</v>
      </c>
      <c r="FG516" s="1998">
        <v>0</v>
      </c>
      <c r="FH516" s="1979">
        <v>1.0875875030126079</v>
      </c>
      <c r="FI516" s="1979">
        <v>1.0882843568408971</v>
      </c>
      <c r="FJ516" s="1979">
        <v>1.0890923033084783</v>
      </c>
      <c r="FK516" s="1979">
        <v>1.0900214417461971</v>
      </c>
      <c r="FL516" s="1979">
        <v>1.091162666131656</v>
      </c>
      <c r="FM516" s="1998">
        <v>0</v>
      </c>
      <c r="FN516" s="1998">
        <v>0</v>
      </c>
      <c r="FO516" s="1998">
        <v>0</v>
      </c>
      <c r="FP516" s="1998">
        <v>0</v>
      </c>
      <c r="FQ516" s="1998">
        <v>0</v>
      </c>
      <c r="FR516" s="1979">
        <v>8.1267723650381836</v>
      </c>
      <c r="FS516" s="1979">
        <v>8.1323812437794256</v>
      </c>
      <c r="FT516" s="1979">
        <v>8.1388842915953621</v>
      </c>
      <c r="FU516" s="1979">
        <v>8.1463627965836878</v>
      </c>
      <c r="FV516" s="1979">
        <v>8.1555483516236968</v>
      </c>
      <c r="FW516" s="1998">
        <v>8.4871277679887118</v>
      </c>
      <c r="FX516" s="1998">
        <v>8.4927255294033586</v>
      </c>
      <c r="FY516" s="1998">
        <v>8.49921568756527</v>
      </c>
      <c r="FZ516" s="1998">
        <v>8.5066793694514651</v>
      </c>
      <c r="GA516" s="1998">
        <v>8.5158467178551618</v>
      </c>
      <c r="GB516" s="1979">
        <v>1.386139480877989</v>
      </c>
      <c r="GC516" s="1979">
        <v>1.3872576030279848</v>
      </c>
      <c r="GD516" s="1979">
        <v>1.3885538331310781</v>
      </c>
      <c r="GE516" s="1979">
        <v>1.3900677507324004</v>
      </c>
      <c r="GF516" s="1979">
        <v>1.3919477791261994</v>
      </c>
      <c r="GG516" s="1998">
        <v>1.4335081746896101</v>
      </c>
      <c r="GH516" s="1998">
        <v>1.4346221794623268</v>
      </c>
      <c r="GI516" s="1998">
        <v>1.4359136363227332</v>
      </c>
      <c r="GJ516" s="1998">
        <v>1.4374219790680929</v>
      </c>
      <c r="GK516" s="2026">
        <v>1.4392950844381478</v>
      </c>
    </row>
    <row r="517" spans="1:193">
      <c r="A517" s="2020"/>
      <c r="B517" s="2">
        <v>16</v>
      </c>
      <c r="C517" s="2" t="str">
        <f>CONCATENATE($U$8," ",EI$10)</f>
        <v xml:space="preserve">Proportion de fenêtres </v>
      </c>
      <c r="D517" s="1979">
        <f>IF(Construction!$F$31=Construction!$R$22,Oeko!BQ517,Oeko!ED517)</f>
        <v>0</v>
      </c>
      <c r="E517" s="1979">
        <f>IF(Construction!$F$31=Construction!$R$22,Oeko!BR517,Oeko!EE517)</f>
        <v>0</v>
      </c>
      <c r="F517" s="1979">
        <f>IF(Construction!$F$31=Construction!$R$22,Oeko!BS517,Oeko!EF517)</f>
        <v>0</v>
      </c>
      <c r="G517" s="1979">
        <f>IF(Construction!$F$31=Construction!$R$22,Oeko!BT517,Oeko!EG517)</f>
        <v>0</v>
      </c>
      <c r="H517" s="1979">
        <f>IF(Construction!$F$31=Construction!$R$22,Oeko!BU517,Oeko!EH517)</f>
        <v>0</v>
      </c>
      <c r="I517" s="1998">
        <f>IF(Construction!$F$31=Construction!$R$22,Oeko!BV517,Oeko!EI517)</f>
        <v>0</v>
      </c>
      <c r="J517" s="1998">
        <f>IF(Construction!$F$31=Construction!$R$22,Oeko!BW517,Oeko!EJ517)</f>
        <v>0</v>
      </c>
      <c r="K517" s="1998">
        <f>IF(Construction!$F$31=Construction!$R$22,Oeko!BX517,Oeko!EK517)</f>
        <v>0</v>
      </c>
      <c r="L517" s="1998">
        <f>IF(Construction!$F$31=Construction!$R$22,Oeko!BY517,Oeko!EL517)</f>
        <v>0</v>
      </c>
      <c r="M517" s="1998">
        <f>IF(Construction!$F$31=Construction!$R$22,Oeko!BZ517,Oeko!EM517)</f>
        <v>0</v>
      </c>
      <c r="N517" s="1979">
        <f>IF(Construction!$F$31=Construction!$R$22,Oeko!CA517,Oeko!EN517)</f>
        <v>0</v>
      </c>
      <c r="O517" s="1979">
        <f>IF(Construction!$F$31=Construction!$R$22,Oeko!CB517,Oeko!EO517)</f>
        <v>0</v>
      </c>
      <c r="P517" s="1979">
        <f>IF(Construction!$F$31=Construction!$R$22,Oeko!CC517,Oeko!EP517)</f>
        <v>0</v>
      </c>
      <c r="Q517" s="1979">
        <f>IF(Construction!$F$31=Construction!$R$22,Oeko!CD517,Oeko!EQ517)</f>
        <v>0</v>
      </c>
      <c r="R517" s="1979">
        <f>IF(Construction!$F$31=Construction!$R$22,Oeko!CE517,Oeko!ER517)</f>
        <v>0</v>
      </c>
      <c r="S517" s="1998">
        <f>IF(Construction!$F$31=Construction!$R$22,Oeko!CF517,Oeko!ES517)</f>
        <v>0</v>
      </c>
      <c r="T517" s="1998">
        <f>IF(Construction!$F$31=Construction!$R$22,Oeko!CG517,Oeko!ET517)</f>
        <v>0</v>
      </c>
      <c r="U517" s="1998">
        <f>IF(Construction!$F$31=Construction!$R$22,Oeko!CH517,Oeko!EU517)</f>
        <v>0</v>
      </c>
      <c r="V517" s="1998">
        <f>IF(Construction!$F$31=Construction!$R$22,Oeko!CI517,Oeko!EV517)</f>
        <v>0</v>
      </c>
      <c r="W517" s="1998">
        <f>IF(Construction!$F$31=Construction!$R$22,Oeko!CJ517,Oeko!EW517)</f>
        <v>0</v>
      </c>
      <c r="X517" s="1979">
        <f>IF(Construction!$F$31=Construction!$R$22,Oeko!CK517,Oeko!EX517)</f>
        <v>0</v>
      </c>
      <c r="Y517" s="1979">
        <f>IF(Construction!$F$31=Construction!$R$22,Oeko!CL517,Oeko!EY517)</f>
        <v>0</v>
      </c>
      <c r="Z517" s="1979">
        <f>IF(Construction!$F$31=Construction!$R$22,Oeko!CM517,Oeko!EZ517)</f>
        <v>0</v>
      </c>
      <c r="AA517" s="1979">
        <f>IF(Construction!$F$31=Construction!$R$22,Oeko!CN517,Oeko!FA517)</f>
        <v>0</v>
      </c>
      <c r="AB517" s="1979">
        <f>IF(Construction!$F$31=Construction!$R$22,Oeko!CO517,Oeko!FB517)</f>
        <v>0</v>
      </c>
      <c r="AC517" s="1998">
        <f>IF(Construction!$F$31=Construction!$R$22,Oeko!CP517,Oeko!FC517)</f>
        <v>0</v>
      </c>
      <c r="AD517" s="1998">
        <f>IF(Construction!$F$31=Construction!$R$22,Oeko!CQ517,Oeko!FD517)</f>
        <v>0</v>
      </c>
      <c r="AE517" s="1998">
        <f>IF(Construction!$F$31=Construction!$R$22,Oeko!CR517,Oeko!FE517)</f>
        <v>0</v>
      </c>
      <c r="AF517" s="1998">
        <f>IF(Construction!$F$31=Construction!$R$22,Oeko!CS517,Oeko!FF517)</f>
        <v>0</v>
      </c>
      <c r="AG517" s="1998">
        <f>IF(Construction!$F$31=Construction!$R$22,Oeko!CT517,Oeko!FG517)</f>
        <v>0</v>
      </c>
      <c r="AH517" s="1979">
        <f>IF(Construction!$F$31=Construction!$R$22,Oeko!CU517,Oeko!FH517)</f>
        <v>0.13176697946478155</v>
      </c>
      <c r="AI517" s="1979">
        <f>IF(Construction!$F$31=Construction!$R$22,Oeko!CV517,Oeko!FI517)</f>
        <v>0.1324638332930706</v>
      </c>
      <c r="AJ517" s="1979">
        <f>IF(Construction!$F$31=Construction!$R$22,Oeko!CW517,Oeko!FJ517)</f>
        <v>0.13327177976065208</v>
      </c>
      <c r="AK517" s="1979">
        <f>IF(Construction!$F$31=Construction!$R$22,Oeko!CX517,Oeko!FK517)</f>
        <v>0.13420091819837079</v>
      </c>
      <c r="AL517" s="1979">
        <f>IF(Construction!$F$31=Construction!$R$22,Oeko!CY517,Oeko!FL517)</f>
        <v>0.13534214258382965</v>
      </c>
      <c r="AM517" s="1998">
        <f>IF(Construction!$F$31=Construction!$R$22,Oeko!CZ517,Oeko!FM517)</f>
        <v>0</v>
      </c>
      <c r="AN517" s="1998">
        <f>IF(Construction!$F$31=Construction!$R$22,Oeko!DA517,Oeko!FN517)</f>
        <v>0</v>
      </c>
      <c r="AO517" s="1998">
        <f>IF(Construction!$F$31=Construction!$R$22,Oeko!DB517,Oeko!FO517)</f>
        <v>0</v>
      </c>
      <c r="AP517" s="1998">
        <f>IF(Construction!$F$31=Construction!$R$22,Oeko!DC517,Oeko!FP517)</f>
        <v>0</v>
      </c>
      <c r="AQ517" s="1998">
        <f>IF(Construction!$F$31=Construction!$R$22,Oeko!DD517,Oeko!FQ517)</f>
        <v>0</v>
      </c>
      <c r="AR517" s="1979">
        <f>IF(Construction!$F$31=Construction!$R$22,Oeko!DE517,Oeko!FR517)</f>
        <v>1</v>
      </c>
      <c r="AS517" s="1979">
        <f>IF(Construction!$F$31=Construction!$R$22,Oeko!DF517,Oeko!FS517)</f>
        <v>1.0056088787412443</v>
      </c>
      <c r="AT517" s="1979">
        <f>IF(Construction!$F$31=Construction!$R$22,Oeko!DG517,Oeko!FT517)</f>
        <v>1.0121119265571794</v>
      </c>
      <c r="AU517" s="1979">
        <f>IF(Construction!$F$31=Construction!$R$22,Oeko!DH517,Oeko!FU517)</f>
        <v>1.0195904315455047</v>
      </c>
      <c r="AV517" s="1979">
        <f>IF(Construction!$F$31=Construction!$R$22,Oeko!DI517,Oeko!FV517)</f>
        <v>1.0287759865855131</v>
      </c>
      <c r="AW517" s="1998">
        <f>IF(Construction!$F$31=Construction!$R$22,Oeko!DJ517,Oeko!FW517)</f>
        <v>1</v>
      </c>
      <c r="AX517" s="1998">
        <f>IF(Construction!$F$31=Construction!$R$22,Oeko!DK517,Oeko!FX517)</f>
        <v>1.005597761414647</v>
      </c>
      <c r="AY517" s="1998">
        <f>IF(Construction!$F$31=Construction!$R$22,Oeko!DL517,Oeko!FY517)</f>
        <v>1.0120879195765562</v>
      </c>
      <c r="AZ517" s="1998">
        <f>IF(Construction!$F$31=Construction!$R$22,Oeko!DM517,Oeko!FZ517)</f>
        <v>1.0195516014627519</v>
      </c>
      <c r="BA517" s="1998">
        <f>IF(Construction!$F$31=Construction!$R$22,Oeko!DN517,Oeko!GA517)</f>
        <v>1.0287189498664489</v>
      </c>
      <c r="BB517" s="1979">
        <f>IF(Construction!$F$31=Construction!$R$22,Oeko!DO517,Oeko!GB517)</f>
        <v>0.9991895783676058</v>
      </c>
      <c r="BC517" s="1979">
        <f>IF(Construction!$F$31=Construction!$R$22,Oeko!DP517,Oeko!GC517)</f>
        <v>1.000307700517602</v>
      </c>
      <c r="BD517" s="1979">
        <f>IF(Construction!$F$31=Construction!$R$22,Oeko!DQ517,Oeko!GD517)</f>
        <v>1.0016039306206952</v>
      </c>
      <c r="BE517" s="1979">
        <f>IF(Construction!$F$31=Construction!$R$22,Oeko!DR517,Oeko!GE517)</f>
        <v>1.0031178482220173</v>
      </c>
      <c r="BF517" s="1979">
        <f>IF(Construction!$F$31=Construction!$R$22,Oeko!DS517,Oeko!GF517)</f>
        <v>1.0049978766158163</v>
      </c>
      <c r="BG517" s="1998">
        <f>IF(Construction!$F$31=Construction!$R$22,Oeko!DT517,Oeko!GG517)</f>
        <v>1.0006655241964297</v>
      </c>
      <c r="BH517" s="1998">
        <f>IF(Construction!$F$31=Construction!$R$22,Oeko!DU517,Oeko!GH517)</f>
        <v>1.0017795289691467</v>
      </c>
      <c r="BI517" s="1998">
        <f>IF(Construction!$F$31=Construction!$R$22,Oeko!DV517,Oeko!GI517)</f>
        <v>1.0030709858295528</v>
      </c>
      <c r="BJ517" s="1998">
        <f>IF(Construction!$F$31=Construction!$R$22,Oeko!DW517,Oeko!GJ517)</f>
        <v>1.0045793285749127</v>
      </c>
      <c r="BK517" s="2026">
        <f>IF(Construction!$F$31=Construction!$R$22,Oeko!DX517,Oeko!GK517)</f>
        <v>1.0064524339449674</v>
      </c>
      <c r="BN517" s="2022"/>
      <c r="BO517" s="2">
        <v>16</v>
      </c>
      <c r="BP517" s="2" t="str">
        <f>CONCATENATE($U$8," ",GV$10)</f>
        <v xml:space="preserve">Proportion de fenêtres </v>
      </c>
      <c r="BQ517" s="1979">
        <v>0</v>
      </c>
      <c r="BR517" s="1979">
        <v>0</v>
      </c>
      <c r="BS517" s="1979">
        <v>0</v>
      </c>
      <c r="BT517" s="1979">
        <v>0</v>
      </c>
      <c r="BU517" s="1979">
        <v>0</v>
      </c>
      <c r="BV517" s="1998">
        <v>0</v>
      </c>
      <c r="BW517" s="1998">
        <v>0</v>
      </c>
      <c r="BX517" s="1998">
        <v>0</v>
      </c>
      <c r="BY517" s="1998">
        <v>0</v>
      </c>
      <c r="BZ517" s="1998">
        <v>0</v>
      </c>
      <c r="CA517" s="1979">
        <v>0</v>
      </c>
      <c r="CB517" s="1979">
        <v>0</v>
      </c>
      <c r="CC517" s="1979">
        <v>0</v>
      </c>
      <c r="CD517" s="1979">
        <v>0</v>
      </c>
      <c r="CE517" s="1979">
        <v>0</v>
      </c>
      <c r="CF517" s="1998">
        <v>0</v>
      </c>
      <c r="CG517" s="1998">
        <v>0</v>
      </c>
      <c r="CH517" s="1998">
        <v>0</v>
      </c>
      <c r="CI517" s="1998">
        <v>0</v>
      </c>
      <c r="CJ517" s="1998">
        <v>0</v>
      </c>
      <c r="CK517" s="1979">
        <v>0</v>
      </c>
      <c r="CL517" s="1979">
        <v>0</v>
      </c>
      <c r="CM517" s="1979">
        <v>0</v>
      </c>
      <c r="CN517" s="1979">
        <v>0</v>
      </c>
      <c r="CO517" s="1979">
        <v>0</v>
      </c>
      <c r="CP517" s="1998">
        <v>0</v>
      </c>
      <c r="CQ517" s="1998">
        <v>0</v>
      </c>
      <c r="CR517" s="1998">
        <v>0</v>
      </c>
      <c r="CS517" s="1998">
        <v>0</v>
      </c>
      <c r="CT517" s="1998">
        <v>0</v>
      </c>
      <c r="CU517" s="1979">
        <v>0.13176697946478155</v>
      </c>
      <c r="CV517" s="1979">
        <v>0.1324638332930706</v>
      </c>
      <c r="CW517" s="1979">
        <v>0.13327177976065208</v>
      </c>
      <c r="CX517" s="1979">
        <v>0.13420091819837079</v>
      </c>
      <c r="CY517" s="1979">
        <v>0.13534214258382965</v>
      </c>
      <c r="CZ517" s="1998">
        <v>0</v>
      </c>
      <c r="DA517" s="1998">
        <v>0</v>
      </c>
      <c r="DB517" s="1998">
        <v>0</v>
      </c>
      <c r="DC517" s="1998">
        <v>0</v>
      </c>
      <c r="DD517" s="1998">
        <v>0</v>
      </c>
      <c r="DE517" s="1979">
        <v>1</v>
      </c>
      <c r="DF517" s="1979">
        <v>1.0056088787412443</v>
      </c>
      <c r="DG517" s="1979">
        <v>1.0121119265571794</v>
      </c>
      <c r="DH517" s="1979">
        <v>1.0195904315455047</v>
      </c>
      <c r="DI517" s="1979">
        <v>1.0287759865855131</v>
      </c>
      <c r="DJ517" s="1998">
        <v>1</v>
      </c>
      <c r="DK517" s="1998">
        <v>1.005597761414647</v>
      </c>
      <c r="DL517" s="1998">
        <v>1.0120879195765562</v>
      </c>
      <c r="DM517" s="1998">
        <v>1.0195516014627519</v>
      </c>
      <c r="DN517" s="1998">
        <v>1.0287189498664489</v>
      </c>
      <c r="DO517" s="1979">
        <v>0.9991895783676058</v>
      </c>
      <c r="DP517" s="1979">
        <v>1.000307700517602</v>
      </c>
      <c r="DQ517" s="1979">
        <v>1.0016039306206952</v>
      </c>
      <c r="DR517" s="1979">
        <v>1.0031178482220173</v>
      </c>
      <c r="DS517" s="1979">
        <v>1.0049978766158163</v>
      </c>
      <c r="DT517" s="1998">
        <v>1.0006655241964297</v>
      </c>
      <c r="DU517" s="1998">
        <v>1.0017795289691467</v>
      </c>
      <c r="DV517" s="1998">
        <v>1.0030709858295528</v>
      </c>
      <c r="DW517" s="1998">
        <v>1.0045793285749127</v>
      </c>
      <c r="DX517" s="2026">
        <v>1.0064524339449674</v>
      </c>
      <c r="EA517" s="2022"/>
      <c r="EB517" s="2">
        <v>16</v>
      </c>
      <c r="EC517" s="2" t="str">
        <f>CONCATENATE($U$8," ",JI$10)</f>
        <v xml:space="preserve">Proportion de fenêtres </v>
      </c>
      <c r="ED517" s="1979">
        <v>0</v>
      </c>
      <c r="EE517" s="1979">
        <v>0</v>
      </c>
      <c r="EF517" s="1979">
        <v>0</v>
      </c>
      <c r="EG517" s="1979">
        <v>0</v>
      </c>
      <c r="EH517" s="1979">
        <v>0</v>
      </c>
      <c r="EI517" s="1998">
        <v>0</v>
      </c>
      <c r="EJ517" s="1998">
        <v>0</v>
      </c>
      <c r="EK517" s="1998">
        <v>0</v>
      </c>
      <c r="EL517" s="1998">
        <v>0</v>
      </c>
      <c r="EM517" s="1998">
        <v>0</v>
      </c>
      <c r="EN517" s="1979">
        <v>0</v>
      </c>
      <c r="EO517" s="1979">
        <v>0</v>
      </c>
      <c r="EP517" s="1979">
        <v>0</v>
      </c>
      <c r="EQ517" s="1979">
        <v>0</v>
      </c>
      <c r="ER517" s="1979">
        <v>0</v>
      </c>
      <c r="ES517" s="1998">
        <v>0</v>
      </c>
      <c r="ET517" s="1998">
        <v>0</v>
      </c>
      <c r="EU517" s="1998">
        <v>0</v>
      </c>
      <c r="EV517" s="1998">
        <v>0</v>
      </c>
      <c r="EW517" s="1998">
        <v>0</v>
      </c>
      <c r="EX517" s="1979">
        <v>0</v>
      </c>
      <c r="EY517" s="1979">
        <v>0</v>
      </c>
      <c r="EZ517" s="1979">
        <v>0</v>
      </c>
      <c r="FA517" s="1979">
        <v>0</v>
      </c>
      <c r="FB517" s="1979">
        <v>0</v>
      </c>
      <c r="FC517" s="1998">
        <v>0</v>
      </c>
      <c r="FD517" s="1998">
        <v>0</v>
      </c>
      <c r="FE517" s="1998">
        <v>0</v>
      </c>
      <c r="FF517" s="1998">
        <v>0</v>
      </c>
      <c r="FG517" s="1998">
        <v>0</v>
      </c>
      <c r="FH517" s="1979">
        <v>1.085648777753184</v>
      </c>
      <c r="FI517" s="1979">
        <v>1.086345631581473</v>
      </c>
      <c r="FJ517" s="1979">
        <v>1.0871535780490547</v>
      </c>
      <c r="FK517" s="1979">
        <v>1.0880827164867732</v>
      </c>
      <c r="FL517" s="1979">
        <v>1.0892239408722322</v>
      </c>
      <c r="FM517" s="1998">
        <v>0</v>
      </c>
      <c r="FN517" s="1998">
        <v>0</v>
      </c>
      <c r="FO517" s="1998">
        <v>0</v>
      </c>
      <c r="FP517" s="1998">
        <v>0</v>
      </c>
      <c r="FQ517" s="1998">
        <v>0</v>
      </c>
      <c r="FR517" s="1979">
        <v>8.1198212572277306</v>
      </c>
      <c r="FS517" s="1979">
        <v>8.1254301359689745</v>
      </c>
      <c r="FT517" s="1979">
        <v>8.1319331837849091</v>
      </c>
      <c r="FU517" s="1979">
        <v>8.1394116887732348</v>
      </c>
      <c r="FV517" s="1979">
        <v>8.1485972438132421</v>
      </c>
      <c r="FW517" s="1998">
        <v>8.4799072816005001</v>
      </c>
      <c r="FX517" s="1998">
        <v>8.4855050430151451</v>
      </c>
      <c r="FY517" s="1998">
        <v>8.4919952011770565</v>
      </c>
      <c r="FZ517" s="1998">
        <v>8.4994588830632498</v>
      </c>
      <c r="GA517" s="1998">
        <v>8.5086262314669483</v>
      </c>
      <c r="GB517" s="1979">
        <v>1.3853375155676413</v>
      </c>
      <c r="GC517" s="1979">
        <v>1.3864556377176376</v>
      </c>
      <c r="GD517" s="1979">
        <v>1.3877518678207303</v>
      </c>
      <c r="GE517" s="1979">
        <v>1.3892657854220529</v>
      </c>
      <c r="GF517" s="1979">
        <v>1.3911458138158519</v>
      </c>
      <c r="GG517" s="1998">
        <v>1.4319726817748337</v>
      </c>
      <c r="GH517" s="1998">
        <v>1.4330866865475502</v>
      </c>
      <c r="GI517" s="1998">
        <v>1.4343781434079566</v>
      </c>
      <c r="GJ517" s="1998">
        <v>1.4358864861533167</v>
      </c>
      <c r="GK517" s="2026">
        <v>1.4377595915233712</v>
      </c>
    </row>
    <row r="518" spans="1:193">
      <c r="A518" s="2020"/>
      <c r="B518" s="2">
        <v>17</v>
      </c>
      <c r="C518" s="2" t="str">
        <f>CONCATENATE($U$8," ",EI$11)</f>
        <v xml:space="preserve">Proportion de fenêtres </v>
      </c>
      <c r="D518" s="1979">
        <f>IF(Construction!$F$31=Construction!$R$22,Oeko!BQ518,Oeko!ED518)</f>
        <v>0</v>
      </c>
      <c r="E518" s="1979">
        <f>IF(Construction!$F$31=Construction!$R$22,Oeko!BR518,Oeko!EE518)</f>
        <v>0</v>
      </c>
      <c r="F518" s="1979">
        <f>IF(Construction!$F$31=Construction!$R$22,Oeko!BS518,Oeko!EF518)</f>
        <v>0</v>
      </c>
      <c r="G518" s="1979">
        <f>IF(Construction!$F$31=Construction!$R$22,Oeko!BT518,Oeko!EG518)</f>
        <v>0</v>
      </c>
      <c r="H518" s="1979">
        <f>IF(Construction!$F$31=Construction!$R$22,Oeko!BU518,Oeko!EH518)</f>
        <v>0</v>
      </c>
      <c r="I518" s="1998">
        <f>IF(Construction!$F$31=Construction!$R$22,Oeko!BV518,Oeko!EI518)</f>
        <v>0</v>
      </c>
      <c r="J518" s="1998">
        <f>IF(Construction!$F$31=Construction!$R$22,Oeko!BW518,Oeko!EJ518)</f>
        <v>0</v>
      </c>
      <c r="K518" s="1998">
        <f>IF(Construction!$F$31=Construction!$R$22,Oeko!BX518,Oeko!EK518)</f>
        <v>0</v>
      </c>
      <c r="L518" s="1998">
        <f>IF(Construction!$F$31=Construction!$R$22,Oeko!BY518,Oeko!EL518)</f>
        <v>0</v>
      </c>
      <c r="M518" s="1998">
        <f>IF(Construction!$F$31=Construction!$R$22,Oeko!BZ518,Oeko!EM518)</f>
        <v>0</v>
      </c>
      <c r="N518" s="1979">
        <f>IF(Construction!$F$31=Construction!$R$22,Oeko!CA518,Oeko!EN518)</f>
        <v>0</v>
      </c>
      <c r="O518" s="1979">
        <f>IF(Construction!$F$31=Construction!$R$22,Oeko!CB518,Oeko!EO518)</f>
        <v>0</v>
      </c>
      <c r="P518" s="1979">
        <f>IF(Construction!$F$31=Construction!$R$22,Oeko!CC518,Oeko!EP518)</f>
        <v>0</v>
      </c>
      <c r="Q518" s="1979">
        <f>IF(Construction!$F$31=Construction!$R$22,Oeko!CD518,Oeko!EQ518)</f>
        <v>0</v>
      </c>
      <c r="R518" s="1979">
        <f>IF(Construction!$F$31=Construction!$R$22,Oeko!CE518,Oeko!ER518)</f>
        <v>0</v>
      </c>
      <c r="S518" s="1998">
        <f>IF(Construction!$F$31=Construction!$R$22,Oeko!CF518,Oeko!ES518)</f>
        <v>0</v>
      </c>
      <c r="T518" s="1998">
        <f>IF(Construction!$F$31=Construction!$R$22,Oeko!CG518,Oeko!ET518)</f>
        <v>0</v>
      </c>
      <c r="U518" s="1998">
        <f>IF(Construction!$F$31=Construction!$R$22,Oeko!CH518,Oeko!EU518)</f>
        <v>0</v>
      </c>
      <c r="V518" s="1998">
        <f>IF(Construction!$F$31=Construction!$R$22,Oeko!CI518,Oeko!EV518)</f>
        <v>0</v>
      </c>
      <c r="W518" s="1998">
        <f>IF(Construction!$F$31=Construction!$R$22,Oeko!CJ518,Oeko!EW518)</f>
        <v>0</v>
      </c>
      <c r="X518" s="1979">
        <f>IF(Construction!$F$31=Construction!$R$22,Oeko!CK518,Oeko!EX518)</f>
        <v>0</v>
      </c>
      <c r="Y518" s="1979">
        <f>IF(Construction!$F$31=Construction!$R$22,Oeko!CL518,Oeko!EY518)</f>
        <v>0</v>
      </c>
      <c r="Z518" s="1979">
        <f>IF(Construction!$F$31=Construction!$R$22,Oeko!CM518,Oeko!EZ518)</f>
        <v>0</v>
      </c>
      <c r="AA518" s="1979">
        <f>IF(Construction!$F$31=Construction!$R$22,Oeko!CN518,Oeko!FA518)</f>
        <v>0</v>
      </c>
      <c r="AB518" s="1979">
        <f>IF(Construction!$F$31=Construction!$R$22,Oeko!CO518,Oeko!FB518)</f>
        <v>0</v>
      </c>
      <c r="AC518" s="1998">
        <f>IF(Construction!$F$31=Construction!$R$22,Oeko!CP518,Oeko!FC518)</f>
        <v>0</v>
      </c>
      <c r="AD518" s="1998">
        <f>IF(Construction!$F$31=Construction!$R$22,Oeko!CQ518,Oeko!FD518)</f>
        <v>0</v>
      </c>
      <c r="AE518" s="1998">
        <f>IF(Construction!$F$31=Construction!$R$22,Oeko!CR518,Oeko!FE518)</f>
        <v>0</v>
      </c>
      <c r="AF518" s="1998">
        <f>IF(Construction!$F$31=Construction!$R$22,Oeko!CS518,Oeko!FF518)</f>
        <v>0</v>
      </c>
      <c r="AG518" s="1998">
        <f>IF(Construction!$F$31=Construction!$R$22,Oeko!CT518,Oeko!FG518)</f>
        <v>0</v>
      </c>
      <c r="AH518" s="1979">
        <f>IF(Construction!$F$31=Construction!$R$22,Oeko!CU518,Oeko!FH518)</f>
        <v>0.12982825420535779</v>
      </c>
      <c r="AI518" s="1979">
        <f>IF(Construction!$F$31=Construction!$R$22,Oeko!CV518,Oeko!FI518)</f>
        <v>0.13052510803364681</v>
      </c>
      <c r="AJ518" s="1979">
        <f>IF(Construction!$F$31=Construction!$R$22,Oeko!CW518,Oeko!FJ518)</f>
        <v>0.13133305450122834</v>
      </c>
      <c r="AK518" s="1979">
        <f>IF(Construction!$F$31=Construction!$R$22,Oeko!CX518,Oeko!FK518)</f>
        <v>0.13226219293894703</v>
      </c>
      <c r="AL518" s="1979">
        <f>IF(Construction!$F$31=Construction!$R$22,Oeko!CY518,Oeko!FL518)</f>
        <v>0.13340341732440589</v>
      </c>
      <c r="AM518" s="1998">
        <f>IF(Construction!$F$31=Construction!$R$22,Oeko!CZ518,Oeko!FM518)</f>
        <v>0</v>
      </c>
      <c r="AN518" s="1998">
        <f>IF(Construction!$F$31=Construction!$R$22,Oeko!DA518,Oeko!FN518)</f>
        <v>0</v>
      </c>
      <c r="AO518" s="1998">
        <f>IF(Construction!$F$31=Construction!$R$22,Oeko!DB518,Oeko!FO518)</f>
        <v>0</v>
      </c>
      <c r="AP518" s="1998">
        <f>IF(Construction!$F$31=Construction!$R$22,Oeko!DC518,Oeko!FP518)</f>
        <v>0</v>
      </c>
      <c r="AQ518" s="1998">
        <f>IF(Construction!$F$31=Construction!$R$22,Oeko!DD518,Oeko!FQ518)</f>
        <v>0</v>
      </c>
      <c r="AR518" s="1979">
        <f>IF(Construction!$F$31=Construction!$R$22,Oeko!DE518,Oeko!FR518)</f>
        <v>0.99304889218954706</v>
      </c>
      <c r="AS518" s="1979">
        <f>IF(Construction!$F$31=Construction!$R$22,Oeko!DF518,Oeko!FS518)</f>
        <v>0.998657770930791</v>
      </c>
      <c r="AT518" s="1979">
        <f>IF(Construction!$F$31=Construction!$R$22,Oeko!DG518,Oeko!FT518)</f>
        <v>1.0051608187467262</v>
      </c>
      <c r="AU518" s="1979">
        <f>IF(Construction!$F$31=Construction!$R$22,Oeko!DH518,Oeko!FU518)</f>
        <v>1.0126393237350515</v>
      </c>
      <c r="AV518" s="1979">
        <f>IF(Construction!$F$31=Construction!$R$22,Oeko!DI518,Oeko!FV518)</f>
        <v>1.0218248787750599</v>
      </c>
      <c r="AW518" s="1998">
        <f>IF(Construction!$F$31=Construction!$R$22,Oeko!DJ518,Oeko!FW518)</f>
        <v>0.99277951361178551</v>
      </c>
      <c r="AX518" s="1998">
        <f>IF(Construction!$F$31=Construction!$R$22,Oeko!DK518,Oeko!FX518)</f>
        <v>0.99837727502643248</v>
      </c>
      <c r="AY518" s="1998">
        <f>IF(Construction!$F$31=Construction!$R$22,Oeko!DL518,Oeko!FY518)</f>
        <v>1.0048674331883418</v>
      </c>
      <c r="AZ518" s="1998">
        <f>IF(Construction!$F$31=Construction!$R$22,Oeko!DM518,Oeko!FZ518)</f>
        <v>1.0123311150745373</v>
      </c>
      <c r="BA518" s="1998">
        <f>IF(Construction!$F$31=Construction!$R$22,Oeko!DN518,Oeko!GA518)</f>
        <v>1.0214984634782343</v>
      </c>
      <c r="BB518" s="1979">
        <f>IF(Construction!$F$31=Construction!$R$22,Oeko!DO518,Oeko!GB518)</f>
        <v>0.99838761305725809</v>
      </c>
      <c r="BC518" s="1979">
        <f>IF(Construction!$F$31=Construction!$R$22,Oeko!DP518,Oeko!GC518)</f>
        <v>0.99950573520725439</v>
      </c>
      <c r="BD518" s="1979">
        <f>IF(Construction!$F$31=Construction!$R$22,Oeko!DQ518,Oeko!GD518)</f>
        <v>1.0008019653103475</v>
      </c>
      <c r="BE518" s="1979">
        <f>IF(Construction!$F$31=Construction!$R$22,Oeko!DR518,Oeko!GE518)</f>
        <v>1.0023158829116698</v>
      </c>
      <c r="BF518" s="1979">
        <f>IF(Construction!$F$31=Construction!$R$22,Oeko!DS518,Oeko!GF518)</f>
        <v>1.0041959113054688</v>
      </c>
      <c r="BG518" s="1998">
        <f>IF(Construction!$F$31=Construction!$R$22,Oeko!DT518,Oeko!GG518)</f>
        <v>0.99913003128165334</v>
      </c>
      <c r="BH518" s="1998">
        <f>IF(Construction!$F$31=Construction!$R$22,Oeko!DU518,Oeko!GH518)</f>
        <v>1.0002440360543703</v>
      </c>
      <c r="BI518" s="1998">
        <f>IF(Construction!$F$31=Construction!$R$22,Oeko!DV518,Oeko!GI518)</f>
        <v>1.0015354929147764</v>
      </c>
      <c r="BJ518" s="1998">
        <f>IF(Construction!$F$31=Construction!$R$22,Oeko!DW518,Oeko!GJ518)</f>
        <v>1.0030438356601363</v>
      </c>
      <c r="BK518" s="2026">
        <f>IF(Construction!$F$31=Construction!$R$22,Oeko!DX518,Oeko!GK518)</f>
        <v>1.004916941030191</v>
      </c>
      <c r="BN518" s="2022"/>
      <c r="BO518" s="2">
        <v>17</v>
      </c>
      <c r="BP518" s="2" t="str">
        <f>CONCATENATE($U$8," ",GV$11)</f>
        <v xml:space="preserve">Proportion de fenêtres </v>
      </c>
      <c r="BQ518" s="1979">
        <v>0</v>
      </c>
      <c r="BR518" s="1979">
        <v>0</v>
      </c>
      <c r="BS518" s="1979">
        <v>0</v>
      </c>
      <c r="BT518" s="1979">
        <v>0</v>
      </c>
      <c r="BU518" s="1979">
        <v>0</v>
      </c>
      <c r="BV518" s="1998">
        <v>0</v>
      </c>
      <c r="BW518" s="1998">
        <v>0</v>
      </c>
      <c r="BX518" s="1998">
        <v>0</v>
      </c>
      <c r="BY518" s="1998">
        <v>0</v>
      </c>
      <c r="BZ518" s="1998">
        <v>0</v>
      </c>
      <c r="CA518" s="1979">
        <v>0</v>
      </c>
      <c r="CB518" s="1979">
        <v>0</v>
      </c>
      <c r="CC518" s="1979">
        <v>0</v>
      </c>
      <c r="CD518" s="1979">
        <v>0</v>
      </c>
      <c r="CE518" s="1979">
        <v>0</v>
      </c>
      <c r="CF518" s="1998">
        <v>0</v>
      </c>
      <c r="CG518" s="1998">
        <v>0</v>
      </c>
      <c r="CH518" s="1998">
        <v>0</v>
      </c>
      <c r="CI518" s="1998">
        <v>0</v>
      </c>
      <c r="CJ518" s="1998">
        <v>0</v>
      </c>
      <c r="CK518" s="1979">
        <v>0</v>
      </c>
      <c r="CL518" s="1979">
        <v>0</v>
      </c>
      <c r="CM518" s="1979">
        <v>0</v>
      </c>
      <c r="CN518" s="1979">
        <v>0</v>
      </c>
      <c r="CO518" s="1979">
        <v>0</v>
      </c>
      <c r="CP518" s="1998">
        <v>0</v>
      </c>
      <c r="CQ518" s="1998">
        <v>0</v>
      </c>
      <c r="CR518" s="1998">
        <v>0</v>
      </c>
      <c r="CS518" s="1998">
        <v>0</v>
      </c>
      <c r="CT518" s="1998">
        <v>0</v>
      </c>
      <c r="CU518" s="1979">
        <v>0.12982825420535779</v>
      </c>
      <c r="CV518" s="1979">
        <v>0.13052510803364681</v>
      </c>
      <c r="CW518" s="1979">
        <v>0.13133305450122834</v>
      </c>
      <c r="CX518" s="1979">
        <v>0.13226219293894703</v>
      </c>
      <c r="CY518" s="1979">
        <v>0.13340341732440589</v>
      </c>
      <c r="CZ518" s="1998">
        <v>0</v>
      </c>
      <c r="DA518" s="1998">
        <v>0</v>
      </c>
      <c r="DB518" s="1998">
        <v>0</v>
      </c>
      <c r="DC518" s="1998">
        <v>0</v>
      </c>
      <c r="DD518" s="1998">
        <v>0</v>
      </c>
      <c r="DE518" s="1979">
        <v>0.99304889218954706</v>
      </c>
      <c r="DF518" s="1979">
        <v>0.998657770930791</v>
      </c>
      <c r="DG518" s="1979">
        <v>1.0051608187467262</v>
      </c>
      <c r="DH518" s="1979">
        <v>1.0126393237350515</v>
      </c>
      <c r="DI518" s="1979">
        <v>1.0218248787750599</v>
      </c>
      <c r="DJ518" s="1998">
        <v>0.99277951361178551</v>
      </c>
      <c r="DK518" s="1998">
        <v>0.99837727502643248</v>
      </c>
      <c r="DL518" s="1998">
        <v>1.0048674331883418</v>
      </c>
      <c r="DM518" s="1998">
        <v>1.0123311150745373</v>
      </c>
      <c r="DN518" s="1998">
        <v>1.0214984634782343</v>
      </c>
      <c r="DO518" s="1979">
        <v>0.99838761305725809</v>
      </c>
      <c r="DP518" s="1979">
        <v>0.99950573520725439</v>
      </c>
      <c r="DQ518" s="1979">
        <v>1.0008019653103475</v>
      </c>
      <c r="DR518" s="1979">
        <v>1.0023158829116698</v>
      </c>
      <c r="DS518" s="1979">
        <v>1.0041959113054688</v>
      </c>
      <c r="DT518" s="1998">
        <v>0.99913003128165334</v>
      </c>
      <c r="DU518" s="1998">
        <v>1.0002440360543703</v>
      </c>
      <c r="DV518" s="1998">
        <v>1.0015354929147764</v>
      </c>
      <c r="DW518" s="1998">
        <v>1.0030438356601363</v>
      </c>
      <c r="DX518" s="2026">
        <v>1.004916941030191</v>
      </c>
      <c r="EA518" s="2022"/>
      <c r="EB518" s="2">
        <v>17</v>
      </c>
      <c r="EC518" s="2" t="str">
        <f>CONCATENATE($U$8," ",JI$11)</f>
        <v xml:space="preserve">Proportion de fenêtres </v>
      </c>
      <c r="ED518" s="1979">
        <v>0</v>
      </c>
      <c r="EE518" s="1979">
        <v>0</v>
      </c>
      <c r="EF518" s="1979">
        <v>0</v>
      </c>
      <c r="EG518" s="1979">
        <v>0</v>
      </c>
      <c r="EH518" s="1979">
        <v>0</v>
      </c>
      <c r="EI518" s="1998">
        <v>0</v>
      </c>
      <c r="EJ518" s="1998">
        <v>0</v>
      </c>
      <c r="EK518" s="1998">
        <v>0</v>
      </c>
      <c r="EL518" s="1998">
        <v>0</v>
      </c>
      <c r="EM518" s="1998">
        <v>0</v>
      </c>
      <c r="EN518" s="1979">
        <v>0</v>
      </c>
      <c r="EO518" s="1979">
        <v>0</v>
      </c>
      <c r="EP518" s="1979">
        <v>0</v>
      </c>
      <c r="EQ518" s="1979">
        <v>0</v>
      </c>
      <c r="ER518" s="1979">
        <v>0</v>
      </c>
      <c r="ES518" s="1998">
        <v>0</v>
      </c>
      <c r="ET518" s="1998">
        <v>0</v>
      </c>
      <c r="EU518" s="1998">
        <v>0</v>
      </c>
      <c r="EV518" s="1998">
        <v>0</v>
      </c>
      <c r="EW518" s="1998">
        <v>0</v>
      </c>
      <c r="EX518" s="1979">
        <v>0</v>
      </c>
      <c r="EY518" s="1979">
        <v>0</v>
      </c>
      <c r="EZ518" s="1979">
        <v>0</v>
      </c>
      <c r="FA518" s="1979">
        <v>0</v>
      </c>
      <c r="FB518" s="1979">
        <v>0</v>
      </c>
      <c r="FC518" s="1998">
        <v>0</v>
      </c>
      <c r="FD518" s="1998">
        <v>0</v>
      </c>
      <c r="FE518" s="1998">
        <v>0</v>
      </c>
      <c r="FF518" s="1998">
        <v>0</v>
      </c>
      <c r="FG518" s="1998">
        <v>0</v>
      </c>
      <c r="FH518" s="1979">
        <v>1.0837100524937604</v>
      </c>
      <c r="FI518" s="1979">
        <v>1.0844069063220494</v>
      </c>
      <c r="FJ518" s="1979">
        <v>1.085214852789631</v>
      </c>
      <c r="FK518" s="1979">
        <v>1.0861439912273496</v>
      </c>
      <c r="FL518" s="1979">
        <v>1.0872852156128083</v>
      </c>
      <c r="FM518" s="1998">
        <v>0</v>
      </c>
      <c r="FN518" s="1998">
        <v>0</v>
      </c>
      <c r="FO518" s="1998">
        <v>0</v>
      </c>
      <c r="FP518" s="1998">
        <v>0</v>
      </c>
      <c r="FQ518" s="1998">
        <v>0</v>
      </c>
      <c r="FR518" s="1979">
        <v>8.1128701494172777</v>
      </c>
      <c r="FS518" s="1979">
        <v>8.1184790281585215</v>
      </c>
      <c r="FT518" s="1979">
        <v>8.1249820759744562</v>
      </c>
      <c r="FU518" s="1979">
        <v>8.1324605809627819</v>
      </c>
      <c r="FV518" s="1979">
        <v>8.141646136002791</v>
      </c>
      <c r="FW518" s="1998">
        <v>8.4726867952122848</v>
      </c>
      <c r="FX518" s="1998">
        <v>8.4782845566269298</v>
      </c>
      <c r="FY518" s="1998">
        <v>8.4847747147888413</v>
      </c>
      <c r="FZ518" s="1998">
        <v>8.4922383966750363</v>
      </c>
      <c r="GA518" s="1998">
        <v>8.501405745078733</v>
      </c>
      <c r="GB518" s="1979">
        <v>1.3845355502572938</v>
      </c>
      <c r="GC518" s="1979">
        <v>1.3856536724072901</v>
      </c>
      <c r="GD518" s="1979">
        <v>1.3869499025103829</v>
      </c>
      <c r="GE518" s="1979">
        <v>1.3884638201117052</v>
      </c>
      <c r="GF518" s="1979">
        <v>1.3903438485055042</v>
      </c>
      <c r="GG518" s="1998">
        <v>1.4304371888600573</v>
      </c>
      <c r="GH518" s="1998">
        <v>1.4315511936327741</v>
      </c>
      <c r="GI518" s="1998">
        <v>1.4328426504931804</v>
      </c>
      <c r="GJ518" s="1998">
        <v>1.4343509932385401</v>
      </c>
      <c r="GK518" s="2026">
        <v>1.436224098608595</v>
      </c>
    </row>
    <row r="519" spans="1:193">
      <c r="A519" s="2020"/>
      <c r="B519" s="2">
        <v>18</v>
      </c>
      <c r="C519" s="2" t="str">
        <f>CONCATENATE($U$8," ",EI$12)</f>
        <v xml:space="preserve">Proportion de fenêtres </v>
      </c>
      <c r="D519" s="1979">
        <f>IF(Construction!$F$31=Construction!$R$22,Oeko!BQ519,Oeko!ED519)</f>
        <v>0</v>
      </c>
      <c r="E519" s="1979">
        <f>IF(Construction!$F$31=Construction!$R$22,Oeko!BR519,Oeko!EE519)</f>
        <v>0</v>
      </c>
      <c r="F519" s="1979">
        <f>IF(Construction!$F$31=Construction!$R$22,Oeko!BS519,Oeko!EF519)</f>
        <v>0</v>
      </c>
      <c r="G519" s="1979">
        <f>IF(Construction!$F$31=Construction!$R$22,Oeko!BT519,Oeko!EG519)</f>
        <v>0</v>
      </c>
      <c r="H519" s="1979">
        <f>IF(Construction!$F$31=Construction!$R$22,Oeko!BU519,Oeko!EH519)</f>
        <v>0</v>
      </c>
      <c r="I519" s="1998">
        <f>IF(Construction!$F$31=Construction!$R$22,Oeko!BV519,Oeko!EI519)</f>
        <v>0</v>
      </c>
      <c r="J519" s="1998">
        <f>IF(Construction!$F$31=Construction!$R$22,Oeko!BW519,Oeko!EJ519)</f>
        <v>0</v>
      </c>
      <c r="K519" s="1998">
        <f>IF(Construction!$F$31=Construction!$R$22,Oeko!BX519,Oeko!EK519)</f>
        <v>0</v>
      </c>
      <c r="L519" s="1998">
        <f>IF(Construction!$F$31=Construction!$R$22,Oeko!BY519,Oeko!EL519)</f>
        <v>0</v>
      </c>
      <c r="M519" s="1998">
        <f>IF(Construction!$F$31=Construction!$R$22,Oeko!BZ519,Oeko!EM519)</f>
        <v>0</v>
      </c>
      <c r="N519" s="1979">
        <f>IF(Construction!$F$31=Construction!$R$22,Oeko!CA519,Oeko!EN519)</f>
        <v>0</v>
      </c>
      <c r="O519" s="1979">
        <f>IF(Construction!$F$31=Construction!$R$22,Oeko!CB519,Oeko!EO519)</f>
        <v>0</v>
      </c>
      <c r="P519" s="1979">
        <f>IF(Construction!$F$31=Construction!$R$22,Oeko!CC519,Oeko!EP519)</f>
        <v>0</v>
      </c>
      <c r="Q519" s="1979">
        <f>IF(Construction!$F$31=Construction!$R$22,Oeko!CD519,Oeko!EQ519)</f>
        <v>0</v>
      </c>
      <c r="R519" s="1979">
        <f>IF(Construction!$F$31=Construction!$R$22,Oeko!CE519,Oeko!ER519)</f>
        <v>0</v>
      </c>
      <c r="S519" s="1998">
        <f>IF(Construction!$F$31=Construction!$R$22,Oeko!CF519,Oeko!ES519)</f>
        <v>0</v>
      </c>
      <c r="T519" s="1998">
        <f>IF(Construction!$F$31=Construction!$R$22,Oeko!CG519,Oeko!ET519)</f>
        <v>0</v>
      </c>
      <c r="U519" s="1998">
        <f>IF(Construction!$F$31=Construction!$R$22,Oeko!CH519,Oeko!EU519)</f>
        <v>0</v>
      </c>
      <c r="V519" s="1998">
        <f>IF(Construction!$F$31=Construction!$R$22,Oeko!CI519,Oeko!EV519)</f>
        <v>0</v>
      </c>
      <c r="W519" s="1998">
        <f>IF(Construction!$F$31=Construction!$R$22,Oeko!CJ519,Oeko!EW519)</f>
        <v>0</v>
      </c>
      <c r="X519" s="1979">
        <f>IF(Construction!$F$31=Construction!$R$22,Oeko!CK519,Oeko!EX519)</f>
        <v>0</v>
      </c>
      <c r="Y519" s="1979">
        <f>IF(Construction!$F$31=Construction!$R$22,Oeko!CL519,Oeko!EY519)</f>
        <v>0</v>
      </c>
      <c r="Z519" s="1979">
        <f>IF(Construction!$F$31=Construction!$R$22,Oeko!CM519,Oeko!EZ519)</f>
        <v>0</v>
      </c>
      <c r="AA519" s="1979">
        <f>IF(Construction!$F$31=Construction!$R$22,Oeko!CN519,Oeko!FA519)</f>
        <v>0</v>
      </c>
      <c r="AB519" s="1979">
        <f>IF(Construction!$F$31=Construction!$R$22,Oeko!CO519,Oeko!FB519)</f>
        <v>0</v>
      </c>
      <c r="AC519" s="1998">
        <f>IF(Construction!$F$31=Construction!$R$22,Oeko!CP519,Oeko!FC519)</f>
        <v>0</v>
      </c>
      <c r="AD519" s="1998">
        <f>IF(Construction!$F$31=Construction!$R$22,Oeko!CQ519,Oeko!FD519)</f>
        <v>0</v>
      </c>
      <c r="AE519" s="1998">
        <f>IF(Construction!$F$31=Construction!$R$22,Oeko!CR519,Oeko!FE519)</f>
        <v>0</v>
      </c>
      <c r="AF519" s="1998">
        <f>IF(Construction!$F$31=Construction!$R$22,Oeko!CS519,Oeko!FF519)</f>
        <v>0</v>
      </c>
      <c r="AG519" s="1998">
        <f>IF(Construction!$F$31=Construction!$R$22,Oeko!CT519,Oeko!FG519)</f>
        <v>0</v>
      </c>
      <c r="AH519" s="1979">
        <f>IF(Construction!$F$31=Construction!$R$22,Oeko!CU519,Oeko!FH519)</f>
        <v>0.12788952894593403</v>
      </c>
      <c r="AI519" s="1979">
        <f>IF(Construction!$F$31=Construction!$R$22,Oeko!CV519,Oeko!FI519)</f>
        <v>0.12858638277422305</v>
      </c>
      <c r="AJ519" s="1979">
        <f>IF(Construction!$F$31=Construction!$R$22,Oeko!CW519,Oeko!FJ519)</f>
        <v>0.12939432924180455</v>
      </c>
      <c r="AK519" s="1979">
        <f>IF(Construction!$F$31=Construction!$R$22,Oeko!CX519,Oeko!FK519)</f>
        <v>0.13032346767952327</v>
      </c>
      <c r="AL519" s="1979">
        <f>IF(Construction!$F$31=Construction!$R$22,Oeko!CY519,Oeko!FL519)</f>
        <v>0.13146469206498215</v>
      </c>
      <c r="AM519" s="1998">
        <f>IF(Construction!$F$31=Construction!$R$22,Oeko!CZ519,Oeko!FM519)</f>
        <v>0</v>
      </c>
      <c r="AN519" s="1998">
        <f>IF(Construction!$F$31=Construction!$R$22,Oeko!DA519,Oeko!FN519)</f>
        <v>0</v>
      </c>
      <c r="AO519" s="1998">
        <f>IF(Construction!$F$31=Construction!$R$22,Oeko!DB519,Oeko!FO519)</f>
        <v>0</v>
      </c>
      <c r="AP519" s="1998">
        <f>IF(Construction!$F$31=Construction!$R$22,Oeko!DC519,Oeko!FP519)</f>
        <v>0</v>
      </c>
      <c r="AQ519" s="1998">
        <f>IF(Construction!$F$31=Construction!$R$22,Oeko!DD519,Oeko!FQ519)</f>
        <v>0</v>
      </c>
      <c r="AR519" s="1979">
        <f>IF(Construction!$F$31=Construction!$R$22,Oeko!DE519,Oeko!FR519)</f>
        <v>0.9860977843790939</v>
      </c>
      <c r="AS519" s="1979">
        <f>IF(Construction!$F$31=Construction!$R$22,Oeko!DF519,Oeko!FS519)</f>
        <v>0.99170666312033795</v>
      </c>
      <c r="AT519" s="1979">
        <f>IF(Construction!$F$31=Construction!$R$22,Oeko!DG519,Oeko!FT519)</f>
        <v>0.99820971093627298</v>
      </c>
      <c r="AU519" s="1979">
        <f>IF(Construction!$F$31=Construction!$R$22,Oeko!DH519,Oeko!FU519)</f>
        <v>1.0056882159245986</v>
      </c>
      <c r="AV519" s="1979">
        <f>IF(Construction!$F$31=Construction!$R$22,Oeko!DI519,Oeko!FV519)</f>
        <v>1.014873770964607</v>
      </c>
      <c r="AW519" s="1998">
        <f>IF(Construction!$F$31=Construction!$R$22,Oeko!DJ519,Oeko!FW519)</f>
        <v>0.98555902722357103</v>
      </c>
      <c r="AX519" s="1998">
        <f>IF(Construction!$F$31=Construction!$R$22,Oeko!DK519,Oeko!FX519)</f>
        <v>0.99115678863821799</v>
      </c>
      <c r="AY519" s="1998">
        <f>IF(Construction!$F$31=Construction!$R$22,Oeko!DL519,Oeko!FY519)</f>
        <v>0.99764694680012733</v>
      </c>
      <c r="AZ519" s="1998">
        <f>IF(Construction!$F$31=Construction!$R$22,Oeko!DM519,Oeko!FZ519)</f>
        <v>1.0051106286863229</v>
      </c>
      <c r="BA519" s="1998">
        <f>IF(Construction!$F$31=Construction!$R$22,Oeko!DN519,Oeko!GA519)</f>
        <v>1.0142779770900199</v>
      </c>
      <c r="BB519" s="1979">
        <f>IF(Construction!$F$31=Construction!$R$22,Oeko!DO519,Oeko!GB519)</f>
        <v>0.99758564774691061</v>
      </c>
      <c r="BC519" s="1979">
        <f>IF(Construction!$F$31=Construction!$R$22,Oeko!DP519,Oeko!GC519)</f>
        <v>0.99870376989690712</v>
      </c>
      <c r="BD519" s="1979">
        <f>IF(Construction!$F$31=Construction!$R$22,Oeko!DQ519,Oeko!GD519)</f>
        <v>1</v>
      </c>
      <c r="BE519" s="1979">
        <f>IF(Construction!$F$31=Construction!$R$22,Oeko!DR519,Oeko!GE519)</f>
        <v>1.0015139176013224</v>
      </c>
      <c r="BF519" s="1979">
        <f>IF(Construction!$F$31=Construction!$R$22,Oeko!DS519,Oeko!GF519)</f>
        <v>1.0033939459951213</v>
      </c>
      <c r="BG519" s="1998">
        <f>IF(Construction!$F$31=Construction!$R$22,Oeko!DT519,Oeko!GG519)</f>
        <v>0.99759453836687695</v>
      </c>
      <c r="BH519" s="1998">
        <f>IF(Construction!$F$31=Construction!$R$22,Oeko!DU519,Oeko!GH519)</f>
        <v>0.99870854313959367</v>
      </c>
      <c r="BI519" s="1998">
        <f>IF(Construction!$F$31=Construction!$R$22,Oeko!DV519,Oeko!GI519)</f>
        <v>1</v>
      </c>
      <c r="BJ519" s="1998">
        <f>IF(Construction!$F$31=Construction!$R$22,Oeko!DW519,Oeko!GJ519)</f>
        <v>1.0015083427453599</v>
      </c>
      <c r="BK519" s="2026">
        <f>IF(Construction!$F$31=Construction!$R$22,Oeko!DX519,Oeko!GK519)</f>
        <v>1.0033814481154146</v>
      </c>
      <c r="BN519" s="2022"/>
      <c r="BO519" s="2">
        <v>18</v>
      </c>
      <c r="BP519" s="2" t="str">
        <f>CONCATENATE($U$8," ",GV$12)</f>
        <v xml:space="preserve">Proportion de fenêtres </v>
      </c>
      <c r="BQ519" s="1979">
        <v>0</v>
      </c>
      <c r="BR519" s="1979">
        <v>0</v>
      </c>
      <c r="BS519" s="1979">
        <v>0</v>
      </c>
      <c r="BT519" s="1979">
        <v>0</v>
      </c>
      <c r="BU519" s="1979">
        <v>0</v>
      </c>
      <c r="BV519" s="1998">
        <v>0</v>
      </c>
      <c r="BW519" s="1998">
        <v>0</v>
      </c>
      <c r="BX519" s="1998">
        <v>0</v>
      </c>
      <c r="BY519" s="1998">
        <v>0</v>
      </c>
      <c r="BZ519" s="1998">
        <v>0</v>
      </c>
      <c r="CA519" s="1979">
        <v>0</v>
      </c>
      <c r="CB519" s="1979">
        <v>0</v>
      </c>
      <c r="CC519" s="1979">
        <v>0</v>
      </c>
      <c r="CD519" s="1979">
        <v>0</v>
      </c>
      <c r="CE519" s="1979">
        <v>0</v>
      </c>
      <c r="CF519" s="1998">
        <v>0</v>
      </c>
      <c r="CG519" s="1998">
        <v>0</v>
      </c>
      <c r="CH519" s="1998">
        <v>0</v>
      </c>
      <c r="CI519" s="1998">
        <v>0</v>
      </c>
      <c r="CJ519" s="1998">
        <v>0</v>
      </c>
      <c r="CK519" s="1979">
        <v>0</v>
      </c>
      <c r="CL519" s="1979">
        <v>0</v>
      </c>
      <c r="CM519" s="1979">
        <v>0</v>
      </c>
      <c r="CN519" s="1979">
        <v>0</v>
      </c>
      <c r="CO519" s="1979">
        <v>0</v>
      </c>
      <c r="CP519" s="1998">
        <v>0</v>
      </c>
      <c r="CQ519" s="1998">
        <v>0</v>
      </c>
      <c r="CR519" s="1998">
        <v>0</v>
      </c>
      <c r="CS519" s="1998">
        <v>0</v>
      </c>
      <c r="CT519" s="1998">
        <v>0</v>
      </c>
      <c r="CU519" s="1979">
        <v>0.12788952894593403</v>
      </c>
      <c r="CV519" s="1979">
        <v>0.12858638277422305</v>
      </c>
      <c r="CW519" s="1979">
        <v>0.12939432924180455</v>
      </c>
      <c r="CX519" s="1979">
        <v>0.13032346767952327</v>
      </c>
      <c r="CY519" s="1979">
        <v>0.13146469206498215</v>
      </c>
      <c r="CZ519" s="1998">
        <v>0</v>
      </c>
      <c r="DA519" s="1998">
        <v>0</v>
      </c>
      <c r="DB519" s="1998">
        <v>0</v>
      </c>
      <c r="DC519" s="1998">
        <v>0</v>
      </c>
      <c r="DD519" s="1998">
        <v>0</v>
      </c>
      <c r="DE519" s="1979">
        <v>0.9860977843790939</v>
      </c>
      <c r="DF519" s="1979">
        <v>0.99170666312033795</v>
      </c>
      <c r="DG519" s="1979">
        <v>0.99820971093627298</v>
      </c>
      <c r="DH519" s="1979">
        <v>1.0056882159245986</v>
      </c>
      <c r="DI519" s="1979">
        <v>1.014873770964607</v>
      </c>
      <c r="DJ519" s="1998">
        <v>0.98555902722357103</v>
      </c>
      <c r="DK519" s="1998">
        <v>0.99115678863821799</v>
      </c>
      <c r="DL519" s="1998">
        <v>0.99764694680012733</v>
      </c>
      <c r="DM519" s="1998">
        <v>1.0051106286863229</v>
      </c>
      <c r="DN519" s="1998">
        <v>1.0142779770900199</v>
      </c>
      <c r="DO519" s="1979">
        <v>0.99758564774691061</v>
      </c>
      <c r="DP519" s="1979">
        <v>0.99870376989690712</v>
      </c>
      <c r="DQ519" s="1979">
        <v>1</v>
      </c>
      <c r="DR519" s="1979">
        <v>1.0015139176013224</v>
      </c>
      <c r="DS519" s="1979">
        <v>1.0033939459951213</v>
      </c>
      <c r="DT519" s="1998">
        <v>0.99759453836687695</v>
      </c>
      <c r="DU519" s="1998">
        <v>0.99870854313959367</v>
      </c>
      <c r="DV519" s="1998">
        <v>1</v>
      </c>
      <c r="DW519" s="1998">
        <v>1.0015083427453599</v>
      </c>
      <c r="DX519" s="2026">
        <v>1.0033814481154146</v>
      </c>
      <c r="EA519" s="2022"/>
      <c r="EB519" s="2">
        <v>18</v>
      </c>
      <c r="EC519" s="2" t="str">
        <f>CONCATENATE($U$8," ",JI$12)</f>
        <v xml:space="preserve">Proportion de fenêtres </v>
      </c>
      <c r="ED519" s="1979">
        <v>0</v>
      </c>
      <c r="EE519" s="1979">
        <v>0</v>
      </c>
      <c r="EF519" s="1979">
        <v>0</v>
      </c>
      <c r="EG519" s="1979">
        <v>0</v>
      </c>
      <c r="EH519" s="1979">
        <v>0</v>
      </c>
      <c r="EI519" s="1998">
        <v>0</v>
      </c>
      <c r="EJ519" s="1998">
        <v>0</v>
      </c>
      <c r="EK519" s="1998">
        <v>0</v>
      </c>
      <c r="EL519" s="1998">
        <v>0</v>
      </c>
      <c r="EM519" s="1998">
        <v>0</v>
      </c>
      <c r="EN519" s="1979">
        <v>0</v>
      </c>
      <c r="EO519" s="1979">
        <v>0</v>
      </c>
      <c r="EP519" s="1979">
        <v>0</v>
      </c>
      <c r="EQ519" s="1979">
        <v>0</v>
      </c>
      <c r="ER519" s="1979">
        <v>0</v>
      </c>
      <c r="ES519" s="1998">
        <v>0</v>
      </c>
      <c r="ET519" s="1998">
        <v>0</v>
      </c>
      <c r="EU519" s="1998">
        <v>0</v>
      </c>
      <c r="EV519" s="1998">
        <v>0</v>
      </c>
      <c r="EW519" s="1998">
        <v>0</v>
      </c>
      <c r="EX519" s="1979">
        <v>0</v>
      </c>
      <c r="EY519" s="1979">
        <v>0</v>
      </c>
      <c r="EZ519" s="1979">
        <v>0</v>
      </c>
      <c r="FA519" s="1979">
        <v>0</v>
      </c>
      <c r="FB519" s="1979">
        <v>0</v>
      </c>
      <c r="FC519" s="1998">
        <v>0</v>
      </c>
      <c r="FD519" s="1998">
        <v>0</v>
      </c>
      <c r="FE519" s="1998">
        <v>0</v>
      </c>
      <c r="FF519" s="1998">
        <v>0</v>
      </c>
      <c r="FG519" s="1998">
        <v>0</v>
      </c>
      <c r="FH519" s="1979">
        <v>1.0817713272343368</v>
      </c>
      <c r="FI519" s="1979">
        <v>1.0824681810626255</v>
      </c>
      <c r="FJ519" s="1979">
        <v>1.0832761275302072</v>
      </c>
      <c r="FK519" s="1979">
        <v>1.084205265967926</v>
      </c>
      <c r="FL519" s="1979">
        <v>1.0853464903533847</v>
      </c>
      <c r="FM519" s="1998">
        <v>0</v>
      </c>
      <c r="FN519" s="1998">
        <v>0</v>
      </c>
      <c r="FO519" s="1998">
        <v>0</v>
      </c>
      <c r="FP519" s="1998">
        <v>0</v>
      </c>
      <c r="FQ519" s="1998">
        <v>0</v>
      </c>
      <c r="FR519" s="1979">
        <v>8.105919041606823</v>
      </c>
      <c r="FS519" s="1979">
        <v>8.1115279203480686</v>
      </c>
      <c r="FT519" s="1979">
        <v>8.118030968164005</v>
      </c>
      <c r="FU519" s="1979">
        <v>8.125509473152329</v>
      </c>
      <c r="FV519" s="1979">
        <v>8.134695028192338</v>
      </c>
      <c r="FW519" s="1998">
        <v>8.4654663088240696</v>
      </c>
      <c r="FX519" s="1998">
        <v>8.4710640702387163</v>
      </c>
      <c r="FY519" s="1998">
        <v>8.477554228400626</v>
      </c>
      <c r="FZ519" s="1998">
        <v>8.4850179102868211</v>
      </c>
      <c r="GA519" s="1998">
        <v>8.4941852586905178</v>
      </c>
      <c r="GB519" s="1979">
        <v>1.3837335849469461</v>
      </c>
      <c r="GC519" s="1979">
        <v>1.3848517070969424</v>
      </c>
      <c r="GD519" s="1979">
        <v>1.3861479372000356</v>
      </c>
      <c r="GE519" s="1979">
        <v>1.3876618548013577</v>
      </c>
      <c r="GF519" s="1979">
        <v>1.3895418831951565</v>
      </c>
      <c r="GG519" s="1998">
        <v>1.4289016959452807</v>
      </c>
      <c r="GH519" s="1998">
        <v>1.4300157007179974</v>
      </c>
      <c r="GI519" s="1998">
        <v>1.4313071575784038</v>
      </c>
      <c r="GJ519" s="1998">
        <v>1.4328155003237637</v>
      </c>
      <c r="GK519" s="2026">
        <v>1.4346886056938184</v>
      </c>
    </row>
    <row r="520" spans="1:193">
      <c r="A520" s="2020"/>
      <c r="B520" s="2">
        <v>19</v>
      </c>
      <c r="C520" s="2" t="str">
        <f>CONCATENATE($U$8," ",EI$13)</f>
        <v xml:space="preserve">Proportion de fenêtres </v>
      </c>
      <c r="D520" s="1979">
        <f>IF(Construction!$F$31=Construction!$R$22,Oeko!BQ520,Oeko!ED520)</f>
        <v>0</v>
      </c>
      <c r="E520" s="1979">
        <f>IF(Construction!$F$31=Construction!$R$22,Oeko!BR520,Oeko!EE520)</f>
        <v>0</v>
      </c>
      <c r="F520" s="1979">
        <f>IF(Construction!$F$31=Construction!$R$22,Oeko!BS520,Oeko!EF520)</f>
        <v>0</v>
      </c>
      <c r="G520" s="1979">
        <f>IF(Construction!$F$31=Construction!$R$22,Oeko!BT520,Oeko!EG520)</f>
        <v>0</v>
      </c>
      <c r="H520" s="1979">
        <f>IF(Construction!$F$31=Construction!$R$22,Oeko!BU520,Oeko!EH520)</f>
        <v>0</v>
      </c>
      <c r="I520" s="1998">
        <f>IF(Construction!$F$31=Construction!$R$22,Oeko!BV520,Oeko!EI520)</f>
        <v>0</v>
      </c>
      <c r="J520" s="1998">
        <f>IF(Construction!$F$31=Construction!$R$22,Oeko!BW520,Oeko!EJ520)</f>
        <v>0</v>
      </c>
      <c r="K520" s="1998">
        <f>IF(Construction!$F$31=Construction!$R$22,Oeko!BX520,Oeko!EK520)</f>
        <v>0</v>
      </c>
      <c r="L520" s="1998">
        <f>IF(Construction!$F$31=Construction!$R$22,Oeko!BY520,Oeko!EL520)</f>
        <v>0</v>
      </c>
      <c r="M520" s="1998">
        <f>IF(Construction!$F$31=Construction!$R$22,Oeko!BZ520,Oeko!EM520)</f>
        <v>0</v>
      </c>
      <c r="N520" s="1979">
        <f>IF(Construction!$F$31=Construction!$R$22,Oeko!CA520,Oeko!EN520)</f>
        <v>0</v>
      </c>
      <c r="O520" s="1979">
        <f>IF(Construction!$F$31=Construction!$R$22,Oeko!CB520,Oeko!EO520)</f>
        <v>0</v>
      </c>
      <c r="P520" s="1979">
        <f>IF(Construction!$F$31=Construction!$R$22,Oeko!CC520,Oeko!EP520)</f>
        <v>0</v>
      </c>
      <c r="Q520" s="1979">
        <f>IF(Construction!$F$31=Construction!$R$22,Oeko!CD520,Oeko!EQ520)</f>
        <v>0</v>
      </c>
      <c r="R520" s="1979">
        <f>IF(Construction!$F$31=Construction!$R$22,Oeko!CE520,Oeko!ER520)</f>
        <v>0</v>
      </c>
      <c r="S520" s="1998">
        <f>IF(Construction!$F$31=Construction!$R$22,Oeko!CF520,Oeko!ES520)</f>
        <v>0</v>
      </c>
      <c r="T520" s="1998">
        <f>IF(Construction!$F$31=Construction!$R$22,Oeko!CG520,Oeko!ET520)</f>
        <v>0</v>
      </c>
      <c r="U520" s="1998">
        <f>IF(Construction!$F$31=Construction!$R$22,Oeko!CH520,Oeko!EU520)</f>
        <v>0</v>
      </c>
      <c r="V520" s="1998">
        <f>IF(Construction!$F$31=Construction!$R$22,Oeko!CI520,Oeko!EV520)</f>
        <v>0</v>
      </c>
      <c r="W520" s="1998">
        <f>IF(Construction!$F$31=Construction!$R$22,Oeko!CJ520,Oeko!EW520)</f>
        <v>0</v>
      </c>
      <c r="X520" s="1979">
        <f>IF(Construction!$F$31=Construction!$R$22,Oeko!CK520,Oeko!EX520)</f>
        <v>0</v>
      </c>
      <c r="Y520" s="1979">
        <f>IF(Construction!$F$31=Construction!$R$22,Oeko!CL520,Oeko!EY520)</f>
        <v>0</v>
      </c>
      <c r="Z520" s="1979">
        <f>IF(Construction!$F$31=Construction!$R$22,Oeko!CM520,Oeko!EZ520)</f>
        <v>0</v>
      </c>
      <c r="AA520" s="1979">
        <f>IF(Construction!$F$31=Construction!$R$22,Oeko!CN520,Oeko!FA520)</f>
        <v>0</v>
      </c>
      <c r="AB520" s="1979">
        <f>IF(Construction!$F$31=Construction!$R$22,Oeko!CO520,Oeko!FB520)</f>
        <v>0</v>
      </c>
      <c r="AC520" s="1998">
        <f>IF(Construction!$F$31=Construction!$R$22,Oeko!CP520,Oeko!FC520)</f>
        <v>0</v>
      </c>
      <c r="AD520" s="1998">
        <f>IF(Construction!$F$31=Construction!$R$22,Oeko!CQ520,Oeko!FD520)</f>
        <v>0</v>
      </c>
      <c r="AE520" s="1998">
        <f>IF(Construction!$F$31=Construction!$R$22,Oeko!CR520,Oeko!FE520)</f>
        <v>0</v>
      </c>
      <c r="AF520" s="1998">
        <f>IF(Construction!$F$31=Construction!$R$22,Oeko!CS520,Oeko!FF520)</f>
        <v>0</v>
      </c>
      <c r="AG520" s="1998">
        <f>IF(Construction!$F$31=Construction!$R$22,Oeko!CT520,Oeko!FG520)</f>
        <v>0</v>
      </c>
      <c r="AH520" s="1979">
        <f>IF(Construction!$F$31=Construction!$R$22,Oeko!CU520,Oeko!FH520)</f>
        <v>0.12595080368651024</v>
      </c>
      <c r="AI520" s="1979">
        <f>IF(Construction!$F$31=Construction!$R$22,Oeko!CV520,Oeko!FI520)</f>
        <v>0.12664765751479931</v>
      </c>
      <c r="AJ520" s="1979">
        <f>IF(Construction!$F$31=Construction!$R$22,Oeko!CW520,Oeko!FJ520)</f>
        <v>0.12745560398238079</v>
      </c>
      <c r="AK520" s="1979">
        <f>IF(Construction!$F$31=Construction!$R$22,Oeko!CX520,Oeko!FK520)</f>
        <v>0.12838474242009951</v>
      </c>
      <c r="AL520" s="1979">
        <f>IF(Construction!$F$31=Construction!$R$22,Oeko!CY520,Oeko!FL520)</f>
        <v>0.12952596680555836</v>
      </c>
      <c r="AM520" s="1998">
        <f>IF(Construction!$F$31=Construction!$R$22,Oeko!CZ520,Oeko!FM520)</f>
        <v>0</v>
      </c>
      <c r="AN520" s="1998">
        <f>IF(Construction!$F$31=Construction!$R$22,Oeko!DA520,Oeko!FN520)</f>
        <v>0</v>
      </c>
      <c r="AO520" s="1998">
        <f>IF(Construction!$F$31=Construction!$R$22,Oeko!DB520,Oeko!FO520)</f>
        <v>0</v>
      </c>
      <c r="AP520" s="1998">
        <f>IF(Construction!$F$31=Construction!$R$22,Oeko!DC520,Oeko!FP520)</f>
        <v>0</v>
      </c>
      <c r="AQ520" s="1998">
        <f>IF(Construction!$F$31=Construction!$R$22,Oeko!DD520,Oeko!FQ520)</f>
        <v>0</v>
      </c>
      <c r="AR520" s="1979">
        <f>IF(Construction!$F$31=Construction!$R$22,Oeko!DE520,Oeko!FR520)</f>
        <v>0.97914667656864074</v>
      </c>
      <c r="AS520" s="1979">
        <f>IF(Construction!$F$31=Construction!$R$22,Oeko!DF520,Oeko!FS520)</f>
        <v>0.98475555530988501</v>
      </c>
      <c r="AT520" s="1979">
        <f>IF(Construction!$F$31=Construction!$R$22,Oeko!DG520,Oeko!FT520)</f>
        <v>0.99125860312582004</v>
      </c>
      <c r="AU520" s="1979">
        <f>IF(Construction!$F$31=Construction!$R$22,Oeko!DH520,Oeko!FU520)</f>
        <v>0.9987371081141454</v>
      </c>
      <c r="AV520" s="1979">
        <f>IF(Construction!$F$31=Construction!$R$22,Oeko!DI520,Oeko!FV520)</f>
        <v>1.0079226631541538</v>
      </c>
      <c r="AW520" s="1998">
        <f>IF(Construction!$F$31=Construction!$R$22,Oeko!DJ520,Oeko!FW520)</f>
        <v>0.97833854083535654</v>
      </c>
      <c r="AX520" s="1998">
        <f>IF(Construction!$F$31=Construction!$R$22,Oeko!DK520,Oeko!FX520)</f>
        <v>0.9839363022500035</v>
      </c>
      <c r="AY520" s="1998">
        <f>IF(Construction!$F$31=Construction!$R$22,Oeko!DL520,Oeko!FY520)</f>
        <v>0.99042646041191285</v>
      </c>
      <c r="AZ520" s="1998">
        <f>IF(Construction!$F$31=Construction!$R$22,Oeko!DM520,Oeko!FZ520)</f>
        <v>0.99789014229810868</v>
      </c>
      <c r="BA520" s="1998">
        <f>IF(Construction!$F$31=Construction!$R$22,Oeko!DN520,Oeko!GA520)</f>
        <v>1.0070574907018053</v>
      </c>
      <c r="BB520" s="1979">
        <f>IF(Construction!$F$31=Construction!$R$22,Oeko!DO520,Oeko!GB520)</f>
        <v>0.99678368243656312</v>
      </c>
      <c r="BC520" s="1979">
        <f>IF(Construction!$F$31=Construction!$R$22,Oeko!DP520,Oeko!GC520)</f>
        <v>0.99790180458655942</v>
      </c>
      <c r="BD520" s="1979">
        <f>IF(Construction!$F$31=Construction!$R$22,Oeko!DQ520,Oeko!GD520)</f>
        <v>0.99919803468965251</v>
      </c>
      <c r="BE520" s="1979">
        <f>IF(Construction!$F$31=Construction!$R$22,Oeko!DR520,Oeko!GE520)</f>
        <v>1.0007119522909749</v>
      </c>
      <c r="BF520" s="1979">
        <f>IF(Construction!$F$31=Construction!$R$22,Oeko!DS520,Oeko!GF520)</f>
        <v>1.0025919806847738</v>
      </c>
      <c r="BG520" s="1998">
        <f>IF(Construction!$F$31=Construction!$R$22,Oeko!DT520,Oeko!GG520)</f>
        <v>0.99605904545210078</v>
      </c>
      <c r="BH520" s="1998">
        <f>IF(Construction!$F$31=Construction!$R$22,Oeko!DU520,Oeko!GH520)</f>
        <v>0.99717305022481728</v>
      </c>
      <c r="BI520" s="1998">
        <f>IF(Construction!$F$31=Construction!$R$22,Oeko!DV520,Oeko!GI520)</f>
        <v>0.99846450708522361</v>
      </c>
      <c r="BJ520" s="1998">
        <f>IF(Construction!$F$31=Construction!$R$22,Oeko!DW520,Oeko!GJ520)</f>
        <v>0.99997284983058354</v>
      </c>
      <c r="BK520" s="2026">
        <f>IF(Construction!$F$31=Construction!$R$22,Oeko!DX520,Oeko!GK520)</f>
        <v>1.0018459552006382</v>
      </c>
      <c r="BN520" s="2022"/>
      <c r="BO520" s="2">
        <v>19</v>
      </c>
      <c r="BP520" s="2" t="str">
        <f>CONCATENATE($U$8," ",GV$13)</f>
        <v xml:space="preserve">Proportion de fenêtres </v>
      </c>
      <c r="BQ520" s="1979">
        <v>0</v>
      </c>
      <c r="BR520" s="1979">
        <v>0</v>
      </c>
      <c r="BS520" s="1979">
        <v>0</v>
      </c>
      <c r="BT520" s="1979">
        <v>0</v>
      </c>
      <c r="BU520" s="1979">
        <v>0</v>
      </c>
      <c r="BV520" s="1998">
        <v>0</v>
      </c>
      <c r="BW520" s="1998">
        <v>0</v>
      </c>
      <c r="BX520" s="1998">
        <v>0</v>
      </c>
      <c r="BY520" s="1998">
        <v>0</v>
      </c>
      <c r="BZ520" s="1998">
        <v>0</v>
      </c>
      <c r="CA520" s="1979">
        <v>0</v>
      </c>
      <c r="CB520" s="1979">
        <v>0</v>
      </c>
      <c r="CC520" s="1979">
        <v>0</v>
      </c>
      <c r="CD520" s="1979">
        <v>0</v>
      </c>
      <c r="CE520" s="1979">
        <v>0</v>
      </c>
      <c r="CF520" s="1998">
        <v>0</v>
      </c>
      <c r="CG520" s="1998">
        <v>0</v>
      </c>
      <c r="CH520" s="1998">
        <v>0</v>
      </c>
      <c r="CI520" s="1998">
        <v>0</v>
      </c>
      <c r="CJ520" s="1998">
        <v>0</v>
      </c>
      <c r="CK520" s="1979">
        <v>0</v>
      </c>
      <c r="CL520" s="1979">
        <v>0</v>
      </c>
      <c r="CM520" s="1979">
        <v>0</v>
      </c>
      <c r="CN520" s="1979">
        <v>0</v>
      </c>
      <c r="CO520" s="1979">
        <v>0</v>
      </c>
      <c r="CP520" s="1998">
        <v>0</v>
      </c>
      <c r="CQ520" s="1998">
        <v>0</v>
      </c>
      <c r="CR520" s="1998">
        <v>0</v>
      </c>
      <c r="CS520" s="1998">
        <v>0</v>
      </c>
      <c r="CT520" s="1998">
        <v>0</v>
      </c>
      <c r="CU520" s="1979">
        <v>0.12595080368651024</v>
      </c>
      <c r="CV520" s="1979">
        <v>0.12664765751479931</v>
      </c>
      <c r="CW520" s="1979">
        <v>0.12745560398238079</v>
      </c>
      <c r="CX520" s="1979">
        <v>0.12838474242009951</v>
      </c>
      <c r="CY520" s="1979">
        <v>0.12952596680555836</v>
      </c>
      <c r="CZ520" s="1998">
        <v>0</v>
      </c>
      <c r="DA520" s="1998">
        <v>0</v>
      </c>
      <c r="DB520" s="1998">
        <v>0</v>
      </c>
      <c r="DC520" s="1998">
        <v>0</v>
      </c>
      <c r="DD520" s="1998">
        <v>0</v>
      </c>
      <c r="DE520" s="1979">
        <v>0.97914667656864074</v>
      </c>
      <c r="DF520" s="1979">
        <v>0.98475555530988501</v>
      </c>
      <c r="DG520" s="1979">
        <v>0.99125860312582004</v>
      </c>
      <c r="DH520" s="1979">
        <v>0.9987371081141454</v>
      </c>
      <c r="DI520" s="1979">
        <v>1.0079226631541538</v>
      </c>
      <c r="DJ520" s="1998">
        <v>0.97833854083535654</v>
      </c>
      <c r="DK520" s="1998">
        <v>0.9839363022500035</v>
      </c>
      <c r="DL520" s="1998">
        <v>0.99042646041191285</v>
      </c>
      <c r="DM520" s="1998">
        <v>0.99789014229810868</v>
      </c>
      <c r="DN520" s="1998">
        <v>1.0070574907018053</v>
      </c>
      <c r="DO520" s="1979">
        <v>0.99678368243656312</v>
      </c>
      <c r="DP520" s="1979">
        <v>0.99790180458655942</v>
      </c>
      <c r="DQ520" s="1979">
        <v>0.99919803468965251</v>
      </c>
      <c r="DR520" s="1979">
        <v>1.0007119522909749</v>
      </c>
      <c r="DS520" s="1979">
        <v>1.0025919806847738</v>
      </c>
      <c r="DT520" s="1998">
        <v>0.99605904545210078</v>
      </c>
      <c r="DU520" s="1998">
        <v>0.99717305022481728</v>
      </c>
      <c r="DV520" s="1998">
        <v>0.99846450708522361</v>
      </c>
      <c r="DW520" s="1998">
        <v>0.99997284983058354</v>
      </c>
      <c r="DX520" s="2026">
        <v>1.0018459552006382</v>
      </c>
      <c r="EA520" s="2022"/>
      <c r="EB520" s="2">
        <v>19</v>
      </c>
      <c r="EC520" s="2" t="str">
        <f>CONCATENATE($U$8," ",JI$13)</f>
        <v xml:space="preserve">Proportion de fenêtres </v>
      </c>
      <c r="ED520" s="1979">
        <v>0</v>
      </c>
      <c r="EE520" s="1979">
        <v>0</v>
      </c>
      <c r="EF520" s="1979">
        <v>0</v>
      </c>
      <c r="EG520" s="1979">
        <v>0</v>
      </c>
      <c r="EH520" s="1979">
        <v>0</v>
      </c>
      <c r="EI520" s="1998">
        <v>0</v>
      </c>
      <c r="EJ520" s="1998">
        <v>0</v>
      </c>
      <c r="EK520" s="1998">
        <v>0</v>
      </c>
      <c r="EL520" s="1998">
        <v>0</v>
      </c>
      <c r="EM520" s="1998">
        <v>0</v>
      </c>
      <c r="EN520" s="1979">
        <v>0</v>
      </c>
      <c r="EO520" s="1979">
        <v>0</v>
      </c>
      <c r="EP520" s="1979">
        <v>0</v>
      </c>
      <c r="EQ520" s="1979">
        <v>0</v>
      </c>
      <c r="ER520" s="1979">
        <v>0</v>
      </c>
      <c r="ES520" s="1998">
        <v>0</v>
      </c>
      <c r="ET520" s="1998">
        <v>0</v>
      </c>
      <c r="EU520" s="1998">
        <v>0</v>
      </c>
      <c r="EV520" s="1998">
        <v>0</v>
      </c>
      <c r="EW520" s="1998">
        <v>0</v>
      </c>
      <c r="EX520" s="1979">
        <v>0</v>
      </c>
      <c r="EY520" s="1979">
        <v>0</v>
      </c>
      <c r="EZ520" s="1979">
        <v>0</v>
      </c>
      <c r="FA520" s="1979">
        <v>0</v>
      </c>
      <c r="FB520" s="1979">
        <v>0</v>
      </c>
      <c r="FC520" s="1998">
        <v>0</v>
      </c>
      <c r="FD520" s="1998">
        <v>0</v>
      </c>
      <c r="FE520" s="1998">
        <v>0</v>
      </c>
      <c r="FF520" s="1998">
        <v>0</v>
      </c>
      <c r="FG520" s="1998">
        <v>0</v>
      </c>
      <c r="FH520" s="1979">
        <v>1.0798326019749129</v>
      </c>
      <c r="FI520" s="1979">
        <v>1.0805294558032017</v>
      </c>
      <c r="FJ520" s="1979">
        <v>1.0813374022707831</v>
      </c>
      <c r="FK520" s="1979">
        <v>1.0822665407085019</v>
      </c>
      <c r="FL520" s="1979">
        <v>1.0834077650939609</v>
      </c>
      <c r="FM520" s="1998">
        <v>0</v>
      </c>
      <c r="FN520" s="1998">
        <v>0</v>
      </c>
      <c r="FO520" s="1998">
        <v>0</v>
      </c>
      <c r="FP520" s="1998">
        <v>0</v>
      </c>
      <c r="FQ520" s="1998">
        <v>0</v>
      </c>
      <c r="FR520" s="1979">
        <v>8.0989679337963718</v>
      </c>
      <c r="FS520" s="1979">
        <v>8.1045768125376156</v>
      </c>
      <c r="FT520" s="1979">
        <v>8.1110798603535503</v>
      </c>
      <c r="FU520" s="1979">
        <v>8.1185583653418778</v>
      </c>
      <c r="FV520" s="1979">
        <v>8.1277439203818833</v>
      </c>
      <c r="FW520" s="1998">
        <v>8.4582458224358561</v>
      </c>
      <c r="FX520" s="1998">
        <v>8.4638435838505028</v>
      </c>
      <c r="FY520" s="1998">
        <v>8.4703337420124125</v>
      </c>
      <c r="FZ520" s="1998">
        <v>8.4777974238986058</v>
      </c>
      <c r="GA520" s="1998">
        <v>8.4869647723023043</v>
      </c>
      <c r="GB520" s="1979">
        <v>1.3829316196365984</v>
      </c>
      <c r="GC520" s="1979">
        <v>1.3840497417865947</v>
      </c>
      <c r="GD520" s="1979">
        <v>1.3853459718896879</v>
      </c>
      <c r="GE520" s="1979">
        <v>1.3868598894910102</v>
      </c>
      <c r="GF520" s="1979">
        <v>1.3887399178848092</v>
      </c>
      <c r="GG520" s="1998">
        <v>1.4273662030305045</v>
      </c>
      <c r="GH520" s="1998">
        <v>1.4284802078032213</v>
      </c>
      <c r="GI520" s="1998">
        <v>1.4297716646636274</v>
      </c>
      <c r="GJ520" s="1998">
        <v>1.4312800074089875</v>
      </c>
      <c r="GK520" s="2026">
        <v>1.4331531127790422</v>
      </c>
    </row>
    <row r="521" spans="1:193">
      <c r="A521" s="2020"/>
      <c r="B521" s="2">
        <v>20</v>
      </c>
      <c r="C521" s="2" t="str">
        <f>CONCATENATE($U$8," ",EI$14)</f>
        <v xml:space="preserve">Proportion de fenêtres </v>
      </c>
      <c r="D521" s="1979">
        <f>IF(Construction!$F$31=Construction!$R$22,Oeko!BQ521,Oeko!ED521)</f>
        <v>0</v>
      </c>
      <c r="E521" s="1979">
        <f>IF(Construction!$F$31=Construction!$R$22,Oeko!BR521,Oeko!EE521)</f>
        <v>0</v>
      </c>
      <c r="F521" s="1979">
        <f>IF(Construction!$F$31=Construction!$R$22,Oeko!BS521,Oeko!EF521)</f>
        <v>0</v>
      </c>
      <c r="G521" s="1979">
        <f>IF(Construction!$F$31=Construction!$R$22,Oeko!BT521,Oeko!EG521)</f>
        <v>0</v>
      </c>
      <c r="H521" s="1979">
        <f>IF(Construction!$F$31=Construction!$R$22,Oeko!BU521,Oeko!EH521)</f>
        <v>0</v>
      </c>
      <c r="I521" s="1998">
        <f>IF(Construction!$F$31=Construction!$R$22,Oeko!BV521,Oeko!EI521)</f>
        <v>0</v>
      </c>
      <c r="J521" s="1998">
        <f>IF(Construction!$F$31=Construction!$R$22,Oeko!BW521,Oeko!EJ521)</f>
        <v>0</v>
      </c>
      <c r="K521" s="1998">
        <f>IF(Construction!$F$31=Construction!$R$22,Oeko!BX521,Oeko!EK521)</f>
        <v>0</v>
      </c>
      <c r="L521" s="1998">
        <f>IF(Construction!$F$31=Construction!$R$22,Oeko!BY521,Oeko!EL521)</f>
        <v>0</v>
      </c>
      <c r="M521" s="1998">
        <f>IF(Construction!$F$31=Construction!$R$22,Oeko!BZ521,Oeko!EM521)</f>
        <v>0</v>
      </c>
      <c r="N521" s="1979">
        <f>IF(Construction!$F$31=Construction!$R$22,Oeko!CA521,Oeko!EN521)</f>
        <v>0</v>
      </c>
      <c r="O521" s="1979">
        <f>IF(Construction!$F$31=Construction!$R$22,Oeko!CB521,Oeko!EO521)</f>
        <v>0</v>
      </c>
      <c r="P521" s="1979">
        <f>IF(Construction!$F$31=Construction!$R$22,Oeko!CC521,Oeko!EP521)</f>
        <v>0</v>
      </c>
      <c r="Q521" s="1979">
        <f>IF(Construction!$F$31=Construction!$R$22,Oeko!CD521,Oeko!EQ521)</f>
        <v>0</v>
      </c>
      <c r="R521" s="1979">
        <f>IF(Construction!$F$31=Construction!$R$22,Oeko!CE521,Oeko!ER521)</f>
        <v>0</v>
      </c>
      <c r="S521" s="1998">
        <f>IF(Construction!$F$31=Construction!$R$22,Oeko!CF521,Oeko!ES521)</f>
        <v>0</v>
      </c>
      <c r="T521" s="1998">
        <f>IF(Construction!$F$31=Construction!$R$22,Oeko!CG521,Oeko!ET521)</f>
        <v>0</v>
      </c>
      <c r="U521" s="1998">
        <f>IF(Construction!$F$31=Construction!$R$22,Oeko!CH521,Oeko!EU521)</f>
        <v>0</v>
      </c>
      <c r="V521" s="1998">
        <f>IF(Construction!$F$31=Construction!$R$22,Oeko!CI521,Oeko!EV521)</f>
        <v>0</v>
      </c>
      <c r="W521" s="1998">
        <f>IF(Construction!$F$31=Construction!$R$22,Oeko!CJ521,Oeko!EW521)</f>
        <v>0</v>
      </c>
      <c r="X521" s="1979">
        <f>IF(Construction!$F$31=Construction!$R$22,Oeko!CK521,Oeko!EX521)</f>
        <v>0</v>
      </c>
      <c r="Y521" s="1979">
        <f>IF(Construction!$F$31=Construction!$R$22,Oeko!CL521,Oeko!EY521)</f>
        <v>0</v>
      </c>
      <c r="Z521" s="1979">
        <f>IF(Construction!$F$31=Construction!$R$22,Oeko!CM521,Oeko!EZ521)</f>
        <v>0</v>
      </c>
      <c r="AA521" s="1979">
        <f>IF(Construction!$F$31=Construction!$R$22,Oeko!CN521,Oeko!FA521)</f>
        <v>0</v>
      </c>
      <c r="AB521" s="1979">
        <f>IF(Construction!$F$31=Construction!$R$22,Oeko!CO521,Oeko!FB521)</f>
        <v>0</v>
      </c>
      <c r="AC521" s="1998">
        <f>IF(Construction!$F$31=Construction!$R$22,Oeko!CP521,Oeko!FC521)</f>
        <v>0</v>
      </c>
      <c r="AD521" s="1998">
        <f>IF(Construction!$F$31=Construction!$R$22,Oeko!CQ521,Oeko!FD521)</f>
        <v>0</v>
      </c>
      <c r="AE521" s="1998">
        <f>IF(Construction!$F$31=Construction!$R$22,Oeko!CR521,Oeko!FE521)</f>
        <v>0</v>
      </c>
      <c r="AF521" s="1998">
        <f>IF(Construction!$F$31=Construction!$R$22,Oeko!CS521,Oeko!FF521)</f>
        <v>0</v>
      </c>
      <c r="AG521" s="1998">
        <f>IF(Construction!$F$31=Construction!$R$22,Oeko!CT521,Oeko!FG521)</f>
        <v>0</v>
      </c>
      <c r="AH521" s="1979">
        <f>IF(Construction!$F$31=Construction!$R$22,Oeko!CU521,Oeko!FH521)</f>
        <v>0.12401207842708649</v>
      </c>
      <c r="AI521" s="1979">
        <f>IF(Construction!$F$31=Construction!$R$22,Oeko!CV521,Oeko!FI521)</f>
        <v>0.12470893225537552</v>
      </c>
      <c r="AJ521" s="1979">
        <f>IF(Construction!$F$31=Construction!$R$22,Oeko!CW521,Oeko!FJ521)</f>
        <v>0.12551687872295703</v>
      </c>
      <c r="AK521" s="1979">
        <f>IF(Construction!$F$31=Construction!$R$22,Oeko!CX521,Oeko!FK521)</f>
        <v>0.12644601716067574</v>
      </c>
      <c r="AL521" s="1979">
        <f>IF(Construction!$F$31=Construction!$R$22,Oeko!CY521,Oeko!FL521)</f>
        <v>0.1275872415461346</v>
      </c>
      <c r="AM521" s="1998">
        <f>IF(Construction!$F$31=Construction!$R$22,Oeko!CZ521,Oeko!FM521)</f>
        <v>0</v>
      </c>
      <c r="AN521" s="1998">
        <f>IF(Construction!$F$31=Construction!$R$22,Oeko!DA521,Oeko!FN521)</f>
        <v>0</v>
      </c>
      <c r="AO521" s="1998">
        <f>IF(Construction!$F$31=Construction!$R$22,Oeko!DB521,Oeko!FO521)</f>
        <v>0</v>
      </c>
      <c r="AP521" s="1998">
        <f>IF(Construction!$F$31=Construction!$R$22,Oeko!DC521,Oeko!FP521)</f>
        <v>0</v>
      </c>
      <c r="AQ521" s="1998">
        <f>IF(Construction!$F$31=Construction!$R$22,Oeko!DD521,Oeko!FQ521)</f>
        <v>0</v>
      </c>
      <c r="AR521" s="1979">
        <f>IF(Construction!$F$31=Construction!$R$22,Oeko!DE521,Oeko!FR521)</f>
        <v>0.9721955687581878</v>
      </c>
      <c r="AS521" s="1979">
        <f>IF(Construction!$F$31=Construction!$R$22,Oeko!DF521,Oeko!FS521)</f>
        <v>0.97780444749943185</v>
      </c>
      <c r="AT521" s="1979">
        <f>IF(Construction!$F$31=Construction!$R$22,Oeko!DG521,Oeko!FT521)</f>
        <v>0.98430749531536699</v>
      </c>
      <c r="AU521" s="1979">
        <f>IF(Construction!$F$31=Construction!$R$22,Oeko!DH521,Oeko!FU521)</f>
        <v>0.99178600030369224</v>
      </c>
      <c r="AV521" s="1979">
        <f>IF(Construction!$F$31=Construction!$R$22,Oeko!DI521,Oeko!FV521)</f>
        <v>1.0009715553437006</v>
      </c>
      <c r="AW521" s="1998">
        <f>IF(Construction!$F$31=Construction!$R$22,Oeko!DJ521,Oeko!FW521)</f>
        <v>0.97111805444714239</v>
      </c>
      <c r="AX521" s="1998">
        <f>IF(Construction!$F$31=Construction!$R$22,Oeko!DK521,Oeko!FX521)</f>
        <v>0.97671581586178902</v>
      </c>
      <c r="AY521" s="1998">
        <f>IF(Construction!$F$31=Construction!$R$22,Oeko!DL521,Oeko!FY521)</f>
        <v>0.98320597402369836</v>
      </c>
      <c r="AZ521" s="1998">
        <f>IF(Construction!$F$31=Construction!$R$22,Oeko!DM521,Oeko!FZ521)</f>
        <v>0.99066965590989398</v>
      </c>
      <c r="BA521" s="1998">
        <f>IF(Construction!$F$31=Construction!$R$22,Oeko!DN521,Oeko!GA521)</f>
        <v>0.9998370043135909</v>
      </c>
      <c r="BB521" s="1979">
        <f>IF(Construction!$F$31=Construction!$R$22,Oeko!DO521,Oeko!GB521)</f>
        <v>0.99598171712621564</v>
      </c>
      <c r="BC521" s="1979">
        <f>IF(Construction!$F$31=Construction!$R$22,Oeko!DP521,Oeko!GC521)</f>
        <v>0.99709983927621193</v>
      </c>
      <c r="BD521" s="1979">
        <f>IF(Construction!$F$31=Construction!$R$22,Oeko!DQ521,Oeko!GD521)</f>
        <v>0.99839606937930481</v>
      </c>
      <c r="BE521" s="1979">
        <f>IF(Construction!$F$31=Construction!$R$22,Oeko!DR521,Oeko!GE521)</f>
        <v>0.99990998698062716</v>
      </c>
      <c r="BF521" s="1979">
        <f>IF(Construction!$F$31=Construction!$R$22,Oeko!DS521,Oeko!GF521)</f>
        <v>1.0017900153744261</v>
      </c>
      <c r="BG521" s="1998">
        <f>IF(Construction!$F$31=Construction!$R$22,Oeko!DT521,Oeko!GG521)</f>
        <v>0.99452355253732438</v>
      </c>
      <c r="BH521" s="1998">
        <f>IF(Construction!$F$31=Construction!$R$22,Oeko!DU521,Oeko!GH521)</f>
        <v>0.995637557310041</v>
      </c>
      <c r="BI521" s="1998">
        <f>IF(Construction!$F$31=Construction!$R$22,Oeko!DV521,Oeko!GI521)</f>
        <v>0.99692901417044721</v>
      </c>
      <c r="BJ521" s="1998">
        <f>IF(Construction!$F$31=Construction!$R$22,Oeko!DW521,Oeko!GJ521)</f>
        <v>0.99843735691580715</v>
      </c>
      <c r="BK521" s="2026">
        <f>IF(Construction!$F$31=Construction!$R$22,Oeko!DX521,Oeko!GK521)</f>
        <v>1.0003104622858618</v>
      </c>
      <c r="BN521" s="2022"/>
      <c r="BO521" s="2">
        <v>20</v>
      </c>
      <c r="BP521" s="2" t="str">
        <f>CONCATENATE($U$8," ",GV$14)</f>
        <v xml:space="preserve">Proportion de fenêtres </v>
      </c>
      <c r="BQ521" s="1979">
        <v>0</v>
      </c>
      <c r="BR521" s="1979">
        <v>0</v>
      </c>
      <c r="BS521" s="1979">
        <v>0</v>
      </c>
      <c r="BT521" s="1979">
        <v>0</v>
      </c>
      <c r="BU521" s="1979">
        <v>0</v>
      </c>
      <c r="BV521" s="1998">
        <v>0</v>
      </c>
      <c r="BW521" s="1998">
        <v>0</v>
      </c>
      <c r="BX521" s="1998">
        <v>0</v>
      </c>
      <c r="BY521" s="1998">
        <v>0</v>
      </c>
      <c r="BZ521" s="1998">
        <v>0</v>
      </c>
      <c r="CA521" s="1979">
        <v>0</v>
      </c>
      <c r="CB521" s="1979">
        <v>0</v>
      </c>
      <c r="CC521" s="1979">
        <v>0</v>
      </c>
      <c r="CD521" s="1979">
        <v>0</v>
      </c>
      <c r="CE521" s="1979">
        <v>0</v>
      </c>
      <c r="CF521" s="1998">
        <v>0</v>
      </c>
      <c r="CG521" s="1998">
        <v>0</v>
      </c>
      <c r="CH521" s="1998">
        <v>0</v>
      </c>
      <c r="CI521" s="1998">
        <v>0</v>
      </c>
      <c r="CJ521" s="1998">
        <v>0</v>
      </c>
      <c r="CK521" s="1979">
        <v>0</v>
      </c>
      <c r="CL521" s="1979">
        <v>0</v>
      </c>
      <c r="CM521" s="1979">
        <v>0</v>
      </c>
      <c r="CN521" s="1979">
        <v>0</v>
      </c>
      <c r="CO521" s="1979">
        <v>0</v>
      </c>
      <c r="CP521" s="1998">
        <v>0</v>
      </c>
      <c r="CQ521" s="1998">
        <v>0</v>
      </c>
      <c r="CR521" s="1998">
        <v>0</v>
      </c>
      <c r="CS521" s="1998">
        <v>0</v>
      </c>
      <c r="CT521" s="1998">
        <v>0</v>
      </c>
      <c r="CU521" s="1979">
        <v>0.12401207842708649</v>
      </c>
      <c r="CV521" s="1979">
        <v>0.12470893225537552</v>
      </c>
      <c r="CW521" s="1979">
        <v>0.12551687872295703</v>
      </c>
      <c r="CX521" s="1979">
        <v>0.12644601716067574</v>
      </c>
      <c r="CY521" s="1979">
        <v>0.1275872415461346</v>
      </c>
      <c r="CZ521" s="1998">
        <v>0</v>
      </c>
      <c r="DA521" s="1998">
        <v>0</v>
      </c>
      <c r="DB521" s="1998">
        <v>0</v>
      </c>
      <c r="DC521" s="1998">
        <v>0</v>
      </c>
      <c r="DD521" s="1998">
        <v>0</v>
      </c>
      <c r="DE521" s="1979">
        <v>0.9721955687581878</v>
      </c>
      <c r="DF521" s="1979">
        <v>0.97780444749943185</v>
      </c>
      <c r="DG521" s="1979">
        <v>0.98430749531536699</v>
      </c>
      <c r="DH521" s="1979">
        <v>0.99178600030369224</v>
      </c>
      <c r="DI521" s="1979">
        <v>1.0009715553437006</v>
      </c>
      <c r="DJ521" s="1998">
        <v>0.97111805444714239</v>
      </c>
      <c r="DK521" s="1998">
        <v>0.97671581586178902</v>
      </c>
      <c r="DL521" s="1998">
        <v>0.98320597402369836</v>
      </c>
      <c r="DM521" s="1998">
        <v>0.99066965590989398</v>
      </c>
      <c r="DN521" s="1998">
        <v>0.9998370043135909</v>
      </c>
      <c r="DO521" s="1979">
        <v>0.99598171712621564</v>
      </c>
      <c r="DP521" s="1979">
        <v>0.99709983927621193</v>
      </c>
      <c r="DQ521" s="1979">
        <v>0.99839606937930481</v>
      </c>
      <c r="DR521" s="1979">
        <v>0.99990998698062716</v>
      </c>
      <c r="DS521" s="1979">
        <v>1.0017900153744261</v>
      </c>
      <c r="DT521" s="1998">
        <v>0.99452355253732438</v>
      </c>
      <c r="DU521" s="1998">
        <v>0.995637557310041</v>
      </c>
      <c r="DV521" s="1998">
        <v>0.99692901417044721</v>
      </c>
      <c r="DW521" s="1998">
        <v>0.99843735691580715</v>
      </c>
      <c r="DX521" s="2026">
        <v>1.0003104622858618</v>
      </c>
      <c r="EA521" s="2022"/>
      <c r="EB521" s="2">
        <v>20</v>
      </c>
      <c r="EC521" s="2" t="str">
        <f>CONCATENATE($U$8," ",JI$14)</f>
        <v xml:space="preserve">Proportion de fenêtres </v>
      </c>
      <c r="ED521" s="1979">
        <v>0</v>
      </c>
      <c r="EE521" s="1979">
        <v>0</v>
      </c>
      <c r="EF521" s="1979">
        <v>0</v>
      </c>
      <c r="EG521" s="1979">
        <v>0</v>
      </c>
      <c r="EH521" s="1979">
        <v>0</v>
      </c>
      <c r="EI521" s="1998">
        <v>0</v>
      </c>
      <c r="EJ521" s="1998">
        <v>0</v>
      </c>
      <c r="EK521" s="1998">
        <v>0</v>
      </c>
      <c r="EL521" s="1998">
        <v>0</v>
      </c>
      <c r="EM521" s="1998">
        <v>0</v>
      </c>
      <c r="EN521" s="1979">
        <v>0</v>
      </c>
      <c r="EO521" s="1979">
        <v>0</v>
      </c>
      <c r="EP521" s="1979">
        <v>0</v>
      </c>
      <c r="EQ521" s="1979">
        <v>0</v>
      </c>
      <c r="ER521" s="1979">
        <v>0</v>
      </c>
      <c r="ES521" s="1998">
        <v>0</v>
      </c>
      <c r="ET521" s="1998">
        <v>0</v>
      </c>
      <c r="EU521" s="1998">
        <v>0</v>
      </c>
      <c r="EV521" s="1998">
        <v>0</v>
      </c>
      <c r="EW521" s="1998">
        <v>0</v>
      </c>
      <c r="EX521" s="1979">
        <v>0</v>
      </c>
      <c r="EY521" s="1979">
        <v>0</v>
      </c>
      <c r="EZ521" s="1979">
        <v>0</v>
      </c>
      <c r="FA521" s="1979">
        <v>0</v>
      </c>
      <c r="FB521" s="1979">
        <v>0</v>
      </c>
      <c r="FC521" s="1998">
        <v>0</v>
      </c>
      <c r="FD521" s="1998">
        <v>0</v>
      </c>
      <c r="FE521" s="1998">
        <v>0</v>
      </c>
      <c r="FF521" s="1998">
        <v>0</v>
      </c>
      <c r="FG521" s="1998">
        <v>0</v>
      </c>
      <c r="FH521" s="1979">
        <v>1.0778938767154891</v>
      </c>
      <c r="FI521" s="1979">
        <v>1.0785907305437781</v>
      </c>
      <c r="FJ521" s="1979">
        <v>1.0793986770113595</v>
      </c>
      <c r="FK521" s="1979">
        <v>1.0803278154490783</v>
      </c>
      <c r="FL521" s="1979">
        <v>1.0814690398345372</v>
      </c>
      <c r="FM521" s="1998">
        <v>0</v>
      </c>
      <c r="FN521" s="1998">
        <v>0</v>
      </c>
      <c r="FO521" s="1998">
        <v>0</v>
      </c>
      <c r="FP521" s="1998">
        <v>0</v>
      </c>
      <c r="FQ521" s="1998">
        <v>0</v>
      </c>
      <c r="FR521" s="1979">
        <v>8.0920168259859189</v>
      </c>
      <c r="FS521" s="1979">
        <v>8.0976257047271627</v>
      </c>
      <c r="FT521" s="1979">
        <v>8.1041287525430956</v>
      </c>
      <c r="FU521" s="1979">
        <v>8.1116072575314213</v>
      </c>
      <c r="FV521" s="1979">
        <v>8.1207928125714304</v>
      </c>
      <c r="FW521" s="1998">
        <v>8.4510253360476408</v>
      </c>
      <c r="FX521" s="1998">
        <v>8.4566230974622876</v>
      </c>
      <c r="FY521" s="1998">
        <v>8.4631132556241973</v>
      </c>
      <c r="FZ521" s="1998">
        <v>8.4705769375103923</v>
      </c>
      <c r="GA521" s="1998">
        <v>8.4797442859140908</v>
      </c>
      <c r="GB521" s="1979">
        <v>1.3821296543262509</v>
      </c>
      <c r="GC521" s="1979">
        <v>1.3832477764762472</v>
      </c>
      <c r="GD521" s="1979">
        <v>1.3845440065793402</v>
      </c>
      <c r="GE521" s="1979">
        <v>1.3860579241806628</v>
      </c>
      <c r="GF521" s="1979">
        <v>1.3879379525744617</v>
      </c>
      <c r="GG521" s="1998">
        <v>1.4258307101157279</v>
      </c>
      <c r="GH521" s="1998">
        <v>1.4269447148884449</v>
      </c>
      <c r="GI521" s="1998">
        <v>1.4282361717488512</v>
      </c>
      <c r="GJ521" s="1998">
        <v>1.4297445144942109</v>
      </c>
      <c r="GK521" s="2026">
        <v>1.4316176198642658</v>
      </c>
    </row>
    <row r="522" spans="1:193">
      <c r="A522" s="2020"/>
      <c r="B522" s="2">
        <v>21</v>
      </c>
      <c r="C522" s="2" t="str">
        <f>CONCATENATE($U$8," ",EI$15)</f>
        <v xml:space="preserve">Proportion de fenêtres </v>
      </c>
      <c r="D522" s="1979">
        <f>IF(Construction!$F$31=Construction!$R$22,Oeko!BQ522,Oeko!ED522)</f>
        <v>0</v>
      </c>
      <c r="E522" s="1979">
        <f>IF(Construction!$F$31=Construction!$R$22,Oeko!BR522,Oeko!EE522)</f>
        <v>0</v>
      </c>
      <c r="F522" s="1979">
        <f>IF(Construction!$F$31=Construction!$R$22,Oeko!BS522,Oeko!EF522)</f>
        <v>0</v>
      </c>
      <c r="G522" s="1979">
        <f>IF(Construction!$F$31=Construction!$R$22,Oeko!BT522,Oeko!EG522)</f>
        <v>0</v>
      </c>
      <c r="H522" s="1979">
        <f>IF(Construction!$F$31=Construction!$R$22,Oeko!BU522,Oeko!EH522)</f>
        <v>0</v>
      </c>
      <c r="I522" s="1998">
        <f>IF(Construction!$F$31=Construction!$R$22,Oeko!BV522,Oeko!EI522)</f>
        <v>0</v>
      </c>
      <c r="J522" s="1998">
        <f>IF(Construction!$F$31=Construction!$R$22,Oeko!BW522,Oeko!EJ522)</f>
        <v>0</v>
      </c>
      <c r="K522" s="1998">
        <f>IF(Construction!$F$31=Construction!$R$22,Oeko!BX522,Oeko!EK522)</f>
        <v>0</v>
      </c>
      <c r="L522" s="1998">
        <f>IF(Construction!$F$31=Construction!$R$22,Oeko!BY522,Oeko!EL522)</f>
        <v>0</v>
      </c>
      <c r="M522" s="1998">
        <f>IF(Construction!$F$31=Construction!$R$22,Oeko!BZ522,Oeko!EM522)</f>
        <v>0</v>
      </c>
      <c r="N522" s="1979">
        <f>IF(Construction!$F$31=Construction!$R$22,Oeko!CA522,Oeko!EN522)</f>
        <v>0</v>
      </c>
      <c r="O522" s="1979">
        <f>IF(Construction!$F$31=Construction!$R$22,Oeko!CB522,Oeko!EO522)</f>
        <v>0</v>
      </c>
      <c r="P522" s="1979">
        <f>IF(Construction!$F$31=Construction!$R$22,Oeko!CC522,Oeko!EP522)</f>
        <v>0</v>
      </c>
      <c r="Q522" s="1979">
        <f>IF(Construction!$F$31=Construction!$R$22,Oeko!CD522,Oeko!EQ522)</f>
        <v>0</v>
      </c>
      <c r="R522" s="1979">
        <f>IF(Construction!$F$31=Construction!$R$22,Oeko!CE522,Oeko!ER522)</f>
        <v>0</v>
      </c>
      <c r="S522" s="1998">
        <f>IF(Construction!$F$31=Construction!$R$22,Oeko!CF522,Oeko!ES522)</f>
        <v>0</v>
      </c>
      <c r="T522" s="1998">
        <f>IF(Construction!$F$31=Construction!$R$22,Oeko!CG522,Oeko!ET522)</f>
        <v>0</v>
      </c>
      <c r="U522" s="1998">
        <f>IF(Construction!$F$31=Construction!$R$22,Oeko!CH522,Oeko!EU522)</f>
        <v>0</v>
      </c>
      <c r="V522" s="1998">
        <f>IF(Construction!$F$31=Construction!$R$22,Oeko!CI522,Oeko!EV522)</f>
        <v>0</v>
      </c>
      <c r="W522" s="1998">
        <f>IF(Construction!$F$31=Construction!$R$22,Oeko!CJ522,Oeko!EW522)</f>
        <v>0</v>
      </c>
      <c r="X522" s="1979">
        <f>IF(Construction!$F$31=Construction!$R$22,Oeko!CK522,Oeko!EX522)</f>
        <v>0</v>
      </c>
      <c r="Y522" s="1979">
        <f>IF(Construction!$F$31=Construction!$R$22,Oeko!CL522,Oeko!EY522)</f>
        <v>0</v>
      </c>
      <c r="Z522" s="1979">
        <f>IF(Construction!$F$31=Construction!$R$22,Oeko!CM522,Oeko!EZ522)</f>
        <v>0</v>
      </c>
      <c r="AA522" s="1979">
        <f>IF(Construction!$F$31=Construction!$R$22,Oeko!CN522,Oeko!FA522)</f>
        <v>0</v>
      </c>
      <c r="AB522" s="1979">
        <f>IF(Construction!$F$31=Construction!$R$22,Oeko!CO522,Oeko!FB522)</f>
        <v>0</v>
      </c>
      <c r="AC522" s="1998">
        <f>IF(Construction!$F$31=Construction!$R$22,Oeko!CP522,Oeko!FC522)</f>
        <v>0</v>
      </c>
      <c r="AD522" s="1998">
        <f>IF(Construction!$F$31=Construction!$R$22,Oeko!CQ522,Oeko!FD522)</f>
        <v>0</v>
      </c>
      <c r="AE522" s="1998">
        <f>IF(Construction!$F$31=Construction!$R$22,Oeko!CR522,Oeko!FE522)</f>
        <v>0</v>
      </c>
      <c r="AF522" s="1998">
        <f>IF(Construction!$F$31=Construction!$R$22,Oeko!CS522,Oeko!FF522)</f>
        <v>0</v>
      </c>
      <c r="AG522" s="1998">
        <f>IF(Construction!$F$31=Construction!$R$22,Oeko!CT522,Oeko!FG522)</f>
        <v>0</v>
      </c>
      <c r="AH522" s="1979">
        <f>IF(Construction!$F$31=Construction!$R$22,Oeko!CU522,Oeko!FH522)</f>
        <v>0.12207335316766271</v>
      </c>
      <c r="AI522" s="1979">
        <f>IF(Construction!$F$31=Construction!$R$22,Oeko!CV522,Oeko!FI522)</f>
        <v>0.12277020699595176</v>
      </c>
      <c r="AJ522" s="1979">
        <f>IF(Construction!$F$31=Construction!$R$22,Oeko!CW522,Oeko!FJ522)</f>
        <v>0.12357815346353325</v>
      </c>
      <c r="AK522" s="1979">
        <f>IF(Construction!$F$31=Construction!$R$22,Oeko!CX522,Oeko!FK522)</f>
        <v>0.12450729190125197</v>
      </c>
      <c r="AL522" s="1979">
        <f>IF(Construction!$F$31=Construction!$R$22,Oeko!CY522,Oeko!FL522)</f>
        <v>0.12564851628671081</v>
      </c>
      <c r="AM522" s="1998">
        <f>IF(Construction!$F$31=Construction!$R$22,Oeko!CZ522,Oeko!FM522)</f>
        <v>0</v>
      </c>
      <c r="AN522" s="1998">
        <f>IF(Construction!$F$31=Construction!$R$22,Oeko!DA522,Oeko!FN522)</f>
        <v>0</v>
      </c>
      <c r="AO522" s="1998">
        <f>IF(Construction!$F$31=Construction!$R$22,Oeko!DB522,Oeko!FO522)</f>
        <v>0</v>
      </c>
      <c r="AP522" s="1998">
        <f>IF(Construction!$F$31=Construction!$R$22,Oeko!DC522,Oeko!FP522)</f>
        <v>0</v>
      </c>
      <c r="AQ522" s="1998">
        <f>IF(Construction!$F$31=Construction!$R$22,Oeko!DD522,Oeko!FQ522)</f>
        <v>0</v>
      </c>
      <c r="AR522" s="1979">
        <f>IF(Construction!$F$31=Construction!$R$22,Oeko!DE522,Oeko!FR522)</f>
        <v>0.96524446094773475</v>
      </c>
      <c r="AS522" s="1979">
        <f>IF(Construction!$F$31=Construction!$R$22,Oeko!DF522,Oeko!FS522)</f>
        <v>0.97085333968897891</v>
      </c>
      <c r="AT522" s="1979">
        <f>IF(Construction!$F$31=Construction!$R$22,Oeko!DG522,Oeko!FT522)</f>
        <v>0.97735638750491405</v>
      </c>
      <c r="AU522" s="1979">
        <f>IF(Construction!$F$31=Construction!$R$22,Oeko!DH522,Oeko!FU522)</f>
        <v>0.9848348924932393</v>
      </c>
      <c r="AV522" s="1979">
        <f>IF(Construction!$F$31=Construction!$R$22,Oeko!DI522,Oeko!FV522)</f>
        <v>0.9940204475332477</v>
      </c>
      <c r="AW522" s="1998">
        <f>IF(Construction!$F$31=Construction!$R$22,Oeko!DJ522,Oeko!FW522)</f>
        <v>0.96389756805892768</v>
      </c>
      <c r="AX522" s="1998">
        <f>IF(Construction!$F$31=Construction!$R$22,Oeko!DK522,Oeko!FX522)</f>
        <v>0.96949532947357453</v>
      </c>
      <c r="AY522" s="1998">
        <f>IF(Construction!$F$31=Construction!$R$22,Oeko!DL522,Oeko!FY522)</f>
        <v>0.97598548763548387</v>
      </c>
      <c r="AZ522" s="1998">
        <f>IF(Construction!$F$31=Construction!$R$22,Oeko!DM522,Oeko!FZ522)</f>
        <v>0.98344916952167971</v>
      </c>
      <c r="BA522" s="1998">
        <f>IF(Construction!$F$31=Construction!$R$22,Oeko!DN522,Oeko!GA522)</f>
        <v>0.99261651792537642</v>
      </c>
      <c r="BB522" s="1979">
        <f>IF(Construction!$F$31=Construction!$R$22,Oeko!DO522,Oeko!GB522)</f>
        <v>0.99517975181586793</v>
      </c>
      <c r="BC522" s="1979">
        <f>IF(Construction!$F$31=Construction!$R$22,Oeko!DP522,Oeko!GC522)</f>
        <v>0.99629787396586422</v>
      </c>
      <c r="BD522" s="1979">
        <f>IF(Construction!$F$31=Construction!$R$22,Oeko!DQ522,Oeko!GD522)</f>
        <v>0.99759410406895732</v>
      </c>
      <c r="BE522" s="1979">
        <f>IF(Construction!$F$31=Construction!$R$22,Oeko!DR522,Oeko!GE522)</f>
        <v>0.99910802167027968</v>
      </c>
      <c r="BF522" s="1979">
        <f>IF(Construction!$F$31=Construction!$R$22,Oeko!DS522,Oeko!GF522)</f>
        <v>1.0009880500640786</v>
      </c>
      <c r="BG522" s="1998">
        <f>IF(Construction!$F$31=Construction!$R$22,Oeko!DT522,Oeko!GG522)</f>
        <v>0.99298805962254777</v>
      </c>
      <c r="BH522" s="1998">
        <f>IF(Construction!$F$31=Construction!$R$22,Oeko!DU522,Oeko!GH522)</f>
        <v>0.99410206439526461</v>
      </c>
      <c r="BI522" s="1998">
        <f>IF(Construction!$F$31=Construction!$R$22,Oeko!DV522,Oeko!GI522)</f>
        <v>0.99539352125567082</v>
      </c>
      <c r="BJ522" s="1998">
        <f>IF(Construction!$F$31=Construction!$R$22,Oeko!DW522,Oeko!GJ522)</f>
        <v>0.99690186400103076</v>
      </c>
      <c r="BK522" s="2026">
        <f>IF(Construction!$F$31=Construction!$R$22,Oeko!DX522,Oeko!GK522)</f>
        <v>0.99877496937108556</v>
      </c>
      <c r="BN522" s="2022"/>
      <c r="BO522" s="2">
        <v>21</v>
      </c>
      <c r="BP522" s="2" t="str">
        <f>CONCATENATE($U$8," ",GV$15)</f>
        <v xml:space="preserve">Proportion de fenêtres </v>
      </c>
      <c r="BQ522" s="1979">
        <v>0</v>
      </c>
      <c r="BR522" s="1979">
        <v>0</v>
      </c>
      <c r="BS522" s="1979">
        <v>0</v>
      </c>
      <c r="BT522" s="1979">
        <v>0</v>
      </c>
      <c r="BU522" s="1979">
        <v>0</v>
      </c>
      <c r="BV522" s="1998">
        <v>0</v>
      </c>
      <c r="BW522" s="1998">
        <v>0</v>
      </c>
      <c r="BX522" s="1998">
        <v>0</v>
      </c>
      <c r="BY522" s="1998">
        <v>0</v>
      </c>
      <c r="BZ522" s="1998">
        <v>0</v>
      </c>
      <c r="CA522" s="1979">
        <v>0</v>
      </c>
      <c r="CB522" s="1979">
        <v>0</v>
      </c>
      <c r="CC522" s="1979">
        <v>0</v>
      </c>
      <c r="CD522" s="1979">
        <v>0</v>
      </c>
      <c r="CE522" s="1979">
        <v>0</v>
      </c>
      <c r="CF522" s="1998">
        <v>0</v>
      </c>
      <c r="CG522" s="1998">
        <v>0</v>
      </c>
      <c r="CH522" s="1998">
        <v>0</v>
      </c>
      <c r="CI522" s="1998">
        <v>0</v>
      </c>
      <c r="CJ522" s="1998">
        <v>0</v>
      </c>
      <c r="CK522" s="1979">
        <v>0</v>
      </c>
      <c r="CL522" s="1979">
        <v>0</v>
      </c>
      <c r="CM522" s="1979">
        <v>0</v>
      </c>
      <c r="CN522" s="1979">
        <v>0</v>
      </c>
      <c r="CO522" s="1979">
        <v>0</v>
      </c>
      <c r="CP522" s="1998">
        <v>0</v>
      </c>
      <c r="CQ522" s="1998">
        <v>0</v>
      </c>
      <c r="CR522" s="1998">
        <v>0</v>
      </c>
      <c r="CS522" s="1998">
        <v>0</v>
      </c>
      <c r="CT522" s="1998">
        <v>0</v>
      </c>
      <c r="CU522" s="1979">
        <v>0.12207335316766271</v>
      </c>
      <c r="CV522" s="1979">
        <v>0.12277020699595176</v>
      </c>
      <c r="CW522" s="1979">
        <v>0.12357815346353325</v>
      </c>
      <c r="CX522" s="1979">
        <v>0.12450729190125197</v>
      </c>
      <c r="CY522" s="1979">
        <v>0.12564851628671081</v>
      </c>
      <c r="CZ522" s="1998">
        <v>0</v>
      </c>
      <c r="DA522" s="1998">
        <v>0</v>
      </c>
      <c r="DB522" s="1998">
        <v>0</v>
      </c>
      <c r="DC522" s="1998">
        <v>0</v>
      </c>
      <c r="DD522" s="1998">
        <v>0</v>
      </c>
      <c r="DE522" s="1979">
        <v>0.96524446094773475</v>
      </c>
      <c r="DF522" s="1979">
        <v>0.97085333968897891</v>
      </c>
      <c r="DG522" s="1979">
        <v>0.97735638750491405</v>
      </c>
      <c r="DH522" s="1979">
        <v>0.9848348924932393</v>
      </c>
      <c r="DI522" s="1979">
        <v>0.9940204475332477</v>
      </c>
      <c r="DJ522" s="1998">
        <v>0.96389756805892768</v>
      </c>
      <c r="DK522" s="1998">
        <v>0.96949532947357453</v>
      </c>
      <c r="DL522" s="1998">
        <v>0.97598548763548387</v>
      </c>
      <c r="DM522" s="1998">
        <v>0.98344916952167971</v>
      </c>
      <c r="DN522" s="1998">
        <v>0.99261651792537642</v>
      </c>
      <c r="DO522" s="1979">
        <v>0.99517975181586793</v>
      </c>
      <c r="DP522" s="1979">
        <v>0.99629787396586422</v>
      </c>
      <c r="DQ522" s="1979">
        <v>0.99759410406895732</v>
      </c>
      <c r="DR522" s="1979">
        <v>0.99910802167027968</v>
      </c>
      <c r="DS522" s="1979">
        <v>1.0009880500640786</v>
      </c>
      <c r="DT522" s="1998">
        <v>0.99298805962254777</v>
      </c>
      <c r="DU522" s="1998">
        <v>0.99410206439526461</v>
      </c>
      <c r="DV522" s="1998">
        <v>0.99539352125567082</v>
      </c>
      <c r="DW522" s="1998">
        <v>0.99690186400103076</v>
      </c>
      <c r="DX522" s="2026">
        <v>0.99877496937108556</v>
      </c>
      <c r="EA522" s="2022"/>
      <c r="EB522" s="2">
        <v>21</v>
      </c>
      <c r="EC522" s="2" t="str">
        <f>CONCATENATE($U$8," ",JI$15)</f>
        <v xml:space="preserve">Proportion de fenêtres </v>
      </c>
      <c r="ED522" s="1979">
        <v>0</v>
      </c>
      <c r="EE522" s="1979">
        <v>0</v>
      </c>
      <c r="EF522" s="1979">
        <v>0</v>
      </c>
      <c r="EG522" s="1979">
        <v>0</v>
      </c>
      <c r="EH522" s="1979">
        <v>0</v>
      </c>
      <c r="EI522" s="1998">
        <v>0</v>
      </c>
      <c r="EJ522" s="1998">
        <v>0</v>
      </c>
      <c r="EK522" s="1998">
        <v>0</v>
      </c>
      <c r="EL522" s="1998">
        <v>0</v>
      </c>
      <c r="EM522" s="1998">
        <v>0</v>
      </c>
      <c r="EN522" s="1979">
        <v>0</v>
      </c>
      <c r="EO522" s="1979">
        <v>0</v>
      </c>
      <c r="EP522" s="1979">
        <v>0</v>
      </c>
      <c r="EQ522" s="1979">
        <v>0</v>
      </c>
      <c r="ER522" s="1979">
        <v>0</v>
      </c>
      <c r="ES522" s="1998">
        <v>0</v>
      </c>
      <c r="ET522" s="1998">
        <v>0</v>
      </c>
      <c r="EU522" s="1998">
        <v>0</v>
      </c>
      <c r="EV522" s="1998">
        <v>0</v>
      </c>
      <c r="EW522" s="1998">
        <v>0</v>
      </c>
      <c r="EX522" s="1979">
        <v>0</v>
      </c>
      <c r="EY522" s="1979">
        <v>0</v>
      </c>
      <c r="EZ522" s="1979">
        <v>0</v>
      </c>
      <c r="FA522" s="1979">
        <v>0</v>
      </c>
      <c r="FB522" s="1979">
        <v>0</v>
      </c>
      <c r="FC522" s="1998">
        <v>0</v>
      </c>
      <c r="FD522" s="1998">
        <v>0</v>
      </c>
      <c r="FE522" s="1998">
        <v>0</v>
      </c>
      <c r="FF522" s="1998">
        <v>0</v>
      </c>
      <c r="FG522" s="1998">
        <v>0</v>
      </c>
      <c r="FH522" s="1979">
        <v>1.075955151456065</v>
      </c>
      <c r="FI522" s="1979">
        <v>1.0766520052843542</v>
      </c>
      <c r="FJ522" s="1979">
        <v>1.0774599517519359</v>
      </c>
      <c r="FK522" s="1979">
        <v>1.0783890901896547</v>
      </c>
      <c r="FL522" s="1979">
        <v>1.0795303145751136</v>
      </c>
      <c r="FM522" s="1998">
        <v>0</v>
      </c>
      <c r="FN522" s="1998">
        <v>0</v>
      </c>
      <c r="FO522" s="1998">
        <v>0</v>
      </c>
      <c r="FP522" s="1998">
        <v>0</v>
      </c>
      <c r="FQ522" s="1998">
        <v>0</v>
      </c>
      <c r="FR522" s="1979">
        <v>8.0850657181754624</v>
      </c>
      <c r="FS522" s="1979">
        <v>8.0906745969167098</v>
      </c>
      <c r="FT522" s="1979">
        <v>8.0971776447326445</v>
      </c>
      <c r="FU522" s="1979">
        <v>8.1046561497209684</v>
      </c>
      <c r="FV522" s="1979">
        <v>8.1138417047609774</v>
      </c>
      <c r="FW522" s="1998">
        <v>8.4438048496594273</v>
      </c>
      <c r="FX522" s="1998">
        <v>8.4494026110740723</v>
      </c>
      <c r="FY522" s="1998">
        <v>8.455892769235982</v>
      </c>
      <c r="FZ522" s="1998">
        <v>8.463356451122177</v>
      </c>
      <c r="GA522" s="1998">
        <v>8.4725237995258755</v>
      </c>
      <c r="GB522" s="1979">
        <v>1.3813276890159032</v>
      </c>
      <c r="GC522" s="1979">
        <v>1.3824458111658995</v>
      </c>
      <c r="GD522" s="1979">
        <v>1.3837420412689929</v>
      </c>
      <c r="GE522" s="1979">
        <v>1.3852559588703151</v>
      </c>
      <c r="GF522" s="1979">
        <v>1.3871359872641142</v>
      </c>
      <c r="GG522" s="1998">
        <v>1.4242952172009518</v>
      </c>
      <c r="GH522" s="1998">
        <v>1.4254092219736683</v>
      </c>
      <c r="GI522" s="1998">
        <v>1.4267006788340746</v>
      </c>
      <c r="GJ522" s="1998">
        <v>1.4282090215794347</v>
      </c>
      <c r="GK522" s="2026">
        <v>1.4300821269494894</v>
      </c>
    </row>
    <row r="523" spans="1:193">
      <c r="A523" s="2020"/>
      <c r="B523" s="2">
        <v>22</v>
      </c>
      <c r="C523" s="2" t="str">
        <f>CONCATENATE($U$8," ",EI$16)</f>
        <v xml:space="preserve">Proportion de fenêtres </v>
      </c>
      <c r="D523" s="1979">
        <f>IF(Construction!$F$31=Construction!$R$22,Oeko!BQ523,Oeko!ED523)</f>
        <v>0</v>
      </c>
      <c r="E523" s="1979">
        <f>IF(Construction!$F$31=Construction!$R$22,Oeko!BR523,Oeko!EE523)</f>
        <v>0</v>
      </c>
      <c r="F523" s="1979">
        <f>IF(Construction!$F$31=Construction!$R$22,Oeko!BS523,Oeko!EF523)</f>
        <v>0</v>
      </c>
      <c r="G523" s="1979">
        <f>IF(Construction!$F$31=Construction!$R$22,Oeko!BT523,Oeko!EG523)</f>
        <v>0</v>
      </c>
      <c r="H523" s="1979">
        <f>IF(Construction!$F$31=Construction!$R$22,Oeko!BU523,Oeko!EH523)</f>
        <v>0</v>
      </c>
      <c r="I523" s="1998">
        <f>IF(Construction!$F$31=Construction!$R$22,Oeko!BV523,Oeko!EI523)</f>
        <v>0</v>
      </c>
      <c r="J523" s="1998">
        <f>IF(Construction!$F$31=Construction!$R$22,Oeko!BW523,Oeko!EJ523)</f>
        <v>0</v>
      </c>
      <c r="K523" s="1998">
        <f>IF(Construction!$F$31=Construction!$R$22,Oeko!BX523,Oeko!EK523)</f>
        <v>0</v>
      </c>
      <c r="L523" s="1998">
        <f>IF(Construction!$F$31=Construction!$R$22,Oeko!BY523,Oeko!EL523)</f>
        <v>0</v>
      </c>
      <c r="M523" s="1998">
        <f>IF(Construction!$F$31=Construction!$R$22,Oeko!BZ523,Oeko!EM523)</f>
        <v>0</v>
      </c>
      <c r="N523" s="1979">
        <f>IF(Construction!$F$31=Construction!$R$22,Oeko!CA523,Oeko!EN523)</f>
        <v>0</v>
      </c>
      <c r="O523" s="1979">
        <f>IF(Construction!$F$31=Construction!$R$22,Oeko!CB523,Oeko!EO523)</f>
        <v>0</v>
      </c>
      <c r="P523" s="1979">
        <f>IF(Construction!$F$31=Construction!$R$22,Oeko!CC523,Oeko!EP523)</f>
        <v>0</v>
      </c>
      <c r="Q523" s="1979">
        <f>IF(Construction!$F$31=Construction!$R$22,Oeko!CD523,Oeko!EQ523)</f>
        <v>0</v>
      </c>
      <c r="R523" s="1979">
        <f>IF(Construction!$F$31=Construction!$R$22,Oeko!CE523,Oeko!ER523)</f>
        <v>0</v>
      </c>
      <c r="S523" s="1998">
        <f>IF(Construction!$F$31=Construction!$R$22,Oeko!CF523,Oeko!ES523)</f>
        <v>0</v>
      </c>
      <c r="T523" s="1998">
        <f>IF(Construction!$F$31=Construction!$R$22,Oeko!CG523,Oeko!ET523)</f>
        <v>0</v>
      </c>
      <c r="U523" s="1998">
        <f>IF(Construction!$F$31=Construction!$R$22,Oeko!CH523,Oeko!EU523)</f>
        <v>0</v>
      </c>
      <c r="V523" s="1998">
        <f>IF(Construction!$F$31=Construction!$R$22,Oeko!CI523,Oeko!EV523)</f>
        <v>0</v>
      </c>
      <c r="W523" s="1998">
        <f>IF(Construction!$F$31=Construction!$R$22,Oeko!CJ523,Oeko!EW523)</f>
        <v>0</v>
      </c>
      <c r="X523" s="1979">
        <f>IF(Construction!$F$31=Construction!$R$22,Oeko!CK523,Oeko!EX523)</f>
        <v>0</v>
      </c>
      <c r="Y523" s="1979">
        <f>IF(Construction!$F$31=Construction!$R$22,Oeko!CL523,Oeko!EY523)</f>
        <v>0</v>
      </c>
      <c r="Z523" s="1979">
        <f>IF(Construction!$F$31=Construction!$R$22,Oeko!CM523,Oeko!EZ523)</f>
        <v>0</v>
      </c>
      <c r="AA523" s="1979">
        <f>IF(Construction!$F$31=Construction!$R$22,Oeko!CN523,Oeko!FA523)</f>
        <v>0</v>
      </c>
      <c r="AB523" s="1979">
        <f>IF(Construction!$F$31=Construction!$R$22,Oeko!CO523,Oeko!FB523)</f>
        <v>0</v>
      </c>
      <c r="AC523" s="1998">
        <f>IF(Construction!$F$31=Construction!$R$22,Oeko!CP523,Oeko!FC523)</f>
        <v>0</v>
      </c>
      <c r="AD523" s="1998">
        <f>IF(Construction!$F$31=Construction!$R$22,Oeko!CQ523,Oeko!FD523)</f>
        <v>0</v>
      </c>
      <c r="AE523" s="1998">
        <f>IF(Construction!$F$31=Construction!$R$22,Oeko!CR523,Oeko!FE523)</f>
        <v>0</v>
      </c>
      <c r="AF523" s="1998">
        <f>IF(Construction!$F$31=Construction!$R$22,Oeko!CS523,Oeko!FF523)</f>
        <v>0</v>
      </c>
      <c r="AG523" s="1998">
        <f>IF(Construction!$F$31=Construction!$R$22,Oeko!CT523,Oeko!FG523)</f>
        <v>0</v>
      </c>
      <c r="AH523" s="1979">
        <f>IF(Construction!$F$31=Construction!$R$22,Oeko!CU523,Oeko!FH523)</f>
        <v>0.12013462790823895</v>
      </c>
      <c r="AI523" s="1979">
        <f>IF(Construction!$F$31=Construction!$R$22,Oeko!CV523,Oeko!FI523)</f>
        <v>0.12083148173652798</v>
      </c>
      <c r="AJ523" s="1979">
        <f>IF(Construction!$F$31=Construction!$R$22,Oeko!CW523,Oeko!FJ523)</f>
        <v>0.1216394282041095</v>
      </c>
      <c r="AK523" s="1979">
        <f>IF(Construction!$F$31=Construction!$R$22,Oeko!CX523,Oeko!FK523)</f>
        <v>0.12256856664182821</v>
      </c>
      <c r="AL523" s="1979">
        <f>IF(Construction!$F$31=Construction!$R$22,Oeko!CY523,Oeko!FL523)</f>
        <v>0.12370979102728706</v>
      </c>
      <c r="AM523" s="1998">
        <f>IF(Construction!$F$31=Construction!$R$22,Oeko!CZ523,Oeko!FM523)</f>
        <v>0</v>
      </c>
      <c r="AN523" s="1998">
        <f>IF(Construction!$F$31=Construction!$R$22,Oeko!DA523,Oeko!FN523)</f>
        <v>0</v>
      </c>
      <c r="AO523" s="1998">
        <f>IF(Construction!$F$31=Construction!$R$22,Oeko!DB523,Oeko!FO523)</f>
        <v>0</v>
      </c>
      <c r="AP523" s="1998">
        <f>IF(Construction!$F$31=Construction!$R$22,Oeko!DC523,Oeko!FP523)</f>
        <v>0</v>
      </c>
      <c r="AQ523" s="1998">
        <f>IF(Construction!$F$31=Construction!$R$22,Oeko!DD523,Oeko!FQ523)</f>
        <v>0</v>
      </c>
      <c r="AR523" s="1979">
        <f>IF(Construction!$F$31=Construction!$R$22,Oeko!DE523,Oeko!FR523)</f>
        <v>0.9582933531372817</v>
      </c>
      <c r="AS523" s="1979">
        <f>IF(Construction!$F$31=Construction!$R$22,Oeko!DF523,Oeko!FS523)</f>
        <v>0.96390223187852575</v>
      </c>
      <c r="AT523" s="1979">
        <f>IF(Construction!$F$31=Construction!$R$22,Oeko!DG523,Oeko!FT523)</f>
        <v>0.97040527969446089</v>
      </c>
      <c r="AU523" s="1979">
        <f>IF(Construction!$F$31=Construction!$R$22,Oeko!DH523,Oeko!FU523)</f>
        <v>0.97788378468278636</v>
      </c>
      <c r="AV523" s="1979">
        <f>IF(Construction!$F$31=Construction!$R$22,Oeko!DI523,Oeko!FV523)</f>
        <v>0.98706933972279476</v>
      </c>
      <c r="AW523" s="1998">
        <f>IF(Construction!$F$31=Construction!$R$22,Oeko!DJ523,Oeko!FW523)</f>
        <v>0.9566770816707133</v>
      </c>
      <c r="AX523" s="1998">
        <f>IF(Construction!$F$31=Construction!$R$22,Oeko!DK523,Oeko!FX523)</f>
        <v>0.96227484308536015</v>
      </c>
      <c r="AY523" s="1998">
        <f>IF(Construction!$F$31=Construction!$R$22,Oeko!DL523,Oeko!FY523)</f>
        <v>0.96876500124726939</v>
      </c>
      <c r="AZ523" s="1998">
        <f>IF(Construction!$F$31=Construction!$R$22,Oeko!DM523,Oeko!FZ523)</f>
        <v>0.976228683133465</v>
      </c>
      <c r="BA523" s="1998">
        <f>IF(Construction!$F$31=Construction!$R$22,Oeko!DN523,Oeko!GA523)</f>
        <v>0.98539603153716193</v>
      </c>
      <c r="BB523" s="1979">
        <f>IF(Construction!$F$31=Construction!$R$22,Oeko!DO523,Oeko!GB523)</f>
        <v>0.99437778650552044</v>
      </c>
      <c r="BC523" s="1979">
        <f>IF(Construction!$F$31=Construction!$R$22,Oeko!DP523,Oeko!GC523)</f>
        <v>0.99549590865551696</v>
      </c>
      <c r="BD523" s="1979">
        <f>IF(Construction!$F$31=Construction!$R$22,Oeko!DQ523,Oeko!GD523)</f>
        <v>0.99679213875860984</v>
      </c>
      <c r="BE523" s="1979">
        <f>IF(Construction!$F$31=Construction!$R$22,Oeko!DR523,Oeko!GE523)</f>
        <v>0.99830605635993219</v>
      </c>
      <c r="BF523" s="1979">
        <f>IF(Construction!$F$31=Construction!$R$22,Oeko!DS523,Oeko!GF523)</f>
        <v>1.0001860847537312</v>
      </c>
      <c r="BG523" s="1998">
        <f>IF(Construction!$F$31=Construction!$R$22,Oeko!DT523,Oeko!GG523)</f>
        <v>0.99145256670777138</v>
      </c>
      <c r="BH523" s="1998">
        <f>IF(Construction!$F$31=Construction!$R$22,Oeko!DU523,Oeko!GH523)</f>
        <v>0.99256657148048844</v>
      </c>
      <c r="BI523" s="1998">
        <f>IF(Construction!$F$31=Construction!$R$22,Oeko!DV523,Oeko!GI523)</f>
        <v>0.99385802834089454</v>
      </c>
      <c r="BJ523" s="1998">
        <f>IF(Construction!$F$31=Construction!$R$22,Oeko!DW523,Oeko!GJ523)</f>
        <v>0.99536637108625436</v>
      </c>
      <c r="BK523" s="2026">
        <f>IF(Construction!$F$31=Construction!$R$22,Oeko!DX523,Oeko!GK523)</f>
        <v>0.99723947645630917</v>
      </c>
      <c r="BN523" s="2022"/>
      <c r="BO523" s="2">
        <v>22</v>
      </c>
      <c r="BP523" s="2" t="str">
        <f>CONCATENATE($U$8," ",GV$16)</f>
        <v xml:space="preserve">Proportion de fenêtres </v>
      </c>
      <c r="BQ523" s="1979">
        <v>0</v>
      </c>
      <c r="BR523" s="1979">
        <v>0</v>
      </c>
      <c r="BS523" s="1979">
        <v>0</v>
      </c>
      <c r="BT523" s="1979">
        <v>0</v>
      </c>
      <c r="BU523" s="1979">
        <v>0</v>
      </c>
      <c r="BV523" s="1998">
        <v>0</v>
      </c>
      <c r="BW523" s="1998">
        <v>0</v>
      </c>
      <c r="BX523" s="1998">
        <v>0</v>
      </c>
      <c r="BY523" s="1998">
        <v>0</v>
      </c>
      <c r="BZ523" s="1998">
        <v>0</v>
      </c>
      <c r="CA523" s="1979">
        <v>0</v>
      </c>
      <c r="CB523" s="1979">
        <v>0</v>
      </c>
      <c r="CC523" s="1979">
        <v>0</v>
      </c>
      <c r="CD523" s="1979">
        <v>0</v>
      </c>
      <c r="CE523" s="1979">
        <v>0</v>
      </c>
      <c r="CF523" s="1998">
        <v>0</v>
      </c>
      <c r="CG523" s="1998">
        <v>0</v>
      </c>
      <c r="CH523" s="1998">
        <v>0</v>
      </c>
      <c r="CI523" s="1998">
        <v>0</v>
      </c>
      <c r="CJ523" s="1998">
        <v>0</v>
      </c>
      <c r="CK523" s="1979">
        <v>0</v>
      </c>
      <c r="CL523" s="1979">
        <v>0</v>
      </c>
      <c r="CM523" s="1979">
        <v>0</v>
      </c>
      <c r="CN523" s="1979">
        <v>0</v>
      </c>
      <c r="CO523" s="1979">
        <v>0</v>
      </c>
      <c r="CP523" s="1998">
        <v>0</v>
      </c>
      <c r="CQ523" s="1998">
        <v>0</v>
      </c>
      <c r="CR523" s="1998">
        <v>0</v>
      </c>
      <c r="CS523" s="1998">
        <v>0</v>
      </c>
      <c r="CT523" s="1998">
        <v>0</v>
      </c>
      <c r="CU523" s="1979">
        <v>0.12013462790823895</v>
      </c>
      <c r="CV523" s="1979">
        <v>0.12083148173652798</v>
      </c>
      <c r="CW523" s="1979">
        <v>0.1216394282041095</v>
      </c>
      <c r="CX523" s="1979">
        <v>0.12256856664182821</v>
      </c>
      <c r="CY523" s="1979">
        <v>0.12370979102728706</v>
      </c>
      <c r="CZ523" s="1998">
        <v>0</v>
      </c>
      <c r="DA523" s="1998">
        <v>0</v>
      </c>
      <c r="DB523" s="1998">
        <v>0</v>
      </c>
      <c r="DC523" s="1998">
        <v>0</v>
      </c>
      <c r="DD523" s="1998">
        <v>0</v>
      </c>
      <c r="DE523" s="1979">
        <v>0.9582933531372817</v>
      </c>
      <c r="DF523" s="1979">
        <v>0.96390223187852575</v>
      </c>
      <c r="DG523" s="1979">
        <v>0.97040527969446089</v>
      </c>
      <c r="DH523" s="1979">
        <v>0.97788378468278636</v>
      </c>
      <c r="DI523" s="1979">
        <v>0.98706933972279476</v>
      </c>
      <c r="DJ523" s="1998">
        <v>0.9566770816707133</v>
      </c>
      <c r="DK523" s="1998">
        <v>0.96227484308536015</v>
      </c>
      <c r="DL523" s="1998">
        <v>0.96876500124726939</v>
      </c>
      <c r="DM523" s="1998">
        <v>0.976228683133465</v>
      </c>
      <c r="DN523" s="1998">
        <v>0.98539603153716193</v>
      </c>
      <c r="DO523" s="1979">
        <v>0.99437778650552044</v>
      </c>
      <c r="DP523" s="1979">
        <v>0.99549590865551696</v>
      </c>
      <c r="DQ523" s="1979">
        <v>0.99679213875860984</v>
      </c>
      <c r="DR523" s="1979">
        <v>0.99830605635993219</v>
      </c>
      <c r="DS523" s="1979">
        <v>1.0001860847537312</v>
      </c>
      <c r="DT523" s="1998">
        <v>0.99145256670777138</v>
      </c>
      <c r="DU523" s="1998">
        <v>0.99256657148048844</v>
      </c>
      <c r="DV523" s="1998">
        <v>0.99385802834089454</v>
      </c>
      <c r="DW523" s="1998">
        <v>0.99536637108625436</v>
      </c>
      <c r="DX523" s="2026">
        <v>0.99723947645630917</v>
      </c>
      <c r="EA523" s="2022"/>
      <c r="EB523" s="2">
        <v>22</v>
      </c>
      <c r="EC523" s="2" t="str">
        <f>CONCATENATE($U$8," ",JI$16)</f>
        <v xml:space="preserve">Proportion de fenêtres </v>
      </c>
      <c r="ED523" s="1979">
        <v>0</v>
      </c>
      <c r="EE523" s="1979">
        <v>0</v>
      </c>
      <c r="EF523" s="1979">
        <v>0</v>
      </c>
      <c r="EG523" s="1979">
        <v>0</v>
      </c>
      <c r="EH523" s="1979">
        <v>0</v>
      </c>
      <c r="EI523" s="1998">
        <v>0</v>
      </c>
      <c r="EJ523" s="1998">
        <v>0</v>
      </c>
      <c r="EK523" s="1998">
        <v>0</v>
      </c>
      <c r="EL523" s="1998">
        <v>0</v>
      </c>
      <c r="EM523" s="1998">
        <v>0</v>
      </c>
      <c r="EN523" s="1979">
        <v>0</v>
      </c>
      <c r="EO523" s="1979">
        <v>0</v>
      </c>
      <c r="EP523" s="1979">
        <v>0</v>
      </c>
      <c r="EQ523" s="1979">
        <v>0</v>
      </c>
      <c r="ER523" s="1979">
        <v>0</v>
      </c>
      <c r="ES523" s="1998">
        <v>0</v>
      </c>
      <c r="ET523" s="1998">
        <v>0</v>
      </c>
      <c r="EU523" s="1998">
        <v>0</v>
      </c>
      <c r="EV523" s="1998">
        <v>0</v>
      </c>
      <c r="EW523" s="1998">
        <v>0</v>
      </c>
      <c r="EX523" s="1979">
        <v>0</v>
      </c>
      <c r="EY523" s="1979">
        <v>0</v>
      </c>
      <c r="EZ523" s="1979">
        <v>0</v>
      </c>
      <c r="FA523" s="1979">
        <v>0</v>
      </c>
      <c r="FB523" s="1979">
        <v>0</v>
      </c>
      <c r="FC523" s="1998">
        <v>0</v>
      </c>
      <c r="FD523" s="1998">
        <v>0</v>
      </c>
      <c r="FE523" s="1998">
        <v>0</v>
      </c>
      <c r="FF523" s="1998">
        <v>0</v>
      </c>
      <c r="FG523" s="1998">
        <v>0</v>
      </c>
      <c r="FH523" s="1979">
        <v>1.0740164261966414</v>
      </c>
      <c r="FI523" s="1979">
        <v>1.0747132800249306</v>
      </c>
      <c r="FJ523" s="1979">
        <v>1.075521226492512</v>
      </c>
      <c r="FK523" s="1979">
        <v>1.0764503649302306</v>
      </c>
      <c r="FL523" s="1979">
        <v>1.0775915893156893</v>
      </c>
      <c r="FM523" s="1998">
        <v>0</v>
      </c>
      <c r="FN523" s="1998">
        <v>0</v>
      </c>
      <c r="FO523" s="1998">
        <v>0</v>
      </c>
      <c r="FP523" s="1998">
        <v>0</v>
      </c>
      <c r="FQ523" s="1998">
        <v>0</v>
      </c>
      <c r="FR523" s="1979">
        <v>8.0781146103650112</v>
      </c>
      <c r="FS523" s="1979">
        <v>8.083723489106255</v>
      </c>
      <c r="FT523" s="1979">
        <v>8.0902265369221897</v>
      </c>
      <c r="FU523" s="1979">
        <v>8.0977050419105172</v>
      </c>
      <c r="FV523" s="1979">
        <v>8.1068905969505245</v>
      </c>
      <c r="FW523" s="1998">
        <v>8.4365843632712139</v>
      </c>
      <c r="FX523" s="1998">
        <v>8.4421821246858588</v>
      </c>
      <c r="FY523" s="1998">
        <v>8.4486722828477685</v>
      </c>
      <c r="FZ523" s="1998">
        <v>8.4561359647339636</v>
      </c>
      <c r="GA523" s="1998">
        <v>8.4653033131376603</v>
      </c>
      <c r="GB523" s="1979">
        <v>1.3805257237055559</v>
      </c>
      <c r="GC523" s="1979">
        <v>1.3816438458555522</v>
      </c>
      <c r="GD523" s="1979">
        <v>1.3829400759586454</v>
      </c>
      <c r="GE523" s="1979">
        <v>1.3844539935599678</v>
      </c>
      <c r="GF523" s="1979">
        <v>1.3863340219537668</v>
      </c>
      <c r="GG523" s="1998">
        <v>1.4227597242861751</v>
      </c>
      <c r="GH523" s="1998">
        <v>1.4238737290588921</v>
      </c>
      <c r="GI523" s="1998">
        <v>1.4251651859192984</v>
      </c>
      <c r="GJ523" s="1998">
        <v>1.4266735286646581</v>
      </c>
      <c r="GK523" s="2026">
        <v>1.4285466340347133</v>
      </c>
    </row>
    <row r="524" spans="1:193">
      <c r="A524" s="2020"/>
      <c r="B524" s="2">
        <v>23</v>
      </c>
      <c r="C524" s="2" t="str">
        <f>CONCATENATE($U$8," ",EI$17)</f>
        <v xml:space="preserve">Proportion de fenêtres </v>
      </c>
      <c r="D524" s="1979">
        <f>IF(Construction!$F$31=Construction!$R$22,Oeko!BQ524,Oeko!ED524)</f>
        <v>0</v>
      </c>
      <c r="E524" s="1979">
        <f>IF(Construction!$F$31=Construction!$R$22,Oeko!BR524,Oeko!EE524)</f>
        <v>0</v>
      </c>
      <c r="F524" s="1979">
        <f>IF(Construction!$F$31=Construction!$R$22,Oeko!BS524,Oeko!EF524)</f>
        <v>0</v>
      </c>
      <c r="G524" s="1979">
        <f>IF(Construction!$F$31=Construction!$R$22,Oeko!BT524,Oeko!EG524)</f>
        <v>0</v>
      </c>
      <c r="H524" s="1979">
        <f>IF(Construction!$F$31=Construction!$R$22,Oeko!BU524,Oeko!EH524)</f>
        <v>0</v>
      </c>
      <c r="I524" s="1998">
        <f>IF(Construction!$F$31=Construction!$R$22,Oeko!BV524,Oeko!EI524)</f>
        <v>0</v>
      </c>
      <c r="J524" s="1998">
        <f>IF(Construction!$F$31=Construction!$R$22,Oeko!BW524,Oeko!EJ524)</f>
        <v>0</v>
      </c>
      <c r="K524" s="1998">
        <f>IF(Construction!$F$31=Construction!$R$22,Oeko!BX524,Oeko!EK524)</f>
        <v>0</v>
      </c>
      <c r="L524" s="1998">
        <f>IF(Construction!$F$31=Construction!$R$22,Oeko!BY524,Oeko!EL524)</f>
        <v>0</v>
      </c>
      <c r="M524" s="1998">
        <f>IF(Construction!$F$31=Construction!$R$22,Oeko!BZ524,Oeko!EM524)</f>
        <v>0</v>
      </c>
      <c r="N524" s="1979">
        <f>IF(Construction!$F$31=Construction!$R$22,Oeko!CA524,Oeko!EN524)</f>
        <v>0</v>
      </c>
      <c r="O524" s="1979">
        <f>IF(Construction!$F$31=Construction!$R$22,Oeko!CB524,Oeko!EO524)</f>
        <v>0</v>
      </c>
      <c r="P524" s="1979">
        <f>IF(Construction!$F$31=Construction!$R$22,Oeko!CC524,Oeko!EP524)</f>
        <v>0</v>
      </c>
      <c r="Q524" s="1979">
        <f>IF(Construction!$F$31=Construction!$R$22,Oeko!CD524,Oeko!EQ524)</f>
        <v>0</v>
      </c>
      <c r="R524" s="1979">
        <f>IF(Construction!$F$31=Construction!$R$22,Oeko!CE524,Oeko!ER524)</f>
        <v>0</v>
      </c>
      <c r="S524" s="1998">
        <f>IF(Construction!$F$31=Construction!$R$22,Oeko!CF524,Oeko!ES524)</f>
        <v>0</v>
      </c>
      <c r="T524" s="1998">
        <f>IF(Construction!$F$31=Construction!$R$22,Oeko!CG524,Oeko!ET524)</f>
        <v>0</v>
      </c>
      <c r="U524" s="1998">
        <f>IF(Construction!$F$31=Construction!$R$22,Oeko!CH524,Oeko!EU524)</f>
        <v>0</v>
      </c>
      <c r="V524" s="1998">
        <f>IF(Construction!$F$31=Construction!$R$22,Oeko!CI524,Oeko!EV524)</f>
        <v>0</v>
      </c>
      <c r="W524" s="1998">
        <f>IF(Construction!$F$31=Construction!$R$22,Oeko!CJ524,Oeko!EW524)</f>
        <v>0</v>
      </c>
      <c r="X524" s="1979">
        <f>IF(Construction!$F$31=Construction!$R$22,Oeko!CK524,Oeko!EX524)</f>
        <v>0</v>
      </c>
      <c r="Y524" s="1979">
        <f>IF(Construction!$F$31=Construction!$R$22,Oeko!CL524,Oeko!EY524)</f>
        <v>0</v>
      </c>
      <c r="Z524" s="1979">
        <f>IF(Construction!$F$31=Construction!$R$22,Oeko!CM524,Oeko!EZ524)</f>
        <v>0</v>
      </c>
      <c r="AA524" s="1979">
        <f>IF(Construction!$F$31=Construction!$R$22,Oeko!CN524,Oeko!FA524)</f>
        <v>0</v>
      </c>
      <c r="AB524" s="1979">
        <f>IF(Construction!$F$31=Construction!$R$22,Oeko!CO524,Oeko!FB524)</f>
        <v>0</v>
      </c>
      <c r="AC524" s="1998">
        <f>IF(Construction!$F$31=Construction!$R$22,Oeko!CP524,Oeko!FC524)</f>
        <v>0</v>
      </c>
      <c r="AD524" s="1998">
        <f>IF(Construction!$F$31=Construction!$R$22,Oeko!CQ524,Oeko!FD524)</f>
        <v>0</v>
      </c>
      <c r="AE524" s="1998">
        <f>IF(Construction!$F$31=Construction!$R$22,Oeko!CR524,Oeko!FE524)</f>
        <v>0</v>
      </c>
      <c r="AF524" s="1998">
        <f>IF(Construction!$F$31=Construction!$R$22,Oeko!CS524,Oeko!FF524)</f>
        <v>0</v>
      </c>
      <c r="AG524" s="1998">
        <f>IF(Construction!$F$31=Construction!$R$22,Oeko!CT524,Oeko!FG524)</f>
        <v>0</v>
      </c>
      <c r="AH524" s="1979">
        <f>IF(Construction!$F$31=Construction!$R$22,Oeko!CU524,Oeko!FH524)</f>
        <v>0.11819590264881517</v>
      </c>
      <c r="AI524" s="1979">
        <f>IF(Construction!$F$31=Construction!$R$22,Oeko!CV524,Oeko!FI524)</f>
        <v>0.11889275647710422</v>
      </c>
      <c r="AJ524" s="1979">
        <f>IF(Construction!$F$31=Construction!$R$22,Oeko!CW524,Oeko!FJ524)</f>
        <v>0.11970070294468572</v>
      </c>
      <c r="AK524" s="1979">
        <f>IF(Construction!$F$31=Construction!$R$22,Oeko!CX524,Oeko!FK524)</f>
        <v>0.12062984138240443</v>
      </c>
      <c r="AL524" s="1979">
        <f>IF(Construction!$F$31=Construction!$R$22,Oeko!CY524,Oeko!FL524)</f>
        <v>0.12177106576786328</v>
      </c>
      <c r="AM524" s="1998">
        <f>IF(Construction!$F$31=Construction!$R$22,Oeko!CZ524,Oeko!FM524)</f>
        <v>0</v>
      </c>
      <c r="AN524" s="1998">
        <f>IF(Construction!$F$31=Construction!$R$22,Oeko!DA524,Oeko!FN524)</f>
        <v>0</v>
      </c>
      <c r="AO524" s="1998">
        <f>IF(Construction!$F$31=Construction!$R$22,Oeko!DB524,Oeko!FO524)</f>
        <v>0</v>
      </c>
      <c r="AP524" s="1998">
        <f>IF(Construction!$F$31=Construction!$R$22,Oeko!DC524,Oeko!FP524)</f>
        <v>0</v>
      </c>
      <c r="AQ524" s="1998">
        <f>IF(Construction!$F$31=Construction!$R$22,Oeko!DD524,Oeko!FQ524)</f>
        <v>0</v>
      </c>
      <c r="AR524" s="1979">
        <f>IF(Construction!$F$31=Construction!$R$22,Oeko!DE524,Oeko!FR524)</f>
        <v>0.95134224532682865</v>
      </c>
      <c r="AS524" s="1979">
        <f>IF(Construction!$F$31=Construction!$R$22,Oeko!DF524,Oeko!FS524)</f>
        <v>0.9569511240680727</v>
      </c>
      <c r="AT524" s="1979">
        <f>IF(Construction!$F$31=Construction!$R$22,Oeko!DG524,Oeko!FT524)</f>
        <v>0.96345417188400773</v>
      </c>
      <c r="AU524" s="1979">
        <f>IF(Construction!$F$31=Construction!$R$22,Oeko!DH524,Oeko!FU524)</f>
        <v>0.9709326768723332</v>
      </c>
      <c r="AV524" s="1979">
        <f>IF(Construction!$F$31=Construction!$R$22,Oeko!DI524,Oeko!FV524)</f>
        <v>0.9801182319123416</v>
      </c>
      <c r="AW524" s="1998">
        <f>IF(Construction!$F$31=Construction!$R$22,Oeko!DJ524,Oeko!FW524)</f>
        <v>0.94945659528249871</v>
      </c>
      <c r="AX524" s="1998">
        <f>IF(Construction!$F$31=Construction!$R$22,Oeko!DK524,Oeko!FX524)</f>
        <v>0.95505435669714556</v>
      </c>
      <c r="AY524" s="1998">
        <f>IF(Construction!$F$31=Construction!$R$22,Oeko!DL524,Oeko!FY524)</f>
        <v>0.96154451485905501</v>
      </c>
      <c r="AZ524" s="1998">
        <f>IF(Construction!$F$31=Construction!$R$22,Oeko!DM524,Oeko!FZ524)</f>
        <v>0.96900819674525063</v>
      </c>
      <c r="BA524" s="1998">
        <f>IF(Construction!$F$31=Construction!$R$22,Oeko!DN524,Oeko!GA524)</f>
        <v>0.97817554514894745</v>
      </c>
      <c r="BB524" s="1979">
        <f>IF(Construction!$F$31=Construction!$R$22,Oeko!DO524,Oeko!GB524)</f>
        <v>0.99357582119517296</v>
      </c>
      <c r="BC524" s="1979">
        <f>IF(Construction!$F$31=Construction!$R$22,Oeko!DP524,Oeko!GC524)</f>
        <v>0.99469394334516925</v>
      </c>
      <c r="BD524" s="1979">
        <f>IF(Construction!$F$31=Construction!$R$22,Oeko!DQ524,Oeko!GD524)</f>
        <v>0.99599017344826235</v>
      </c>
      <c r="BE524" s="1979">
        <f>IF(Construction!$F$31=Construction!$R$22,Oeko!DR524,Oeko!GE524)</f>
        <v>0.99750409104958448</v>
      </c>
      <c r="BF524" s="1979">
        <f>IF(Construction!$F$31=Construction!$R$22,Oeko!DS524,Oeko!GF524)</f>
        <v>0.99938411944338379</v>
      </c>
      <c r="BG524" s="1998">
        <f>IF(Construction!$F$31=Construction!$R$22,Oeko!DT524,Oeko!GG524)</f>
        <v>0.98991707379299498</v>
      </c>
      <c r="BH524" s="1998">
        <f>IF(Construction!$F$31=Construction!$R$22,Oeko!DU524,Oeko!GH524)</f>
        <v>0.99103107856571204</v>
      </c>
      <c r="BI524" s="1998">
        <f>IF(Construction!$F$31=Construction!$R$22,Oeko!DV524,Oeko!GI524)</f>
        <v>0.99232253542611815</v>
      </c>
      <c r="BJ524" s="1998">
        <f>IF(Construction!$F$31=Construction!$R$22,Oeko!DW524,Oeko!GJ524)</f>
        <v>0.99383087817147808</v>
      </c>
      <c r="BK524" s="2026">
        <f>IF(Construction!$F$31=Construction!$R$22,Oeko!DX524,Oeko!GK524)</f>
        <v>0.99570398354153278</v>
      </c>
      <c r="BN524" s="2022"/>
      <c r="BO524" s="2">
        <v>23</v>
      </c>
      <c r="BP524" s="2" t="str">
        <f>CONCATENATE($U$8," ",GV$17)</f>
        <v xml:space="preserve">Proportion de fenêtres </v>
      </c>
      <c r="BQ524" s="1979">
        <v>0</v>
      </c>
      <c r="BR524" s="1979">
        <v>0</v>
      </c>
      <c r="BS524" s="1979">
        <v>0</v>
      </c>
      <c r="BT524" s="1979">
        <v>0</v>
      </c>
      <c r="BU524" s="1979">
        <v>0</v>
      </c>
      <c r="BV524" s="1998">
        <v>0</v>
      </c>
      <c r="BW524" s="1998">
        <v>0</v>
      </c>
      <c r="BX524" s="1998">
        <v>0</v>
      </c>
      <c r="BY524" s="1998">
        <v>0</v>
      </c>
      <c r="BZ524" s="1998">
        <v>0</v>
      </c>
      <c r="CA524" s="1979">
        <v>0</v>
      </c>
      <c r="CB524" s="1979">
        <v>0</v>
      </c>
      <c r="CC524" s="1979">
        <v>0</v>
      </c>
      <c r="CD524" s="1979">
        <v>0</v>
      </c>
      <c r="CE524" s="1979">
        <v>0</v>
      </c>
      <c r="CF524" s="1998">
        <v>0</v>
      </c>
      <c r="CG524" s="1998">
        <v>0</v>
      </c>
      <c r="CH524" s="1998">
        <v>0</v>
      </c>
      <c r="CI524" s="1998">
        <v>0</v>
      </c>
      <c r="CJ524" s="1998">
        <v>0</v>
      </c>
      <c r="CK524" s="1979">
        <v>0</v>
      </c>
      <c r="CL524" s="1979">
        <v>0</v>
      </c>
      <c r="CM524" s="1979">
        <v>0</v>
      </c>
      <c r="CN524" s="1979">
        <v>0</v>
      </c>
      <c r="CO524" s="1979">
        <v>0</v>
      </c>
      <c r="CP524" s="1998">
        <v>0</v>
      </c>
      <c r="CQ524" s="1998">
        <v>0</v>
      </c>
      <c r="CR524" s="1998">
        <v>0</v>
      </c>
      <c r="CS524" s="1998">
        <v>0</v>
      </c>
      <c r="CT524" s="1998">
        <v>0</v>
      </c>
      <c r="CU524" s="1979">
        <v>0.11819590264881517</v>
      </c>
      <c r="CV524" s="1979">
        <v>0.11889275647710422</v>
      </c>
      <c r="CW524" s="1979">
        <v>0.11970070294468572</v>
      </c>
      <c r="CX524" s="1979">
        <v>0.12062984138240443</v>
      </c>
      <c r="CY524" s="1979">
        <v>0.12177106576786328</v>
      </c>
      <c r="CZ524" s="1998">
        <v>0</v>
      </c>
      <c r="DA524" s="1998">
        <v>0</v>
      </c>
      <c r="DB524" s="1998">
        <v>0</v>
      </c>
      <c r="DC524" s="1998">
        <v>0</v>
      </c>
      <c r="DD524" s="1998">
        <v>0</v>
      </c>
      <c r="DE524" s="1979">
        <v>0.95134224532682865</v>
      </c>
      <c r="DF524" s="1979">
        <v>0.9569511240680727</v>
      </c>
      <c r="DG524" s="1979">
        <v>0.96345417188400773</v>
      </c>
      <c r="DH524" s="1979">
        <v>0.9709326768723332</v>
      </c>
      <c r="DI524" s="1979">
        <v>0.9801182319123416</v>
      </c>
      <c r="DJ524" s="1998">
        <v>0.94945659528249871</v>
      </c>
      <c r="DK524" s="1998">
        <v>0.95505435669714556</v>
      </c>
      <c r="DL524" s="1998">
        <v>0.96154451485905501</v>
      </c>
      <c r="DM524" s="1998">
        <v>0.96900819674525063</v>
      </c>
      <c r="DN524" s="1998">
        <v>0.97817554514894745</v>
      </c>
      <c r="DO524" s="1979">
        <v>0.99357582119517296</v>
      </c>
      <c r="DP524" s="1979">
        <v>0.99469394334516925</v>
      </c>
      <c r="DQ524" s="1979">
        <v>0.99599017344826235</v>
      </c>
      <c r="DR524" s="1979">
        <v>0.99750409104958448</v>
      </c>
      <c r="DS524" s="1979">
        <v>0.99938411944338379</v>
      </c>
      <c r="DT524" s="1998">
        <v>0.98991707379299498</v>
      </c>
      <c r="DU524" s="1998">
        <v>0.99103107856571204</v>
      </c>
      <c r="DV524" s="1998">
        <v>0.99232253542611815</v>
      </c>
      <c r="DW524" s="1998">
        <v>0.99383087817147808</v>
      </c>
      <c r="DX524" s="2026">
        <v>0.99570398354153278</v>
      </c>
      <c r="EA524" s="2022"/>
      <c r="EB524" s="2">
        <v>23</v>
      </c>
      <c r="EC524" s="2" t="str">
        <f>CONCATENATE($U$8," ",JI$17)</f>
        <v xml:space="preserve">Proportion de fenêtres </v>
      </c>
      <c r="ED524" s="1979">
        <v>0</v>
      </c>
      <c r="EE524" s="1979">
        <v>0</v>
      </c>
      <c r="EF524" s="1979">
        <v>0</v>
      </c>
      <c r="EG524" s="1979">
        <v>0</v>
      </c>
      <c r="EH524" s="1979">
        <v>0</v>
      </c>
      <c r="EI524" s="1998">
        <v>0</v>
      </c>
      <c r="EJ524" s="1998">
        <v>0</v>
      </c>
      <c r="EK524" s="1998">
        <v>0</v>
      </c>
      <c r="EL524" s="1998">
        <v>0</v>
      </c>
      <c r="EM524" s="1998">
        <v>0</v>
      </c>
      <c r="EN524" s="1979">
        <v>0</v>
      </c>
      <c r="EO524" s="1979">
        <v>0</v>
      </c>
      <c r="EP524" s="1979">
        <v>0</v>
      </c>
      <c r="EQ524" s="1979">
        <v>0</v>
      </c>
      <c r="ER524" s="1979">
        <v>0</v>
      </c>
      <c r="ES524" s="1998">
        <v>0</v>
      </c>
      <c r="ET524" s="1998">
        <v>0</v>
      </c>
      <c r="EU524" s="1998">
        <v>0</v>
      </c>
      <c r="EV524" s="1998">
        <v>0</v>
      </c>
      <c r="EW524" s="1998">
        <v>0</v>
      </c>
      <c r="EX524" s="1979">
        <v>0</v>
      </c>
      <c r="EY524" s="1979">
        <v>0</v>
      </c>
      <c r="EZ524" s="1979">
        <v>0</v>
      </c>
      <c r="FA524" s="1979">
        <v>0</v>
      </c>
      <c r="FB524" s="1979">
        <v>0</v>
      </c>
      <c r="FC524" s="1998">
        <v>0</v>
      </c>
      <c r="FD524" s="1998">
        <v>0</v>
      </c>
      <c r="FE524" s="1998">
        <v>0</v>
      </c>
      <c r="FF524" s="1998">
        <v>0</v>
      </c>
      <c r="FG524" s="1998">
        <v>0</v>
      </c>
      <c r="FH524" s="1979">
        <v>1.0720777009372178</v>
      </c>
      <c r="FI524" s="1979">
        <v>1.072774554765507</v>
      </c>
      <c r="FJ524" s="1979">
        <v>1.0735825012330882</v>
      </c>
      <c r="FK524" s="1979">
        <v>1.074511639670807</v>
      </c>
      <c r="FL524" s="1979">
        <v>1.0756528640562657</v>
      </c>
      <c r="FM524" s="1998">
        <v>0</v>
      </c>
      <c r="FN524" s="1998">
        <v>0</v>
      </c>
      <c r="FO524" s="1998">
        <v>0</v>
      </c>
      <c r="FP524" s="1998">
        <v>0</v>
      </c>
      <c r="FQ524" s="1998">
        <v>0</v>
      </c>
      <c r="FR524" s="1979">
        <v>8.0711635025545583</v>
      </c>
      <c r="FS524" s="1979">
        <v>8.0767723812958021</v>
      </c>
      <c r="FT524" s="1979">
        <v>8.0832754291117386</v>
      </c>
      <c r="FU524" s="1979">
        <v>8.0907539341000625</v>
      </c>
      <c r="FV524" s="1979">
        <v>8.0999394891400716</v>
      </c>
      <c r="FW524" s="1998">
        <v>8.4293638768829986</v>
      </c>
      <c r="FX524" s="1998">
        <v>8.4349616382976453</v>
      </c>
      <c r="FY524" s="1998">
        <v>8.4414517964595532</v>
      </c>
      <c r="FZ524" s="1998">
        <v>8.4489154783457501</v>
      </c>
      <c r="GA524" s="1998">
        <v>8.4580828267494468</v>
      </c>
      <c r="GB524" s="1979">
        <v>1.3797237583952082</v>
      </c>
      <c r="GC524" s="1979">
        <v>1.3808418805452045</v>
      </c>
      <c r="GD524" s="1979">
        <v>1.3821381106482977</v>
      </c>
      <c r="GE524" s="1979">
        <v>1.3836520282496201</v>
      </c>
      <c r="GF524" s="1979">
        <v>1.3855320566434191</v>
      </c>
      <c r="GG524" s="1998">
        <v>1.421224231371399</v>
      </c>
      <c r="GH524" s="1998">
        <v>1.4223382361441157</v>
      </c>
      <c r="GI524" s="1998">
        <v>1.4236296930045218</v>
      </c>
      <c r="GJ524" s="1998">
        <v>1.4251380357498817</v>
      </c>
      <c r="GK524" s="2026">
        <v>1.4270111411199367</v>
      </c>
    </row>
    <row r="525" spans="1:193">
      <c r="A525" s="2020"/>
      <c r="B525" s="2">
        <v>24</v>
      </c>
      <c r="C525" s="2" t="s">
        <v>4211</v>
      </c>
      <c r="D525" s="1979">
        <f>IF(Construction!$F$31=Construction!$R$22,Oeko!BQ525,Oeko!ED525)</f>
        <v>0</v>
      </c>
      <c r="E525" s="1979">
        <f>IF(Construction!$F$31=Construction!$R$22,Oeko!BR525,Oeko!EE525)</f>
        <v>0</v>
      </c>
      <c r="F525" s="1979">
        <f>IF(Construction!$F$31=Construction!$R$22,Oeko!BS525,Oeko!EF525)</f>
        <v>0</v>
      </c>
      <c r="G525" s="1979">
        <f>IF(Construction!$F$31=Construction!$R$22,Oeko!BT525,Oeko!EG525)</f>
        <v>0</v>
      </c>
      <c r="H525" s="1979">
        <f>IF(Construction!$F$31=Construction!$R$22,Oeko!BU525,Oeko!EH525)</f>
        <v>0</v>
      </c>
      <c r="I525" s="1998">
        <f>IF(Construction!$F$31=Construction!$R$22,Oeko!BV525,Oeko!EI525)</f>
        <v>1</v>
      </c>
      <c r="J525" s="1998">
        <f>IF(Construction!$F$31=Construction!$R$22,Oeko!BW525,Oeko!EJ525)</f>
        <v>1</v>
      </c>
      <c r="K525" s="1998">
        <f>IF(Construction!$F$31=Construction!$R$22,Oeko!BX525,Oeko!EK525)</f>
        <v>1</v>
      </c>
      <c r="L525" s="1998">
        <f>IF(Construction!$F$31=Construction!$R$22,Oeko!BY525,Oeko!EL525)</f>
        <v>1</v>
      </c>
      <c r="M525" s="1998">
        <f>IF(Construction!$F$31=Construction!$R$22,Oeko!BZ525,Oeko!EM525)</f>
        <v>1</v>
      </c>
      <c r="N525" s="1979">
        <f>IF(Construction!$F$31=Construction!$R$22,Oeko!CA525,Oeko!EN525)</f>
        <v>1.0000000000000002</v>
      </c>
      <c r="O525" s="1979">
        <f>IF(Construction!$F$31=Construction!$R$22,Oeko!CB525,Oeko!EO525)</f>
        <v>1.0000000000000002</v>
      </c>
      <c r="P525" s="1979">
        <f>IF(Construction!$F$31=Construction!$R$22,Oeko!CC525,Oeko!EP525)</f>
        <v>1.0000000000000002</v>
      </c>
      <c r="Q525" s="1979">
        <f>IF(Construction!$F$31=Construction!$R$22,Oeko!CD525,Oeko!EQ525)</f>
        <v>1.0000000000000002</v>
      </c>
      <c r="R525" s="1979">
        <f>IF(Construction!$F$31=Construction!$R$22,Oeko!CE525,Oeko!ER525)</f>
        <v>1.0000000000000002</v>
      </c>
      <c r="S525" s="1998">
        <f>IF(Construction!$F$31=Construction!$R$22,Oeko!CF525,Oeko!ES525)</f>
        <v>1</v>
      </c>
      <c r="T525" s="1998">
        <f>IF(Construction!$F$31=Construction!$R$22,Oeko!CG525,Oeko!ET525)</f>
        <v>1</v>
      </c>
      <c r="U525" s="1998">
        <f>IF(Construction!$F$31=Construction!$R$22,Oeko!CH525,Oeko!EU525)</f>
        <v>1</v>
      </c>
      <c r="V525" s="1998">
        <f>IF(Construction!$F$31=Construction!$R$22,Oeko!CI525,Oeko!EV525)</f>
        <v>1</v>
      </c>
      <c r="W525" s="1998">
        <f>IF(Construction!$F$31=Construction!$R$22,Oeko!CJ525,Oeko!EW525)</f>
        <v>1</v>
      </c>
      <c r="X525" s="1979">
        <f>IF(Construction!$F$31=Construction!$R$22,Oeko!CK525,Oeko!EX525)</f>
        <v>1</v>
      </c>
      <c r="Y525" s="1979">
        <f>IF(Construction!$F$31=Construction!$R$22,Oeko!CL525,Oeko!EY525)</f>
        <v>1</v>
      </c>
      <c r="Z525" s="1979">
        <f>IF(Construction!$F$31=Construction!$R$22,Oeko!CM525,Oeko!EZ525)</f>
        <v>1</v>
      </c>
      <c r="AA525" s="1979">
        <f>IF(Construction!$F$31=Construction!$R$22,Oeko!CN525,Oeko!FA525)</f>
        <v>1</v>
      </c>
      <c r="AB525" s="1979">
        <f>IF(Construction!$F$31=Construction!$R$22,Oeko!CO525,Oeko!FB525)</f>
        <v>1</v>
      </c>
      <c r="AC525" s="1998">
        <f>IF(Construction!$F$31=Construction!$R$22,Oeko!CP525,Oeko!FC525)</f>
        <v>1</v>
      </c>
      <c r="AD525" s="1998">
        <f>IF(Construction!$F$31=Construction!$R$22,Oeko!CQ525,Oeko!FD525)</f>
        <v>1</v>
      </c>
      <c r="AE525" s="1998">
        <f>IF(Construction!$F$31=Construction!$R$22,Oeko!CR525,Oeko!FE525)</f>
        <v>1</v>
      </c>
      <c r="AF525" s="1998">
        <f>IF(Construction!$F$31=Construction!$R$22,Oeko!CS525,Oeko!FF525)</f>
        <v>1</v>
      </c>
      <c r="AG525" s="1998">
        <f>IF(Construction!$F$31=Construction!$R$22,Oeko!CT525,Oeko!FG525)</f>
        <v>1</v>
      </c>
      <c r="AH525" s="1979">
        <f>IF(Construction!$F$31=Construction!$R$22,Oeko!CU525,Oeko!FH525)</f>
        <v>1</v>
      </c>
      <c r="AI525" s="1979">
        <f>IF(Construction!$F$31=Construction!$R$22,Oeko!CV525,Oeko!FI525)</f>
        <v>1</v>
      </c>
      <c r="AJ525" s="1979">
        <f>IF(Construction!$F$31=Construction!$R$22,Oeko!CW525,Oeko!FJ525)</f>
        <v>1</v>
      </c>
      <c r="AK525" s="1979">
        <f>IF(Construction!$F$31=Construction!$R$22,Oeko!CX525,Oeko!FK525)</f>
        <v>1</v>
      </c>
      <c r="AL525" s="1979">
        <f>IF(Construction!$F$31=Construction!$R$22,Oeko!CY525,Oeko!FL525)</f>
        <v>1</v>
      </c>
      <c r="AM525" s="1998">
        <f>IF(Construction!$F$31=Construction!$R$22,Oeko!CZ525,Oeko!FM525)</f>
        <v>0.66666666666666663</v>
      </c>
      <c r="AN525" s="1998">
        <f>IF(Construction!$F$31=Construction!$R$22,Oeko!DA525,Oeko!FN525)</f>
        <v>0.66666666666666663</v>
      </c>
      <c r="AO525" s="1998">
        <f>IF(Construction!$F$31=Construction!$R$22,Oeko!DB525,Oeko!FO525)</f>
        <v>0.66666666666666663</v>
      </c>
      <c r="AP525" s="1998">
        <f>IF(Construction!$F$31=Construction!$R$22,Oeko!DC525,Oeko!FP525)</f>
        <v>0.66666666666666663</v>
      </c>
      <c r="AQ525" s="1998">
        <f>IF(Construction!$F$31=Construction!$R$22,Oeko!DD525,Oeko!FQ525)</f>
        <v>0.66666666666666663</v>
      </c>
      <c r="AR525" s="1979">
        <f>IF(Construction!$F$31=Construction!$R$22,Oeko!DE525,Oeko!FR525)</f>
        <v>8.1914540462959007</v>
      </c>
      <c r="AS525" s="1979">
        <f>IF(Construction!$F$31=Construction!$R$22,Oeko!DF525,Oeko!FS525)</f>
        <v>8.1914540462959007</v>
      </c>
      <c r="AT525" s="1979">
        <f>IF(Construction!$F$31=Construction!$R$22,Oeko!DG525,Oeko!FT525)</f>
        <v>8.1914540462959007</v>
      </c>
      <c r="AU525" s="1979">
        <f>IF(Construction!$F$31=Construction!$R$22,Oeko!DH525,Oeko!FU525)</f>
        <v>8.1914540462959007</v>
      </c>
      <c r="AV525" s="1979">
        <f>IF(Construction!$F$31=Construction!$R$22,Oeko!DI525,Oeko!FV525)</f>
        <v>8.1914540462959007</v>
      </c>
      <c r="AW525" s="1998">
        <f>IF(Construction!$F$31=Construction!$R$22,Oeko!DJ525,Oeko!FW525)</f>
        <v>8.1771999062029916</v>
      </c>
      <c r="AX525" s="1998">
        <f>IF(Construction!$F$31=Construction!$R$22,Oeko!DK525,Oeko!FX525)</f>
        <v>8.1771999062029916</v>
      </c>
      <c r="AY525" s="1998">
        <f>IF(Construction!$F$31=Construction!$R$22,Oeko!DL525,Oeko!FY525)</f>
        <v>8.1771999062029916</v>
      </c>
      <c r="AZ525" s="1998">
        <f>IF(Construction!$F$31=Construction!$R$22,Oeko!DM525,Oeko!FZ525)</f>
        <v>8.1771999062029916</v>
      </c>
      <c r="BA525" s="1998">
        <f>IF(Construction!$F$31=Construction!$R$22,Oeko!DN525,Oeko!GA525)</f>
        <v>8.1771999062029916</v>
      </c>
      <c r="BB525" s="1979">
        <f>IF(Construction!$F$31=Construction!$R$22,Oeko!DO525,Oeko!GB525)</f>
        <v>1</v>
      </c>
      <c r="BC525" s="1979">
        <f>IF(Construction!$F$31=Construction!$R$22,Oeko!DP525,Oeko!GC525)</f>
        <v>1</v>
      </c>
      <c r="BD525" s="1979">
        <f>IF(Construction!$F$31=Construction!$R$22,Oeko!DQ525,Oeko!GD525)</f>
        <v>1</v>
      </c>
      <c r="BE525" s="1979">
        <f>IF(Construction!$F$31=Construction!$R$22,Oeko!DR525,Oeko!GE525)</f>
        <v>1</v>
      </c>
      <c r="BF525" s="1979">
        <f>IF(Construction!$F$31=Construction!$R$22,Oeko!DS525,Oeko!GF525)</f>
        <v>1</v>
      </c>
      <c r="BG525" s="1998">
        <f>IF(Construction!$F$31=Construction!$R$22,Oeko!DT525,Oeko!GG525)</f>
        <v>1</v>
      </c>
      <c r="BH525" s="1998">
        <f>IF(Construction!$F$31=Construction!$R$22,Oeko!DU525,Oeko!GH525)</f>
        <v>1</v>
      </c>
      <c r="BI525" s="1998">
        <f>IF(Construction!$F$31=Construction!$R$22,Oeko!DV525,Oeko!GI525)</f>
        <v>1</v>
      </c>
      <c r="BJ525" s="1998">
        <f>IF(Construction!$F$31=Construction!$R$22,Oeko!DW525,Oeko!GJ525)</f>
        <v>1</v>
      </c>
      <c r="BK525" s="2026">
        <f>IF(Construction!$F$31=Construction!$R$22,Oeko!DX525,Oeko!GK525)</f>
        <v>1</v>
      </c>
      <c r="BN525" s="2022"/>
      <c r="BO525" s="2">
        <v>24</v>
      </c>
      <c r="BP525" s="2" t="s">
        <v>4211</v>
      </c>
      <c r="BQ525" s="1979">
        <v>0</v>
      </c>
      <c r="BR525" s="1979">
        <v>0</v>
      </c>
      <c r="BS525" s="1979">
        <v>0</v>
      </c>
      <c r="BT525" s="1979">
        <v>0</v>
      </c>
      <c r="BU525" s="1979">
        <v>0</v>
      </c>
      <c r="BV525" s="1998">
        <v>1</v>
      </c>
      <c r="BW525" s="1998">
        <v>1</v>
      </c>
      <c r="BX525" s="1998">
        <v>1</v>
      </c>
      <c r="BY525" s="1998">
        <v>1</v>
      </c>
      <c r="BZ525" s="1998">
        <v>1</v>
      </c>
      <c r="CA525" s="1979">
        <v>1.0000000000000002</v>
      </c>
      <c r="CB525" s="1979">
        <v>1.0000000000000002</v>
      </c>
      <c r="CC525" s="1979">
        <v>1.0000000000000002</v>
      </c>
      <c r="CD525" s="1979">
        <v>1.0000000000000002</v>
      </c>
      <c r="CE525" s="1979">
        <v>1.0000000000000002</v>
      </c>
      <c r="CF525" s="1998">
        <v>1</v>
      </c>
      <c r="CG525" s="1998">
        <v>1</v>
      </c>
      <c r="CH525" s="1998">
        <v>1</v>
      </c>
      <c r="CI525" s="1998">
        <v>1</v>
      </c>
      <c r="CJ525" s="1998">
        <v>1</v>
      </c>
      <c r="CK525" s="1979">
        <v>1</v>
      </c>
      <c r="CL525" s="1979">
        <v>1</v>
      </c>
      <c r="CM525" s="1979">
        <v>1</v>
      </c>
      <c r="CN525" s="1979">
        <v>1</v>
      </c>
      <c r="CO525" s="1979">
        <v>1</v>
      </c>
      <c r="CP525" s="1998">
        <v>1</v>
      </c>
      <c r="CQ525" s="1998">
        <v>1</v>
      </c>
      <c r="CR525" s="1998">
        <v>1</v>
      </c>
      <c r="CS525" s="1998">
        <v>1</v>
      </c>
      <c r="CT525" s="1998">
        <v>1</v>
      </c>
      <c r="CU525" s="1979">
        <v>1</v>
      </c>
      <c r="CV525" s="1979">
        <v>1</v>
      </c>
      <c r="CW525" s="1979">
        <v>1</v>
      </c>
      <c r="CX525" s="1979">
        <v>1</v>
      </c>
      <c r="CY525" s="1979">
        <v>1</v>
      </c>
      <c r="CZ525" s="1998">
        <v>0.66666666666666663</v>
      </c>
      <c r="DA525" s="1998">
        <v>0.66666666666666663</v>
      </c>
      <c r="DB525" s="1998">
        <v>0.66666666666666663</v>
      </c>
      <c r="DC525" s="1998">
        <v>0.66666666666666663</v>
      </c>
      <c r="DD525" s="1998">
        <v>0.66666666666666663</v>
      </c>
      <c r="DE525" s="1979">
        <v>8.1914540462959007</v>
      </c>
      <c r="DF525" s="1979">
        <v>8.1914540462959007</v>
      </c>
      <c r="DG525" s="1979">
        <v>8.1914540462959007</v>
      </c>
      <c r="DH525" s="1979">
        <v>8.1914540462959007</v>
      </c>
      <c r="DI525" s="1979">
        <v>8.1914540462959007</v>
      </c>
      <c r="DJ525" s="1998">
        <v>8.1771999062029916</v>
      </c>
      <c r="DK525" s="1998">
        <v>8.1771999062029916</v>
      </c>
      <c r="DL525" s="1998">
        <v>8.1771999062029916</v>
      </c>
      <c r="DM525" s="1998">
        <v>8.1771999062029916</v>
      </c>
      <c r="DN525" s="1998">
        <v>8.1771999062029916</v>
      </c>
      <c r="DO525" s="1979">
        <v>1</v>
      </c>
      <c r="DP525" s="1979">
        <v>1</v>
      </c>
      <c r="DQ525" s="1979">
        <v>1</v>
      </c>
      <c r="DR525" s="1979">
        <v>1</v>
      </c>
      <c r="DS525" s="1979">
        <v>1</v>
      </c>
      <c r="DT525" s="1998">
        <v>1</v>
      </c>
      <c r="DU525" s="1998">
        <v>1</v>
      </c>
      <c r="DV525" s="1998">
        <v>1</v>
      </c>
      <c r="DW525" s="1998">
        <v>1</v>
      </c>
      <c r="DX525" s="2026">
        <v>1</v>
      </c>
      <c r="EA525" s="2022"/>
      <c r="EB525" s="2">
        <v>24</v>
      </c>
      <c r="EC525" s="2" t="s">
        <v>4211</v>
      </c>
      <c r="ED525" s="1979">
        <v>0</v>
      </c>
      <c r="EE525" s="1979">
        <v>0</v>
      </c>
      <c r="EF525" s="1979">
        <v>0</v>
      </c>
      <c r="EG525" s="1979">
        <v>0</v>
      </c>
      <c r="EH525" s="1979">
        <v>0</v>
      </c>
      <c r="EI525" s="1998">
        <v>1.5980823726272015</v>
      </c>
      <c r="EJ525" s="1998">
        <v>1.5980823726272015</v>
      </c>
      <c r="EK525" s="1998">
        <v>1.5980823726272015</v>
      </c>
      <c r="EL525" s="1998">
        <v>1.5980823726272015</v>
      </c>
      <c r="EM525" s="1998">
        <v>1.5980823726272015</v>
      </c>
      <c r="EN525" s="1979">
        <v>1.3606673031283796</v>
      </c>
      <c r="EO525" s="1979">
        <v>1.3606673031283796</v>
      </c>
      <c r="EP525" s="1979">
        <v>1.3606673031283796</v>
      </c>
      <c r="EQ525" s="1979">
        <v>1.3606673031283796</v>
      </c>
      <c r="ER525" s="1979">
        <v>1.3606673031283796</v>
      </c>
      <c r="ES525" s="1998">
        <v>1.5330426819868914</v>
      </c>
      <c r="ET525" s="1998">
        <v>1.5330426819868914</v>
      </c>
      <c r="EU525" s="1998">
        <v>1.5330426819868914</v>
      </c>
      <c r="EV525" s="1998">
        <v>1.5330426819868914</v>
      </c>
      <c r="EW525" s="1998">
        <v>1.5330426819868914</v>
      </c>
      <c r="EX525" s="1979">
        <v>1.3807649715094688</v>
      </c>
      <c r="EY525" s="1979">
        <v>1.3807649715094688</v>
      </c>
      <c r="EZ525" s="1979">
        <v>1.3807649715094688</v>
      </c>
      <c r="FA525" s="1979">
        <v>1.3807649715094688</v>
      </c>
      <c r="FB525" s="1979">
        <v>1.3807649715094688</v>
      </c>
      <c r="FC525" s="1998">
        <v>1.6277744053108218</v>
      </c>
      <c r="FD525" s="1998">
        <v>1.6277744053108218</v>
      </c>
      <c r="FE525" s="1998">
        <v>1.6277744053108218</v>
      </c>
      <c r="FF525" s="1998">
        <v>1.6277744053108218</v>
      </c>
      <c r="FG525" s="1998">
        <v>1.6277744053108218</v>
      </c>
      <c r="FH525" s="1979">
        <v>1.9137369581804469</v>
      </c>
      <c r="FI525" s="1979">
        <v>1.9137369581804469</v>
      </c>
      <c r="FJ525" s="1979">
        <v>1.9137369581804469</v>
      </c>
      <c r="FK525" s="1979">
        <v>1.9137369581804469</v>
      </c>
      <c r="FL525" s="1979">
        <v>1.9137369581804469</v>
      </c>
      <c r="FM525" s="1998">
        <v>0.95312408674768578</v>
      </c>
      <c r="FN525" s="1998">
        <v>0.95312408674768578</v>
      </c>
      <c r="FO525" s="1998">
        <v>0.95312408674768578</v>
      </c>
      <c r="FP525" s="1998">
        <v>0.95312408674768578</v>
      </c>
      <c r="FQ525" s="1998">
        <v>0.95312408674768578</v>
      </c>
      <c r="FR525" s="1979">
        <v>13.156124613273878</v>
      </c>
      <c r="FS525" s="1979">
        <v>13.156124613273878</v>
      </c>
      <c r="FT525" s="1979">
        <v>13.156124613273878</v>
      </c>
      <c r="FU525" s="1979">
        <v>13.156124613273878</v>
      </c>
      <c r="FV525" s="1979">
        <v>13.156124613273878</v>
      </c>
      <c r="FW525" s="1998">
        <v>13.515354994373412</v>
      </c>
      <c r="FX525" s="1998">
        <v>13.515354994373412</v>
      </c>
      <c r="FY525" s="1998">
        <v>13.515354994373412</v>
      </c>
      <c r="FZ525" s="1998">
        <v>13.515354994373412</v>
      </c>
      <c r="GA525" s="1998">
        <v>13.515354994373412</v>
      </c>
      <c r="GB525" s="1979">
        <v>1.3861479372000356</v>
      </c>
      <c r="GC525" s="1979">
        <v>1.3861479372000356</v>
      </c>
      <c r="GD525" s="1979">
        <v>1.3861479372000356</v>
      </c>
      <c r="GE525" s="1979">
        <v>1.3861479372000356</v>
      </c>
      <c r="GF525" s="1979">
        <v>1.3861479372000356</v>
      </c>
      <c r="GG525" s="1998">
        <v>1.4313071575784038</v>
      </c>
      <c r="GH525" s="1998">
        <v>1.4313071575784038</v>
      </c>
      <c r="GI525" s="1998">
        <v>1.4313071575784038</v>
      </c>
      <c r="GJ525" s="1998">
        <v>1.4313071575784038</v>
      </c>
      <c r="GK525" s="2026">
        <v>1.4313071575784038</v>
      </c>
    </row>
    <row r="526" spans="1:193">
      <c r="A526" s="2020"/>
      <c r="B526" s="2">
        <v>25</v>
      </c>
      <c r="C526" s="2" t="s">
        <v>4229</v>
      </c>
      <c r="D526" s="1979">
        <f>IF(Construction!$F$31=Construction!$R$22,Oeko!BQ526,Oeko!ED526)</f>
        <v>0</v>
      </c>
      <c r="E526" s="1979">
        <f>IF(Construction!$F$31=Construction!$R$22,Oeko!BR526,Oeko!EE526)</f>
        <v>0</v>
      </c>
      <c r="F526" s="1979">
        <f>IF(Construction!$F$31=Construction!$R$22,Oeko!BS526,Oeko!EF526)</f>
        <v>0</v>
      </c>
      <c r="G526" s="1979">
        <f>IF(Construction!$F$31=Construction!$R$22,Oeko!BT526,Oeko!EG526)</f>
        <v>0</v>
      </c>
      <c r="H526" s="1979">
        <f>IF(Construction!$F$31=Construction!$R$22,Oeko!BU526,Oeko!EH526)</f>
        <v>0</v>
      </c>
      <c r="I526" s="1998">
        <f>IF(Construction!$F$31=Construction!$R$22,Oeko!BV526,Oeko!EI526)</f>
        <v>1</v>
      </c>
      <c r="J526" s="1998">
        <f>IF(Construction!$F$31=Construction!$R$22,Oeko!BW526,Oeko!EJ526)</f>
        <v>1</v>
      </c>
      <c r="K526" s="1998">
        <f>IF(Construction!$F$31=Construction!$R$22,Oeko!BX526,Oeko!EK526)</f>
        <v>1</v>
      </c>
      <c r="L526" s="1998">
        <f>IF(Construction!$F$31=Construction!$R$22,Oeko!BY526,Oeko!EL526)</f>
        <v>1</v>
      </c>
      <c r="M526" s="1998">
        <f>IF(Construction!$F$31=Construction!$R$22,Oeko!BZ526,Oeko!EM526)</f>
        <v>1</v>
      </c>
      <c r="N526" s="1979">
        <f>IF(Construction!$F$31=Construction!$R$22,Oeko!CA526,Oeko!EN526)</f>
        <v>1</v>
      </c>
      <c r="O526" s="1979">
        <f>IF(Construction!$F$31=Construction!$R$22,Oeko!CB526,Oeko!EO526)</f>
        <v>1</v>
      </c>
      <c r="P526" s="1979">
        <f>IF(Construction!$F$31=Construction!$R$22,Oeko!CC526,Oeko!EP526)</f>
        <v>1</v>
      </c>
      <c r="Q526" s="1979">
        <f>IF(Construction!$F$31=Construction!$R$22,Oeko!CD526,Oeko!EQ526)</f>
        <v>1</v>
      </c>
      <c r="R526" s="1979">
        <f>IF(Construction!$F$31=Construction!$R$22,Oeko!CE526,Oeko!ER526)</f>
        <v>1</v>
      </c>
      <c r="S526" s="1998">
        <f>IF(Construction!$F$31=Construction!$R$22,Oeko!CF526,Oeko!ES526)</f>
        <v>1.0000000000000002</v>
      </c>
      <c r="T526" s="1998">
        <f>IF(Construction!$F$31=Construction!$R$22,Oeko!CG526,Oeko!ET526)</f>
        <v>1.0000000000000002</v>
      </c>
      <c r="U526" s="1998">
        <f>IF(Construction!$F$31=Construction!$R$22,Oeko!CH526,Oeko!EU526)</f>
        <v>1.0000000000000002</v>
      </c>
      <c r="V526" s="1998">
        <f>IF(Construction!$F$31=Construction!$R$22,Oeko!CI526,Oeko!EV526)</f>
        <v>1.0000000000000002</v>
      </c>
      <c r="W526" s="1998">
        <f>IF(Construction!$F$31=Construction!$R$22,Oeko!CJ526,Oeko!EW526)</f>
        <v>1.0000000000000002</v>
      </c>
      <c r="X526" s="1979">
        <f>IF(Construction!$F$31=Construction!$R$22,Oeko!CK526,Oeko!EX526)</f>
        <v>1</v>
      </c>
      <c r="Y526" s="1979">
        <f>IF(Construction!$F$31=Construction!$R$22,Oeko!CL526,Oeko!EY526)</f>
        <v>1</v>
      </c>
      <c r="Z526" s="1979">
        <f>IF(Construction!$F$31=Construction!$R$22,Oeko!CM526,Oeko!EZ526)</f>
        <v>1</v>
      </c>
      <c r="AA526" s="1979">
        <f>IF(Construction!$F$31=Construction!$R$22,Oeko!CN526,Oeko!FA526)</f>
        <v>1</v>
      </c>
      <c r="AB526" s="1979">
        <f>IF(Construction!$F$31=Construction!$R$22,Oeko!CO526,Oeko!FB526)</f>
        <v>1</v>
      </c>
      <c r="AC526" s="1998">
        <f>IF(Construction!$F$31=Construction!$R$22,Oeko!CP526,Oeko!FC526)</f>
        <v>1</v>
      </c>
      <c r="AD526" s="1998">
        <f>IF(Construction!$F$31=Construction!$R$22,Oeko!CQ526,Oeko!FD526)</f>
        <v>1</v>
      </c>
      <c r="AE526" s="1998">
        <f>IF(Construction!$F$31=Construction!$R$22,Oeko!CR526,Oeko!FE526)</f>
        <v>1</v>
      </c>
      <c r="AF526" s="1998">
        <f>IF(Construction!$F$31=Construction!$R$22,Oeko!CS526,Oeko!FF526)</f>
        <v>1</v>
      </c>
      <c r="AG526" s="1998">
        <f>IF(Construction!$F$31=Construction!$R$22,Oeko!CT526,Oeko!FG526)</f>
        <v>1</v>
      </c>
      <c r="AH526" s="1979">
        <f>IF(Construction!$F$31=Construction!$R$22,Oeko!CU526,Oeko!FH526)</f>
        <v>1</v>
      </c>
      <c r="AI526" s="1979">
        <f>IF(Construction!$F$31=Construction!$R$22,Oeko!CV526,Oeko!FI526)</f>
        <v>1</v>
      </c>
      <c r="AJ526" s="1979">
        <f>IF(Construction!$F$31=Construction!$R$22,Oeko!CW526,Oeko!FJ526)</f>
        <v>1</v>
      </c>
      <c r="AK526" s="1979">
        <f>IF(Construction!$F$31=Construction!$R$22,Oeko!CX526,Oeko!FK526)</f>
        <v>1</v>
      </c>
      <c r="AL526" s="1979">
        <f>IF(Construction!$F$31=Construction!$R$22,Oeko!CY526,Oeko!FL526)</f>
        <v>1</v>
      </c>
      <c r="AM526" s="1998">
        <f>IF(Construction!$F$31=Construction!$R$22,Oeko!CZ526,Oeko!FM526)</f>
        <v>0.66666666666666663</v>
      </c>
      <c r="AN526" s="1998">
        <f>IF(Construction!$F$31=Construction!$R$22,Oeko!DA526,Oeko!FN526)</f>
        <v>0.66666666666666663</v>
      </c>
      <c r="AO526" s="1998">
        <f>IF(Construction!$F$31=Construction!$R$22,Oeko!DB526,Oeko!FO526)</f>
        <v>0.66666666666666663</v>
      </c>
      <c r="AP526" s="1998">
        <f>IF(Construction!$F$31=Construction!$R$22,Oeko!DC526,Oeko!FP526)</f>
        <v>0.66666666666666663</v>
      </c>
      <c r="AQ526" s="1998">
        <f>IF(Construction!$F$31=Construction!$R$22,Oeko!DD526,Oeko!FQ526)</f>
        <v>0.66666666666666663</v>
      </c>
      <c r="AR526" s="1979">
        <f>IF(Construction!$F$31=Construction!$R$22,Oeko!DE526,Oeko!FR526)</f>
        <v>6.393590534721926</v>
      </c>
      <c r="AS526" s="1979">
        <f>IF(Construction!$F$31=Construction!$R$22,Oeko!DF526,Oeko!FS526)</f>
        <v>6.393590534721926</v>
      </c>
      <c r="AT526" s="1979">
        <f>IF(Construction!$F$31=Construction!$R$22,Oeko!DG526,Oeko!FT526)</f>
        <v>6.393590534721926</v>
      </c>
      <c r="AU526" s="1979">
        <f>IF(Construction!$F$31=Construction!$R$22,Oeko!DH526,Oeko!FU526)</f>
        <v>6.393590534721926</v>
      </c>
      <c r="AV526" s="1979">
        <f>IF(Construction!$F$31=Construction!$R$22,Oeko!DI526,Oeko!FV526)</f>
        <v>6.393590534721926</v>
      </c>
      <c r="AW526" s="1998">
        <f>IF(Construction!$F$31=Construction!$R$22,Oeko!DJ526,Oeko!FW526)</f>
        <v>6.3828999296522442</v>
      </c>
      <c r="AX526" s="1998">
        <f>IF(Construction!$F$31=Construction!$R$22,Oeko!DK526,Oeko!FX526)</f>
        <v>6.3828999296522442</v>
      </c>
      <c r="AY526" s="1998">
        <f>IF(Construction!$F$31=Construction!$R$22,Oeko!DL526,Oeko!FY526)</f>
        <v>6.3828999296522442</v>
      </c>
      <c r="AZ526" s="1998">
        <f>IF(Construction!$F$31=Construction!$R$22,Oeko!DM526,Oeko!FZ526)</f>
        <v>6.3828999296522442</v>
      </c>
      <c r="BA526" s="1998">
        <f>IF(Construction!$F$31=Construction!$R$22,Oeko!DN526,Oeko!GA526)</f>
        <v>6.3828999296522442</v>
      </c>
      <c r="BB526" s="1979">
        <f>IF(Construction!$F$31=Construction!$R$22,Oeko!DO526,Oeko!GB526)</f>
        <v>0.78115301620803501</v>
      </c>
      <c r="BC526" s="1979">
        <f>IF(Construction!$F$31=Construction!$R$22,Oeko!DP526,Oeko!GC526)</f>
        <v>0.78115301620803501</v>
      </c>
      <c r="BD526" s="1979">
        <f>IF(Construction!$F$31=Construction!$R$22,Oeko!DQ526,Oeko!GD526)</f>
        <v>0.78115301620803501</v>
      </c>
      <c r="BE526" s="1979">
        <f>IF(Construction!$F$31=Construction!$R$22,Oeko!DR526,Oeko!GE526)</f>
        <v>0.78115301620803501</v>
      </c>
      <c r="BF526" s="1979">
        <f>IF(Construction!$F$31=Construction!$R$22,Oeko!DS526,Oeko!GF526)</f>
        <v>0.78115301620803501</v>
      </c>
      <c r="BG526" s="1998">
        <f>IF(Construction!$F$31=Construction!$R$22,Oeko!DT526,Oeko!GG526)</f>
        <v>0.78195889917775152</v>
      </c>
      <c r="BH526" s="1998">
        <f>IF(Construction!$F$31=Construction!$R$22,Oeko!DU526,Oeko!GH526)</f>
        <v>0.78195889917775152</v>
      </c>
      <c r="BI526" s="1998">
        <f>IF(Construction!$F$31=Construction!$R$22,Oeko!DV526,Oeko!GI526)</f>
        <v>0.78195889917775152</v>
      </c>
      <c r="BJ526" s="1998">
        <f>IF(Construction!$F$31=Construction!$R$22,Oeko!DW526,Oeko!GJ526)</f>
        <v>0.78195889917775152</v>
      </c>
      <c r="BK526" s="2026">
        <f>IF(Construction!$F$31=Construction!$R$22,Oeko!DX526,Oeko!GK526)</f>
        <v>0.78195889917775152</v>
      </c>
      <c r="BN526" s="2022"/>
      <c r="BO526" s="2">
        <v>25</v>
      </c>
      <c r="BP526" s="2" t="s">
        <v>4229</v>
      </c>
      <c r="BQ526" s="1979">
        <v>0</v>
      </c>
      <c r="BR526" s="1979">
        <v>0</v>
      </c>
      <c r="BS526" s="1979">
        <v>0</v>
      </c>
      <c r="BT526" s="1979">
        <v>0</v>
      </c>
      <c r="BU526" s="1979">
        <v>0</v>
      </c>
      <c r="BV526" s="1998">
        <v>1</v>
      </c>
      <c r="BW526" s="1998">
        <v>1</v>
      </c>
      <c r="BX526" s="1998">
        <v>1</v>
      </c>
      <c r="BY526" s="1998">
        <v>1</v>
      </c>
      <c r="BZ526" s="1998">
        <v>1</v>
      </c>
      <c r="CA526" s="1979">
        <v>1</v>
      </c>
      <c r="CB526" s="1979">
        <v>1</v>
      </c>
      <c r="CC526" s="1979">
        <v>1</v>
      </c>
      <c r="CD526" s="1979">
        <v>1</v>
      </c>
      <c r="CE526" s="1979">
        <v>1</v>
      </c>
      <c r="CF526" s="1998">
        <v>1.0000000000000002</v>
      </c>
      <c r="CG526" s="1998">
        <v>1.0000000000000002</v>
      </c>
      <c r="CH526" s="1998">
        <v>1.0000000000000002</v>
      </c>
      <c r="CI526" s="1998">
        <v>1.0000000000000002</v>
      </c>
      <c r="CJ526" s="1998">
        <v>1.0000000000000002</v>
      </c>
      <c r="CK526" s="1979">
        <v>1</v>
      </c>
      <c r="CL526" s="1979">
        <v>1</v>
      </c>
      <c r="CM526" s="1979">
        <v>1</v>
      </c>
      <c r="CN526" s="1979">
        <v>1</v>
      </c>
      <c r="CO526" s="1979">
        <v>1</v>
      </c>
      <c r="CP526" s="1998">
        <v>1</v>
      </c>
      <c r="CQ526" s="1998">
        <v>1</v>
      </c>
      <c r="CR526" s="1998">
        <v>1</v>
      </c>
      <c r="CS526" s="1998">
        <v>1</v>
      </c>
      <c r="CT526" s="1998">
        <v>1</v>
      </c>
      <c r="CU526" s="1979">
        <v>1</v>
      </c>
      <c r="CV526" s="1979">
        <v>1</v>
      </c>
      <c r="CW526" s="1979">
        <v>1</v>
      </c>
      <c r="CX526" s="1979">
        <v>1</v>
      </c>
      <c r="CY526" s="1979">
        <v>1</v>
      </c>
      <c r="CZ526" s="1998">
        <v>0.66666666666666663</v>
      </c>
      <c r="DA526" s="1998">
        <v>0.66666666666666663</v>
      </c>
      <c r="DB526" s="1998">
        <v>0.66666666666666663</v>
      </c>
      <c r="DC526" s="1998">
        <v>0.66666666666666663</v>
      </c>
      <c r="DD526" s="1998">
        <v>0.66666666666666663</v>
      </c>
      <c r="DE526" s="1979">
        <v>6.393590534721926</v>
      </c>
      <c r="DF526" s="1979">
        <v>6.393590534721926</v>
      </c>
      <c r="DG526" s="1979">
        <v>6.393590534721926</v>
      </c>
      <c r="DH526" s="1979">
        <v>6.393590534721926</v>
      </c>
      <c r="DI526" s="1979">
        <v>6.393590534721926</v>
      </c>
      <c r="DJ526" s="1998">
        <v>6.3828999296522442</v>
      </c>
      <c r="DK526" s="1998">
        <v>6.3828999296522442</v>
      </c>
      <c r="DL526" s="1998">
        <v>6.3828999296522442</v>
      </c>
      <c r="DM526" s="1998">
        <v>6.3828999296522442</v>
      </c>
      <c r="DN526" s="1998">
        <v>6.3828999296522442</v>
      </c>
      <c r="DO526" s="1979">
        <v>0.78115301620803501</v>
      </c>
      <c r="DP526" s="1979">
        <v>0.78115301620803501</v>
      </c>
      <c r="DQ526" s="1979">
        <v>0.78115301620803501</v>
      </c>
      <c r="DR526" s="1979">
        <v>0.78115301620803501</v>
      </c>
      <c r="DS526" s="1979">
        <v>0.78115301620803501</v>
      </c>
      <c r="DT526" s="1998">
        <v>0.78195889917775152</v>
      </c>
      <c r="DU526" s="1998">
        <v>0.78195889917775152</v>
      </c>
      <c r="DV526" s="1998">
        <v>0.78195889917775152</v>
      </c>
      <c r="DW526" s="1998">
        <v>0.78195889917775152</v>
      </c>
      <c r="DX526" s="2026">
        <v>0.78195889917775152</v>
      </c>
      <c r="EA526" s="2022"/>
      <c r="EB526" s="2">
        <v>25</v>
      </c>
      <c r="EC526" s="2" t="s">
        <v>4229</v>
      </c>
      <c r="ED526" s="1979">
        <v>0</v>
      </c>
      <c r="EE526" s="1979">
        <v>0</v>
      </c>
      <c r="EF526" s="1979">
        <v>0</v>
      </c>
      <c r="EG526" s="1979">
        <v>0</v>
      </c>
      <c r="EH526" s="1979">
        <v>0</v>
      </c>
      <c r="EI526" s="1998">
        <v>1.7872841547940841</v>
      </c>
      <c r="EJ526" s="1998">
        <v>1.7872841547940841</v>
      </c>
      <c r="EK526" s="1998">
        <v>1.7872841547940841</v>
      </c>
      <c r="EL526" s="1998">
        <v>1.7872841547940841</v>
      </c>
      <c r="EM526" s="1998">
        <v>1.7872841547940841</v>
      </c>
      <c r="EN526" s="1979">
        <v>1.4053027385583838</v>
      </c>
      <c r="EO526" s="1979">
        <v>1.4053027385583838</v>
      </c>
      <c r="EP526" s="1979">
        <v>1.4053027385583838</v>
      </c>
      <c r="EQ526" s="1979">
        <v>1.4053027385583838</v>
      </c>
      <c r="ER526" s="1979">
        <v>1.4053027385583838</v>
      </c>
      <c r="ES526" s="1998">
        <v>1.7252455721263957</v>
      </c>
      <c r="ET526" s="1998">
        <v>1.7252455721263957</v>
      </c>
      <c r="EU526" s="1998">
        <v>1.7252455721263957</v>
      </c>
      <c r="EV526" s="1998">
        <v>1.7252455721263957</v>
      </c>
      <c r="EW526" s="1998">
        <v>1.7252455721263957</v>
      </c>
      <c r="EX526" s="1979">
        <v>1.4298477194150447</v>
      </c>
      <c r="EY526" s="1979">
        <v>1.4298477194150447</v>
      </c>
      <c r="EZ526" s="1979">
        <v>1.4298477194150447</v>
      </c>
      <c r="FA526" s="1979">
        <v>1.4298477194150447</v>
      </c>
      <c r="FB526" s="1979">
        <v>1.4298477194150447</v>
      </c>
      <c r="FC526" s="1998">
        <v>1.8981839886795036</v>
      </c>
      <c r="FD526" s="1998">
        <v>1.8981839886795036</v>
      </c>
      <c r="FE526" s="1998">
        <v>1.8981839886795036</v>
      </c>
      <c r="FF526" s="1998">
        <v>1.8981839886795036</v>
      </c>
      <c r="FG526" s="1998">
        <v>1.8981839886795036</v>
      </c>
      <c r="FH526" s="1979">
        <v>2.1927309727671824</v>
      </c>
      <c r="FI526" s="1979">
        <v>2.1927309727671824</v>
      </c>
      <c r="FJ526" s="1979">
        <v>2.1927309727671824</v>
      </c>
      <c r="FK526" s="1979">
        <v>2.1927309727671824</v>
      </c>
      <c r="FL526" s="1979">
        <v>2.1927309727671824</v>
      </c>
      <c r="FM526" s="1998">
        <v>1.0285324237219586</v>
      </c>
      <c r="FN526" s="1998">
        <v>1.0285324237219586</v>
      </c>
      <c r="FO526" s="1998">
        <v>1.0285324237219586</v>
      </c>
      <c r="FP526" s="1998">
        <v>1.0285324237219586</v>
      </c>
      <c r="FQ526" s="1998">
        <v>1.0285324237219586</v>
      </c>
      <c r="FR526" s="1979">
        <v>12.009073933904036</v>
      </c>
      <c r="FS526" s="1979">
        <v>12.009073933904036</v>
      </c>
      <c r="FT526" s="1979">
        <v>12.009073933904036</v>
      </c>
      <c r="FU526" s="1979">
        <v>12.009073933904036</v>
      </c>
      <c r="FV526" s="1979">
        <v>12.009073933904036</v>
      </c>
      <c r="FW526" s="1998">
        <v>12.366014485162406</v>
      </c>
      <c r="FX526" s="1998">
        <v>12.366014485162406</v>
      </c>
      <c r="FY526" s="1998">
        <v>12.366014485162406</v>
      </c>
      <c r="FZ526" s="1998">
        <v>12.366014485162406</v>
      </c>
      <c r="GA526" s="1998">
        <v>12.366014485162406</v>
      </c>
      <c r="GB526" s="1979">
        <v>1.2468215875951767</v>
      </c>
      <c r="GC526" s="1979">
        <v>1.2468215875951767</v>
      </c>
      <c r="GD526" s="1979">
        <v>1.2468215875951767</v>
      </c>
      <c r="GE526" s="1979">
        <v>1.2468215875951767</v>
      </c>
      <c r="GF526" s="1979">
        <v>1.2468215875951767</v>
      </c>
      <c r="GG526" s="1998">
        <v>1.3027314842995616</v>
      </c>
      <c r="GH526" s="1998">
        <v>1.3027314842995616</v>
      </c>
      <c r="GI526" s="1998">
        <v>1.3027314842995616</v>
      </c>
      <c r="GJ526" s="1998">
        <v>1.3027314842995616</v>
      </c>
      <c r="GK526" s="2026">
        <v>1.3027314842995616</v>
      </c>
    </row>
    <row r="527" spans="1:193">
      <c r="A527" s="2020"/>
      <c r="B527" s="2">
        <v>26</v>
      </c>
      <c r="C527" s="2" t="s">
        <v>4244</v>
      </c>
      <c r="D527" s="1979">
        <f>IF(Construction!$F$31=Construction!$R$22,Oeko!BQ527,Oeko!ED527)</f>
        <v>0</v>
      </c>
      <c r="E527" s="1979">
        <f>IF(Construction!$F$31=Construction!$R$22,Oeko!BR527,Oeko!EE527)</f>
        <v>0</v>
      </c>
      <c r="F527" s="1979">
        <f>IF(Construction!$F$31=Construction!$R$22,Oeko!BS527,Oeko!EF527)</f>
        <v>0</v>
      </c>
      <c r="G527" s="1979">
        <f>IF(Construction!$F$31=Construction!$R$22,Oeko!BT527,Oeko!EG527)</f>
        <v>0</v>
      </c>
      <c r="H527" s="1979">
        <f>IF(Construction!$F$31=Construction!$R$22,Oeko!BU527,Oeko!EH527)</f>
        <v>0</v>
      </c>
      <c r="I527" s="1998">
        <f>IF(Construction!$F$31=Construction!$R$22,Oeko!BV527,Oeko!EI527)</f>
        <v>1</v>
      </c>
      <c r="J527" s="1998">
        <f>IF(Construction!$F$31=Construction!$R$22,Oeko!BW527,Oeko!EJ527)</f>
        <v>1</v>
      </c>
      <c r="K527" s="1998">
        <f>IF(Construction!$F$31=Construction!$R$22,Oeko!BX527,Oeko!EK527)</f>
        <v>1</v>
      </c>
      <c r="L527" s="1998">
        <f>IF(Construction!$F$31=Construction!$R$22,Oeko!BY527,Oeko!EL527)</f>
        <v>1</v>
      </c>
      <c r="M527" s="1998">
        <f>IF(Construction!$F$31=Construction!$R$22,Oeko!BZ527,Oeko!EM527)</f>
        <v>1</v>
      </c>
      <c r="N527" s="1979">
        <f>IF(Construction!$F$31=Construction!$R$22,Oeko!CA527,Oeko!EN527)</f>
        <v>1</v>
      </c>
      <c r="O527" s="1979">
        <f>IF(Construction!$F$31=Construction!$R$22,Oeko!CB527,Oeko!EO527)</f>
        <v>1</v>
      </c>
      <c r="P527" s="1979">
        <f>IF(Construction!$F$31=Construction!$R$22,Oeko!CC527,Oeko!EP527)</f>
        <v>1</v>
      </c>
      <c r="Q527" s="1979">
        <f>IF(Construction!$F$31=Construction!$R$22,Oeko!CD527,Oeko!EQ527)</f>
        <v>1</v>
      </c>
      <c r="R527" s="1979">
        <f>IF(Construction!$F$31=Construction!$R$22,Oeko!CE527,Oeko!ER527)</f>
        <v>1</v>
      </c>
      <c r="S527" s="1998">
        <f>IF(Construction!$F$31=Construction!$R$22,Oeko!CF527,Oeko!ES527)</f>
        <v>1</v>
      </c>
      <c r="T527" s="1998">
        <f>IF(Construction!$F$31=Construction!$R$22,Oeko!CG527,Oeko!ET527)</f>
        <v>1</v>
      </c>
      <c r="U527" s="1998">
        <f>IF(Construction!$F$31=Construction!$R$22,Oeko!CH527,Oeko!EU527)</f>
        <v>1</v>
      </c>
      <c r="V527" s="1998">
        <f>IF(Construction!$F$31=Construction!$R$22,Oeko!CI527,Oeko!EV527)</f>
        <v>1</v>
      </c>
      <c r="W527" s="1998">
        <f>IF(Construction!$F$31=Construction!$R$22,Oeko!CJ527,Oeko!EW527)</f>
        <v>1</v>
      </c>
      <c r="X527" s="1979">
        <f>IF(Construction!$F$31=Construction!$R$22,Oeko!CK527,Oeko!EX527)</f>
        <v>1</v>
      </c>
      <c r="Y527" s="1979">
        <f>IF(Construction!$F$31=Construction!$R$22,Oeko!CL527,Oeko!EY527)</f>
        <v>1</v>
      </c>
      <c r="Z527" s="1979">
        <f>IF(Construction!$F$31=Construction!$R$22,Oeko!CM527,Oeko!EZ527)</f>
        <v>1</v>
      </c>
      <c r="AA527" s="1979">
        <f>IF(Construction!$F$31=Construction!$R$22,Oeko!CN527,Oeko!FA527)</f>
        <v>1</v>
      </c>
      <c r="AB527" s="1979">
        <f>IF(Construction!$F$31=Construction!$R$22,Oeko!CO527,Oeko!FB527)</f>
        <v>1</v>
      </c>
      <c r="AC527" s="1998">
        <f>IF(Construction!$F$31=Construction!$R$22,Oeko!CP527,Oeko!FC527)</f>
        <v>1</v>
      </c>
      <c r="AD527" s="1998">
        <f>IF(Construction!$F$31=Construction!$R$22,Oeko!CQ527,Oeko!FD527)</f>
        <v>1</v>
      </c>
      <c r="AE527" s="1998">
        <f>IF(Construction!$F$31=Construction!$R$22,Oeko!CR527,Oeko!FE527)</f>
        <v>1</v>
      </c>
      <c r="AF527" s="1998">
        <f>IF(Construction!$F$31=Construction!$R$22,Oeko!CS527,Oeko!FF527)</f>
        <v>1</v>
      </c>
      <c r="AG527" s="1998">
        <f>IF(Construction!$F$31=Construction!$R$22,Oeko!CT527,Oeko!FG527)</f>
        <v>1</v>
      </c>
      <c r="AH527" s="1979">
        <f>IF(Construction!$F$31=Construction!$R$22,Oeko!CU527,Oeko!FH527)</f>
        <v>1</v>
      </c>
      <c r="AI527" s="1979">
        <f>IF(Construction!$F$31=Construction!$R$22,Oeko!CV527,Oeko!FI527)</f>
        <v>1</v>
      </c>
      <c r="AJ527" s="1979">
        <f>IF(Construction!$F$31=Construction!$R$22,Oeko!CW527,Oeko!FJ527)</f>
        <v>1</v>
      </c>
      <c r="AK527" s="1979">
        <f>IF(Construction!$F$31=Construction!$R$22,Oeko!CX527,Oeko!FK527)</f>
        <v>1</v>
      </c>
      <c r="AL527" s="1979">
        <f>IF(Construction!$F$31=Construction!$R$22,Oeko!CY527,Oeko!FL527)</f>
        <v>1</v>
      </c>
      <c r="AM527" s="1998">
        <f>IF(Construction!$F$31=Construction!$R$22,Oeko!CZ527,Oeko!FM527)</f>
        <v>1</v>
      </c>
      <c r="AN527" s="1998">
        <f>IF(Construction!$F$31=Construction!$R$22,Oeko!DA527,Oeko!FN527)</f>
        <v>1</v>
      </c>
      <c r="AO527" s="1998">
        <f>IF(Construction!$F$31=Construction!$R$22,Oeko!DB527,Oeko!FO527)</f>
        <v>1</v>
      </c>
      <c r="AP527" s="1998">
        <f>IF(Construction!$F$31=Construction!$R$22,Oeko!DC527,Oeko!FP527)</f>
        <v>1</v>
      </c>
      <c r="AQ527" s="1998">
        <f>IF(Construction!$F$31=Construction!$R$22,Oeko!DD527,Oeko!FQ527)</f>
        <v>1</v>
      </c>
      <c r="AR527" s="1979">
        <f>IF(Construction!$F$31=Construction!$R$22,Oeko!DE527,Oeko!FR527)</f>
        <v>1</v>
      </c>
      <c r="AS527" s="1979">
        <f>IF(Construction!$F$31=Construction!$R$22,Oeko!DF527,Oeko!FS527)</f>
        <v>1</v>
      </c>
      <c r="AT527" s="1979">
        <f>IF(Construction!$F$31=Construction!$R$22,Oeko!DG527,Oeko!FT527)</f>
        <v>1</v>
      </c>
      <c r="AU527" s="1979">
        <f>IF(Construction!$F$31=Construction!$R$22,Oeko!DH527,Oeko!FU527)</f>
        <v>1</v>
      </c>
      <c r="AV527" s="1979">
        <f>IF(Construction!$F$31=Construction!$R$22,Oeko!DI527,Oeko!FV527)</f>
        <v>1</v>
      </c>
      <c r="AW527" s="1998">
        <f>IF(Construction!$F$31=Construction!$R$22,Oeko!DJ527,Oeko!FW527)</f>
        <v>1</v>
      </c>
      <c r="AX527" s="1998">
        <f>IF(Construction!$F$31=Construction!$R$22,Oeko!DK527,Oeko!FX527)</f>
        <v>1</v>
      </c>
      <c r="AY527" s="1998">
        <f>IF(Construction!$F$31=Construction!$R$22,Oeko!DL527,Oeko!FY527)</f>
        <v>1</v>
      </c>
      <c r="AZ527" s="1998">
        <f>IF(Construction!$F$31=Construction!$R$22,Oeko!DM527,Oeko!FZ527)</f>
        <v>1</v>
      </c>
      <c r="BA527" s="1998">
        <f>IF(Construction!$F$31=Construction!$R$22,Oeko!DN527,Oeko!GA527)</f>
        <v>1</v>
      </c>
      <c r="BB527" s="1979">
        <f>IF(Construction!$F$31=Construction!$R$22,Oeko!DO527,Oeko!GB527)</f>
        <v>0.12461206483213953</v>
      </c>
      <c r="BC527" s="1979">
        <f>IF(Construction!$F$31=Construction!$R$22,Oeko!DP527,Oeko!GC527)</f>
        <v>0.12461206483213953</v>
      </c>
      <c r="BD527" s="1979">
        <f>IF(Construction!$F$31=Construction!$R$22,Oeko!DQ527,Oeko!GD527)</f>
        <v>0.12461206483213953</v>
      </c>
      <c r="BE527" s="1979">
        <f>IF(Construction!$F$31=Construction!$R$22,Oeko!DR527,Oeko!GE527)</f>
        <v>0.12461206483213953</v>
      </c>
      <c r="BF527" s="1979">
        <f>IF(Construction!$F$31=Construction!$R$22,Oeko!DS527,Oeko!GF527)</f>
        <v>0.12461206483213953</v>
      </c>
      <c r="BG527" s="1998">
        <f>IF(Construction!$F$31=Construction!$R$22,Oeko!DT527,Oeko!GG527)</f>
        <v>0.12783559671100567</v>
      </c>
      <c r="BH527" s="1998">
        <f>IF(Construction!$F$31=Construction!$R$22,Oeko!DU527,Oeko!GH527)</f>
        <v>0.12783559671100567</v>
      </c>
      <c r="BI527" s="1998">
        <f>IF(Construction!$F$31=Construction!$R$22,Oeko!DV527,Oeko!GI527)</f>
        <v>0.12783559671100567</v>
      </c>
      <c r="BJ527" s="1998">
        <f>IF(Construction!$F$31=Construction!$R$22,Oeko!DW527,Oeko!GJ527)</f>
        <v>0.12783559671100567</v>
      </c>
      <c r="BK527" s="2026">
        <f>IF(Construction!$F$31=Construction!$R$22,Oeko!DX527,Oeko!GK527)</f>
        <v>0.12783559671100567</v>
      </c>
      <c r="BN527" s="2022"/>
      <c r="BO527" s="2">
        <v>26</v>
      </c>
      <c r="BP527" s="2" t="s">
        <v>4244</v>
      </c>
      <c r="BQ527" s="1979">
        <v>0</v>
      </c>
      <c r="BR527" s="1979">
        <v>0</v>
      </c>
      <c r="BS527" s="1979">
        <v>0</v>
      </c>
      <c r="BT527" s="1979">
        <v>0</v>
      </c>
      <c r="BU527" s="1979">
        <v>0</v>
      </c>
      <c r="BV527" s="1998">
        <v>1</v>
      </c>
      <c r="BW527" s="1998">
        <v>1</v>
      </c>
      <c r="BX527" s="1998">
        <v>1</v>
      </c>
      <c r="BY527" s="1998">
        <v>1</v>
      </c>
      <c r="BZ527" s="1998">
        <v>1</v>
      </c>
      <c r="CA527" s="1979">
        <v>1</v>
      </c>
      <c r="CB527" s="1979">
        <v>1</v>
      </c>
      <c r="CC527" s="1979">
        <v>1</v>
      </c>
      <c r="CD527" s="1979">
        <v>1</v>
      </c>
      <c r="CE527" s="1979">
        <v>1</v>
      </c>
      <c r="CF527" s="1998">
        <v>1</v>
      </c>
      <c r="CG527" s="1998">
        <v>1</v>
      </c>
      <c r="CH527" s="1998">
        <v>1</v>
      </c>
      <c r="CI527" s="1998">
        <v>1</v>
      </c>
      <c r="CJ527" s="1998">
        <v>1</v>
      </c>
      <c r="CK527" s="1979">
        <v>1</v>
      </c>
      <c r="CL527" s="1979">
        <v>1</v>
      </c>
      <c r="CM527" s="1979">
        <v>1</v>
      </c>
      <c r="CN527" s="1979">
        <v>1</v>
      </c>
      <c r="CO527" s="1979">
        <v>1</v>
      </c>
      <c r="CP527" s="1998">
        <v>1</v>
      </c>
      <c r="CQ527" s="1998">
        <v>1</v>
      </c>
      <c r="CR527" s="1998">
        <v>1</v>
      </c>
      <c r="CS527" s="1998">
        <v>1</v>
      </c>
      <c r="CT527" s="1998">
        <v>1</v>
      </c>
      <c r="CU527" s="1979">
        <v>1</v>
      </c>
      <c r="CV527" s="1979">
        <v>1</v>
      </c>
      <c r="CW527" s="1979">
        <v>1</v>
      </c>
      <c r="CX527" s="1979">
        <v>1</v>
      </c>
      <c r="CY527" s="1979">
        <v>1</v>
      </c>
      <c r="CZ527" s="1998">
        <v>1</v>
      </c>
      <c r="DA527" s="1998">
        <v>1</v>
      </c>
      <c r="DB527" s="1998">
        <v>1</v>
      </c>
      <c r="DC527" s="1998">
        <v>1</v>
      </c>
      <c r="DD527" s="1998">
        <v>1</v>
      </c>
      <c r="DE527" s="1979">
        <v>1</v>
      </c>
      <c r="DF527" s="1979">
        <v>1</v>
      </c>
      <c r="DG527" s="1979">
        <v>1</v>
      </c>
      <c r="DH527" s="1979">
        <v>1</v>
      </c>
      <c r="DI527" s="1979">
        <v>1</v>
      </c>
      <c r="DJ527" s="1998">
        <v>1</v>
      </c>
      <c r="DK527" s="1998">
        <v>1</v>
      </c>
      <c r="DL527" s="1998">
        <v>1</v>
      </c>
      <c r="DM527" s="1998">
        <v>1</v>
      </c>
      <c r="DN527" s="1998">
        <v>1</v>
      </c>
      <c r="DO527" s="1979">
        <v>0.12461206483213953</v>
      </c>
      <c r="DP527" s="1979">
        <v>0.12461206483213953</v>
      </c>
      <c r="DQ527" s="1979">
        <v>0.12461206483213953</v>
      </c>
      <c r="DR527" s="1979">
        <v>0.12461206483213953</v>
      </c>
      <c r="DS527" s="1979">
        <v>0.12461206483213953</v>
      </c>
      <c r="DT527" s="1998">
        <v>0.12783559671100567</v>
      </c>
      <c r="DU527" s="1998">
        <v>0.12783559671100567</v>
      </c>
      <c r="DV527" s="1998">
        <v>0.12783559671100567</v>
      </c>
      <c r="DW527" s="1998">
        <v>0.12783559671100567</v>
      </c>
      <c r="DX527" s="2026">
        <v>0.12783559671100567</v>
      </c>
      <c r="EA527" s="2022"/>
      <c r="EB527" s="2">
        <v>26</v>
      </c>
      <c r="EC527" s="2" t="s">
        <v>4244</v>
      </c>
      <c r="ED527" s="1979">
        <v>0</v>
      </c>
      <c r="EE527" s="1979">
        <v>0</v>
      </c>
      <c r="EF527" s="1979">
        <v>0</v>
      </c>
      <c r="EG527" s="1979">
        <v>0</v>
      </c>
      <c r="EH527" s="1979">
        <v>0</v>
      </c>
      <c r="EI527" s="1998">
        <v>2.0966679740137137</v>
      </c>
      <c r="EJ527" s="1998">
        <v>2.0966679740137137</v>
      </c>
      <c r="EK527" s="1998">
        <v>2.0966679740137137</v>
      </c>
      <c r="EL527" s="1998">
        <v>2.0966679740137137</v>
      </c>
      <c r="EM527" s="1998">
        <v>2.0966679740137137</v>
      </c>
      <c r="EN527" s="1979">
        <v>1.4337071065592959</v>
      </c>
      <c r="EO527" s="1979">
        <v>1.4337071065592959</v>
      </c>
      <c r="EP527" s="1979">
        <v>1.4337071065592959</v>
      </c>
      <c r="EQ527" s="1979">
        <v>1.4337071065592959</v>
      </c>
      <c r="ER527" s="1979">
        <v>1.4337071065592959</v>
      </c>
      <c r="ES527" s="1998">
        <v>1.8379162318633464</v>
      </c>
      <c r="ET527" s="1998">
        <v>1.8379162318633464</v>
      </c>
      <c r="EU527" s="1998">
        <v>1.8379162318633464</v>
      </c>
      <c r="EV527" s="1998">
        <v>1.8379162318633464</v>
      </c>
      <c r="EW527" s="1998">
        <v>1.8379162318633464</v>
      </c>
      <c r="EX527" s="1979">
        <v>1.4662053104562123</v>
      </c>
      <c r="EY527" s="1979">
        <v>1.4662053104562123</v>
      </c>
      <c r="EZ527" s="1979">
        <v>1.4662053104562123</v>
      </c>
      <c r="FA527" s="1979">
        <v>1.4662053104562123</v>
      </c>
      <c r="FB527" s="1979">
        <v>1.4662053104562123</v>
      </c>
      <c r="FC527" s="1998">
        <v>2.0890613416456318</v>
      </c>
      <c r="FD527" s="1998">
        <v>2.0890613416456318</v>
      </c>
      <c r="FE527" s="1998">
        <v>2.0890613416456318</v>
      </c>
      <c r="FF527" s="1998">
        <v>2.0890613416456318</v>
      </c>
      <c r="FG527" s="1998">
        <v>2.0890613416456318</v>
      </c>
      <c r="FH527" s="1979">
        <v>2.3921927569513635</v>
      </c>
      <c r="FI527" s="1979">
        <v>2.3921927569513635</v>
      </c>
      <c r="FJ527" s="1979">
        <v>2.3921927569513635</v>
      </c>
      <c r="FK527" s="1979">
        <v>2.3921927569513635</v>
      </c>
      <c r="FL527" s="1979">
        <v>2.3921927569513635</v>
      </c>
      <c r="FM527" s="1998">
        <v>1.5115041757386145</v>
      </c>
      <c r="FN527" s="1998">
        <v>1.5115041757386145</v>
      </c>
      <c r="FO527" s="1998">
        <v>1.5115041757386145</v>
      </c>
      <c r="FP527" s="1998">
        <v>1.5115041757386145</v>
      </c>
      <c r="FQ527" s="1998">
        <v>1.5115041757386145</v>
      </c>
      <c r="FR527" s="1979">
        <v>8.1198212572277306</v>
      </c>
      <c r="FS527" s="1979">
        <v>8.1198212572277306</v>
      </c>
      <c r="FT527" s="1979">
        <v>8.1198212572277306</v>
      </c>
      <c r="FU527" s="1979">
        <v>8.1198212572277306</v>
      </c>
      <c r="FV527" s="1979">
        <v>8.1198212572277306</v>
      </c>
      <c r="FW527" s="1998">
        <v>8.4799072816005001</v>
      </c>
      <c r="FX527" s="1998">
        <v>8.4799072816005001</v>
      </c>
      <c r="FY527" s="1998">
        <v>8.4799072816005001</v>
      </c>
      <c r="FZ527" s="1998">
        <v>8.4799072816005001</v>
      </c>
      <c r="GA527" s="1998">
        <v>8.4799072816005001</v>
      </c>
      <c r="GB527" s="1979">
        <v>0.7736975763794911</v>
      </c>
      <c r="GC527" s="1979">
        <v>0.7736975763794911</v>
      </c>
      <c r="GD527" s="1979">
        <v>0.7736975763794911</v>
      </c>
      <c r="GE527" s="1979">
        <v>0.7736975763794911</v>
      </c>
      <c r="GF527" s="1979">
        <v>0.7736975763794911</v>
      </c>
      <c r="GG527" s="1998">
        <v>0.84158732719503859</v>
      </c>
      <c r="GH527" s="1998">
        <v>0.84158732719503859</v>
      </c>
      <c r="GI527" s="1998">
        <v>0.84158732719503859</v>
      </c>
      <c r="GJ527" s="1998">
        <v>0.84158732719503859</v>
      </c>
      <c r="GK527" s="2026">
        <v>0.84158732719503859</v>
      </c>
    </row>
    <row r="528" spans="1:193">
      <c r="A528" s="2020"/>
      <c r="B528" s="2">
        <v>27</v>
      </c>
      <c r="C528" s="2" t="s">
        <v>4259</v>
      </c>
      <c r="D528" s="1979">
        <f>IF(Construction!$F$31=Construction!$R$22,Oeko!BQ528,Oeko!ED528)</f>
        <v>0</v>
      </c>
      <c r="E528" s="1979">
        <f>IF(Construction!$F$31=Construction!$R$22,Oeko!BR528,Oeko!EE528)</f>
        <v>0</v>
      </c>
      <c r="F528" s="1979">
        <f>IF(Construction!$F$31=Construction!$R$22,Oeko!BS528,Oeko!EF528)</f>
        <v>0</v>
      </c>
      <c r="G528" s="1979">
        <f>IF(Construction!$F$31=Construction!$R$22,Oeko!BT528,Oeko!EG528)</f>
        <v>0</v>
      </c>
      <c r="H528" s="1979">
        <f>IF(Construction!$F$31=Construction!$R$22,Oeko!BU528,Oeko!EH528)</f>
        <v>0</v>
      </c>
      <c r="I528" s="1998">
        <f>IF(Construction!$F$31=Construction!$R$22,Oeko!BV528,Oeko!EI528)</f>
        <v>1</v>
      </c>
      <c r="J528" s="1998">
        <f>IF(Construction!$F$31=Construction!$R$22,Oeko!BW528,Oeko!EJ528)</f>
        <v>1</v>
      </c>
      <c r="K528" s="1998">
        <f>IF(Construction!$F$31=Construction!$R$22,Oeko!BX528,Oeko!EK528)</f>
        <v>1</v>
      </c>
      <c r="L528" s="1998">
        <f>IF(Construction!$F$31=Construction!$R$22,Oeko!BY528,Oeko!EL528)</f>
        <v>1</v>
      </c>
      <c r="M528" s="1998">
        <f>IF(Construction!$F$31=Construction!$R$22,Oeko!BZ528,Oeko!EM528)</f>
        <v>1</v>
      </c>
      <c r="N528" s="1979">
        <f>IF(Construction!$F$31=Construction!$R$22,Oeko!CA528,Oeko!EN528)</f>
        <v>1</v>
      </c>
      <c r="O528" s="1979">
        <f>IF(Construction!$F$31=Construction!$R$22,Oeko!CB528,Oeko!EO528)</f>
        <v>1</v>
      </c>
      <c r="P528" s="1979">
        <f>IF(Construction!$F$31=Construction!$R$22,Oeko!CC528,Oeko!EP528)</f>
        <v>1</v>
      </c>
      <c r="Q528" s="1979">
        <f>IF(Construction!$F$31=Construction!$R$22,Oeko!CD528,Oeko!EQ528)</f>
        <v>1</v>
      </c>
      <c r="R528" s="1979">
        <f>IF(Construction!$F$31=Construction!$R$22,Oeko!CE528,Oeko!ER528)</f>
        <v>1</v>
      </c>
      <c r="S528" s="1998">
        <f>IF(Construction!$F$31=Construction!$R$22,Oeko!CF528,Oeko!ES528)</f>
        <v>1</v>
      </c>
      <c r="T528" s="1998">
        <f>IF(Construction!$F$31=Construction!$R$22,Oeko!CG528,Oeko!ET528)</f>
        <v>1</v>
      </c>
      <c r="U528" s="1998">
        <f>IF(Construction!$F$31=Construction!$R$22,Oeko!CH528,Oeko!EU528)</f>
        <v>1</v>
      </c>
      <c r="V528" s="1998">
        <f>IF(Construction!$F$31=Construction!$R$22,Oeko!CI528,Oeko!EV528)</f>
        <v>1</v>
      </c>
      <c r="W528" s="1998">
        <f>IF(Construction!$F$31=Construction!$R$22,Oeko!CJ528,Oeko!EW528)</f>
        <v>1</v>
      </c>
      <c r="X528" s="1979">
        <f>IF(Construction!$F$31=Construction!$R$22,Oeko!CK528,Oeko!EX528)</f>
        <v>1</v>
      </c>
      <c r="Y528" s="1979">
        <f>IF(Construction!$F$31=Construction!$R$22,Oeko!CL528,Oeko!EY528)</f>
        <v>1</v>
      </c>
      <c r="Z528" s="1979">
        <f>IF(Construction!$F$31=Construction!$R$22,Oeko!CM528,Oeko!EZ528)</f>
        <v>1</v>
      </c>
      <c r="AA528" s="1979">
        <f>IF(Construction!$F$31=Construction!$R$22,Oeko!CN528,Oeko!FA528)</f>
        <v>1</v>
      </c>
      <c r="AB528" s="1979">
        <f>IF(Construction!$F$31=Construction!$R$22,Oeko!CO528,Oeko!FB528)</f>
        <v>1</v>
      </c>
      <c r="AC528" s="1998">
        <f>IF(Construction!$F$31=Construction!$R$22,Oeko!CP528,Oeko!FC528)</f>
        <v>1</v>
      </c>
      <c r="AD528" s="1998">
        <f>IF(Construction!$F$31=Construction!$R$22,Oeko!CQ528,Oeko!FD528)</f>
        <v>1</v>
      </c>
      <c r="AE528" s="1998">
        <f>IF(Construction!$F$31=Construction!$R$22,Oeko!CR528,Oeko!FE528)</f>
        <v>1</v>
      </c>
      <c r="AF528" s="1998">
        <f>IF(Construction!$F$31=Construction!$R$22,Oeko!CS528,Oeko!FF528)</f>
        <v>1</v>
      </c>
      <c r="AG528" s="1998">
        <f>IF(Construction!$F$31=Construction!$R$22,Oeko!CT528,Oeko!FG528)</f>
        <v>1</v>
      </c>
      <c r="AH528" s="1979">
        <f>IF(Construction!$F$31=Construction!$R$22,Oeko!CU528,Oeko!FH528)</f>
        <v>1</v>
      </c>
      <c r="AI528" s="1979">
        <f>IF(Construction!$F$31=Construction!$R$22,Oeko!CV528,Oeko!FI528)</f>
        <v>1</v>
      </c>
      <c r="AJ528" s="1979">
        <f>IF(Construction!$F$31=Construction!$R$22,Oeko!CW528,Oeko!FJ528)</f>
        <v>1</v>
      </c>
      <c r="AK528" s="1979">
        <f>IF(Construction!$F$31=Construction!$R$22,Oeko!CX528,Oeko!FK528)</f>
        <v>1</v>
      </c>
      <c r="AL528" s="1979">
        <f>IF(Construction!$F$31=Construction!$R$22,Oeko!CY528,Oeko!FL528)</f>
        <v>1</v>
      </c>
      <c r="AM528" s="1998">
        <f>IF(Construction!$F$31=Construction!$R$22,Oeko!CZ528,Oeko!FM528)</f>
        <v>1.1666666666666665</v>
      </c>
      <c r="AN528" s="1998">
        <f>IF(Construction!$F$31=Construction!$R$22,Oeko!DA528,Oeko!FN528)</f>
        <v>1.1666666666666665</v>
      </c>
      <c r="AO528" s="1998">
        <f>IF(Construction!$F$31=Construction!$R$22,Oeko!DB528,Oeko!FO528)</f>
        <v>1.1666666666666665</v>
      </c>
      <c r="AP528" s="1998">
        <f>IF(Construction!$F$31=Construction!$R$22,Oeko!DC528,Oeko!FP528)</f>
        <v>1.1666666666666665</v>
      </c>
      <c r="AQ528" s="1998">
        <f>IF(Construction!$F$31=Construction!$R$22,Oeko!DD528,Oeko!FQ528)</f>
        <v>1.1666666666666665</v>
      </c>
      <c r="AR528" s="1979">
        <f>IF(Construction!$F$31=Construction!$R$22,Oeko!DE528,Oeko!FR528)</f>
        <v>1</v>
      </c>
      <c r="AS528" s="1979">
        <f>IF(Construction!$F$31=Construction!$R$22,Oeko!DF528,Oeko!FS528)</f>
        <v>1</v>
      </c>
      <c r="AT528" s="1979">
        <f>IF(Construction!$F$31=Construction!$R$22,Oeko!DG528,Oeko!FT528)</f>
        <v>1</v>
      </c>
      <c r="AU528" s="1979">
        <f>IF(Construction!$F$31=Construction!$R$22,Oeko!DH528,Oeko!FU528)</f>
        <v>1</v>
      </c>
      <c r="AV528" s="1979">
        <f>IF(Construction!$F$31=Construction!$R$22,Oeko!DI528,Oeko!FV528)</f>
        <v>1</v>
      </c>
      <c r="AW528" s="1998">
        <f>IF(Construction!$F$31=Construction!$R$22,Oeko!DJ528,Oeko!FW528)</f>
        <v>1</v>
      </c>
      <c r="AX528" s="1998">
        <f>IF(Construction!$F$31=Construction!$R$22,Oeko!DK528,Oeko!FX528)</f>
        <v>1</v>
      </c>
      <c r="AY528" s="1998">
        <f>IF(Construction!$F$31=Construction!$R$22,Oeko!DL528,Oeko!FY528)</f>
        <v>1</v>
      </c>
      <c r="AZ528" s="1998">
        <f>IF(Construction!$F$31=Construction!$R$22,Oeko!DM528,Oeko!FZ528)</f>
        <v>1</v>
      </c>
      <c r="BA528" s="1998">
        <f>IF(Construction!$F$31=Construction!$R$22,Oeko!DN528,Oeko!GA528)</f>
        <v>1</v>
      </c>
      <c r="BB528" s="1979">
        <f>IF(Construction!$F$31=Construction!$R$22,Oeko!DO528,Oeko!GB528)</f>
        <v>0.12461206483213953</v>
      </c>
      <c r="BC528" s="1979">
        <f>IF(Construction!$F$31=Construction!$R$22,Oeko!DP528,Oeko!GC528)</f>
        <v>0.12461206483213953</v>
      </c>
      <c r="BD528" s="1979">
        <f>IF(Construction!$F$31=Construction!$R$22,Oeko!DQ528,Oeko!GD528)</f>
        <v>0.12461206483213953</v>
      </c>
      <c r="BE528" s="1979">
        <f>IF(Construction!$F$31=Construction!$R$22,Oeko!DR528,Oeko!GE528)</f>
        <v>0.12461206483213953</v>
      </c>
      <c r="BF528" s="1979">
        <f>IF(Construction!$F$31=Construction!$R$22,Oeko!DS528,Oeko!GF528)</f>
        <v>0.12461206483213953</v>
      </c>
      <c r="BG528" s="1998">
        <f>IF(Construction!$F$31=Construction!$R$22,Oeko!DT528,Oeko!GG528)</f>
        <v>0.12783559671100567</v>
      </c>
      <c r="BH528" s="1998">
        <f>IF(Construction!$F$31=Construction!$R$22,Oeko!DU528,Oeko!GH528)</f>
        <v>0.12783559671100567</v>
      </c>
      <c r="BI528" s="1998">
        <f>IF(Construction!$F$31=Construction!$R$22,Oeko!DV528,Oeko!GI528)</f>
        <v>0.12783559671100567</v>
      </c>
      <c r="BJ528" s="1998">
        <f>IF(Construction!$F$31=Construction!$R$22,Oeko!DW528,Oeko!GJ528)</f>
        <v>0.12783559671100567</v>
      </c>
      <c r="BK528" s="2026">
        <f>IF(Construction!$F$31=Construction!$R$22,Oeko!DX528,Oeko!GK528)</f>
        <v>0.12783559671100567</v>
      </c>
      <c r="BN528" s="2022"/>
      <c r="BO528" s="2">
        <v>27</v>
      </c>
      <c r="BP528" s="2" t="s">
        <v>4259</v>
      </c>
      <c r="BQ528" s="1979">
        <v>0</v>
      </c>
      <c r="BR528" s="1979">
        <v>0</v>
      </c>
      <c r="BS528" s="1979">
        <v>0</v>
      </c>
      <c r="BT528" s="1979">
        <v>0</v>
      </c>
      <c r="BU528" s="1979">
        <v>0</v>
      </c>
      <c r="BV528" s="1998">
        <v>1</v>
      </c>
      <c r="BW528" s="1998">
        <v>1</v>
      </c>
      <c r="BX528" s="1998">
        <v>1</v>
      </c>
      <c r="BY528" s="1998">
        <v>1</v>
      </c>
      <c r="BZ528" s="1998">
        <v>1</v>
      </c>
      <c r="CA528" s="1979">
        <v>1</v>
      </c>
      <c r="CB528" s="1979">
        <v>1</v>
      </c>
      <c r="CC528" s="1979">
        <v>1</v>
      </c>
      <c r="CD528" s="1979">
        <v>1</v>
      </c>
      <c r="CE528" s="1979">
        <v>1</v>
      </c>
      <c r="CF528" s="1998">
        <v>1</v>
      </c>
      <c r="CG528" s="1998">
        <v>1</v>
      </c>
      <c r="CH528" s="1998">
        <v>1</v>
      </c>
      <c r="CI528" s="1998">
        <v>1</v>
      </c>
      <c r="CJ528" s="1998">
        <v>1</v>
      </c>
      <c r="CK528" s="1979">
        <v>1</v>
      </c>
      <c r="CL528" s="1979">
        <v>1</v>
      </c>
      <c r="CM528" s="1979">
        <v>1</v>
      </c>
      <c r="CN528" s="1979">
        <v>1</v>
      </c>
      <c r="CO528" s="1979">
        <v>1</v>
      </c>
      <c r="CP528" s="1998">
        <v>1</v>
      </c>
      <c r="CQ528" s="1998">
        <v>1</v>
      </c>
      <c r="CR528" s="1998">
        <v>1</v>
      </c>
      <c r="CS528" s="1998">
        <v>1</v>
      </c>
      <c r="CT528" s="1998">
        <v>1</v>
      </c>
      <c r="CU528" s="1979">
        <v>1</v>
      </c>
      <c r="CV528" s="1979">
        <v>1</v>
      </c>
      <c r="CW528" s="1979">
        <v>1</v>
      </c>
      <c r="CX528" s="1979">
        <v>1</v>
      </c>
      <c r="CY528" s="1979">
        <v>1</v>
      </c>
      <c r="CZ528" s="1998">
        <v>1.1666666666666665</v>
      </c>
      <c r="DA528" s="1998">
        <v>1.1666666666666665</v>
      </c>
      <c r="DB528" s="1998">
        <v>1.1666666666666665</v>
      </c>
      <c r="DC528" s="1998">
        <v>1.1666666666666665</v>
      </c>
      <c r="DD528" s="1998">
        <v>1.1666666666666665</v>
      </c>
      <c r="DE528" s="1979">
        <v>1</v>
      </c>
      <c r="DF528" s="1979">
        <v>1</v>
      </c>
      <c r="DG528" s="1979">
        <v>1</v>
      </c>
      <c r="DH528" s="1979">
        <v>1</v>
      </c>
      <c r="DI528" s="1979">
        <v>1</v>
      </c>
      <c r="DJ528" s="1998">
        <v>1</v>
      </c>
      <c r="DK528" s="1998">
        <v>1</v>
      </c>
      <c r="DL528" s="1998">
        <v>1</v>
      </c>
      <c r="DM528" s="1998">
        <v>1</v>
      </c>
      <c r="DN528" s="1998">
        <v>1</v>
      </c>
      <c r="DO528" s="1979">
        <v>0.12461206483213953</v>
      </c>
      <c r="DP528" s="1979">
        <v>0.12461206483213953</v>
      </c>
      <c r="DQ528" s="1979">
        <v>0.12461206483213953</v>
      </c>
      <c r="DR528" s="1979">
        <v>0.12461206483213953</v>
      </c>
      <c r="DS528" s="1979">
        <v>0.12461206483213953</v>
      </c>
      <c r="DT528" s="1998">
        <v>0.12783559671100567</v>
      </c>
      <c r="DU528" s="1998">
        <v>0.12783559671100567</v>
      </c>
      <c r="DV528" s="1998">
        <v>0.12783559671100567</v>
      </c>
      <c r="DW528" s="1998">
        <v>0.12783559671100567</v>
      </c>
      <c r="DX528" s="2026">
        <v>0.12783559671100567</v>
      </c>
      <c r="EA528" s="2022"/>
      <c r="EB528" s="2">
        <v>27</v>
      </c>
      <c r="EC528" s="2" t="s">
        <v>4259</v>
      </c>
      <c r="ED528" s="1979">
        <v>0</v>
      </c>
      <c r="EE528" s="1979">
        <v>0</v>
      </c>
      <c r="EF528" s="1979">
        <v>0</v>
      </c>
      <c r="EG528" s="1979">
        <v>0</v>
      </c>
      <c r="EH528" s="1979">
        <v>0</v>
      </c>
      <c r="EI528" s="1998">
        <v>2.4716056316257515</v>
      </c>
      <c r="EJ528" s="1998">
        <v>2.4716056316257515</v>
      </c>
      <c r="EK528" s="1998">
        <v>2.4716056316257515</v>
      </c>
      <c r="EL528" s="1998">
        <v>2.4716056316257515</v>
      </c>
      <c r="EM528" s="1998">
        <v>2.4716056316257515</v>
      </c>
      <c r="EN528" s="1979">
        <v>1.4848349689609373</v>
      </c>
      <c r="EO528" s="1979">
        <v>1.4848349689609373</v>
      </c>
      <c r="EP528" s="1979">
        <v>1.4848349689609373</v>
      </c>
      <c r="EQ528" s="1979">
        <v>1.4848349689609373</v>
      </c>
      <c r="ER528" s="1979">
        <v>1.4848349689609373</v>
      </c>
      <c r="ES528" s="1998">
        <v>2.0301191220028505</v>
      </c>
      <c r="ET528" s="1998">
        <v>2.0301191220028505</v>
      </c>
      <c r="EU528" s="1998">
        <v>2.0301191220028505</v>
      </c>
      <c r="EV528" s="1998">
        <v>2.0301191220028505</v>
      </c>
      <c r="EW528" s="1998">
        <v>2.0301191220028505</v>
      </c>
      <c r="EX528" s="1979">
        <v>1.5343757936584008</v>
      </c>
      <c r="EY528" s="1979">
        <v>1.5343757936584008</v>
      </c>
      <c r="EZ528" s="1979">
        <v>1.5343757936584008</v>
      </c>
      <c r="FA528" s="1979">
        <v>1.5343757936584008</v>
      </c>
      <c r="FB528" s="1979">
        <v>1.5343757936584008</v>
      </c>
      <c r="FC528" s="1998">
        <v>2.4390031554168674</v>
      </c>
      <c r="FD528" s="1998">
        <v>2.4390031554168674</v>
      </c>
      <c r="FE528" s="1998">
        <v>2.4390031554168674</v>
      </c>
      <c r="FF528" s="1998">
        <v>2.4390031554168674</v>
      </c>
      <c r="FG528" s="1998">
        <v>2.4390031554168674</v>
      </c>
      <c r="FH528" s="1979">
        <v>2.7330451729623064</v>
      </c>
      <c r="FI528" s="1979">
        <v>2.7330451729623064</v>
      </c>
      <c r="FJ528" s="1979">
        <v>2.7330451729623064</v>
      </c>
      <c r="FK528" s="1979">
        <v>2.7330451729623064</v>
      </c>
      <c r="FL528" s="1979">
        <v>2.7330451729623064</v>
      </c>
      <c r="FM528" s="1998">
        <v>1.8301657716190503</v>
      </c>
      <c r="FN528" s="1998">
        <v>1.8301657716190503</v>
      </c>
      <c r="FO528" s="1998">
        <v>1.8301657716190503</v>
      </c>
      <c r="FP528" s="1998">
        <v>1.8301657716190503</v>
      </c>
      <c r="FQ528" s="1998">
        <v>1.8301657716190503</v>
      </c>
      <c r="FR528" s="1979">
        <v>10.7444107116903</v>
      </c>
      <c r="FS528" s="1979">
        <v>10.7444107116903</v>
      </c>
      <c r="FT528" s="1979">
        <v>10.7444107116903</v>
      </c>
      <c r="FU528" s="1979">
        <v>10.7444107116903</v>
      </c>
      <c r="FV528" s="1979">
        <v>10.7444107116903</v>
      </c>
      <c r="FW528" s="1998">
        <v>11.126674907004146</v>
      </c>
      <c r="FX528" s="1998">
        <v>11.126674907004146</v>
      </c>
      <c r="FY528" s="1998">
        <v>11.126674907004146</v>
      </c>
      <c r="FZ528" s="1998">
        <v>11.126674907004146</v>
      </c>
      <c r="GA528" s="1998">
        <v>11.126674907004146</v>
      </c>
      <c r="GB528" s="1979">
        <v>1.0973745296033908</v>
      </c>
      <c r="GC528" s="1979">
        <v>1.0973745296033908</v>
      </c>
      <c r="GD528" s="1979">
        <v>1.0973745296033908</v>
      </c>
      <c r="GE528" s="1979">
        <v>1.0973745296033908</v>
      </c>
      <c r="GF528" s="1979">
        <v>1.0973745296033908</v>
      </c>
      <c r="GG528" s="1998">
        <v>1.1676555383243121</v>
      </c>
      <c r="GH528" s="1998">
        <v>1.1676555383243121</v>
      </c>
      <c r="GI528" s="1998">
        <v>1.1676555383243121</v>
      </c>
      <c r="GJ528" s="1998">
        <v>1.1676555383243121</v>
      </c>
      <c r="GK528" s="2026">
        <v>1.1676555383243121</v>
      </c>
    </row>
    <row r="529" spans="1:193">
      <c r="A529" s="2020"/>
      <c r="B529" s="2">
        <v>28</v>
      </c>
      <c r="C529" s="2" t="s">
        <v>4274</v>
      </c>
      <c r="D529" s="1979">
        <f>IF(Construction!$F$31=Construction!$R$22,Oeko!BQ529,Oeko!ED529)</f>
        <v>0</v>
      </c>
      <c r="E529" s="1979">
        <f>IF(Construction!$F$31=Construction!$R$22,Oeko!BR529,Oeko!EE529)</f>
        <v>0</v>
      </c>
      <c r="F529" s="1979">
        <f>IF(Construction!$F$31=Construction!$R$22,Oeko!BS529,Oeko!EF529)</f>
        <v>0</v>
      </c>
      <c r="G529" s="1979">
        <f>IF(Construction!$F$31=Construction!$R$22,Oeko!BT529,Oeko!EG529)</f>
        <v>0</v>
      </c>
      <c r="H529" s="1979">
        <f>IF(Construction!$F$31=Construction!$R$22,Oeko!BU529,Oeko!EH529)</f>
        <v>0</v>
      </c>
      <c r="I529" s="1998">
        <f>IF(Construction!$F$31=Construction!$R$22,Oeko!BV529,Oeko!EI529)</f>
        <v>1</v>
      </c>
      <c r="J529" s="1998">
        <f>IF(Construction!$F$31=Construction!$R$22,Oeko!BW529,Oeko!EJ529)</f>
        <v>1</v>
      </c>
      <c r="K529" s="1998">
        <f>IF(Construction!$F$31=Construction!$R$22,Oeko!BX529,Oeko!EK529)</f>
        <v>1</v>
      </c>
      <c r="L529" s="1998">
        <f>IF(Construction!$F$31=Construction!$R$22,Oeko!BY529,Oeko!EL529)</f>
        <v>1</v>
      </c>
      <c r="M529" s="1998">
        <f>IF(Construction!$F$31=Construction!$R$22,Oeko!BZ529,Oeko!EM529)</f>
        <v>1</v>
      </c>
      <c r="N529" s="1979">
        <f>IF(Construction!$F$31=Construction!$R$22,Oeko!CA529,Oeko!EN529)</f>
        <v>1</v>
      </c>
      <c r="O529" s="1979">
        <f>IF(Construction!$F$31=Construction!$R$22,Oeko!CB529,Oeko!EO529)</f>
        <v>1</v>
      </c>
      <c r="P529" s="1979">
        <f>IF(Construction!$F$31=Construction!$R$22,Oeko!CC529,Oeko!EP529)</f>
        <v>1</v>
      </c>
      <c r="Q529" s="1979">
        <f>IF(Construction!$F$31=Construction!$R$22,Oeko!CD529,Oeko!EQ529)</f>
        <v>1</v>
      </c>
      <c r="R529" s="1979">
        <f>IF(Construction!$F$31=Construction!$R$22,Oeko!CE529,Oeko!ER529)</f>
        <v>1</v>
      </c>
      <c r="S529" s="1998">
        <f>IF(Construction!$F$31=Construction!$R$22,Oeko!CF529,Oeko!ES529)</f>
        <v>1</v>
      </c>
      <c r="T529" s="1998">
        <f>IF(Construction!$F$31=Construction!$R$22,Oeko!CG529,Oeko!ET529)</f>
        <v>1</v>
      </c>
      <c r="U529" s="1998">
        <f>IF(Construction!$F$31=Construction!$R$22,Oeko!CH529,Oeko!EU529)</f>
        <v>1</v>
      </c>
      <c r="V529" s="1998">
        <f>IF(Construction!$F$31=Construction!$R$22,Oeko!CI529,Oeko!EV529)</f>
        <v>1</v>
      </c>
      <c r="W529" s="1998">
        <f>IF(Construction!$F$31=Construction!$R$22,Oeko!CJ529,Oeko!EW529)</f>
        <v>1</v>
      </c>
      <c r="X529" s="1979">
        <f>IF(Construction!$F$31=Construction!$R$22,Oeko!CK529,Oeko!EX529)</f>
        <v>1</v>
      </c>
      <c r="Y529" s="1979">
        <f>IF(Construction!$F$31=Construction!$R$22,Oeko!CL529,Oeko!EY529)</f>
        <v>1</v>
      </c>
      <c r="Z529" s="1979">
        <f>IF(Construction!$F$31=Construction!$R$22,Oeko!CM529,Oeko!EZ529)</f>
        <v>1</v>
      </c>
      <c r="AA529" s="1979">
        <f>IF(Construction!$F$31=Construction!$R$22,Oeko!CN529,Oeko!FA529)</f>
        <v>1</v>
      </c>
      <c r="AB529" s="1979">
        <f>IF(Construction!$F$31=Construction!$R$22,Oeko!CO529,Oeko!FB529)</f>
        <v>1</v>
      </c>
      <c r="AC529" s="1998">
        <f>IF(Construction!$F$31=Construction!$R$22,Oeko!CP529,Oeko!FC529)</f>
        <v>1</v>
      </c>
      <c r="AD529" s="1998">
        <f>IF(Construction!$F$31=Construction!$R$22,Oeko!CQ529,Oeko!FD529)</f>
        <v>1</v>
      </c>
      <c r="AE529" s="1998">
        <f>IF(Construction!$F$31=Construction!$R$22,Oeko!CR529,Oeko!FE529)</f>
        <v>1</v>
      </c>
      <c r="AF529" s="1998">
        <f>IF(Construction!$F$31=Construction!$R$22,Oeko!CS529,Oeko!FF529)</f>
        <v>1</v>
      </c>
      <c r="AG529" s="1998">
        <f>IF(Construction!$F$31=Construction!$R$22,Oeko!CT529,Oeko!FG529)</f>
        <v>1</v>
      </c>
      <c r="AH529" s="1979">
        <f>IF(Construction!$F$31=Construction!$R$22,Oeko!CU529,Oeko!FH529)</f>
        <v>1</v>
      </c>
      <c r="AI529" s="1979">
        <f>IF(Construction!$F$31=Construction!$R$22,Oeko!CV529,Oeko!FI529)</f>
        <v>1</v>
      </c>
      <c r="AJ529" s="1979">
        <f>IF(Construction!$F$31=Construction!$R$22,Oeko!CW529,Oeko!FJ529)</f>
        <v>1</v>
      </c>
      <c r="AK529" s="1979">
        <f>IF(Construction!$F$31=Construction!$R$22,Oeko!CX529,Oeko!FK529)</f>
        <v>1</v>
      </c>
      <c r="AL529" s="1979">
        <f>IF(Construction!$F$31=Construction!$R$22,Oeko!CY529,Oeko!FL529)</f>
        <v>1</v>
      </c>
      <c r="AM529" s="1998">
        <f>IF(Construction!$F$31=Construction!$R$22,Oeko!CZ529,Oeko!FM529)</f>
        <v>1.3333333333333333</v>
      </c>
      <c r="AN529" s="1998">
        <f>IF(Construction!$F$31=Construction!$R$22,Oeko!DA529,Oeko!FN529)</f>
        <v>1.3333333333333333</v>
      </c>
      <c r="AO529" s="1998">
        <f>IF(Construction!$F$31=Construction!$R$22,Oeko!DB529,Oeko!FO529)</f>
        <v>1.3333333333333333</v>
      </c>
      <c r="AP529" s="1998">
        <f>IF(Construction!$F$31=Construction!$R$22,Oeko!DC529,Oeko!FP529)</f>
        <v>1.3333333333333333</v>
      </c>
      <c r="AQ529" s="1998">
        <f>IF(Construction!$F$31=Construction!$R$22,Oeko!DD529,Oeko!FQ529)</f>
        <v>1.3333333333333333</v>
      </c>
      <c r="AR529" s="1979">
        <f>IF(Construction!$F$31=Construction!$R$22,Oeko!DE529,Oeko!FR529)</f>
        <v>1</v>
      </c>
      <c r="AS529" s="1979">
        <f>IF(Construction!$F$31=Construction!$R$22,Oeko!DF529,Oeko!FS529)</f>
        <v>1</v>
      </c>
      <c r="AT529" s="1979">
        <f>IF(Construction!$F$31=Construction!$R$22,Oeko!DG529,Oeko!FT529)</f>
        <v>1</v>
      </c>
      <c r="AU529" s="1979">
        <f>IF(Construction!$F$31=Construction!$R$22,Oeko!DH529,Oeko!FU529)</f>
        <v>1</v>
      </c>
      <c r="AV529" s="1979">
        <f>IF(Construction!$F$31=Construction!$R$22,Oeko!DI529,Oeko!FV529)</f>
        <v>1</v>
      </c>
      <c r="AW529" s="1998">
        <f>IF(Construction!$F$31=Construction!$R$22,Oeko!DJ529,Oeko!FW529)</f>
        <v>1</v>
      </c>
      <c r="AX529" s="1998">
        <f>IF(Construction!$F$31=Construction!$R$22,Oeko!DK529,Oeko!FX529)</f>
        <v>1</v>
      </c>
      <c r="AY529" s="1998">
        <f>IF(Construction!$F$31=Construction!$R$22,Oeko!DL529,Oeko!FY529)</f>
        <v>1</v>
      </c>
      <c r="AZ529" s="1998">
        <f>IF(Construction!$F$31=Construction!$R$22,Oeko!DM529,Oeko!FZ529)</f>
        <v>1</v>
      </c>
      <c r="BA529" s="1998">
        <f>IF(Construction!$F$31=Construction!$R$22,Oeko!DN529,Oeko!GA529)</f>
        <v>1</v>
      </c>
      <c r="BB529" s="1979">
        <f>IF(Construction!$F$31=Construction!$R$22,Oeko!DO529,Oeko!GB529)</f>
        <v>0.12461206483213953</v>
      </c>
      <c r="BC529" s="1979">
        <f>IF(Construction!$F$31=Construction!$R$22,Oeko!DP529,Oeko!GC529)</f>
        <v>0.12461206483213953</v>
      </c>
      <c r="BD529" s="1979">
        <f>IF(Construction!$F$31=Construction!$R$22,Oeko!DQ529,Oeko!GD529)</f>
        <v>0.12461206483213953</v>
      </c>
      <c r="BE529" s="1979">
        <f>IF(Construction!$F$31=Construction!$R$22,Oeko!DR529,Oeko!GE529)</f>
        <v>0.12461206483213953</v>
      </c>
      <c r="BF529" s="1979">
        <f>IF(Construction!$F$31=Construction!$R$22,Oeko!DS529,Oeko!GF529)</f>
        <v>0.12461206483213953</v>
      </c>
      <c r="BG529" s="1998">
        <f>IF(Construction!$F$31=Construction!$R$22,Oeko!DT529,Oeko!GG529)</f>
        <v>0.12783559671100567</v>
      </c>
      <c r="BH529" s="1998">
        <f>IF(Construction!$F$31=Construction!$R$22,Oeko!DU529,Oeko!GH529)</f>
        <v>0.12783559671100567</v>
      </c>
      <c r="BI529" s="1998">
        <f>IF(Construction!$F$31=Construction!$R$22,Oeko!DV529,Oeko!GI529)</f>
        <v>0.12783559671100567</v>
      </c>
      <c r="BJ529" s="1998">
        <f>IF(Construction!$F$31=Construction!$R$22,Oeko!DW529,Oeko!GJ529)</f>
        <v>0.12783559671100567</v>
      </c>
      <c r="BK529" s="2026">
        <f>IF(Construction!$F$31=Construction!$R$22,Oeko!DX529,Oeko!GK529)</f>
        <v>0.12783559671100567</v>
      </c>
      <c r="BN529" s="2022"/>
      <c r="BO529" s="2">
        <v>28</v>
      </c>
      <c r="BP529" s="2" t="s">
        <v>4274</v>
      </c>
      <c r="BQ529" s="1979">
        <v>0</v>
      </c>
      <c r="BR529" s="1979">
        <v>0</v>
      </c>
      <c r="BS529" s="1979">
        <v>0</v>
      </c>
      <c r="BT529" s="1979">
        <v>0</v>
      </c>
      <c r="BU529" s="1979">
        <v>0</v>
      </c>
      <c r="BV529" s="1998">
        <v>1</v>
      </c>
      <c r="BW529" s="1998">
        <v>1</v>
      </c>
      <c r="BX529" s="1998">
        <v>1</v>
      </c>
      <c r="BY529" s="1998">
        <v>1</v>
      </c>
      <c r="BZ529" s="1998">
        <v>1</v>
      </c>
      <c r="CA529" s="1979">
        <v>1</v>
      </c>
      <c r="CB529" s="1979">
        <v>1</v>
      </c>
      <c r="CC529" s="1979">
        <v>1</v>
      </c>
      <c r="CD529" s="1979">
        <v>1</v>
      </c>
      <c r="CE529" s="1979">
        <v>1</v>
      </c>
      <c r="CF529" s="1998">
        <v>1</v>
      </c>
      <c r="CG529" s="1998">
        <v>1</v>
      </c>
      <c r="CH529" s="1998">
        <v>1</v>
      </c>
      <c r="CI529" s="1998">
        <v>1</v>
      </c>
      <c r="CJ529" s="1998">
        <v>1</v>
      </c>
      <c r="CK529" s="1979">
        <v>1</v>
      </c>
      <c r="CL529" s="1979">
        <v>1</v>
      </c>
      <c r="CM529" s="1979">
        <v>1</v>
      </c>
      <c r="CN529" s="1979">
        <v>1</v>
      </c>
      <c r="CO529" s="1979">
        <v>1</v>
      </c>
      <c r="CP529" s="1998">
        <v>1</v>
      </c>
      <c r="CQ529" s="1998">
        <v>1</v>
      </c>
      <c r="CR529" s="1998">
        <v>1</v>
      </c>
      <c r="CS529" s="1998">
        <v>1</v>
      </c>
      <c r="CT529" s="1998">
        <v>1</v>
      </c>
      <c r="CU529" s="1979">
        <v>1</v>
      </c>
      <c r="CV529" s="1979">
        <v>1</v>
      </c>
      <c r="CW529" s="1979">
        <v>1</v>
      </c>
      <c r="CX529" s="1979">
        <v>1</v>
      </c>
      <c r="CY529" s="1979">
        <v>1</v>
      </c>
      <c r="CZ529" s="1998">
        <v>1.3333333333333333</v>
      </c>
      <c r="DA529" s="1998">
        <v>1.3333333333333333</v>
      </c>
      <c r="DB529" s="1998">
        <v>1.3333333333333333</v>
      </c>
      <c r="DC529" s="1998">
        <v>1.3333333333333333</v>
      </c>
      <c r="DD529" s="1998">
        <v>1.3333333333333333</v>
      </c>
      <c r="DE529" s="1979">
        <v>1</v>
      </c>
      <c r="DF529" s="1979">
        <v>1</v>
      </c>
      <c r="DG529" s="1979">
        <v>1</v>
      </c>
      <c r="DH529" s="1979">
        <v>1</v>
      </c>
      <c r="DI529" s="1979">
        <v>1</v>
      </c>
      <c r="DJ529" s="1998">
        <v>1</v>
      </c>
      <c r="DK529" s="1998">
        <v>1</v>
      </c>
      <c r="DL529" s="1998">
        <v>1</v>
      </c>
      <c r="DM529" s="1998">
        <v>1</v>
      </c>
      <c r="DN529" s="1998">
        <v>1</v>
      </c>
      <c r="DO529" s="1979">
        <v>0.12461206483213953</v>
      </c>
      <c r="DP529" s="1979">
        <v>0.12461206483213953</v>
      </c>
      <c r="DQ529" s="1979">
        <v>0.12461206483213953</v>
      </c>
      <c r="DR529" s="1979">
        <v>0.12461206483213953</v>
      </c>
      <c r="DS529" s="1979">
        <v>0.12461206483213953</v>
      </c>
      <c r="DT529" s="1998">
        <v>0.12783559671100567</v>
      </c>
      <c r="DU529" s="1998">
        <v>0.12783559671100567</v>
      </c>
      <c r="DV529" s="1998">
        <v>0.12783559671100567</v>
      </c>
      <c r="DW529" s="1998">
        <v>0.12783559671100567</v>
      </c>
      <c r="DX529" s="2026">
        <v>0.12783559671100567</v>
      </c>
      <c r="EA529" s="2022"/>
      <c r="EB529" s="2">
        <v>28</v>
      </c>
      <c r="EC529" s="2" t="s">
        <v>4274</v>
      </c>
      <c r="ED529" s="1979">
        <v>0</v>
      </c>
      <c r="EE529" s="1979">
        <v>0</v>
      </c>
      <c r="EF529" s="1979">
        <v>0</v>
      </c>
      <c r="EG529" s="1979">
        <v>0</v>
      </c>
      <c r="EH529" s="1979">
        <v>0</v>
      </c>
      <c r="EI529" s="1998">
        <v>2.8465432892377889</v>
      </c>
      <c r="EJ529" s="1998">
        <v>2.8465432892377889</v>
      </c>
      <c r="EK529" s="1998">
        <v>2.8465432892377889</v>
      </c>
      <c r="EL529" s="1998">
        <v>2.8465432892377889</v>
      </c>
      <c r="EM529" s="1998">
        <v>2.8465432892377889</v>
      </c>
      <c r="EN529" s="1979">
        <v>1.5359628313625786</v>
      </c>
      <c r="EO529" s="1979">
        <v>1.5359628313625786</v>
      </c>
      <c r="EP529" s="1979">
        <v>1.5359628313625786</v>
      </c>
      <c r="EQ529" s="1979">
        <v>1.5359628313625786</v>
      </c>
      <c r="ER529" s="1979">
        <v>1.5359628313625786</v>
      </c>
      <c r="ES529" s="1998">
        <v>2.2223220121423544</v>
      </c>
      <c r="ET529" s="1998">
        <v>2.2223220121423544</v>
      </c>
      <c r="EU529" s="1998">
        <v>2.2223220121423544</v>
      </c>
      <c r="EV529" s="1998">
        <v>2.2223220121423544</v>
      </c>
      <c r="EW529" s="1998">
        <v>2.2223220121423544</v>
      </c>
      <c r="EX529" s="1979">
        <v>1.6025462768605891</v>
      </c>
      <c r="EY529" s="1979">
        <v>1.6025462768605891</v>
      </c>
      <c r="EZ529" s="1979">
        <v>1.6025462768605891</v>
      </c>
      <c r="FA529" s="1979">
        <v>1.6025462768605891</v>
      </c>
      <c r="FB529" s="1979">
        <v>1.6025462768605891</v>
      </c>
      <c r="FC529" s="1998">
        <v>2.7889449691881021</v>
      </c>
      <c r="FD529" s="1998">
        <v>2.7889449691881021</v>
      </c>
      <c r="FE529" s="1998">
        <v>2.7889449691881021</v>
      </c>
      <c r="FF529" s="1998">
        <v>2.7889449691881021</v>
      </c>
      <c r="FG529" s="1998">
        <v>2.7889449691881021</v>
      </c>
      <c r="FH529" s="1979">
        <v>3.0738975889732503</v>
      </c>
      <c r="FI529" s="1979">
        <v>3.0738975889732503</v>
      </c>
      <c r="FJ529" s="1979">
        <v>3.0738975889732503</v>
      </c>
      <c r="FK529" s="1979">
        <v>3.0738975889732503</v>
      </c>
      <c r="FL529" s="1979">
        <v>3.0738975889732503</v>
      </c>
      <c r="FM529" s="1998">
        <v>2.1488273674994858</v>
      </c>
      <c r="FN529" s="1998">
        <v>2.1488273674994858</v>
      </c>
      <c r="FO529" s="1998">
        <v>2.1488273674994858</v>
      </c>
      <c r="FP529" s="1998">
        <v>2.1488273674994858</v>
      </c>
      <c r="FQ529" s="1998">
        <v>2.1488273674994858</v>
      </c>
      <c r="FR529" s="1979">
        <v>13.369000166152871</v>
      </c>
      <c r="FS529" s="1979">
        <v>13.369000166152871</v>
      </c>
      <c r="FT529" s="1979">
        <v>13.369000166152871</v>
      </c>
      <c r="FU529" s="1979">
        <v>13.369000166152871</v>
      </c>
      <c r="FV529" s="1979">
        <v>13.369000166152871</v>
      </c>
      <c r="FW529" s="1998">
        <v>13.773442532407794</v>
      </c>
      <c r="FX529" s="1998">
        <v>13.773442532407794</v>
      </c>
      <c r="FY529" s="1998">
        <v>13.773442532407794</v>
      </c>
      <c r="FZ529" s="1998">
        <v>13.773442532407794</v>
      </c>
      <c r="GA529" s="1998">
        <v>13.773442532407794</v>
      </c>
      <c r="GB529" s="1979">
        <v>1.4210514828272911</v>
      </c>
      <c r="GC529" s="1979">
        <v>1.4210514828272911</v>
      </c>
      <c r="GD529" s="1979">
        <v>1.4210514828272911</v>
      </c>
      <c r="GE529" s="1979">
        <v>1.4210514828272911</v>
      </c>
      <c r="GF529" s="1979">
        <v>1.4210514828272911</v>
      </c>
      <c r="GG529" s="1998">
        <v>1.4937237494535853</v>
      </c>
      <c r="GH529" s="1998">
        <v>1.4937237494535853</v>
      </c>
      <c r="GI529" s="1998">
        <v>1.4937237494535853</v>
      </c>
      <c r="GJ529" s="1998">
        <v>1.4937237494535853</v>
      </c>
      <c r="GK529" s="2026">
        <v>1.4937237494535853</v>
      </c>
    </row>
    <row r="530" spans="1:193">
      <c r="A530" s="2020"/>
      <c r="B530" s="2">
        <v>29</v>
      </c>
      <c r="C530" s="2" t="str">
        <f>$AD$13</f>
        <v>Fondation superficielle</v>
      </c>
      <c r="D530" s="1979">
        <f>IF(Construction!$F$31=Construction!$R$22,Oeko!BQ530,Oeko!ED530)</f>
        <v>0</v>
      </c>
      <c r="E530" s="1979">
        <f>IF(Construction!$F$31=Construction!$R$22,Oeko!BR530,Oeko!EE530)</f>
        <v>0</v>
      </c>
      <c r="F530" s="1979">
        <f>IF(Construction!$F$31=Construction!$R$22,Oeko!BS530,Oeko!EF530)</f>
        <v>0</v>
      </c>
      <c r="G530" s="1979">
        <f>IF(Construction!$F$31=Construction!$R$22,Oeko!BT530,Oeko!EG530)</f>
        <v>0</v>
      </c>
      <c r="H530" s="1979">
        <f>IF(Construction!$F$31=Construction!$R$22,Oeko!BU530,Oeko!EH530)</f>
        <v>0</v>
      </c>
      <c r="I530" s="1998">
        <f>IF(Construction!$F$31=Construction!$R$22,Oeko!BV530,Oeko!EI530)</f>
        <v>1</v>
      </c>
      <c r="J530" s="1998">
        <f>IF(Construction!$F$31=Construction!$R$22,Oeko!BW530,Oeko!EJ530)</f>
        <v>1</v>
      </c>
      <c r="K530" s="1998">
        <f>IF(Construction!$F$31=Construction!$R$22,Oeko!BX530,Oeko!EK530)</f>
        <v>1</v>
      </c>
      <c r="L530" s="1998">
        <f>IF(Construction!$F$31=Construction!$R$22,Oeko!BY530,Oeko!EL530)</f>
        <v>1</v>
      </c>
      <c r="M530" s="1998">
        <f>IF(Construction!$F$31=Construction!$R$22,Oeko!BZ530,Oeko!EM530)</f>
        <v>1</v>
      </c>
      <c r="N530" s="1979">
        <f>IF(Construction!$F$31=Construction!$R$22,Oeko!CA530,Oeko!EN530)</f>
        <v>1</v>
      </c>
      <c r="O530" s="1979">
        <f>IF(Construction!$F$31=Construction!$R$22,Oeko!CB530,Oeko!EO530)</f>
        <v>1</v>
      </c>
      <c r="P530" s="1979">
        <f>IF(Construction!$F$31=Construction!$R$22,Oeko!CC530,Oeko!EP530)</f>
        <v>1</v>
      </c>
      <c r="Q530" s="1979">
        <f>IF(Construction!$F$31=Construction!$R$22,Oeko!CD530,Oeko!EQ530)</f>
        <v>1</v>
      </c>
      <c r="R530" s="1979">
        <f>IF(Construction!$F$31=Construction!$R$22,Oeko!CE530,Oeko!ER530)</f>
        <v>1</v>
      </c>
      <c r="S530" s="1998">
        <f>IF(Construction!$F$31=Construction!$R$22,Oeko!CF530,Oeko!ES530)</f>
        <v>1</v>
      </c>
      <c r="T530" s="1998">
        <f>IF(Construction!$F$31=Construction!$R$22,Oeko!CG530,Oeko!ET530)</f>
        <v>1</v>
      </c>
      <c r="U530" s="1998">
        <f>IF(Construction!$F$31=Construction!$R$22,Oeko!CH530,Oeko!EU530)</f>
        <v>1</v>
      </c>
      <c r="V530" s="1998">
        <f>IF(Construction!$F$31=Construction!$R$22,Oeko!CI530,Oeko!EV530)</f>
        <v>1</v>
      </c>
      <c r="W530" s="1998">
        <f>IF(Construction!$F$31=Construction!$R$22,Oeko!CJ530,Oeko!EW530)</f>
        <v>1</v>
      </c>
      <c r="X530" s="1979">
        <f>IF(Construction!$F$31=Construction!$R$22,Oeko!CK530,Oeko!EX530)</f>
        <v>1</v>
      </c>
      <c r="Y530" s="1979">
        <f>IF(Construction!$F$31=Construction!$R$22,Oeko!CL530,Oeko!EY530)</f>
        <v>1</v>
      </c>
      <c r="Z530" s="1979">
        <f>IF(Construction!$F$31=Construction!$R$22,Oeko!CM530,Oeko!EZ530)</f>
        <v>1</v>
      </c>
      <c r="AA530" s="1979">
        <f>IF(Construction!$F$31=Construction!$R$22,Oeko!CN530,Oeko!FA530)</f>
        <v>1</v>
      </c>
      <c r="AB530" s="1979">
        <f>IF(Construction!$F$31=Construction!$R$22,Oeko!CO530,Oeko!FB530)</f>
        <v>1</v>
      </c>
      <c r="AC530" s="1998">
        <f>IF(Construction!$F$31=Construction!$R$22,Oeko!CP530,Oeko!FC530)</f>
        <v>1</v>
      </c>
      <c r="AD530" s="1998">
        <f>IF(Construction!$F$31=Construction!$R$22,Oeko!CQ530,Oeko!FD530)</f>
        <v>1</v>
      </c>
      <c r="AE530" s="1998">
        <f>IF(Construction!$F$31=Construction!$R$22,Oeko!CR530,Oeko!FE530)</f>
        <v>1</v>
      </c>
      <c r="AF530" s="1998">
        <f>IF(Construction!$F$31=Construction!$R$22,Oeko!CS530,Oeko!FF530)</f>
        <v>1</v>
      </c>
      <c r="AG530" s="1998">
        <f>IF(Construction!$F$31=Construction!$R$22,Oeko!CT530,Oeko!FG530)</f>
        <v>1</v>
      </c>
      <c r="AH530" s="1979">
        <f>IF(Construction!$F$31=Construction!$R$22,Oeko!CU530,Oeko!FH530)</f>
        <v>1</v>
      </c>
      <c r="AI530" s="1979">
        <f>IF(Construction!$F$31=Construction!$R$22,Oeko!CV530,Oeko!FI530)</f>
        <v>1</v>
      </c>
      <c r="AJ530" s="1979">
        <f>IF(Construction!$F$31=Construction!$R$22,Oeko!CW530,Oeko!FJ530)</f>
        <v>1</v>
      </c>
      <c r="AK530" s="1979">
        <f>IF(Construction!$F$31=Construction!$R$22,Oeko!CX530,Oeko!FK530)</f>
        <v>1</v>
      </c>
      <c r="AL530" s="1979">
        <f>IF(Construction!$F$31=Construction!$R$22,Oeko!CY530,Oeko!FL530)</f>
        <v>1</v>
      </c>
      <c r="AM530" s="1998">
        <f>IF(Construction!$F$31=Construction!$R$22,Oeko!CZ530,Oeko!FM530)</f>
        <v>1</v>
      </c>
      <c r="AN530" s="1998">
        <f>IF(Construction!$F$31=Construction!$R$22,Oeko!DA530,Oeko!FN530)</f>
        <v>1</v>
      </c>
      <c r="AO530" s="1998">
        <f>IF(Construction!$F$31=Construction!$R$22,Oeko!DB530,Oeko!FO530)</f>
        <v>1</v>
      </c>
      <c r="AP530" s="1998">
        <f>IF(Construction!$F$31=Construction!$R$22,Oeko!DC530,Oeko!FP530)</f>
        <v>1</v>
      </c>
      <c r="AQ530" s="1998">
        <f>IF(Construction!$F$31=Construction!$R$22,Oeko!DD530,Oeko!FQ530)</f>
        <v>1</v>
      </c>
      <c r="AR530" s="1979">
        <f>IF(Construction!$F$31=Construction!$R$22,Oeko!DE530,Oeko!FR530)</f>
        <v>1</v>
      </c>
      <c r="AS530" s="1979">
        <f>IF(Construction!$F$31=Construction!$R$22,Oeko!DF530,Oeko!FS530)</f>
        <v>1</v>
      </c>
      <c r="AT530" s="1979">
        <f>IF(Construction!$F$31=Construction!$R$22,Oeko!DG530,Oeko!FT530)</f>
        <v>1</v>
      </c>
      <c r="AU530" s="1979">
        <f>IF(Construction!$F$31=Construction!$R$22,Oeko!DH530,Oeko!FU530)</f>
        <v>1</v>
      </c>
      <c r="AV530" s="1979">
        <f>IF(Construction!$F$31=Construction!$R$22,Oeko!DI530,Oeko!FV530)</f>
        <v>1</v>
      </c>
      <c r="AW530" s="1998">
        <f>IF(Construction!$F$31=Construction!$R$22,Oeko!DJ530,Oeko!FW530)</f>
        <v>1</v>
      </c>
      <c r="AX530" s="1998">
        <f>IF(Construction!$F$31=Construction!$R$22,Oeko!DK530,Oeko!FX530)</f>
        <v>1</v>
      </c>
      <c r="AY530" s="1998">
        <f>IF(Construction!$F$31=Construction!$R$22,Oeko!DL530,Oeko!FY530)</f>
        <v>1</v>
      </c>
      <c r="AZ530" s="1998">
        <f>IF(Construction!$F$31=Construction!$R$22,Oeko!DM530,Oeko!FZ530)</f>
        <v>1</v>
      </c>
      <c r="BA530" s="1998">
        <f>IF(Construction!$F$31=Construction!$R$22,Oeko!DN530,Oeko!GA530)</f>
        <v>1</v>
      </c>
      <c r="BB530" s="1979">
        <f>IF(Construction!$F$31=Construction!$R$22,Oeko!DO530,Oeko!GB530)</f>
        <v>1</v>
      </c>
      <c r="BC530" s="1979">
        <f>IF(Construction!$F$31=Construction!$R$22,Oeko!DP530,Oeko!GC530)</f>
        <v>1</v>
      </c>
      <c r="BD530" s="1979">
        <f>IF(Construction!$F$31=Construction!$R$22,Oeko!DQ530,Oeko!GD530)</f>
        <v>1</v>
      </c>
      <c r="BE530" s="1979">
        <f>IF(Construction!$F$31=Construction!$R$22,Oeko!DR530,Oeko!GE530)</f>
        <v>1</v>
      </c>
      <c r="BF530" s="1979">
        <f>IF(Construction!$F$31=Construction!$R$22,Oeko!DS530,Oeko!GF530)</f>
        <v>1</v>
      </c>
      <c r="BG530" s="1998">
        <f>IF(Construction!$F$31=Construction!$R$22,Oeko!DT530,Oeko!GG530)</f>
        <v>1</v>
      </c>
      <c r="BH530" s="1998">
        <f>IF(Construction!$F$31=Construction!$R$22,Oeko!DU530,Oeko!GH530)</f>
        <v>1</v>
      </c>
      <c r="BI530" s="1998">
        <f>IF(Construction!$F$31=Construction!$R$22,Oeko!DV530,Oeko!GI530)</f>
        <v>1</v>
      </c>
      <c r="BJ530" s="1998">
        <f>IF(Construction!$F$31=Construction!$R$22,Oeko!DW530,Oeko!GJ530)</f>
        <v>1</v>
      </c>
      <c r="BK530" s="2026">
        <f>IF(Construction!$F$31=Construction!$R$22,Oeko!DX530,Oeko!GK530)</f>
        <v>1</v>
      </c>
      <c r="BN530" s="2022"/>
      <c r="BO530" s="2">
        <v>29</v>
      </c>
      <c r="BP530" s="2" t="str">
        <f>$AD$13</f>
        <v>Fondation superficielle</v>
      </c>
      <c r="BQ530" s="1979">
        <v>0</v>
      </c>
      <c r="BR530" s="1979">
        <v>0</v>
      </c>
      <c r="BS530" s="1979">
        <v>0</v>
      </c>
      <c r="BT530" s="1979">
        <v>0</v>
      </c>
      <c r="BU530" s="1979">
        <v>0</v>
      </c>
      <c r="BV530" s="1998">
        <v>1</v>
      </c>
      <c r="BW530" s="1998">
        <v>1</v>
      </c>
      <c r="BX530" s="1998">
        <v>1</v>
      </c>
      <c r="BY530" s="1998">
        <v>1</v>
      </c>
      <c r="BZ530" s="1998">
        <v>1</v>
      </c>
      <c r="CA530" s="1979">
        <v>1</v>
      </c>
      <c r="CB530" s="1979">
        <v>1</v>
      </c>
      <c r="CC530" s="1979">
        <v>1</v>
      </c>
      <c r="CD530" s="1979">
        <v>1</v>
      </c>
      <c r="CE530" s="1979">
        <v>1</v>
      </c>
      <c r="CF530" s="1998">
        <v>1</v>
      </c>
      <c r="CG530" s="1998">
        <v>1</v>
      </c>
      <c r="CH530" s="1998">
        <v>1</v>
      </c>
      <c r="CI530" s="1998">
        <v>1</v>
      </c>
      <c r="CJ530" s="1998">
        <v>1</v>
      </c>
      <c r="CK530" s="1979">
        <v>1</v>
      </c>
      <c r="CL530" s="1979">
        <v>1</v>
      </c>
      <c r="CM530" s="1979">
        <v>1</v>
      </c>
      <c r="CN530" s="1979">
        <v>1</v>
      </c>
      <c r="CO530" s="1979">
        <v>1</v>
      </c>
      <c r="CP530" s="1998">
        <v>1</v>
      </c>
      <c r="CQ530" s="1998">
        <v>1</v>
      </c>
      <c r="CR530" s="1998">
        <v>1</v>
      </c>
      <c r="CS530" s="1998">
        <v>1</v>
      </c>
      <c r="CT530" s="1998">
        <v>1</v>
      </c>
      <c r="CU530" s="1979">
        <v>1</v>
      </c>
      <c r="CV530" s="1979">
        <v>1</v>
      </c>
      <c r="CW530" s="1979">
        <v>1</v>
      </c>
      <c r="CX530" s="1979">
        <v>1</v>
      </c>
      <c r="CY530" s="1979">
        <v>1</v>
      </c>
      <c r="CZ530" s="1998">
        <v>1</v>
      </c>
      <c r="DA530" s="1998">
        <v>1</v>
      </c>
      <c r="DB530" s="1998">
        <v>1</v>
      </c>
      <c r="DC530" s="1998">
        <v>1</v>
      </c>
      <c r="DD530" s="1998">
        <v>1</v>
      </c>
      <c r="DE530" s="1979">
        <v>1</v>
      </c>
      <c r="DF530" s="1979">
        <v>1</v>
      </c>
      <c r="DG530" s="1979">
        <v>1</v>
      </c>
      <c r="DH530" s="1979">
        <v>1</v>
      </c>
      <c r="DI530" s="1979">
        <v>1</v>
      </c>
      <c r="DJ530" s="1998">
        <v>1</v>
      </c>
      <c r="DK530" s="1998">
        <v>1</v>
      </c>
      <c r="DL530" s="1998">
        <v>1</v>
      </c>
      <c r="DM530" s="1998">
        <v>1</v>
      </c>
      <c r="DN530" s="1998">
        <v>1</v>
      </c>
      <c r="DO530" s="1979">
        <v>1</v>
      </c>
      <c r="DP530" s="1979">
        <v>1</v>
      </c>
      <c r="DQ530" s="1979">
        <v>1</v>
      </c>
      <c r="DR530" s="1979">
        <v>1</v>
      </c>
      <c r="DS530" s="1979">
        <v>1</v>
      </c>
      <c r="DT530" s="1998">
        <v>1</v>
      </c>
      <c r="DU530" s="1998">
        <v>1</v>
      </c>
      <c r="DV530" s="1998">
        <v>1</v>
      </c>
      <c r="DW530" s="1998">
        <v>1</v>
      </c>
      <c r="DX530" s="2026">
        <v>1</v>
      </c>
      <c r="EA530" s="2022"/>
      <c r="EB530" s="2">
        <v>29</v>
      </c>
      <c r="EC530" s="2" t="str">
        <f>$AD$13</f>
        <v>Fondation superficielle</v>
      </c>
      <c r="ED530" s="1979">
        <v>0</v>
      </c>
      <c r="EE530" s="1979">
        <v>0</v>
      </c>
      <c r="EF530" s="1979">
        <v>0</v>
      </c>
      <c r="EG530" s="1979">
        <v>0</v>
      </c>
      <c r="EH530" s="1979">
        <v>0</v>
      </c>
      <c r="EI530" s="1998">
        <v>2.0966679740137137</v>
      </c>
      <c r="EJ530" s="1998">
        <v>2.0966679740137137</v>
      </c>
      <c r="EK530" s="1998">
        <v>2.0966679740137137</v>
      </c>
      <c r="EL530" s="1998">
        <v>2.0966679740137137</v>
      </c>
      <c r="EM530" s="1998">
        <v>2.0966679740137137</v>
      </c>
      <c r="EN530" s="1979">
        <v>1.4337071065592959</v>
      </c>
      <c r="EO530" s="1979">
        <v>1.4337071065592959</v>
      </c>
      <c r="EP530" s="1979">
        <v>1.4337071065592959</v>
      </c>
      <c r="EQ530" s="1979">
        <v>1.4337071065592959</v>
      </c>
      <c r="ER530" s="1979">
        <v>1.4337071065592959</v>
      </c>
      <c r="ES530" s="1998">
        <v>1.8379162318633464</v>
      </c>
      <c r="ET530" s="1998">
        <v>1.8379162318633464</v>
      </c>
      <c r="EU530" s="1998">
        <v>1.8379162318633464</v>
      </c>
      <c r="EV530" s="1998">
        <v>1.8379162318633464</v>
      </c>
      <c r="EW530" s="1998">
        <v>1.8379162318633464</v>
      </c>
      <c r="EX530" s="1979">
        <v>1.4662053104562123</v>
      </c>
      <c r="EY530" s="1979">
        <v>1.4662053104562123</v>
      </c>
      <c r="EZ530" s="1979">
        <v>1.4662053104562123</v>
      </c>
      <c r="FA530" s="1979">
        <v>1.4662053104562123</v>
      </c>
      <c r="FB530" s="1979">
        <v>1.4662053104562123</v>
      </c>
      <c r="FC530" s="1998">
        <v>1.6277744053108218</v>
      </c>
      <c r="FD530" s="1998">
        <v>1.6277744053108218</v>
      </c>
      <c r="FE530" s="1998">
        <v>1.6277744053108218</v>
      </c>
      <c r="FF530" s="1998">
        <v>1.6277744053108218</v>
      </c>
      <c r="FG530" s="1998">
        <v>1.6277744053108218</v>
      </c>
      <c r="FH530" s="1979">
        <v>2.3921927569513635</v>
      </c>
      <c r="FI530" s="1979">
        <v>2.3921927569513635</v>
      </c>
      <c r="FJ530" s="1979">
        <v>2.3921927569513635</v>
      </c>
      <c r="FK530" s="1979">
        <v>2.3921927569513635</v>
      </c>
      <c r="FL530" s="1979">
        <v>2.3921927569513635</v>
      </c>
      <c r="FM530" s="1998">
        <v>1.5115041757386145</v>
      </c>
      <c r="FN530" s="1998">
        <v>1.5115041757386145</v>
      </c>
      <c r="FO530" s="1998">
        <v>1.5115041757386145</v>
      </c>
      <c r="FP530" s="1998">
        <v>1.5115041757386145</v>
      </c>
      <c r="FQ530" s="1998">
        <v>1.5115041757386145</v>
      </c>
      <c r="FR530" s="1979">
        <v>8.1198212572277306</v>
      </c>
      <c r="FS530" s="1979">
        <v>8.1198212572277306</v>
      </c>
      <c r="FT530" s="1979">
        <v>8.1198212572277306</v>
      </c>
      <c r="FU530" s="1979">
        <v>8.1198212572277306</v>
      </c>
      <c r="FV530" s="1979">
        <v>8.1198212572277306</v>
      </c>
      <c r="FW530" s="1998">
        <v>8.4799072816005001</v>
      </c>
      <c r="FX530" s="1998">
        <v>8.4799072816005001</v>
      </c>
      <c r="FY530" s="1998">
        <v>8.4799072816005001</v>
      </c>
      <c r="FZ530" s="1998">
        <v>8.4799072816005001</v>
      </c>
      <c r="GA530" s="1998">
        <v>8.4799072816005001</v>
      </c>
      <c r="GB530" s="1979">
        <v>1.3861479372000356</v>
      </c>
      <c r="GC530" s="1979">
        <v>1.3861479372000356</v>
      </c>
      <c r="GD530" s="1979">
        <v>1.3861479372000356</v>
      </c>
      <c r="GE530" s="1979">
        <v>1.3861479372000356</v>
      </c>
      <c r="GF530" s="1979">
        <v>1.3861479372000356</v>
      </c>
      <c r="GG530" s="1998">
        <v>1.4313071575784038</v>
      </c>
      <c r="GH530" s="1998">
        <v>1.4313071575784038</v>
      </c>
      <c r="GI530" s="1998">
        <v>1.4313071575784038</v>
      </c>
      <c r="GJ530" s="1998">
        <v>1.4313071575784038</v>
      </c>
      <c r="GK530" s="2026">
        <v>1.4313071575784038</v>
      </c>
    </row>
    <row r="531" spans="1:193">
      <c r="A531" s="2020"/>
      <c r="B531" s="2">
        <v>30</v>
      </c>
      <c r="C531" s="2" t="str">
        <f>$AD$14</f>
        <v>Micro-pieux</v>
      </c>
      <c r="D531" s="1979">
        <f>IF(Construction!$F$31=Construction!$R$22,Oeko!BQ531,Oeko!ED531)</f>
        <v>0</v>
      </c>
      <c r="E531" s="1979">
        <f>IF(Construction!$F$31=Construction!$R$22,Oeko!BR531,Oeko!EE531)</f>
        <v>0</v>
      </c>
      <c r="F531" s="1979">
        <f>IF(Construction!$F$31=Construction!$R$22,Oeko!BS531,Oeko!EF531)</f>
        <v>0</v>
      </c>
      <c r="G531" s="1979">
        <f>IF(Construction!$F$31=Construction!$R$22,Oeko!BT531,Oeko!EG531)</f>
        <v>0</v>
      </c>
      <c r="H531" s="1979">
        <f>IF(Construction!$F$31=Construction!$R$22,Oeko!BU531,Oeko!EH531)</f>
        <v>0</v>
      </c>
      <c r="I531" s="1998">
        <f>IF(Construction!$F$31=Construction!$R$22,Oeko!BV531,Oeko!EI531)</f>
        <v>1</v>
      </c>
      <c r="J531" s="1998">
        <f>IF(Construction!$F$31=Construction!$R$22,Oeko!BW531,Oeko!EJ531)</f>
        <v>1</v>
      </c>
      <c r="K531" s="1998">
        <f>IF(Construction!$F$31=Construction!$R$22,Oeko!BX531,Oeko!EK531)</f>
        <v>1</v>
      </c>
      <c r="L531" s="1998">
        <f>IF(Construction!$F$31=Construction!$R$22,Oeko!BY531,Oeko!EL531)</f>
        <v>1</v>
      </c>
      <c r="M531" s="1998">
        <f>IF(Construction!$F$31=Construction!$R$22,Oeko!BZ531,Oeko!EM531)</f>
        <v>1</v>
      </c>
      <c r="N531" s="1979">
        <f>IF(Construction!$F$31=Construction!$R$22,Oeko!CA531,Oeko!EN531)</f>
        <v>1</v>
      </c>
      <c r="O531" s="1979">
        <f>IF(Construction!$F$31=Construction!$R$22,Oeko!CB531,Oeko!EO531)</f>
        <v>1</v>
      </c>
      <c r="P531" s="1979">
        <f>IF(Construction!$F$31=Construction!$R$22,Oeko!CC531,Oeko!EP531)</f>
        <v>1</v>
      </c>
      <c r="Q531" s="1979">
        <f>IF(Construction!$F$31=Construction!$R$22,Oeko!CD531,Oeko!EQ531)</f>
        <v>1</v>
      </c>
      <c r="R531" s="1979">
        <f>IF(Construction!$F$31=Construction!$R$22,Oeko!CE531,Oeko!ER531)</f>
        <v>1</v>
      </c>
      <c r="S531" s="1998">
        <f>IF(Construction!$F$31=Construction!$R$22,Oeko!CF531,Oeko!ES531)</f>
        <v>1</v>
      </c>
      <c r="T531" s="1998">
        <f>IF(Construction!$F$31=Construction!$R$22,Oeko!CG531,Oeko!ET531)</f>
        <v>1</v>
      </c>
      <c r="U531" s="1998">
        <f>IF(Construction!$F$31=Construction!$R$22,Oeko!CH531,Oeko!EU531)</f>
        <v>1</v>
      </c>
      <c r="V531" s="1998">
        <f>IF(Construction!$F$31=Construction!$R$22,Oeko!CI531,Oeko!EV531)</f>
        <v>1</v>
      </c>
      <c r="W531" s="1998">
        <f>IF(Construction!$F$31=Construction!$R$22,Oeko!CJ531,Oeko!EW531)</f>
        <v>1</v>
      </c>
      <c r="X531" s="1979">
        <f>IF(Construction!$F$31=Construction!$R$22,Oeko!CK531,Oeko!EX531)</f>
        <v>1</v>
      </c>
      <c r="Y531" s="1979">
        <f>IF(Construction!$F$31=Construction!$R$22,Oeko!CL531,Oeko!EY531)</f>
        <v>1</v>
      </c>
      <c r="Z531" s="1979">
        <f>IF(Construction!$F$31=Construction!$R$22,Oeko!CM531,Oeko!EZ531)</f>
        <v>1</v>
      </c>
      <c r="AA531" s="1979">
        <f>IF(Construction!$F$31=Construction!$R$22,Oeko!CN531,Oeko!FA531)</f>
        <v>1</v>
      </c>
      <c r="AB531" s="1979">
        <f>IF(Construction!$F$31=Construction!$R$22,Oeko!CO531,Oeko!FB531)</f>
        <v>1</v>
      </c>
      <c r="AC531" s="1998">
        <f>IF(Construction!$F$31=Construction!$R$22,Oeko!CP531,Oeko!FC531)</f>
        <v>1</v>
      </c>
      <c r="AD531" s="1998">
        <f>IF(Construction!$F$31=Construction!$R$22,Oeko!CQ531,Oeko!FD531)</f>
        <v>1</v>
      </c>
      <c r="AE531" s="1998">
        <f>IF(Construction!$F$31=Construction!$R$22,Oeko!CR531,Oeko!FE531)</f>
        <v>1</v>
      </c>
      <c r="AF531" s="1998">
        <f>IF(Construction!$F$31=Construction!$R$22,Oeko!CS531,Oeko!FF531)</f>
        <v>1</v>
      </c>
      <c r="AG531" s="1998">
        <f>IF(Construction!$F$31=Construction!$R$22,Oeko!CT531,Oeko!FG531)</f>
        <v>1</v>
      </c>
      <c r="AH531" s="1979">
        <f>IF(Construction!$F$31=Construction!$R$22,Oeko!CU531,Oeko!FH531)</f>
        <v>1</v>
      </c>
      <c r="AI531" s="1979">
        <f>IF(Construction!$F$31=Construction!$R$22,Oeko!CV531,Oeko!FI531)</f>
        <v>1</v>
      </c>
      <c r="AJ531" s="1979">
        <f>IF(Construction!$F$31=Construction!$R$22,Oeko!CW531,Oeko!FJ531)</f>
        <v>1</v>
      </c>
      <c r="AK531" s="1979">
        <f>IF(Construction!$F$31=Construction!$R$22,Oeko!CX531,Oeko!FK531)</f>
        <v>1</v>
      </c>
      <c r="AL531" s="1979">
        <f>IF(Construction!$F$31=Construction!$R$22,Oeko!CY531,Oeko!FL531)</f>
        <v>1</v>
      </c>
      <c r="AM531" s="1998">
        <f>IF(Construction!$F$31=Construction!$R$22,Oeko!CZ531,Oeko!FM531)</f>
        <v>1</v>
      </c>
      <c r="AN531" s="1998">
        <f>IF(Construction!$F$31=Construction!$R$22,Oeko!DA531,Oeko!FN531)</f>
        <v>1</v>
      </c>
      <c r="AO531" s="1998">
        <f>IF(Construction!$F$31=Construction!$R$22,Oeko!DB531,Oeko!FO531)</f>
        <v>1</v>
      </c>
      <c r="AP531" s="1998">
        <f>IF(Construction!$F$31=Construction!$R$22,Oeko!DC531,Oeko!FP531)</f>
        <v>1</v>
      </c>
      <c r="AQ531" s="1998">
        <f>IF(Construction!$F$31=Construction!$R$22,Oeko!DD531,Oeko!FQ531)</f>
        <v>1</v>
      </c>
      <c r="AR531" s="1979">
        <f>IF(Construction!$F$31=Construction!$R$22,Oeko!DE531,Oeko!FR531)</f>
        <v>1</v>
      </c>
      <c r="AS531" s="1979">
        <f>IF(Construction!$F$31=Construction!$R$22,Oeko!DF531,Oeko!FS531)</f>
        <v>1</v>
      </c>
      <c r="AT531" s="1979">
        <f>IF(Construction!$F$31=Construction!$R$22,Oeko!DG531,Oeko!FT531)</f>
        <v>1</v>
      </c>
      <c r="AU531" s="1979">
        <f>IF(Construction!$F$31=Construction!$R$22,Oeko!DH531,Oeko!FU531)</f>
        <v>1</v>
      </c>
      <c r="AV531" s="1979">
        <f>IF(Construction!$F$31=Construction!$R$22,Oeko!DI531,Oeko!FV531)</f>
        <v>1</v>
      </c>
      <c r="AW531" s="1998">
        <f>IF(Construction!$F$31=Construction!$R$22,Oeko!DJ531,Oeko!FW531)</f>
        <v>1</v>
      </c>
      <c r="AX531" s="1998">
        <f>IF(Construction!$F$31=Construction!$R$22,Oeko!DK531,Oeko!FX531)</f>
        <v>1</v>
      </c>
      <c r="AY531" s="1998">
        <f>IF(Construction!$F$31=Construction!$R$22,Oeko!DL531,Oeko!FY531)</f>
        <v>1</v>
      </c>
      <c r="AZ531" s="1998">
        <f>IF(Construction!$F$31=Construction!$R$22,Oeko!DM531,Oeko!FZ531)</f>
        <v>1</v>
      </c>
      <c r="BA531" s="1998">
        <f>IF(Construction!$F$31=Construction!$R$22,Oeko!DN531,Oeko!GA531)</f>
        <v>1</v>
      </c>
      <c r="BB531" s="1979">
        <f>IF(Construction!$F$31=Construction!$R$22,Oeko!DO531,Oeko!GB531)</f>
        <v>1</v>
      </c>
      <c r="BC531" s="1979">
        <f>IF(Construction!$F$31=Construction!$R$22,Oeko!DP531,Oeko!GC531)</f>
        <v>1</v>
      </c>
      <c r="BD531" s="1979">
        <f>IF(Construction!$F$31=Construction!$R$22,Oeko!DQ531,Oeko!GD531)</f>
        <v>1</v>
      </c>
      <c r="BE531" s="1979">
        <f>IF(Construction!$F$31=Construction!$R$22,Oeko!DR531,Oeko!GE531)</f>
        <v>1</v>
      </c>
      <c r="BF531" s="1979">
        <f>IF(Construction!$F$31=Construction!$R$22,Oeko!DS531,Oeko!GF531)</f>
        <v>1</v>
      </c>
      <c r="BG531" s="1998">
        <f>IF(Construction!$F$31=Construction!$R$22,Oeko!DT531,Oeko!GG531)</f>
        <v>1</v>
      </c>
      <c r="BH531" s="1998">
        <f>IF(Construction!$F$31=Construction!$R$22,Oeko!DU531,Oeko!GH531)</f>
        <v>1</v>
      </c>
      <c r="BI531" s="1998">
        <f>IF(Construction!$F$31=Construction!$R$22,Oeko!DV531,Oeko!GI531)</f>
        <v>1</v>
      </c>
      <c r="BJ531" s="1998">
        <f>IF(Construction!$F$31=Construction!$R$22,Oeko!DW531,Oeko!GJ531)</f>
        <v>1</v>
      </c>
      <c r="BK531" s="2026">
        <f>IF(Construction!$F$31=Construction!$R$22,Oeko!DX531,Oeko!GK531)</f>
        <v>1</v>
      </c>
      <c r="BN531" s="2022"/>
      <c r="BO531" s="2">
        <v>30</v>
      </c>
      <c r="BP531" s="2" t="str">
        <f>$AD$14</f>
        <v>Micro-pieux</v>
      </c>
      <c r="BQ531" s="1979">
        <v>0</v>
      </c>
      <c r="BR531" s="1979">
        <v>0</v>
      </c>
      <c r="BS531" s="1979">
        <v>0</v>
      </c>
      <c r="BT531" s="1979">
        <v>0</v>
      </c>
      <c r="BU531" s="1979">
        <v>0</v>
      </c>
      <c r="BV531" s="1998">
        <v>1</v>
      </c>
      <c r="BW531" s="1998">
        <v>1</v>
      </c>
      <c r="BX531" s="1998">
        <v>1</v>
      </c>
      <c r="BY531" s="1998">
        <v>1</v>
      </c>
      <c r="BZ531" s="1998">
        <v>1</v>
      </c>
      <c r="CA531" s="1979">
        <v>1</v>
      </c>
      <c r="CB531" s="1979">
        <v>1</v>
      </c>
      <c r="CC531" s="1979">
        <v>1</v>
      </c>
      <c r="CD531" s="1979">
        <v>1</v>
      </c>
      <c r="CE531" s="1979">
        <v>1</v>
      </c>
      <c r="CF531" s="1998">
        <v>1</v>
      </c>
      <c r="CG531" s="1998">
        <v>1</v>
      </c>
      <c r="CH531" s="1998">
        <v>1</v>
      </c>
      <c r="CI531" s="1998">
        <v>1</v>
      </c>
      <c r="CJ531" s="1998">
        <v>1</v>
      </c>
      <c r="CK531" s="1979">
        <v>1</v>
      </c>
      <c r="CL531" s="1979">
        <v>1</v>
      </c>
      <c r="CM531" s="1979">
        <v>1</v>
      </c>
      <c r="CN531" s="1979">
        <v>1</v>
      </c>
      <c r="CO531" s="1979">
        <v>1</v>
      </c>
      <c r="CP531" s="1998">
        <v>1</v>
      </c>
      <c r="CQ531" s="1998">
        <v>1</v>
      </c>
      <c r="CR531" s="1998">
        <v>1</v>
      </c>
      <c r="CS531" s="1998">
        <v>1</v>
      </c>
      <c r="CT531" s="1998">
        <v>1</v>
      </c>
      <c r="CU531" s="1979">
        <v>1</v>
      </c>
      <c r="CV531" s="1979">
        <v>1</v>
      </c>
      <c r="CW531" s="1979">
        <v>1</v>
      </c>
      <c r="CX531" s="1979">
        <v>1</v>
      </c>
      <c r="CY531" s="1979">
        <v>1</v>
      </c>
      <c r="CZ531" s="1998">
        <v>1</v>
      </c>
      <c r="DA531" s="1998">
        <v>1</v>
      </c>
      <c r="DB531" s="1998">
        <v>1</v>
      </c>
      <c r="DC531" s="1998">
        <v>1</v>
      </c>
      <c r="DD531" s="1998">
        <v>1</v>
      </c>
      <c r="DE531" s="1979">
        <v>1</v>
      </c>
      <c r="DF531" s="1979">
        <v>1</v>
      </c>
      <c r="DG531" s="1979">
        <v>1</v>
      </c>
      <c r="DH531" s="1979">
        <v>1</v>
      </c>
      <c r="DI531" s="1979">
        <v>1</v>
      </c>
      <c r="DJ531" s="1998">
        <v>1</v>
      </c>
      <c r="DK531" s="1998">
        <v>1</v>
      </c>
      <c r="DL531" s="1998">
        <v>1</v>
      </c>
      <c r="DM531" s="1998">
        <v>1</v>
      </c>
      <c r="DN531" s="1998">
        <v>1</v>
      </c>
      <c r="DO531" s="1979">
        <v>1</v>
      </c>
      <c r="DP531" s="1979">
        <v>1</v>
      </c>
      <c r="DQ531" s="1979">
        <v>1</v>
      </c>
      <c r="DR531" s="1979">
        <v>1</v>
      </c>
      <c r="DS531" s="1979">
        <v>1</v>
      </c>
      <c r="DT531" s="1998">
        <v>1</v>
      </c>
      <c r="DU531" s="1998">
        <v>1</v>
      </c>
      <c r="DV531" s="1998">
        <v>1</v>
      </c>
      <c r="DW531" s="1998">
        <v>1</v>
      </c>
      <c r="DX531" s="2026">
        <v>1</v>
      </c>
      <c r="EA531" s="2022"/>
      <c r="EB531" s="2">
        <v>30</v>
      </c>
      <c r="EC531" s="2" t="str">
        <f>$AD$14</f>
        <v>Micro-pieux</v>
      </c>
      <c r="ED531" s="1979">
        <v>0</v>
      </c>
      <c r="EE531" s="1979">
        <v>0</v>
      </c>
      <c r="EF531" s="1979">
        <v>0</v>
      </c>
      <c r="EG531" s="1979">
        <v>0</v>
      </c>
      <c r="EH531" s="1979">
        <v>0</v>
      </c>
      <c r="EI531" s="1998">
        <v>2.0966679740137137</v>
      </c>
      <c r="EJ531" s="1998">
        <v>2.0966679740137137</v>
      </c>
      <c r="EK531" s="1998">
        <v>2.0966679740137137</v>
      </c>
      <c r="EL531" s="1998">
        <v>2.0966679740137137</v>
      </c>
      <c r="EM531" s="1998">
        <v>2.0966679740137137</v>
      </c>
      <c r="EN531" s="1979">
        <v>1.4337071065592959</v>
      </c>
      <c r="EO531" s="1979">
        <v>1.4337071065592959</v>
      </c>
      <c r="EP531" s="1979">
        <v>1.4337071065592959</v>
      </c>
      <c r="EQ531" s="1979">
        <v>1.4337071065592959</v>
      </c>
      <c r="ER531" s="1979">
        <v>1.4337071065592959</v>
      </c>
      <c r="ES531" s="1998">
        <v>1.8379162318633464</v>
      </c>
      <c r="ET531" s="1998">
        <v>1.8379162318633464</v>
      </c>
      <c r="EU531" s="1998">
        <v>1.8379162318633464</v>
      </c>
      <c r="EV531" s="1998">
        <v>1.8379162318633464</v>
      </c>
      <c r="EW531" s="1998">
        <v>1.8379162318633464</v>
      </c>
      <c r="EX531" s="1979">
        <v>1.4662053104562123</v>
      </c>
      <c r="EY531" s="1979">
        <v>1.4662053104562123</v>
      </c>
      <c r="EZ531" s="1979">
        <v>1.4662053104562123</v>
      </c>
      <c r="FA531" s="1979">
        <v>1.4662053104562123</v>
      </c>
      <c r="FB531" s="1979">
        <v>1.4662053104562123</v>
      </c>
      <c r="FC531" s="1998">
        <v>1.6277744053108218</v>
      </c>
      <c r="FD531" s="1998">
        <v>1.6277744053108218</v>
      </c>
      <c r="FE531" s="1998">
        <v>1.6277744053108218</v>
      </c>
      <c r="FF531" s="1998">
        <v>1.6277744053108218</v>
      </c>
      <c r="FG531" s="1998">
        <v>1.6277744053108218</v>
      </c>
      <c r="FH531" s="1979">
        <v>2.3921927569513635</v>
      </c>
      <c r="FI531" s="1979">
        <v>2.3921927569513635</v>
      </c>
      <c r="FJ531" s="1979">
        <v>2.3921927569513635</v>
      </c>
      <c r="FK531" s="1979">
        <v>2.3921927569513635</v>
      </c>
      <c r="FL531" s="1979">
        <v>2.3921927569513635</v>
      </c>
      <c r="FM531" s="1998">
        <v>1.5115041757386145</v>
      </c>
      <c r="FN531" s="1998">
        <v>1.5115041757386145</v>
      </c>
      <c r="FO531" s="1998">
        <v>1.5115041757386145</v>
      </c>
      <c r="FP531" s="1998">
        <v>1.5115041757386145</v>
      </c>
      <c r="FQ531" s="1998">
        <v>1.5115041757386145</v>
      </c>
      <c r="FR531" s="1979">
        <v>8.1198212572277306</v>
      </c>
      <c r="FS531" s="1979">
        <v>8.1198212572277306</v>
      </c>
      <c r="FT531" s="1979">
        <v>8.1198212572277306</v>
      </c>
      <c r="FU531" s="1979">
        <v>8.1198212572277306</v>
      </c>
      <c r="FV531" s="1979">
        <v>8.1198212572277306</v>
      </c>
      <c r="FW531" s="1998">
        <v>8.4799072816005001</v>
      </c>
      <c r="FX531" s="1998">
        <v>8.4799072816005001</v>
      </c>
      <c r="FY531" s="1998">
        <v>8.4799072816005001</v>
      </c>
      <c r="FZ531" s="1998">
        <v>8.4799072816005001</v>
      </c>
      <c r="GA531" s="1998">
        <v>8.4799072816005001</v>
      </c>
      <c r="GB531" s="1979">
        <v>1.3861479372000356</v>
      </c>
      <c r="GC531" s="1979">
        <v>1.3861479372000356</v>
      </c>
      <c r="GD531" s="1979">
        <v>1.3861479372000356</v>
      </c>
      <c r="GE531" s="1979">
        <v>1.3861479372000356</v>
      </c>
      <c r="GF531" s="1979">
        <v>1.3861479372000356</v>
      </c>
      <c r="GG531" s="1998">
        <v>1.4313071575784038</v>
      </c>
      <c r="GH531" s="1998">
        <v>1.4313071575784038</v>
      </c>
      <c r="GI531" s="1998">
        <v>1.4313071575784038</v>
      </c>
      <c r="GJ531" s="1998">
        <v>1.4313071575784038</v>
      </c>
      <c r="GK531" s="2026">
        <v>1.4313071575784038</v>
      </c>
    </row>
    <row r="532" spans="1:193">
      <c r="A532" s="2020"/>
      <c r="B532" s="2">
        <v>31</v>
      </c>
      <c r="C532" s="2" t="str">
        <f>$AD$15</f>
        <v>Pieux en béton coulé sur place</v>
      </c>
      <c r="D532" s="1979">
        <f>IF(Construction!$F$31=Construction!$R$22,Oeko!BQ532,Oeko!ED532)</f>
        <v>0</v>
      </c>
      <c r="E532" s="1979">
        <f>IF(Construction!$F$31=Construction!$R$22,Oeko!BR532,Oeko!EE532)</f>
        <v>0</v>
      </c>
      <c r="F532" s="1979">
        <f>IF(Construction!$F$31=Construction!$R$22,Oeko!BS532,Oeko!EF532)</f>
        <v>0</v>
      </c>
      <c r="G532" s="1979">
        <f>IF(Construction!$F$31=Construction!$R$22,Oeko!BT532,Oeko!EG532)</f>
        <v>0</v>
      </c>
      <c r="H532" s="1979">
        <f>IF(Construction!$F$31=Construction!$R$22,Oeko!BU532,Oeko!EH532)</f>
        <v>0</v>
      </c>
      <c r="I532" s="1998">
        <f>IF(Construction!$F$31=Construction!$R$22,Oeko!BV532,Oeko!EI532)</f>
        <v>1</v>
      </c>
      <c r="J532" s="1998">
        <f>IF(Construction!$F$31=Construction!$R$22,Oeko!BW532,Oeko!EJ532)</f>
        <v>1</v>
      </c>
      <c r="K532" s="1998">
        <f>IF(Construction!$F$31=Construction!$R$22,Oeko!BX532,Oeko!EK532)</f>
        <v>1</v>
      </c>
      <c r="L532" s="1998">
        <f>IF(Construction!$F$31=Construction!$R$22,Oeko!BY532,Oeko!EL532)</f>
        <v>1</v>
      </c>
      <c r="M532" s="1998">
        <f>IF(Construction!$F$31=Construction!$R$22,Oeko!BZ532,Oeko!EM532)</f>
        <v>1</v>
      </c>
      <c r="N532" s="1979">
        <f>IF(Construction!$F$31=Construction!$R$22,Oeko!CA532,Oeko!EN532)</f>
        <v>1</v>
      </c>
      <c r="O532" s="1979">
        <f>IF(Construction!$F$31=Construction!$R$22,Oeko!CB532,Oeko!EO532)</f>
        <v>1</v>
      </c>
      <c r="P532" s="1979">
        <f>IF(Construction!$F$31=Construction!$R$22,Oeko!CC532,Oeko!EP532)</f>
        <v>1</v>
      </c>
      <c r="Q532" s="1979">
        <f>IF(Construction!$F$31=Construction!$R$22,Oeko!CD532,Oeko!EQ532)</f>
        <v>1</v>
      </c>
      <c r="R532" s="1979">
        <f>IF(Construction!$F$31=Construction!$R$22,Oeko!CE532,Oeko!ER532)</f>
        <v>1</v>
      </c>
      <c r="S532" s="1998">
        <f>IF(Construction!$F$31=Construction!$R$22,Oeko!CF532,Oeko!ES532)</f>
        <v>1</v>
      </c>
      <c r="T532" s="1998">
        <f>IF(Construction!$F$31=Construction!$R$22,Oeko!CG532,Oeko!ET532)</f>
        <v>1</v>
      </c>
      <c r="U532" s="1998">
        <f>IF(Construction!$F$31=Construction!$R$22,Oeko!CH532,Oeko!EU532)</f>
        <v>1</v>
      </c>
      <c r="V532" s="1998">
        <f>IF(Construction!$F$31=Construction!$R$22,Oeko!CI532,Oeko!EV532)</f>
        <v>1</v>
      </c>
      <c r="W532" s="1998">
        <f>IF(Construction!$F$31=Construction!$R$22,Oeko!CJ532,Oeko!EW532)</f>
        <v>1</v>
      </c>
      <c r="X532" s="1979">
        <f>IF(Construction!$F$31=Construction!$R$22,Oeko!CK532,Oeko!EX532)</f>
        <v>1</v>
      </c>
      <c r="Y532" s="1979">
        <f>IF(Construction!$F$31=Construction!$R$22,Oeko!CL532,Oeko!EY532)</f>
        <v>1</v>
      </c>
      <c r="Z532" s="1979">
        <f>IF(Construction!$F$31=Construction!$R$22,Oeko!CM532,Oeko!EZ532)</f>
        <v>1</v>
      </c>
      <c r="AA532" s="1979">
        <f>IF(Construction!$F$31=Construction!$R$22,Oeko!CN532,Oeko!FA532)</f>
        <v>1</v>
      </c>
      <c r="AB532" s="1979">
        <f>IF(Construction!$F$31=Construction!$R$22,Oeko!CO532,Oeko!FB532)</f>
        <v>1</v>
      </c>
      <c r="AC532" s="1998">
        <f>IF(Construction!$F$31=Construction!$R$22,Oeko!CP532,Oeko!FC532)</f>
        <v>1</v>
      </c>
      <c r="AD532" s="1998">
        <f>IF(Construction!$F$31=Construction!$R$22,Oeko!CQ532,Oeko!FD532)</f>
        <v>1</v>
      </c>
      <c r="AE532" s="1998">
        <f>IF(Construction!$F$31=Construction!$R$22,Oeko!CR532,Oeko!FE532)</f>
        <v>1</v>
      </c>
      <c r="AF532" s="1998">
        <f>IF(Construction!$F$31=Construction!$R$22,Oeko!CS532,Oeko!FF532)</f>
        <v>1</v>
      </c>
      <c r="AG532" s="1998">
        <f>IF(Construction!$F$31=Construction!$R$22,Oeko!CT532,Oeko!FG532)</f>
        <v>1</v>
      </c>
      <c r="AH532" s="1979">
        <f>IF(Construction!$F$31=Construction!$R$22,Oeko!CU532,Oeko!FH532)</f>
        <v>1</v>
      </c>
      <c r="AI532" s="1979">
        <f>IF(Construction!$F$31=Construction!$R$22,Oeko!CV532,Oeko!FI532)</f>
        <v>1</v>
      </c>
      <c r="AJ532" s="1979">
        <f>IF(Construction!$F$31=Construction!$R$22,Oeko!CW532,Oeko!FJ532)</f>
        <v>1</v>
      </c>
      <c r="AK532" s="1979">
        <f>IF(Construction!$F$31=Construction!$R$22,Oeko!CX532,Oeko!FK532)</f>
        <v>1</v>
      </c>
      <c r="AL532" s="1979">
        <f>IF(Construction!$F$31=Construction!$R$22,Oeko!CY532,Oeko!FL532)</f>
        <v>1</v>
      </c>
      <c r="AM532" s="1998">
        <f>IF(Construction!$F$31=Construction!$R$22,Oeko!CZ532,Oeko!FM532)</f>
        <v>1</v>
      </c>
      <c r="AN532" s="1998">
        <f>IF(Construction!$F$31=Construction!$R$22,Oeko!DA532,Oeko!FN532)</f>
        <v>1</v>
      </c>
      <c r="AO532" s="1998">
        <f>IF(Construction!$F$31=Construction!$R$22,Oeko!DB532,Oeko!FO532)</f>
        <v>1</v>
      </c>
      <c r="AP532" s="1998">
        <f>IF(Construction!$F$31=Construction!$R$22,Oeko!DC532,Oeko!FP532)</f>
        <v>1</v>
      </c>
      <c r="AQ532" s="1998">
        <f>IF(Construction!$F$31=Construction!$R$22,Oeko!DD532,Oeko!FQ532)</f>
        <v>1</v>
      </c>
      <c r="AR532" s="1979">
        <f>IF(Construction!$F$31=Construction!$R$22,Oeko!DE532,Oeko!FR532)</f>
        <v>1</v>
      </c>
      <c r="AS532" s="1979">
        <f>IF(Construction!$F$31=Construction!$R$22,Oeko!DF532,Oeko!FS532)</f>
        <v>1</v>
      </c>
      <c r="AT532" s="1979">
        <f>IF(Construction!$F$31=Construction!$R$22,Oeko!DG532,Oeko!FT532)</f>
        <v>1</v>
      </c>
      <c r="AU532" s="1979">
        <f>IF(Construction!$F$31=Construction!$R$22,Oeko!DH532,Oeko!FU532)</f>
        <v>1</v>
      </c>
      <c r="AV532" s="1979">
        <f>IF(Construction!$F$31=Construction!$R$22,Oeko!DI532,Oeko!FV532)</f>
        <v>1</v>
      </c>
      <c r="AW532" s="1998">
        <f>IF(Construction!$F$31=Construction!$R$22,Oeko!DJ532,Oeko!FW532)</f>
        <v>1</v>
      </c>
      <c r="AX532" s="1998">
        <f>IF(Construction!$F$31=Construction!$R$22,Oeko!DK532,Oeko!FX532)</f>
        <v>1</v>
      </c>
      <c r="AY532" s="1998">
        <f>IF(Construction!$F$31=Construction!$R$22,Oeko!DL532,Oeko!FY532)</f>
        <v>1</v>
      </c>
      <c r="AZ532" s="1998">
        <f>IF(Construction!$F$31=Construction!$R$22,Oeko!DM532,Oeko!FZ532)</f>
        <v>1</v>
      </c>
      <c r="BA532" s="1998">
        <f>IF(Construction!$F$31=Construction!$R$22,Oeko!DN532,Oeko!GA532)</f>
        <v>1</v>
      </c>
      <c r="BB532" s="1979">
        <f>IF(Construction!$F$31=Construction!$R$22,Oeko!DO532,Oeko!GB532)</f>
        <v>1</v>
      </c>
      <c r="BC532" s="1979">
        <f>IF(Construction!$F$31=Construction!$R$22,Oeko!DP532,Oeko!GC532)</f>
        <v>1</v>
      </c>
      <c r="BD532" s="1979">
        <f>IF(Construction!$F$31=Construction!$R$22,Oeko!DQ532,Oeko!GD532)</f>
        <v>1</v>
      </c>
      <c r="BE532" s="1979">
        <f>IF(Construction!$F$31=Construction!$R$22,Oeko!DR532,Oeko!GE532)</f>
        <v>1</v>
      </c>
      <c r="BF532" s="1979">
        <f>IF(Construction!$F$31=Construction!$R$22,Oeko!DS532,Oeko!GF532)</f>
        <v>1</v>
      </c>
      <c r="BG532" s="1998">
        <f>IF(Construction!$F$31=Construction!$R$22,Oeko!DT532,Oeko!GG532)</f>
        <v>1</v>
      </c>
      <c r="BH532" s="1998">
        <f>IF(Construction!$F$31=Construction!$R$22,Oeko!DU532,Oeko!GH532)</f>
        <v>1</v>
      </c>
      <c r="BI532" s="1998">
        <f>IF(Construction!$F$31=Construction!$R$22,Oeko!DV532,Oeko!GI532)</f>
        <v>1</v>
      </c>
      <c r="BJ532" s="1998">
        <f>IF(Construction!$F$31=Construction!$R$22,Oeko!DW532,Oeko!GJ532)</f>
        <v>1</v>
      </c>
      <c r="BK532" s="2026">
        <f>IF(Construction!$F$31=Construction!$R$22,Oeko!DX532,Oeko!GK532)</f>
        <v>1</v>
      </c>
      <c r="BN532" s="2022"/>
      <c r="BO532" s="2">
        <v>31</v>
      </c>
      <c r="BP532" s="2" t="str">
        <f>$AD$15</f>
        <v>Pieux en béton coulé sur place</v>
      </c>
      <c r="BQ532" s="1979">
        <v>0</v>
      </c>
      <c r="BR532" s="1979">
        <v>0</v>
      </c>
      <c r="BS532" s="1979">
        <v>0</v>
      </c>
      <c r="BT532" s="1979">
        <v>0</v>
      </c>
      <c r="BU532" s="1979">
        <v>0</v>
      </c>
      <c r="BV532" s="1998">
        <v>1</v>
      </c>
      <c r="BW532" s="1998">
        <v>1</v>
      </c>
      <c r="BX532" s="1998">
        <v>1</v>
      </c>
      <c r="BY532" s="1998">
        <v>1</v>
      </c>
      <c r="BZ532" s="1998">
        <v>1</v>
      </c>
      <c r="CA532" s="1979">
        <v>1</v>
      </c>
      <c r="CB532" s="1979">
        <v>1</v>
      </c>
      <c r="CC532" s="1979">
        <v>1</v>
      </c>
      <c r="CD532" s="1979">
        <v>1</v>
      </c>
      <c r="CE532" s="1979">
        <v>1</v>
      </c>
      <c r="CF532" s="1998">
        <v>1</v>
      </c>
      <c r="CG532" s="1998">
        <v>1</v>
      </c>
      <c r="CH532" s="1998">
        <v>1</v>
      </c>
      <c r="CI532" s="1998">
        <v>1</v>
      </c>
      <c r="CJ532" s="1998">
        <v>1</v>
      </c>
      <c r="CK532" s="1979">
        <v>1</v>
      </c>
      <c r="CL532" s="1979">
        <v>1</v>
      </c>
      <c r="CM532" s="1979">
        <v>1</v>
      </c>
      <c r="CN532" s="1979">
        <v>1</v>
      </c>
      <c r="CO532" s="1979">
        <v>1</v>
      </c>
      <c r="CP532" s="1998">
        <v>1</v>
      </c>
      <c r="CQ532" s="1998">
        <v>1</v>
      </c>
      <c r="CR532" s="1998">
        <v>1</v>
      </c>
      <c r="CS532" s="1998">
        <v>1</v>
      </c>
      <c r="CT532" s="1998">
        <v>1</v>
      </c>
      <c r="CU532" s="1979">
        <v>1</v>
      </c>
      <c r="CV532" s="1979">
        <v>1</v>
      </c>
      <c r="CW532" s="1979">
        <v>1</v>
      </c>
      <c r="CX532" s="1979">
        <v>1</v>
      </c>
      <c r="CY532" s="1979">
        <v>1</v>
      </c>
      <c r="CZ532" s="1998">
        <v>1</v>
      </c>
      <c r="DA532" s="1998">
        <v>1</v>
      </c>
      <c r="DB532" s="1998">
        <v>1</v>
      </c>
      <c r="DC532" s="1998">
        <v>1</v>
      </c>
      <c r="DD532" s="1998">
        <v>1</v>
      </c>
      <c r="DE532" s="1979">
        <v>1</v>
      </c>
      <c r="DF532" s="1979">
        <v>1</v>
      </c>
      <c r="DG532" s="1979">
        <v>1</v>
      </c>
      <c r="DH532" s="1979">
        <v>1</v>
      </c>
      <c r="DI532" s="1979">
        <v>1</v>
      </c>
      <c r="DJ532" s="1998">
        <v>1</v>
      </c>
      <c r="DK532" s="1998">
        <v>1</v>
      </c>
      <c r="DL532" s="1998">
        <v>1</v>
      </c>
      <c r="DM532" s="1998">
        <v>1</v>
      </c>
      <c r="DN532" s="1998">
        <v>1</v>
      </c>
      <c r="DO532" s="1979">
        <v>1</v>
      </c>
      <c r="DP532" s="1979">
        <v>1</v>
      </c>
      <c r="DQ532" s="1979">
        <v>1</v>
      </c>
      <c r="DR532" s="1979">
        <v>1</v>
      </c>
      <c r="DS532" s="1979">
        <v>1</v>
      </c>
      <c r="DT532" s="1998">
        <v>1</v>
      </c>
      <c r="DU532" s="1998">
        <v>1</v>
      </c>
      <c r="DV532" s="1998">
        <v>1</v>
      </c>
      <c r="DW532" s="1998">
        <v>1</v>
      </c>
      <c r="DX532" s="2026">
        <v>1</v>
      </c>
      <c r="EA532" s="2022"/>
      <c r="EB532" s="2">
        <v>31</v>
      </c>
      <c r="EC532" s="2" t="str">
        <f>$AD$15</f>
        <v>Pieux en béton coulé sur place</v>
      </c>
      <c r="ED532" s="1979">
        <v>0</v>
      </c>
      <c r="EE532" s="1979">
        <v>0</v>
      </c>
      <c r="EF532" s="1979">
        <v>0</v>
      </c>
      <c r="EG532" s="1979">
        <v>0</v>
      </c>
      <c r="EH532" s="1979">
        <v>0</v>
      </c>
      <c r="EI532" s="1998">
        <v>2.0966679740137137</v>
      </c>
      <c r="EJ532" s="1998">
        <v>2.0966679740137137</v>
      </c>
      <c r="EK532" s="1998">
        <v>2.0966679740137137</v>
      </c>
      <c r="EL532" s="1998">
        <v>2.0966679740137137</v>
      </c>
      <c r="EM532" s="1998">
        <v>2.0966679740137137</v>
      </c>
      <c r="EN532" s="1979">
        <v>1.4337071065592959</v>
      </c>
      <c r="EO532" s="1979">
        <v>1.4337071065592959</v>
      </c>
      <c r="EP532" s="1979">
        <v>1.4337071065592959</v>
      </c>
      <c r="EQ532" s="1979">
        <v>1.4337071065592959</v>
      </c>
      <c r="ER532" s="1979">
        <v>1.4337071065592959</v>
      </c>
      <c r="ES532" s="1998">
        <v>1.8379162318633464</v>
      </c>
      <c r="ET532" s="1998">
        <v>1.8379162318633464</v>
      </c>
      <c r="EU532" s="1998">
        <v>1.8379162318633464</v>
      </c>
      <c r="EV532" s="1998">
        <v>1.8379162318633464</v>
      </c>
      <c r="EW532" s="1998">
        <v>1.8379162318633464</v>
      </c>
      <c r="EX532" s="1979">
        <v>1.4662053104562123</v>
      </c>
      <c r="EY532" s="1979">
        <v>1.4662053104562123</v>
      </c>
      <c r="EZ532" s="1979">
        <v>1.4662053104562123</v>
      </c>
      <c r="FA532" s="1979">
        <v>1.4662053104562123</v>
      </c>
      <c r="FB532" s="1979">
        <v>1.4662053104562123</v>
      </c>
      <c r="FC532" s="1998">
        <v>1.6277744053108218</v>
      </c>
      <c r="FD532" s="1998">
        <v>1.6277744053108218</v>
      </c>
      <c r="FE532" s="1998">
        <v>1.6277744053108218</v>
      </c>
      <c r="FF532" s="1998">
        <v>1.6277744053108218</v>
      </c>
      <c r="FG532" s="1998">
        <v>1.6277744053108218</v>
      </c>
      <c r="FH532" s="1979">
        <v>2.3921927569513635</v>
      </c>
      <c r="FI532" s="1979">
        <v>2.3921927569513635</v>
      </c>
      <c r="FJ532" s="1979">
        <v>2.3921927569513635</v>
      </c>
      <c r="FK532" s="1979">
        <v>2.3921927569513635</v>
      </c>
      <c r="FL532" s="1979">
        <v>2.3921927569513635</v>
      </c>
      <c r="FM532" s="1998">
        <v>1.5115041757386145</v>
      </c>
      <c r="FN532" s="1998">
        <v>1.5115041757386145</v>
      </c>
      <c r="FO532" s="1998">
        <v>1.5115041757386145</v>
      </c>
      <c r="FP532" s="1998">
        <v>1.5115041757386145</v>
      </c>
      <c r="FQ532" s="1998">
        <v>1.5115041757386145</v>
      </c>
      <c r="FR532" s="1979">
        <v>8.1198212572277306</v>
      </c>
      <c r="FS532" s="1979">
        <v>8.1198212572277306</v>
      </c>
      <c r="FT532" s="1979">
        <v>8.1198212572277306</v>
      </c>
      <c r="FU532" s="1979">
        <v>8.1198212572277306</v>
      </c>
      <c r="FV532" s="1979">
        <v>8.1198212572277306</v>
      </c>
      <c r="FW532" s="1998">
        <v>8.4799072816005001</v>
      </c>
      <c r="FX532" s="1998">
        <v>8.4799072816005001</v>
      </c>
      <c r="FY532" s="1998">
        <v>8.4799072816005001</v>
      </c>
      <c r="FZ532" s="1998">
        <v>8.4799072816005001</v>
      </c>
      <c r="GA532" s="1998">
        <v>8.4799072816005001</v>
      </c>
      <c r="GB532" s="1979">
        <v>1.3861479372000356</v>
      </c>
      <c r="GC532" s="1979">
        <v>1.3861479372000356</v>
      </c>
      <c r="GD532" s="1979">
        <v>1.3861479372000356</v>
      </c>
      <c r="GE532" s="1979">
        <v>1.3861479372000356</v>
      </c>
      <c r="GF532" s="1979">
        <v>1.3861479372000356</v>
      </c>
      <c r="GG532" s="1998">
        <v>1.4313071575784038</v>
      </c>
      <c r="GH532" s="1998">
        <v>1.4313071575784038</v>
      </c>
      <c r="GI532" s="1998">
        <v>1.4313071575784038</v>
      </c>
      <c r="GJ532" s="1998">
        <v>1.4313071575784038</v>
      </c>
      <c r="GK532" s="2026">
        <v>1.4313071575784038</v>
      </c>
    </row>
    <row r="533" spans="1:193">
      <c r="A533" s="2020"/>
      <c r="B533" s="2">
        <v>32</v>
      </c>
      <c r="C533" s="2" t="str">
        <f>$AD$16</f>
        <v>Colonnes ballastées</v>
      </c>
      <c r="D533" s="1979">
        <f>IF(Construction!$F$31=Construction!$R$22,Oeko!BQ533,Oeko!ED533)</f>
        <v>0</v>
      </c>
      <c r="E533" s="1979">
        <f>IF(Construction!$F$31=Construction!$R$22,Oeko!BR533,Oeko!EE533)</f>
        <v>0</v>
      </c>
      <c r="F533" s="1979">
        <f>IF(Construction!$F$31=Construction!$R$22,Oeko!BS533,Oeko!EF533)</f>
        <v>0</v>
      </c>
      <c r="G533" s="1979">
        <f>IF(Construction!$F$31=Construction!$R$22,Oeko!BT533,Oeko!EG533)</f>
        <v>0</v>
      </c>
      <c r="H533" s="1979">
        <f>IF(Construction!$F$31=Construction!$R$22,Oeko!BU533,Oeko!EH533)</f>
        <v>0</v>
      </c>
      <c r="I533" s="1998">
        <f>IF(Construction!$F$31=Construction!$R$22,Oeko!BV533,Oeko!EI533)</f>
        <v>1</v>
      </c>
      <c r="J533" s="1998">
        <f>IF(Construction!$F$31=Construction!$R$22,Oeko!BW533,Oeko!EJ533)</f>
        <v>1</v>
      </c>
      <c r="K533" s="1998">
        <f>IF(Construction!$F$31=Construction!$R$22,Oeko!BX533,Oeko!EK533)</f>
        <v>1</v>
      </c>
      <c r="L533" s="1998">
        <f>IF(Construction!$F$31=Construction!$R$22,Oeko!BY533,Oeko!EL533)</f>
        <v>1</v>
      </c>
      <c r="M533" s="1998">
        <f>IF(Construction!$F$31=Construction!$R$22,Oeko!BZ533,Oeko!EM533)</f>
        <v>1</v>
      </c>
      <c r="N533" s="1979">
        <f>IF(Construction!$F$31=Construction!$R$22,Oeko!CA533,Oeko!EN533)</f>
        <v>1</v>
      </c>
      <c r="O533" s="1979">
        <f>IF(Construction!$F$31=Construction!$R$22,Oeko!CB533,Oeko!EO533)</f>
        <v>1</v>
      </c>
      <c r="P533" s="1979">
        <f>IF(Construction!$F$31=Construction!$R$22,Oeko!CC533,Oeko!EP533)</f>
        <v>1</v>
      </c>
      <c r="Q533" s="1979">
        <f>IF(Construction!$F$31=Construction!$R$22,Oeko!CD533,Oeko!EQ533)</f>
        <v>1</v>
      </c>
      <c r="R533" s="1979">
        <f>IF(Construction!$F$31=Construction!$R$22,Oeko!CE533,Oeko!ER533)</f>
        <v>1</v>
      </c>
      <c r="S533" s="1998">
        <f>IF(Construction!$F$31=Construction!$R$22,Oeko!CF533,Oeko!ES533)</f>
        <v>1</v>
      </c>
      <c r="T533" s="1998">
        <f>IF(Construction!$F$31=Construction!$R$22,Oeko!CG533,Oeko!ET533)</f>
        <v>1</v>
      </c>
      <c r="U533" s="1998">
        <f>IF(Construction!$F$31=Construction!$R$22,Oeko!CH533,Oeko!EU533)</f>
        <v>1</v>
      </c>
      <c r="V533" s="1998">
        <f>IF(Construction!$F$31=Construction!$R$22,Oeko!CI533,Oeko!EV533)</f>
        <v>1</v>
      </c>
      <c r="W533" s="1998">
        <f>IF(Construction!$F$31=Construction!$R$22,Oeko!CJ533,Oeko!EW533)</f>
        <v>1</v>
      </c>
      <c r="X533" s="1979">
        <f>IF(Construction!$F$31=Construction!$R$22,Oeko!CK533,Oeko!EX533)</f>
        <v>1</v>
      </c>
      <c r="Y533" s="1979">
        <f>IF(Construction!$F$31=Construction!$R$22,Oeko!CL533,Oeko!EY533)</f>
        <v>1</v>
      </c>
      <c r="Z533" s="1979">
        <f>IF(Construction!$F$31=Construction!$R$22,Oeko!CM533,Oeko!EZ533)</f>
        <v>1</v>
      </c>
      <c r="AA533" s="1979">
        <f>IF(Construction!$F$31=Construction!$R$22,Oeko!CN533,Oeko!FA533)</f>
        <v>1</v>
      </c>
      <c r="AB533" s="1979">
        <f>IF(Construction!$F$31=Construction!$R$22,Oeko!CO533,Oeko!FB533)</f>
        <v>1</v>
      </c>
      <c r="AC533" s="1998">
        <f>IF(Construction!$F$31=Construction!$R$22,Oeko!CP533,Oeko!FC533)</f>
        <v>1</v>
      </c>
      <c r="AD533" s="1998">
        <f>IF(Construction!$F$31=Construction!$R$22,Oeko!CQ533,Oeko!FD533)</f>
        <v>1</v>
      </c>
      <c r="AE533" s="1998">
        <f>IF(Construction!$F$31=Construction!$R$22,Oeko!CR533,Oeko!FE533)</f>
        <v>1</v>
      </c>
      <c r="AF533" s="1998">
        <f>IF(Construction!$F$31=Construction!$R$22,Oeko!CS533,Oeko!FF533)</f>
        <v>1</v>
      </c>
      <c r="AG533" s="1998">
        <f>IF(Construction!$F$31=Construction!$R$22,Oeko!CT533,Oeko!FG533)</f>
        <v>1</v>
      </c>
      <c r="AH533" s="1979">
        <f>IF(Construction!$F$31=Construction!$R$22,Oeko!CU533,Oeko!FH533)</f>
        <v>1</v>
      </c>
      <c r="AI533" s="1979">
        <f>IF(Construction!$F$31=Construction!$R$22,Oeko!CV533,Oeko!FI533)</f>
        <v>1</v>
      </c>
      <c r="AJ533" s="1979">
        <f>IF(Construction!$F$31=Construction!$R$22,Oeko!CW533,Oeko!FJ533)</f>
        <v>1</v>
      </c>
      <c r="AK533" s="1979">
        <f>IF(Construction!$F$31=Construction!$R$22,Oeko!CX533,Oeko!FK533)</f>
        <v>1</v>
      </c>
      <c r="AL533" s="1979">
        <f>IF(Construction!$F$31=Construction!$R$22,Oeko!CY533,Oeko!FL533)</f>
        <v>1</v>
      </c>
      <c r="AM533" s="1998">
        <f>IF(Construction!$F$31=Construction!$R$22,Oeko!CZ533,Oeko!FM533)</f>
        <v>1</v>
      </c>
      <c r="AN533" s="1998">
        <f>IF(Construction!$F$31=Construction!$R$22,Oeko!DA533,Oeko!FN533)</f>
        <v>1</v>
      </c>
      <c r="AO533" s="1998">
        <f>IF(Construction!$F$31=Construction!$R$22,Oeko!DB533,Oeko!FO533)</f>
        <v>1</v>
      </c>
      <c r="AP533" s="1998">
        <f>IF(Construction!$F$31=Construction!$R$22,Oeko!DC533,Oeko!FP533)</f>
        <v>1</v>
      </c>
      <c r="AQ533" s="1998">
        <f>IF(Construction!$F$31=Construction!$R$22,Oeko!DD533,Oeko!FQ533)</f>
        <v>1</v>
      </c>
      <c r="AR533" s="1979">
        <f>IF(Construction!$F$31=Construction!$R$22,Oeko!DE533,Oeko!FR533)</f>
        <v>1</v>
      </c>
      <c r="AS533" s="1979">
        <f>IF(Construction!$F$31=Construction!$R$22,Oeko!DF533,Oeko!FS533)</f>
        <v>1</v>
      </c>
      <c r="AT533" s="1979">
        <f>IF(Construction!$F$31=Construction!$R$22,Oeko!DG533,Oeko!FT533)</f>
        <v>1</v>
      </c>
      <c r="AU533" s="1979">
        <f>IF(Construction!$F$31=Construction!$R$22,Oeko!DH533,Oeko!FU533)</f>
        <v>1</v>
      </c>
      <c r="AV533" s="1979">
        <f>IF(Construction!$F$31=Construction!$R$22,Oeko!DI533,Oeko!FV533)</f>
        <v>1</v>
      </c>
      <c r="AW533" s="1998">
        <f>IF(Construction!$F$31=Construction!$R$22,Oeko!DJ533,Oeko!FW533)</f>
        <v>1</v>
      </c>
      <c r="AX533" s="1998">
        <f>IF(Construction!$F$31=Construction!$R$22,Oeko!DK533,Oeko!FX533)</f>
        <v>1</v>
      </c>
      <c r="AY533" s="1998">
        <f>IF(Construction!$F$31=Construction!$R$22,Oeko!DL533,Oeko!FY533)</f>
        <v>1</v>
      </c>
      <c r="AZ533" s="1998">
        <f>IF(Construction!$F$31=Construction!$R$22,Oeko!DM533,Oeko!FZ533)</f>
        <v>1</v>
      </c>
      <c r="BA533" s="1998">
        <f>IF(Construction!$F$31=Construction!$R$22,Oeko!DN533,Oeko!GA533)</f>
        <v>1</v>
      </c>
      <c r="BB533" s="1979">
        <f>IF(Construction!$F$31=Construction!$R$22,Oeko!DO533,Oeko!GB533)</f>
        <v>1</v>
      </c>
      <c r="BC533" s="1979">
        <f>IF(Construction!$F$31=Construction!$R$22,Oeko!DP533,Oeko!GC533)</f>
        <v>1</v>
      </c>
      <c r="BD533" s="1979">
        <f>IF(Construction!$F$31=Construction!$R$22,Oeko!DQ533,Oeko!GD533)</f>
        <v>1</v>
      </c>
      <c r="BE533" s="1979">
        <f>IF(Construction!$F$31=Construction!$R$22,Oeko!DR533,Oeko!GE533)</f>
        <v>1</v>
      </c>
      <c r="BF533" s="1979">
        <f>IF(Construction!$F$31=Construction!$R$22,Oeko!DS533,Oeko!GF533)</f>
        <v>1</v>
      </c>
      <c r="BG533" s="1998">
        <f>IF(Construction!$F$31=Construction!$R$22,Oeko!DT533,Oeko!GG533)</f>
        <v>1</v>
      </c>
      <c r="BH533" s="1998">
        <f>IF(Construction!$F$31=Construction!$R$22,Oeko!DU533,Oeko!GH533)</f>
        <v>1</v>
      </c>
      <c r="BI533" s="1998">
        <f>IF(Construction!$F$31=Construction!$R$22,Oeko!DV533,Oeko!GI533)</f>
        <v>1</v>
      </c>
      <c r="BJ533" s="1998">
        <f>IF(Construction!$F$31=Construction!$R$22,Oeko!DW533,Oeko!GJ533)</f>
        <v>1</v>
      </c>
      <c r="BK533" s="2026">
        <f>IF(Construction!$F$31=Construction!$R$22,Oeko!DX533,Oeko!GK533)</f>
        <v>1</v>
      </c>
      <c r="BN533" s="2022"/>
      <c r="BO533" s="2">
        <v>32</v>
      </c>
      <c r="BP533" s="2" t="str">
        <f>$AD$16</f>
        <v>Colonnes ballastées</v>
      </c>
      <c r="BQ533" s="1979">
        <v>0</v>
      </c>
      <c r="BR533" s="1979">
        <v>0</v>
      </c>
      <c r="BS533" s="1979">
        <v>0</v>
      </c>
      <c r="BT533" s="1979">
        <v>0</v>
      </c>
      <c r="BU533" s="1979">
        <v>0</v>
      </c>
      <c r="BV533" s="1998">
        <v>1</v>
      </c>
      <c r="BW533" s="1998">
        <v>1</v>
      </c>
      <c r="BX533" s="1998">
        <v>1</v>
      </c>
      <c r="BY533" s="1998">
        <v>1</v>
      </c>
      <c r="BZ533" s="1998">
        <v>1</v>
      </c>
      <c r="CA533" s="1979">
        <v>1</v>
      </c>
      <c r="CB533" s="1979">
        <v>1</v>
      </c>
      <c r="CC533" s="1979">
        <v>1</v>
      </c>
      <c r="CD533" s="1979">
        <v>1</v>
      </c>
      <c r="CE533" s="1979">
        <v>1</v>
      </c>
      <c r="CF533" s="1998">
        <v>1</v>
      </c>
      <c r="CG533" s="1998">
        <v>1</v>
      </c>
      <c r="CH533" s="1998">
        <v>1</v>
      </c>
      <c r="CI533" s="1998">
        <v>1</v>
      </c>
      <c r="CJ533" s="1998">
        <v>1</v>
      </c>
      <c r="CK533" s="1979">
        <v>1</v>
      </c>
      <c r="CL533" s="1979">
        <v>1</v>
      </c>
      <c r="CM533" s="1979">
        <v>1</v>
      </c>
      <c r="CN533" s="1979">
        <v>1</v>
      </c>
      <c r="CO533" s="1979">
        <v>1</v>
      </c>
      <c r="CP533" s="1998">
        <v>1</v>
      </c>
      <c r="CQ533" s="1998">
        <v>1</v>
      </c>
      <c r="CR533" s="1998">
        <v>1</v>
      </c>
      <c r="CS533" s="1998">
        <v>1</v>
      </c>
      <c r="CT533" s="1998">
        <v>1</v>
      </c>
      <c r="CU533" s="1979">
        <v>1</v>
      </c>
      <c r="CV533" s="1979">
        <v>1</v>
      </c>
      <c r="CW533" s="1979">
        <v>1</v>
      </c>
      <c r="CX533" s="1979">
        <v>1</v>
      </c>
      <c r="CY533" s="1979">
        <v>1</v>
      </c>
      <c r="CZ533" s="1998">
        <v>1</v>
      </c>
      <c r="DA533" s="1998">
        <v>1</v>
      </c>
      <c r="DB533" s="1998">
        <v>1</v>
      </c>
      <c r="DC533" s="1998">
        <v>1</v>
      </c>
      <c r="DD533" s="1998">
        <v>1</v>
      </c>
      <c r="DE533" s="1979">
        <v>1</v>
      </c>
      <c r="DF533" s="1979">
        <v>1</v>
      </c>
      <c r="DG533" s="1979">
        <v>1</v>
      </c>
      <c r="DH533" s="1979">
        <v>1</v>
      </c>
      <c r="DI533" s="1979">
        <v>1</v>
      </c>
      <c r="DJ533" s="1998">
        <v>1</v>
      </c>
      <c r="DK533" s="1998">
        <v>1</v>
      </c>
      <c r="DL533" s="1998">
        <v>1</v>
      </c>
      <c r="DM533" s="1998">
        <v>1</v>
      </c>
      <c r="DN533" s="1998">
        <v>1</v>
      </c>
      <c r="DO533" s="1979">
        <v>1</v>
      </c>
      <c r="DP533" s="1979">
        <v>1</v>
      </c>
      <c r="DQ533" s="1979">
        <v>1</v>
      </c>
      <c r="DR533" s="1979">
        <v>1</v>
      </c>
      <c r="DS533" s="1979">
        <v>1</v>
      </c>
      <c r="DT533" s="1998">
        <v>1</v>
      </c>
      <c r="DU533" s="1998">
        <v>1</v>
      </c>
      <c r="DV533" s="1998">
        <v>1</v>
      </c>
      <c r="DW533" s="1998">
        <v>1</v>
      </c>
      <c r="DX533" s="2026">
        <v>1</v>
      </c>
      <c r="EA533" s="2022"/>
      <c r="EB533" s="2">
        <v>32</v>
      </c>
      <c r="EC533" s="2" t="str">
        <f>$AD$16</f>
        <v>Colonnes ballastées</v>
      </c>
      <c r="ED533" s="1979">
        <v>0</v>
      </c>
      <c r="EE533" s="1979">
        <v>0</v>
      </c>
      <c r="EF533" s="1979">
        <v>0</v>
      </c>
      <c r="EG533" s="1979">
        <v>0</v>
      </c>
      <c r="EH533" s="1979">
        <v>0</v>
      </c>
      <c r="EI533" s="1998">
        <v>2.0966679740137137</v>
      </c>
      <c r="EJ533" s="1998">
        <v>2.0966679740137137</v>
      </c>
      <c r="EK533" s="1998">
        <v>2.0966679740137137</v>
      </c>
      <c r="EL533" s="1998">
        <v>2.0966679740137137</v>
      </c>
      <c r="EM533" s="1998">
        <v>2.0966679740137137</v>
      </c>
      <c r="EN533" s="1979">
        <v>1.4337071065592959</v>
      </c>
      <c r="EO533" s="1979">
        <v>1.4337071065592959</v>
      </c>
      <c r="EP533" s="1979">
        <v>1.4337071065592959</v>
      </c>
      <c r="EQ533" s="1979">
        <v>1.4337071065592959</v>
      </c>
      <c r="ER533" s="1979">
        <v>1.4337071065592959</v>
      </c>
      <c r="ES533" s="1998">
        <v>1.8379162318633464</v>
      </c>
      <c r="ET533" s="1998">
        <v>1.8379162318633464</v>
      </c>
      <c r="EU533" s="1998">
        <v>1.8379162318633464</v>
      </c>
      <c r="EV533" s="1998">
        <v>1.8379162318633464</v>
      </c>
      <c r="EW533" s="1998">
        <v>1.8379162318633464</v>
      </c>
      <c r="EX533" s="1979">
        <v>1.4662053104562123</v>
      </c>
      <c r="EY533" s="1979">
        <v>1.4662053104562123</v>
      </c>
      <c r="EZ533" s="1979">
        <v>1.4662053104562123</v>
      </c>
      <c r="FA533" s="1979">
        <v>1.4662053104562123</v>
      </c>
      <c r="FB533" s="1979">
        <v>1.4662053104562123</v>
      </c>
      <c r="FC533" s="1998">
        <v>1.6277744053108218</v>
      </c>
      <c r="FD533" s="1998">
        <v>1.6277744053108218</v>
      </c>
      <c r="FE533" s="1998">
        <v>1.6277744053108218</v>
      </c>
      <c r="FF533" s="1998">
        <v>1.6277744053108218</v>
      </c>
      <c r="FG533" s="1998">
        <v>1.6277744053108218</v>
      </c>
      <c r="FH533" s="1979">
        <v>2.3921927569513635</v>
      </c>
      <c r="FI533" s="1979">
        <v>2.3921927569513635</v>
      </c>
      <c r="FJ533" s="1979">
        <v>2.3921927569513635</v>
      </c>
      <c r="FK533" s="1979">
        <v>2.3921927569513635</v>
      </c>
      <c r="FL533" s="1979">
        <v>2.3921927569513635</v>
      </c>
      <c r="FM533" s="1998">
        <v>1.5115041757386145</v>
      </c>
      <c r="FN533" s="1998">
        <v>1.5115041757386145</v>
      </c>
      <c r="FO533" s="1998">
        <v>1.5115041757386145</v>
      </c>
      <c r="FP533" s="1998">
        <v>1.5115041757386145</v>
      </c>
      <c r="FQ533" s="1998">
        <v>1.5115041757386145</v>
      </c>
      <c r="FR533" s="1979">
        <v>8.1198212572277306</v>
      </c>
      <c r="FS533" s="1979">
        <v>8.1198212572277306</v>
      </c>
      <c r="FT533" s="1979">
        <v>8.1198212572277306</v>
      </c>
      <c r="FU533" s="1979">
        <v>8.1198212572277306</v>
      </c>
      <c r="FV533" s="1979">
        <v>8.1198212572277306</v>
      </c>
      <c r="FW533" s="1998">
        <v>8.4799072816005001</v>
      </c>
      <c r="FX533" s="1998">
        <v>8.4799072816005001</v>
      </c>
      <c r="FY533" s="1998">
        <v>8.4799072816005001</v>
      </c>
      <c r="FZ533" s="1998">
        <v>8.4799072816005001</v>
      </c>
      <c r="GA533" s="1998">
        <v>8.4799072816005001</v>
      </c>
      <c r="GB533" s="1979">
        <v>1.3861479372000356</v>
      </c>
      <c r="GC533" s="1979">
        <v>1.3861479372000356</v>
      </c>
      <c r="GD533" s="1979">
        <v>1.3861479372000356</v>
      </c>
      <c r="GE533" s="1979">
        <v>1.3861479372000356</v>
      </c>
      <c r="GF533" s="1979">
        <v>1.3861479372000356</v>
      </c>
      <c r="GG533" s="1998">
        <v>1.4313071575784038</v>
      </c>
      <c r="GH533" s="1998">
        <v>1.4313071575784038</v>
      </c>
      <c r="GI533" s="1998">
        <v>1.4313071575784038</v>
      </c>
      <c r="GJ533" s="1998">
        <v>1.4313071575784038</v>
      </c>
      <c r="GK533" s="2026">
        <v>1.4313071575784038</v>
      </c>
    </row>
    <row r="534" spans="1:193">
      <c r="A534" s="2020"/>
      <c r="B534" s="2">
        <v>33</v>
      </c>
      <c r="C534" s="2" t="str">
        <f>$AD$17</f>
        <v>Pieu en béton préfabriqué (battus)</v>
      </c>
      <c r="D534" s="1979">
        <f>IF(Construction!$F$31=Construction!$R$22,Oeko!BQ534,Oeko!ED534)</f>
        <v>0</v>
      </c>
      <c r="E534" s="1979">
        <f>IF(Construction!$F$31=Construction!$R$22,Oeko!BR534,Oeko!EE534)</f>
        <v>0</v>
      </c>
      <c r="F534" s="1979">
        <f>IF(Construction!$F$31=Construction!$R$22,Oeko!BS534,Oeko!EF534)</f>
        <v>0</v>
      </c>
      <c r="G534" s="1979">
        <f>IF(Construction!$F$31=Construction!$R$22,Oeko!BT534,Oeko!EG534)</f>
        <v>0</v>
      </c>
      <c r="H534" s="1979">
        <f>IF(Construction!$F$31=Construction!$R$22,Oeko!BU534,Oeko!EH534)</f>
        <v>0</v>
      </c>
      <c r="I534" s="1998">
        <f>IF(Construction!$F$31=Construction!$R$22,Oeko!BV534,Oeko!EI534)</f>
        <v>1</v>
      </c>
      <c r="J534" s="1998">
        <f>IF(Construction!$F$31=Construction!$R$22,Oeko!BW534,Oeko!EJ534)</f>
        <v>1</v>
      </c>
      <c r="K534" s="1998">
        <f>IF(Construction!$F$31=Construction!$R$22,Oeko!BX534,Oeko!EK534)</f>
        <v>1</v>
      </c>
      <c r="L534" s="1998">
        <f>IF(Construction!$F$31=Construction!$R$22,Oeko!BY534,Oeko!EL534)</f>
        <v>1</v>
      </c>
      <c r="M534" s="1998">
        <f>IF(Construction!$F$31=Construction!$R$22,Oeko!BZ534,Oeko!EM534)</f>
        <v>1</v>
      </c>
      <c r="N534" s="1979">
        <f>IF(Construction!$F$31=Construction!$R$22,Oeko!CA534,Oeko!EN534)</f>
        <v>1</v>
      </c>
      <c r="O534" s="1979">
        <f>IF(Construction!$F$31=Construction!$R$22,Oeko!CB534,Oeko!EO534)</f>
        <v>1</v>
      </c>
      <c r="P534" s="1979">
        <f>IF(Construction!$F$31=Construction!$R$22,Oeko!CC534,Oeko!EP534)</f>
        <v>1</v>
      </c>
      <c r="Q534" s="1979">
        <f>IF(Construction!$F$31=Construction!$R$22,Oeko!CD534,Oeko!EQ534)</f>
        <v>1</v>
      </c>
      <c r="R534" s="1979">
        <f>IF(Construction!$F$31=Construction!$R$22,Oeko!CE534,Oeko!ER534)</f>
        <v>1</v>
      </c>
      <c r="S534" s="1998">
        <f>IF(Construction!$F$31=Construction!$R$22,Oeko!CF534,Oeko!ES534)</f>
        <v>1</v>
      </c>
      <c r="T534" s="1998">
        <f>IF(Construction!$F$31=Construction!$R$22,Oeko!CG534,Oeko!ET534)</f>
        <v>1</v>
      </c>
      <c r="U534" s="1998">
        <f>IF(Construction!$F$31=Construction!$R$22,Oeko!CH534,Oeko!EU534)</f>
        <v>1</v>
      </c>
      <c r="V534" s="1998">
        <f>IF(Construction!$F$31=Construction!$R$22,Oeko!CI534,Oeko!EV534)</f>
        <v>1</v>
      </c>
      <c r="W534" s="1998">
        <f>IF(Construction!$F$31=Construction!$R$22,Oeko!CJ534,Oeko!EW534)</f>
        <v>1</v>
      </c>
      <c r="X534" s="1979">
        <f>IF(Construction!$F$31=Construction!$R$22,Oeko!CK534,Oeko!EX534)</f>
        <v>1</v>
      </c>
      <c r="Y534" s="1979">
        <f>IF(Construction!$F$31=Construction!$R$22,Oeko!CL534,Oeko!EY534)</f>
        <v>1</v>
      </c>
      <c r="Z534" s="1979">
        <f>IF(Construction!$F$31=Construction!$R$22,Oeko!CM534,Oeko!EZ534)</f>
        <v>1</v>
      </c>
      <c r="AA534" s="1979">
        <f>IF(Construction!$F$31=Construction!$R$22,Oeko!CN534,Oeko!FA534)</f>
        <v>1</v>
      </c>
      <c r="AB534" s="1979">
        <f>IF(Construction!$F$31=Construction!$R$22,Oeko!CO534,Oeko!FB534)</f>
        <v>1</v>
      </c>
      <c r="AC534" s="1998">
        <f>IF(Construction!$F$31=Construction!$R$22,Oeko!CP534,Oeko!FC534)</f>
        <v>1</v>
      </c>
      <c r="AD534" s="1998">
        <f>IF(Construction!$F$31=Construction!$R$22,Oeko!CQ534,Oeko!FD534)</f>
        <v>1</v>
      </c>
      <c r="AE534" s="1998">
        <f>IF(Construction!$F$31=Construction!$R$22,Oeko!CR534,Oeko!FE534)</f>
        <v>1</v>
      </c>
      <c r="AF534" s="1998">
        <f>IF(Construction!$F$31=Construction!$R$22,Oeko!CS534,Oeko!FF534)</f>
        <v>1</v>
      </c>
      <c r="AG534" s="1998">
        <f>IF(Construction!$F$31=Construction!$R$22,Oeko!CT534,Oeko!FG534)</f>
        <v>1</v>
      </c>
      <c r="AH534" s="1979">
        <f>IF(Construction!$F$31=Construction!$R$22,Oeko!CU534,Oeko!FH534)</f>
        <v>1</v>
      </c>
      <c r="AI534" s="1979">
        <f>IF(Construction!$F$31=Construction!$R$22,Oeko!CV534,Oeko!FI534)</f>
        <v>1</v>
      </c>
      <c r="AJ534" s="1979">
        <f>IF(Construction!$F$31=Construction!$R$22,Oeko!CW534,Oeko!FJ534)</f>
        <v>1</v>
      </c>
      <c r="AK534" s="1979">
        <f>IF(Construction!$F$31=Construction!$R$22,Oeko!CX534,Oeko!FK534)</f>
        <v>1</v>
      </c>
      <c r="AL534" s="1979">
        <f>IF(Construction!$F$31=Construction!$R$22,Oeko!CY534,Oeko!FL534)</f>
        <v>1</v>
      </c>
      <c r="AM534" s="1998">
        <f>IF(Construction!$F$31=Construction!$R$22,Oeko!CZ534,Oeko!FM534)</f>
        <v>1</v>
      </c>
      <c r="AN534" s="1998">
        <f>IF(Construction!$F$31=Construction!$R$22,Oeko!DA534,Oeko!FN534)</f>
        <v>1</v>
      </c>
      <c r="AO534" s="1998">
        <f>IF(Construction!$F$31=Construction!$R$22,Oeko!DB534,Oeko!FO534)</f>
        <v>1</v>
      </c>
      <c r="AP534" s="1998">
        <f>IF(Construction!$F$31=Construction!$R$22,Oeko!DC534,Oeko!FP534)</f>
        <v>1</v>
      </c>
      <c r="AQ534" s="1998">
        <f>IF(Construction!$F$31=Construction!$R$22,Oeko!DD534,Oeko!FQ534)</f>
        <v>1</v>
      </c>
      <c r="AR534" s="1979">
        <f>IF(Construction!$F$31=Construction!$R$22,Oeko!DE534,Oeko!FR534)</f>
        <v>1</v>
      </c>
      <c r="AS534" s="1979">
        <f>IF(Construction!$F$31=Construction!$R$22,Oeko!DF534,Oeko!FS534)</f>
        <v>1</v>
      </c>
      <c r="AT534" s="1979">
        <f>IF(Construction!$F$31=Construction!$R$22,Oeko!DG534,Oeko!FT534)</f>
        <v>1</v>
      </c>
      <c r="AU534" s="1979">
        <f>IF(Construction!$F$31=Construction!$R$22,Oeko!DH534,Oeko!FU534)</f>
        <v>1</v>
      </c>
      <c r="AV534" s="1979">
        <f>IF(Construction!$F$31=Construction!$R$22,Oeko!DI534,Oeko!FV534)</f>
        <v>1</v>
      </c>
      <c r="AW534" s="1998">
        <f>IF(Construction!$F$31=Construction!$R$22,Oeko!DJ534,Oeko!FW534)</f>
        <v>1</v>
      </c>
      <c r="AX534" s="1998">
        <f>IF(Construction!$F$31=Construction!$R$22,Oeko!DK534,Oeko!FX534)</f>
        <v>1</v>
      </c>
      <c r="AY534" s="1998">
        <f>IF(Construction!$F$31=Construction!$R$22,Oeko!DL534,Oeko!FY534)</f>
        <v>1</v>
      </c>
      <c r="AZ534" s="1998">
        <f>IF(Construction!$F$31=Construction!$R$22,Oeko!DM534,Oeko!FZ534)</f>
        <v>1</v>
      </c>
      <c r="BA534" s="1998">
        <f>IF(Construction!$F$31=Construction!$R$22,Oeko!DN534,Oeko!GA534)</f>
        <v>1</v>
      </c>
      <c r="BB534" s="1979">
        <f>IF(Construction!$F$31=Construction!$R$22,Oeko!DO534,Oeko!GB534)</f>
        <v>1</v>
      </c>
      <c r="BC534" s="1979">
        <f>IF(Construction!$F$31=Construction!$R$22,Oeko!DP534,Oeko!GC534)</f>
        <v>1</v>
      </c>
      <c r="BD534" s="1979">
        <f>IF(Construction!$F$31=Construction!$R$22,Oeko!DQ534,Oeko!GD534)</f>
        <v>1</v>
      </c>
      <c r="BE534" s="1979">
        <f>IF(Construction!$F$31=Construction!$R$22,Oeko!DR534,Oeko!GE534)</f>
        <v>1</v>
      </c>
      <c r="BF534" s="1979">
        <f>IF(Construction!$F$31=Construction!$R$22,Oeko!DS534,Oeko!GF534)</f>
        <v>1</v>
      </c>
      <c r="BG534" s="1998">
        <f>IF(Construction!$F$31=Construction!$R$22,Oeko!DT534,Oeko!GG534)</f>
        <v>1</v>
      </c>
      <c r="BH534" s="1998">
        <f>IF(Construction!$F$31=Construction!$R$22,Oeko!DU534,Oeko!GH534)</f>
        <v>1</v>
      </c>
      <c r="BI534" s="1998">
        <f>IF(Construction!$F$31=Construction!$R$22,Oeko!DV534,Oeko!GI534)</f>
        <v>1</v>
      </c>
      <c r="BJ534" s="1998">
        <f>IF(Construction!$F$31=Construction!$R$22,Oeko!DW534,Oeko!GJ534)</f>
        <v>1</v>
      </c>
      <c r="BK534" s="2026">
        <f>IF(Construction!$F$31=Construction!$R$22,Oeko!DX534,Oeko!GK534)</f>
        <v>1</v>
      </c>
      <c r="BN534" s="2022"/>
      <c r="BO534" s="2">
        <v>33</v>
      </c>
      <c r="BP534" s="2" t="str">
        <f>$AD$17</f>
        <v>Pieu en béton préfabriqué (battus)</v>
      </c>
      <c r="BQ534" s="1979">
        <v>0</v>
      </c>
      <c r="BR534" s="1979">
        <v>0</v>
      </c>
      <c r="BS534" s="1979">
        <v>0</v>
      </c>
      <c r="BT534" s="1979">
        <v>0</v>
      </c>
      <c r="BU534" s="1979">
        <v>0</v>
      </c>
      <c r="BV534" s="1998">
        <v>1</v>
      </c>
      <c r="BW534" s="1998">
        <v>1</v>
      </c>
      <c r="BX534" s="1998">
        <v>1</v>
      </c>
      <c r="BY534" s="1998">
        <v>1</v>
      </c>
      <c r="BZ534" s="1998">
        <v>1</v>
      </c>
      <c r="CA534" s="1979">
        <v>1</v>
      </c>
      <c r="CB534" s="1979">
        <v>1</v>
      </c>
      <c r="CC534" s="1979">
        <v>1</v>
      </c>
      <c r="CD534" s="1979">
        <v>1</v>
      </c>
      <c r="CE534" s="1979">
        <v>1</v>
      </c>
      <c r="CF534" s="1998">
        <v>1</v>
      </c>
      <c r="CG534" s="1998">
        <v>1</v>
      </c>
      <c r="CH534" s="1998">
        <v>1</v>
      </c>
      <c r="CI534" s="1998">
        <v>1</v>
      </c>
      <c r="CJ534" s="1998">
        <v>1</v>
      </c>
      <c r="CK534" s="1979">
        <v>1</v>
      </c>
      <c r="CL534" s="1979">
        <v>1</v>
      </c>
      <c r="CM534" s="1979">
        <v>1</v>
      </c>
      <c r="CN534" s="1979">
        <v>1</v>
      </c>
      <c r="CO534" s="1979">
        <v>1</v>
      </c>
      <c r="CP534" s="1998">
        <v>1</v>
      </c>
      <c r="CQ534" s="1998">
        <v>1</v>
      </c>
      <c r="CR534" s="1998">
        <v>1</v>
      </c>
      <c r="CS534" s="1998">
        <v>1</v>
      </c>
      <c r="CT534" s="1998">
        <v>1</v>
      </c>
      <c r="CU534" s="1979">
        <v>1</v>
      </c>
      <c r="CV534" s="1979">
        <v>1</v>
      </c>
      <c r="CW534" s="1979">
        <v>1</v>
      </c>
      <c r="CX534" s="1979">
        <v>1</v>
      </c>
      <c r="CY534" s="1979">
        <v>1</v>
      </c>
      <c r="CZ534" s="1998">
        <v>1</v>
      </c>
      <c r="DA534" s="1998">
        <v>1</v>
      </c>
      <c r="DB534" s="1998">
        <v>1</v>
      </c>
      <c r="DC534" s="1998">
        <v>1</v>
      </c>
      <c r="DD534" s="1998">
        <v>1</v>
      </c>
      <c r="DE534" s="1979">
        <v>1</v>
      </c>
      <c r="DF534" s="1979">
        <v>1</v>
      </c>
      <c r="DG534" s="1979">
        <v>1</v>
      </c>
      <c r="DH534" s="1979">
        <v>1</v>
      </c>
      <c r="DI534" s="1979">
        <v>1</v>
      </c>
      <c r="DJ534" s="1998">
        <v>1</v>
      </c>
      <c r="DK534" s="1998">
        <v>1</v>
      </c>
      <c r="DL534" s="1998">
        <v>1</v>
      </c>
      <c r="DM534" s="1998">
        <v>1</v>
      </c>
      <c r="DN534" s="1998">
        <v>1</v>
      </c>
      <c r="DO534" s="1979">
        <v>1</v>
      </c>
      <c r="DP534" s="1979">
        <v>1</v>
      </c>
      <c r="DQ534" s="1979">
        <v>1</v>
      </c>
      <c r="DR534" s="1979">
        <v>1</v>
      </c>
      <c r="DS534" s="1979">
        <v>1</v>
      </c>
      <c r="DT534" s="1998">
        <v>1</v>
      </c>
      <c r="DU534" s="1998">
        <v>1</v>
      </c>
      <c r="DV534" s="1998">
        <v>1</v>
      </c>
      <c r="DW534" s="1998">
        <v>1</v>
      </c>
      <c r="DX534" s="2026">
        <v>1</v>
      </c>
      <c r="EA534" s="2022"/>
      <c r="EB534" s="2">
        <v>33</v>
      </c>
      <c r="EC534" s="2" t="str">
        <f>$AD$17</f>
        <v>Pieu en béton préfabriqué (battus)</v>
      </c>
      <c r="ED534" s="1979">
        <v>0</v>
      </c>
      <c r="EE534" s="1979">
        <v>0</v>
      </c>
      <c r="EF534" s="1979">
        <v>0</v>
      </c>
      <c r="EG534" s="1979">
        <v>0</v>
      </c>
      <c r="EH534" s="1979">
        <v>0</v>
      </c>
      <c r="EI534" s="1998">
        <v>2.0966679740137137</v>
      </c>
      <c r="EJ534" s="1998">
        <v>2.0966679740137137</v>
      </c>
      <c r="EK534" s="1998">
        <v>2.0966679740137137</v>
      </c>
      <c r="EL534" s="1998">
        <v>2.0966679740137137</v>
      </c>
      <c r="EM534" s="1998">
        <v>2.0966679740137137</v>
      </c>
      <c r="EN534" s="1979">
        <v>1.4337071065592959</v>
      </c>
      <c r="EO534" s="1979">
        <v>1.4337071065592959</v>
      </c>
      <c r="EP534" s="1979">
        <v>1.4337071065592959</v>
      </c>
      <c r="EQ534" s="1979">
        <v>1.4337071065592959</v>
      </c>
      <c r="ER534" s="1979">
        <v>1.4337071065592959</v>
      </c>
      <c r="ES534" s="1998">
        <v>1.8379162318633464</v>
      </c>
      <c r="ET534" s="1998">
        <v>1.8379162318633464</v>
      </c>
      <c r="EU534" s="1998">
        <v>1.8379162318633464</v>
      </c>
      <c r="EV534" s="1998">
        <v>1.8379162318633464</v>
      </c>
      <c r="EW534" s="1998">
        <v>1.8379162318633464</v>
      </c>
      <c r="EX534" s="1979">
        <v>1.4662053104562123</v>
      </c>
      <c r="EY534" s="1979">
        <v>1.4662053104562123</v>
      </c>
      <c r="EZ534" s="1979">
        <v>1.4662053104562123</v>
      </c>
      <c r="FA534" s="1979">
        <v>1.4662053104562123</v>
      </c>
      <c r="FB534" s="1979">
        <v>1.4662053104562123</v>
      </c>
      <c r="FC534" s="1998">
        <v>1.6277744053108218</v>
      </c>
      <c r="FD534" s="1998">
        <v>1.6277744053108218</v>
      </c>
      <c r="FE534" s="1998">
        <v>1.6277744053108218</v>
      </c>
      <c r="FF534" s="1998">
        <v>1.6277744053108218</v>
      </c>
      <c r="FG534" s="1998">
        <v>1.6277744053108218</v>
      </c>
      <c r="FH534" s="1979">
        <v>2.3921927569513635</v>
      </c>
      <c r="FI534" s="1979">
        <v>2.3921927569513635</v>
      </c>
      <c r="FJ534" s="1979">
        <v>2.3921927569513635</v>
      </c>
      <c r="FK534" s="1979">
        <v>2.3921927569513635</v>
      </c>
      <c r="FL534" s="1979">
        <v>2.3921927569513635</v>
      </c>
      <c r="FM534" s="1998">
        <v>1.5115041757386145</v>
      </c>
      <c r="FN534" s="1998">
        <v>1.5115041757386145</v>
      </c>
      <c r="FO534" s="1998">
        <v>1.5115041757386145</v>
      </c>
      <c r="FP534" s="1998">
        <v>1.5115041757386145</v>
      </c>
      <c r="FQ534" s="1998">
        <v>1.5115041757386145</v>
      </c>
      <c r="FR534" s="1979">
        <v>8.1198212572277306</v>
      </c>
      <c r="FS534" s="1979">
        <v>8.1198212572277306</v>
      </c>
      <c r="FT534" s="1979">
        <v>8.1198212572277306</v>
      </c>
      <c r="FU534" s="1979">
        <v>8.1198212572277306</v>
      </c>
      <c r="FV534" s="1979">
        <v>8.1198212572277306</v>
      </c>
      <c r="FW534" s="1998">
        <v>8.4799072816005001</v>
      </c>
      <c r="FX534" s="1998">
        <v>8.4799072816005001</v>
      </c>
      <c r="FY534" s="1998">
        <v>8.4799072816005001</v>
      </c>
      <c r="FZ534" s="1998">
        <v>8.4799072816005001</v>
      </c>
      <c r="GA534" s="1998">
        <v>8.4799072816005001</v>
      </c>
      <c r="GB534" s="1979">
        <v>1.3861479372000356</v>
      </c>
      <c r="GC534" s="1979">
        <v>1.3861479372000356</v>
      </c>
      <c r="GD534" s="1979">
        <v>1.3861479372000356</v>
      </c>
      <c r="GE534" s="1979">
        <v>1.3861479372000356</v>
      </c>
      <c r="GF534" s="1979">
        <v>1.3861479372000356</v>
      </c>
      <c r="GG534" s="1998">
        <v>1.4313071575784038</v>
      </c>
      <c r="GH534" s="1998">
        <v>1.4313071575784038</v>
      </c>
      <c r="GI534" s="1998">
        <v>1.4313071575784038</v>
      </c>
      <c r="GJ534" s="1998">
        <v>1.4313071575784038</v>
      </c>
      <c r="GK534" s="2026">
        <v>1.4313071575784038</v>
      </c>
    </row>
    <row r="535" spans="1:193">
      <c r="A535" s="2020"/>
      <c r="B535" s="2">
        <v>34</v>
      </c>
      <c r="C535" s="2" t="str">
        <f>$AF$13</f>
        <v/>
      </c>
      <c r="D535" s="1979">
        <f>IF(Construction!$F$31=Construction!$R$22,Oeko!BQ535,Oeko!ED535)</f>
        <v>0</v>
      </c>
      <c r="E535" s="1979">
        <f>IF(Construction!$F$31=Construction!$R$22,Oeko!BR535,Oeko!EE535)</f>
        <v>0</v>
      </c>
      <c r="F535" s="1979">
        <f>IF(Construction!$F$31=Construction!$R$22,Oeko!BS535,Oeko!EF535)</f>
        <v>0</v>
      </c>
      <c r="G535" s="1979">
        <f>IF(Construction!$F$31=Construction!$R$22,Oeko!BT535,Oeko!EG535)</f>
        <v>0</v>
      </c>
      <c r="H535" s="1979">
        <f>IF(Construction!$F$31=Construction!$R$22,Oeko!BU535,Oeko!EH535)</f>
        <v>0</v>
      </c>
      <c r="I535" s="1998">
        <f>IF(Construction!$F$31=Construction!$R$22,Oeko!BV535,Oeko!EI535)</f>
        <v>1</v>
      </c>
      <c r="J535" s="1998">
        <f>IF(Construction!$F$31=Construction!$R$22,Oeko!BW535,Oeko!EJ535)</f>
        <v>1</v>
      </c>
      <c r="K535" s="1998">
        <f>IF(Construction!$F$31=Construction!$R$22,Oeko!BX535,Oeko!EK535)</f>
        <v>1</v>
      </c>
      <c r="L535" s="1998">
        <f>IF(Construction!$F$31=Construction!$R$22,Oeko!BY535,Oeko!EL535)</f>
        <v>1</v>
      </c>
      <c r="M535" s="1998">
        <f>IF(Construction!$F$31=Construction!$R$22,Oeko!BZ535,Oeko!EM535)</f>
        <v>1</v>
      </c>
      <c r="N535" s="1979">
        <f>IF(Construction!$F$31=Construction!$R$22,Oeko!CA535,Oeko!EN535)</f>
        <v>1</v>
      </c>
      <c r="O535" s="1979">
        <f>IF(Construction!$F$31=Construction!$R$22,Oeko!CB535,Oeko!EO535)</f>
        <v>1</v>
      </c>
      <c r="P535" s="1979">
        <f>IF(Construction!$F$31=Construction!$R$22,Oeko!CC535,Oeko!EP535)</f>
        <v>1</v>
      </c>
      <c r="Q535" s="1979">
        <f>IF(Construction!$F$31=Construction!$R$22,Oeko!CD535,Oeko!EQ535)</f>
        <v>1</v>
      </c>
      <c r="R535" s="1979">
        <f>IF(Construction!$F$31=Construction!$R$22,Oeko!CE535,Oeko!ER535)</f>
        <v>1</v>
      </c>
      <c r="S535" s="1998">
        <f>IF(Construction!$F$31=Construction!$R$22,Oeko!CF535,Oeko!ES535)</f>
        <v>1</v>
      </c>
      <c r="T535" s="1998">
        <f>IF(Construction!$F$31=Construction!$R$22,Oeko!CG535,Oeko!ET535)</f>
        <v>1</v>
      </c>
      <c r="U535" s="1998">
        <f>IF(Construction!$F$31=Construction!$R$22,Oeko!CH535,Oeko!EU535)</f>
        <v>1</v>
      </c>
      <c r="V535" s="1998">
        <f>IF(Construction!$F$31=Construction!$R$22,Oeko!CI535,Oeko!EV535)</f>
        <v>1</v>
      </c>
      <c r="W535" s="1998">
        <f>IF(Construction!$F$31=Construction!$R$22,Oeko!CJ535,Oeko!EW535)</f>
        <v>1</v>
      </c>
      <c r="X535" s="1979">
        <f>IF(Construction!$F$31=Construction!$R$22,Oeko!CK535,Oeko!EX535)</f>
        <v>1</v>
      </c>
      <c r="Y535" s="1979">
        <f>IF(Construction!$F$31=Construction!$R$22,Oeko!CL535,Oeko!EY535)</f>
        <v>1</v>
      </c>
      <c r="Z535" s="1979">
        <f>IF(Construction!$F$31=Construction!$R$22,Oeko!CM535,Oeko!EZ535)</f>
        <v>1</v>
      </c>
      <c r="AA535" s="1979">
        <f>IF(Construction!$F$31=Construction!$R$22,Oeko!CN535,Oeko!FA535)</f>
        <v>1</v>
      </c>
      <c r="AB535" s="1979">
        <f>IF(Construction!$F$31=Construction!$R$22,Oeko!CO535,Oeko!FB535)</f>
        <v>1</v>
      </c>
      <c r="AC535" s="1998">
        <f>IF(Construction!$F$31=Construction!$R$22,Oeko!CP535,Oeko!FC535)</f>
        <v>1</v>
      </c>
      <c r="AD535" s="1998">
        <f>IF(Construction!$F$31=Construction!$R$22,Oeko!CQ535,Oeko!FD535)</f>
        <v>1</v>
      </c>
      <c r="AE535" s="1998">
        <f>IF(Construction!$F$31=Construction!$R$22,Oeko!CR535,Oeko!FE535)</f>
        <v>1</v>
      </c>
      <c r="AF535" s="1998">
        <f>IF(Construction!$F$31=Construction!$R$22,Oeko!CS535,Oeko!FF535)</f>
        <v>1</v>
      </c>
      <c r="AG535" s="1998">
        <f>IF(Construction!$F$31=Construction!$R$22,Oeko!CT535,Oeko!FG535)</f>
        <v>1</v>
      </c>
      <c r="AH535" s="1979">
        <f>IF(Construction!$F$31=Construction!$R$22,Oeko!CU535,Oeko!FH535)</f>
        <v>1</v>
      </c>
      <c r="AI535" s="1979">
        <f>IF(Construction!$F$31=Construction!$R$22,Oeko!CV535,Oeko!FI535)</f>
        <v>1</v>
      </c>
      <c r="AJ535" s="1979">
        <f>IF(Construction!$F$31=Construction!$R$22,Oeko!CW535,Oeko!FJ535)</f>
        <v>1</v>
      </c>
      <c r="AK535" s="1979">
        <f>IF(Construction!$F$31=Construction!$R$22,Oeko!CX535,Oeko!FK535)</f>
        <v>1</v>
      </c>
      <c r="AL535" s="1979">
        <f>IF(Construction!$F$31=Construction!$R$22,Oeko!CY535,Oeko!FL535)</f>
        <v>1</v>
      </c>
      <c r="AM535" s="1998">
        <f>IF(Construction!$F$31=Construction!$R$22,Oeko!CZ535,Oeko!FM535)</f>
        <v>1</v>
      </c>
      <c r="AN535" s="1998">
        <f>IF(Construction!$F$31=Construction!$R$22,Oeko!DA535,Oeko!FN535)</f>
        <v>1</v>
      </c>
      <c r="AO535" s="1998">
        <f>IF(Construction!$F$31=Construction!$R$22,Oeko!DB535,Oeko!FO535)</f>
        <v>1</v>
      </c>
      <c r="AP535" s="1998">
        <f>IF(Construction!$F$31=Construction!$R$22,Oeko!DC535,Oeko!FP535)</f>
        <v>1</v>
      </c>
      <c r="AQ535" s="1998">
        <f>IF(Construction!$F$31=Construction!$R$22,Oeko!DD535,Oeko!FQ535)</f>
        <v>1</v>
      </c>
      <c r="AR535" s="1979">
        <f>IF(Construction!$F$31=Construction!$R$22,Oeko!DE535,Oeko!FR535)</f>
        <v>1</v>
      </c>
      <c r="AS535" s="1979">
        <f>IF(Construction!$F$31=Construction!$R$22,Oeko!DF535,Oeko!FS535)</f>
        <v>1</v>
      </c>
      <c r="AT535" s="1979">
        <f>IF(Construction!$F$31=Construction!$R$22,Oeko!DG535,Oeko!FT535)</f>
        <v>1</v>
      </c>
      <c r="AU535" s="1979">
        <f>IF(Construction!$F$31=Construction!$R$22,Oeko!DH535,Oeko!FU535)</f>
        <v>1</v>
      </c>
      <c r="AV535" s="1979">
        <f>IF(Construction!$F$31=Construction!$R$22,Oeko!DI535,Oeko!FV535)</f>
        <v>1</v>
      </c>
      <c r="AW535" s="1998">
        <f>IF(Construction!$F$31=Construction!$R$22,Oeko!DJ535,Oeko!FW535)</f>
        <v>1</v>
      </c>
      <c r="AX535" s="1998">
        <f>IF(Construction!$F$31=Construction!$R$22,Oeko!DK535,Oeko!FX535)</f>
        <v>1</v>
      </c>
      <c r="AY535" s="1998">
        <f>IF(Construction!$F$31=Construction!$R$22,Oeko!DL535,Oeko!FY535)</f>
        <v>1</v>
      </c>
      <c r="AZ535" s="1998">
        <f>IF(Construction!$F$31=Construction!$R$22,Oeko!DM535,Oeko!FZ535)</f>
        <v>1</v>
      </c>
      <c r="BA535" s="1998">
        <f>IF(Construction!$F$31=Construction!$R$22,Oeko!DN535,Oeko!GA535)</f>
        <v>1</v>
      </c>
      <c r="BB535" s="1979">
        <f>IF(Construction!$F$31=Construction!$R$22,Oeko!DO535,Oeko!GB535)</f>
        <v>1</v>
      </c>
      <c r="BC535" s="1979">
        <f>IF(Construction!$F$31=Construction!$R$22,Oeko!DP535,Oeko!GC535)</f>
        <v>1</v>
      </c>
      <c r="BD535" s="1979">
        <f>IF(Construction!$F$31=Construction!$R$22,Oeko!DQ535,Oeko!GD535)</f>
        <v>1</v>
      </c>
      <c r="BE535" s="1979">
        <f>IF(Construction!$F$31=Construction!$R$22,Oeko!DR535,Oeko!GE535)</f>
        <v>1</v>
      </c>
      <c r="BF535" s="1979">
        <f>IF(Construction!$F$31=Construction!$R$22,Oeko!DS535,Oeko!GF535)</f>
        <v>1</v>
      </c>
      <c r="BG535" s="1998">
        <f>IF(Construction!$F$31=Construction!$R$22,Oeko!DT535,Oeko!GG535)</f>
        <v>1</v>
      </c>
      <c r="BH535" s="1998">
        <f>IF(Construction!$F$31=Construction!$R$22,Oeko!DU535,Oeko!GH535)</f>
        <v>1</v>
      </c>
      <c r="BI535" s="1998">
        <f>IF(Construction!$F$31=Construction!$R$22,Oeko!DV535,Oeko!GI535)</f>
        <v>1</v>
      </c>
      <c r="BJ535" s="1998">
        <f>IF(Construction!$F$31=Construction!$R$22,Oeko!DW535,Oeko!GJ535)</f>
        <v>1</v>
      </c>
      <c r="BK535" s="2026">
        <f>IF(Construction!$F$31=Construction!$R$22,Oeko!DX535,Oeko!GK535)</f>
        <v>1</v>
      </c>
      <c r="BN535" s="2022"/>
      <c r="BO535" s="2">
        <v>34</v>
      </c>
      <c r="BP535" s="2" t="str">
        <f>$AF$13</f>
        <v/>
      </c>
      <c r="BQ535" s="1979">
        <v>0</v>
      </c>
      <c r="BR535" s="1979">
        <v>0</v>
      </c>
      <c r="BS535" s="1979">
        <v>0</v>
      </c>
      <c r="BT535" s="1979">
        <v>0</v>
      </c>
      <c r="BU535" s="1979">
        <v>0</v>
      </c>
      <c r="BV535" s="1998">
        <v>1</v>
      </c>
      <c r="BW535" s="1998">
        <v>1</v>
      </c>
      <c r="BX535" s="1998">
        <v>1</v>
      </c>
      <c r="BY535" s="1998">
        <v>1</v>
      </c>
      <c r="BZ535" s="1998">
        <v>1</v>
      </c>
      <c r="CA535" s="1979">
        <v>1</v>
      </c>
      <c r="CB535" s="1979">
        <v>1</v>
      </c>
      <c r="CC535" s="1979">
        <v>1</v>
      </c>
      <c r="CD535" s="1979">
        <v>1</v>
      </c>
      <c r="CE535" s="1979">
        <v>1</v>
      </c>
      <c r="CF535" s="1998">
        <v>1</v>
      </c>
      <c r="CG535" s="1998">
        <v>1</v>
      </c>
      <c r="CH535" s="1998">
        <v>1</v>
      </c>
      <c r="CI535" s="1998">
        <v>1</v>
      </c>
      <c r="CJ535" s="1998">
        <v>1</v>
      </c>
      <c r="CK535" s="1979">
        <v>1</v>
      </c>
      <c r="CL535" s="1979">
        <v>1</v>
      </c>
      <c r="CM535" s="1979">
        <v>1</v>
      </c>
      <c r="CN535" s="1979">
        <v>1</v>
      </c>
      <c r="CO535" s="1979">
        <v>1</v>
      </c>
      <c r="CP535" s="1998">
        <v>1</v>
      </c>
      <c r="CQ535" s="1998">
        <v>1</v>
      </c>
      <c r="CR535" s="1998">
        <v>1</v>
      </c>
      <c r="CS535" s="1998">
        <v>1</v>
      </c>
      <c r="CT535" s="1998">
        <v>1</v>
      </c>
      <c r="CU535" s="1979">
        <v>1</v>
      </c>
      <c r="CV535" s="1979">
        <v>1</v>
      </c>
      <c r="CW535" s="1979">
        <v>1</v>
      </c>
      <c r="CX535" s="1979">
        <v>1</v>
      </c>
      <c r="CY535" s="1979">
        <v>1</v>
      </c>
      <c r="CZ535" s="1998">
        <v>1</v>
      </c>
      <c r="DA535" s="1998">
        <v>1</v>
      </c>
      <c r="DB535" s="1998">
        <v>1</v>
      </c>
      <c r="DC535" s="1998">
        <v>1</v>
      </c>
      <c r="DD535" s="1998">
        <v>1</v>
      </c>
      <c r="DE535" s="1979">
        <v>1</v>
      </c>
      <c r="DF535" s="1979">
        <v>1</v>
      </c>
      <c r="DG535" s="1979">
        <v>1</v>
      </c>
      <c r="DH535" s="1979">
        <v>1</v>
      </c>
      <c r="DI535" s="1979">
        <v>1</v>
      </c>
      <c r="DJ535" s="1998">
        <v>1</v>
      </c>
      <c r="DK535" s="1998">
        <v>1</v>
      </c>
      <c r="DL535" s="1998">
        <v>1</v>
      </c>
      <c r="DM535" s="1998">
        <v>1</v>
      </c>
      <c r="DN535" s="1998">
        <v>1</v>
      </c>
      <c r="DO535" s="1979">
        <v>1</v>
      </c>
      <c r="DP535" s="1979">
        <v>1</v>
      </c>
      <c r="DQ535" s="1979">
        <v>1</v>
      </c>
      <c r="DR535" s="1979">
        <v>1</v>
      </c>
      <c r="DS535" s="1979">
        <v>1</v>
      </c>
      <c r="DT535" s="1998">
        <v>1</v>
      </c>
      <c r="DU535" s="1998">
        <v>1</v>
      </c>
      <c r="DV535" s="1998">
        <v>1</v>
      </c>
      <c r="DW535" s="1998">
        <v>1</v>
      </c>
      <c r="DX535" s="2026">
        <v>1</v>
      </c>
      <c r="EA535" s="2022"/>
      <c r="EB535" s="2">
        <v>34</v>
      </c>
      <c r="EC535" s="2" t="str">
        <f>$AF$13</f>
        <v/>
      </c>
      <c r="ED535" s="1979">
        <v>0</v>
      </c>
      <c r="EE535" s="1979">
        <v>0</v>
      </c>
      <c r="EF535" s="1979">
        <v>0</v>
      </c>
      <c r="EG535" s="1979">
        <v>0</v>
      </c>
      <c r="EH535" s="1979">
        <v>0</v>
      </c>
      <c r="EI535" s="1998">
        <v>2.0966679740137137</v>
      </c>
      <c r="EJ535" s="1998">
        <v>2.0966679740137137</v>
      </c>
      <c r="EK535" s="1998">
        <v>2.0966679740137137</v>
      </c>
      <c r="EL535" s="1998">
        <v>2.0966679740137137</v>
      </c>
      <c r="EM535" s="1998">
        <v>2.0966679740137137</v>
      </c>
      <c r="EN535" s="1979">
        <v>1.4337071065592959</v>
      </c>
      <c r="EO535" s="1979">
        <v>1.4337071065592959</v>
      </c>
      <c r="EP535" s="1979">
        <v>1.4337071065592959</v>
      </c>
      <c r="EQ535" s="1979">
        <v>1.4337071065592959</v>
      </c>
      <c r="ER535" s="1979">
        <v>1.4337071065592959</v>
      </c>
      <c r="ES535" s="1998">
        <v>1.8379162318633464</v>
      </c>
      <c r="ET535" s="1998">
        <v>1.8379162318633464</v>
      </c>
      <c r="EU535" s="1998">
        <v>1.8379162318633464</v>
      </c>
      <c r="EV535" s="1998">
        <v>1.8379162318633464</v>
      </c>
      <c r="EW535" s="1998">
        <v>1.8379162318633464</v>
      </c>
      <c r="EX535" s="1979">
        <v>1.4662053104562123</v>
      </c>
      <c r="EY535" s="1979">
        <v>1.4662053104562123</v>
      </c>
      <c r="EZ535" s="1979">
        <v>1.4662053104562123</v>
      </c>
      <c r="FA535" s="1979">
        <v>1.4662053104562123</v>
      </c>
      <c r="FB535" s="1979">
        <v>1.4662053104562123</v>
      </c>
      <c r="FC535" s="1998">
        <v>1.6277744053108218</v>
      </c>
      <c r="FD535" s="1998">
        <v>1.6277744053108218</v>
      </c>
      <c r="FE535" s="1998">
        <v>1.6277744053108218</v>
      </c>
      <c r="FF535" s="1998">
        <v>1.6277744053108218</v>
      </c>
      <c r="FG535" s="1998">
        <v>1.6277744053108218</v>
      </c>
      <c r="FH535" s="1979">
        <v>2.3921927569513635</v>
      </c>
      <c r="FI535" s="1979">
        <v>2.3921927569513635</v>
      </c>
      <c r="FJ535" s="1979">
        <v>2.3921927569513635</v>
      </c>
      <c r="FK535" s="1979">
        <v>2.3921927569513635</v>
      </c>
      <c r="FL535" s="1979">
        <v>2.3921927569513635</v>
      </c>
      <c r="FM535" s="1998">
        <v>1.5115041757386145</v>
      </c>
      <c r="FN535" s="1998">
        <v>1.5115041757386145</v>
      </c>
      <c r="FO535" s="1998">
        <v>1.5115041757386145</v>
      </c>
      <c r="FP535" s="1998">
        <v>1.5115041757386145</v>
      </c>
      <c r="FQ535" s="1998">
        <v>1.5115041757386145</v>
      </c>
      <c r="FR535" s="1979">
        <v>8.1198212572277306</v>
      </c>
      <c r="FS535" s="1979">
        <v>8.1198212572277306</v>
      </c>
      <c r="FT535" s="1979">
        <v>8.1198212572277306</v>
      </c>
      <c r="FU535" s="1979">
        <v>8.1198212572277306</v>
      </c>
      <c r="FV535" s="1979">
        <v>8.1198212572277306</v>
      </c>
      <c r="FW535" s="1998">
        <v>8.4799072816005001</v>
      </c>
      <c r="FX535" s="1998">
        <v>8.4799072816005001</v>
      </c>
      <c r="FY535" s="1998">
        <v>8.4799072816005001</v>
      </c>
      <c r="FZ535" s="1998">
        <v>8.4799072816005001</v>
      </c>
      <c r="GA535" s="1998">
        <v>8.4799072816005001</v>
      </c>
      <c r="GB535" s="1979">
        <v>1.3861479372000356</v>
      </c>
      <c r="GC535" s="1979">
        <v>1.3861479372000356</v>
      </c>
      <c r="GD535" s="1979">
        <v>1.3861479372000356</v>
      </c>
      <c r="GE535" s="1979">
        <v>1.3861479372000356</v>
      </c>
      <c r="GF535" s="1979">
        <v>1.3861479372000356</v>
      </c>
      <c r="GG535" s="1998">
        <v>1.4313071575784038</v>
      </c>
      <c r="GH535" s="1998">
        <v>1.4313071575784038</v>
      </c>
      <c r="GI535" s="1998">
        <v>1.4313071575784038</v>
      </c>
      <c r="GJ535" s="1998">
        <v>1.4313071575784038</v>
      </c>
      <c r="GK535" s="2026">
        <v>1.4313071575784038</v>
      </c>
    </row>
    <row r="536" spans="1:193">
      <c r="A536" s="2020"/>
      <c r="B536" s="2">
        <v>35</v>
      </c>
      <c r="C536" s="2" t="str">
        <f>$AF$14</f>
        <v/>
      </c>
      <c r="D536" s="1979">
        <f>IF(Construction!$F$31=Construction!$R$22,Oeko!BQ536,Oeko!ED536)</f>
        <v>0</v>
      </c>
      <c r="E536" s="1979">
        <f>IF(Construction!$F$31=Construction!$R$22,Oeko!BR536,Oeko!EE536)</f>
        <v>0</v>
      </c>
      <c r="F536" s="1979">
        <f>IF(Construction!$F$31=Construction!$R$22,Oeko!BS536,Oeko!EF536)</f>
        <v>0</v>
      </c>
      <c r="G536" s="1979">
        <f>IF(Construction!$F$31=Construction!$R$22,Oeko!BT536,Oeko!EG536)</f>
        <v>0</v>
      </c>
      <c r="H536" s="1979">
        <f>IF(Construction!$F$31=Construction!$R$22,Oeko!BU536,Oeko!EH536)</f>
        <v>0</v>
      </c>
      <c r="I536" s="1998">
        <f>IF(Construction!$F$31=Construction!$R$22,Oeko!BV536,Oeko!EI536)</f>
        <v>1</v>
      </c>
      <c r="J536" s="1998">
        <f>IF(Construction!$F$31=Construction!$R$22,Oeko!BW536,Oeko!EJ536)</f>
        <v>1</v>
      </c>
      <c r="K536" s="1998">
        <f>IF(Construction!$F$31=Construction!$R$22,Oeko!BX536,Oeko!EK536)</f>
        <v>1</v>
      </c>
      <c r="L536" s="1998">
        <f>IF(Construction!$F$31=Construction!$R$22,Oeko!BY536,Oeko!EL536)</f>
        <v>1</v>
      </c>
      <c r="M536" s="1998">
        <f>IF(Construction!$F$31=Construction!$R$22,Oeko!BZ536,Oeko!EM536)</f>
        <v>1</v>
      </c>
      <c r="N536" s="1979">
        <f>IF(Construction!$F$31=Construction!$R$22,Oeko!CA536,Oeko!EN536)</f>
        <v>1</v>
      </c>
      <c r="O536" s="1979">
        <f>IF(Construction!$F$31=Construction!$R$22,Oeko!CB536,Oeko!EO536)</f>
        <v>1</v>
      </c>
      <c r="P536" s="1979">
        <f>IF(Construction!$F$31=Construction!$R$22,Oeko!CC536,Oeko!EP536)</f>
        <v>1</v>
      </c>
      <c r="Q536" s="1979">
        <f>IF(Construction!$F$31=Construction!$R$22,Oeko!CD536,Oeko!EQ536)</f>
        <v>1</v>
      </c>
      <c r="R536" s="1979">
        <f>IF(Construction!$F$31=Construction!$R$22,Oeko!CE536,Oeko!ER536)</f>
        <v>1</v>
      </c>
      <c r="S536" s="1998">
        <f>IF(Construction!$F$31=Construction!$R$22,Oeko!CF536,Oeko!ES536)</f>
        <v>1</v>
      </c>
      <c r="T536" s="1998">
        <f>IF(Construction!$F$31=Construction!$R$22,Oeko!CG536,Oeko!ET536)</f>
        <v>1</v>
      </c>
      <c r="U536" s="1998">
        <f>IF(Construction!$F$31=Construction!$R$22,Oeko!CH536,Oeko!EU536)</f>
        <v>1</v>
      </c>
      <c r="V536" s="1998">
        <f>IF(Construction!$F$31=Construction!$R$22,Oeko!CI536,Oeko!EV536)</f>
        <v>1</v>
      </c>
      <c r="W536" s="1998">
        <f>IF(Construction!$F$31=Construction!$R$22,Oeko!CJ536,Oeko!EW536)</f>
        <v>1</v>
      </c>
      <c r="X536" s="1979">
        <f>IF(Construction!$F$31=Construction!$R$22,Oeko!CK536,Oeko!EX536)</f>
        <v>1</v>
      </c>
      <c r="Y536" s="1979">
        <f>IF(Construction!$F$31=Construction!$R$22,Oeko!CL536,Oeko!EY536)</f>
        <v>1</v>
      </c>
      <c r="Z536" s="1979">
        <f>IF(Construction!$F$31=Construction!$R$22,Oeko!CM536,Oeko!EZ536)</f>
        <v>1</v>
      </c>
      <c r="AA536" s="1979">
        <f>IF(Construction!$F$31=Construction!$R$22,Oeko!CN536,Oeko!FA536)</f>
        <v>1</v>
      </c>
      <c r="AB536" s="1979">
        <f>IF(Construction!$F$31=Construction!$R$22,Oeko!CO536,Oeko!FB536)</f>
        <v>1</v>
      </c>
      <c r="AC536" s="1998">
        <f>IF(Construction!$F$31=Construction!$R$22,Oeko!CP536,Oeko!FC536)</f>
        <v>1</v>
      </c>
      <c r="AD536" s="1998">
        <f>IF(Construction!$F$31=Construction!$R$22,Oeko!CQ536,Oeko!FD536)</f>
        <v>1</v>
      </c>
      <c r="AE536" s="1998">
        <f>IF(Construction!$F$31=Construction!$R$22,Oeko!CR536,Oeko!FE536)</f>
        <v>1</v>
      </c>
      <c r="AF536" s="1998">
        <f>IF(Construction!$F$31=Construction!$R$22,Oeko!CS536,Oeko!FF536)</f>
        <v>1</v>
      </c>
      <c r="AG536" s="1998">
        <f>IF(Construction!$F$31=Construction!$R$22,Oeko!CT536,Oeko!FG536)</f>
        <v>1</v>
      </c>
      <c r="AH536" s="1979">
        <f>IF(Construction!$F$31=Construction!$R$22,Oeko!CU536,Oeko!FH536)</f>
        <v>1</v>
      </c>
      <c r="AI536" s="1979">
        <f>IF(Construction!$F$31=Construction!$R$22,Oeko!CV536,Oeko!FI536)</f>
        <v>1</v>
      </c>
      <c r="AJ536" s="1979">
        <f>IF(Construction!$F$31=Construction!$R$22,Oeko!CW536,Oeko!FJ536)</f>
        <v>1</v>
      </c>
      <c r="AK536" s="1979">
        <f>IF(Construction!$F$31=Construction!$R$22,Oeko!CX536,Oeko!FK536)</f>
        <v>1</v>
      </c>
      <c r="AL536" s="1979">
        <f>IF(Construction!$F$31=Construction!$R$22,Oeko!CY536,Oeko!FL536)</f>
        <v>1</v>
      </c>
      <c r="AM536" s="1998">
        <f>IF(Construction!$F$31=Construction!$R$22,Oeko!CZ536,Oeko!FM536)</f>
        <v>1</v>
      </c>
      <c r="AN536" s="1998">
        <f>IF(Construction!$F$31=Construction!$R$22,Oeko!DA536,Oeko!FN536)</f>
        <v>1</v>
      </c>
      <c r="AO536" s="1998">
        <f>IF(Construction!$F$31=Construction!$R$22,Oeko!DB536,Oeko!FO536)</f>
        <v>1</v>
      </c>
      <c r="AP536" s="1998">
        <f>IF(Construction!$F$31=Construction!$R$22,Oeko!DC536,Oeko!FP536)</f>
        <v>1</v>
      </c>
      <c r="AQ536" s="1998">
        <f>IF(Construction!$F$31=Construction!$R$22,Oeko!DD536,Oeko!FQ536)</f>
        <v>1</v>
      </c>
      <c r="AR536" s="1979">
        <f>IF(Construction!$F$31=Construction!$R$22,Oeko!DE536,Oeko!FR536)</f>
        <v>1</v>
      </c>
      <c r="AS536" s="1979">
        <f>IF(Construction!$F$31=Construction!$R$22,Oeko!DF536,Oeko!FS536)</f>
        <v>1</v>
      </c>
      <c r="AT536" s="1979">
        <f>IF(Construction!$F$31=Construction!$R$22,Oeko!DG536,Oeko!FT536)</f>
        <v>1</v>
      </c>
      <c r="AU536" s="1979">
        <f>IF(Construction!$F$31=Construction!$R$22,Oeko!DH536,Oeko!FU536)</f>
        <v>1</v>
      </c>
      <c r="AV536" s="1979">
        <f>IF(Construction!$F$31=Construction!$R$22,Oeko!DI536,Oeko!FV536)</f>
        <v>1</v>
      </c>
      <c r="AW536" s="1998">
        <f>IF(Construction!$F$31=Construction!$R$22,Oeko!DJ536,Oeko!FW536)</f>
        <v>1</v>
      </c>
      <c r="AX536" s="1998">
        <f>IF(Construction!$F$31=Construction!$R$22,Oeko!DK536,Oeko!FX536)</f>
        <v>1</v>
      </c>
      <c r="AY536" s="1998">
        <f>IF(Construction!$F$31=Construction!$R$22,Oeko!DL536,Oeko!FY536)</f>
        <v>1</v>
      </c>
      <c r="AZ536" s="1998">
        <f>IF(Construction!$F$31=Construction!$R$22,Oeko!DM536,Oeko!FZ536)</f>
        <v>1</v>
      </c>
      <c r="BA536" s="1998">
        <f>IF(Construction!$F$31=Construction!$R$22,Oeko!DN536,Oeko!GA536)</f>
        <v>1</v>
      </c>
      <c r="BB536" s="1979">
        <f>IF(Construction!$F$31=Construction!$R$22,Oeko!DO536,Oeko!GB536)</f>
        <v>1</v>
      </c>
      <c r="BC536" s="1979">
        <f>IF(Construction!$F$31=Construction!$R$22,Oeko!DP536,Oeko!GC536)</f>
        <v>1</v>
      </c>
      <c r="BD536" s="1979">
        <f>IF(Construction!$F$31=Construction!$R$22,Oeko!DQ536,Oeko!GD536)</f>
        <v>1</v>
      </c>
      <c r="BE536" s="1979">
        <f>IF(Construction!$F$31=Construction!$R$22,Oeko!DR536,Oeko!GE536)</f>
        <v>1</v>
      </c>
      <c r="BF536" s="1979">
        <f>IF(Construction!$F$31=Construction!$R$22,Oeko!DS536,Oeko!GF536)</f>
        <v>1</v>
      </c>
      <c r="BG536" s="1998">
        <f>IF(Construction!$F$31=Construction!$R$22,Oeko!DT536,Oeko!GG536)</f>
        <v>1</v>
      </c>
      <c r="BH536" s="1998">
        <f>IF(Construction!$F$31=Construction!$R$22,Oeko!DU536,Oeko!GH536)</f>
        <v>1</v>
      </c>
      <c r="BI536" s="1998">
        <f>IF(Construction!$F$31=Construction!$R$22,Oeko!DV536,Oeko!GI536)</f>
        <v>1</v>
      </c>
      <c r="BJ536" s="1998">
        <f>IF(Construction!$F$31=Construction!$R$22,Oeko!DW536,Oeko!GJ536)</f>
        <v>1</v>
      </c>
      <c r="BK536" s="2026">
        <f>IF(Construction!$F$31=Construction!$R$22,Oeko!DX536,Oeko!GK536)</f>
        <v>1</v>
      </c>
      <c r="BN536" s="2022"/>
      <c r="BO536" s="2">
        <v>35</v>
      </c>
      <c r="BP536" s="2" t="str">
        <f>$AF$14</f>
        <v/>
      </c>
      <c r="BQ536" s="1979">
        <v>0</v>
      </c>
      <c r="BR536" s="1979">
        <v>0</v>
      </c>
      <c r="BS536" s="1979">
        <v>0</v>
      </c>
      <c r="BT536" s="1979">
        <v>0</v>
      </c>
      <c r="BU536" s="1979">
        <v>0</v>
      </c>
      <c r="BV536" s="1998">
        <v>1</v>
      </c>
      <c r="BW536" s="1998">
        <v>1</v>
      </c>
      <c r="BX536" s="1998">
        <v>1</v>
      </c>
      <c r="BY536" s="1998">
        <v>1</v>
      </c>
      <c r="BZ536" s="1998">
        <v>1</v>
      </c>
      <c r="CA536" s="1979">
        <v>1</v>
      </c>
      <c r="CB536" s="1979">
        <v>1</v>
      </c>
      <c r="CC536" s="1979">
        <v>1</v>
      </c>
      <c r="CD536" s="1979">
        <v>1</v>
      </c>
      <c r="CE536" s="1979">
        <v>1</v>
      </c>
      <c r="CF536" s="1998">
        <v>1</v>
      </c>
      <c r="CG536" s="1998">
        <v>1</v>
      </c>
      <c r="CH536" s="1998">
        <v>1</v>
      </c>
      <c r="CI536" s="1998">
        <v>1</v>
      </c>
      <c r="CJ536" s="1998">
        <v>1</v>
      </c>
      <c r="CK536" s="1979">
        <v>1</v>
      </c>
      <c r="CL536" s="1979">
        <v>1</v>
      </c>
      <c r="CM536" s="1979">
        <v>1</v>
      </c>
      <c r="CN536" s="1979">
        <v>1</v>
      </c>
      <c r="CO536" s="1979">
        <v>1</v>
      </c>
      <c r="CP536" s="1998">
        <v>1</v>
      </c>
      <c r="CQ536" s="1998">
        <v>1</v>
      </c>
      <c r="CR536" s="1998">
        <v>1</v>
      </c>
      <c r="CS536" s="1998">
        <v>1</v>
      </c>
      <c r="CT536" s="1998">
        <v>1</v>
      </c>
      <c r="CU536" s="1979">
        <v>1</v>
      </c>
      <c r="CV536" s="1979">
        <v>1</v>
      </c>
      <c r="CW536" s="1979">
        <v>1</v>
      </c>
      <c r="CX536" s="1979">
        <v>1</v>
      </c>
      <c r="CY536" s="1979">
        <v>1</v>
      </c>
      <c r="CZ536" s="1998">
        <v>1</v>
      </c>
      <c r="DA536" s="1998">
        <v>1</v>
      </c>
      <c r="DB536" s="1998">
        <v>1</v>
      </c>
      <c r="DC536" s="1998">
        <v>1</v>
      </c>
      <c r="DD536" s="1998">
        <v>1</v>
      </c>
      <c r="DE536" s="1979">
        <v>1</v>
      </c>
      <c r="DF536" s="1979">
        <v>1</v>
      </c>
      <c r="DG536" s="1979">
        <v>1</v>
      </c>
      <c r="DH536" s="1979">
        <v>1</v>
      </c>
      <c r="DI536" s="1979">
        <v>1</v>
      </c>
      <c r="DJ536" s="1998">
        <v>1</v>
      </c>
      <c r="DK536" s="1998">
        <v>1</v>
      </c>
      <c r="DL536" s="1998">
        <v>1</v>
      </c>
      <c r="DM536" s="1998">
        <v>1</v>
      </c>
      <c r="DN536" s="1998">
        <v>1</v>
      </c>
      <c r="DO536" s="1979">
        <v>1</v>
      </c>
      <c r="DP536" s="1979">
        <v>1</v>
      </c>
      <c r="DQ536" s="1979">
        <v>1</v>
      </c>
      <c r="DR536" s="1979">
        <v>1</v>
      </c>
      <c r="DS536" s="1979">
        <v>1</v>
      </c>
      <c r="DT536" s="1998">
        <v>1</v>
      </c>
      <c r="DU536" s="1998">
        <v>1</v>
      </c>
      <c r="DV536" s="1998">
        <v>1</v>
      </c>
      <c r="DW536" s="1998">
        <v>1</v>
      </c>
      <c r="DX536" s="2026">
        <v>1</v>
      </c>
      <c r="EA536" s="2022"/>
      <c r="EB536" s="2">
        <v>35</v>
      </c>
      <c r="EC536" s="2" t="str">
        <f>$AF$14</f>
        <v/>
      </c>
      <c r="ED536" s="1979">
        <v>0</v>
      </c>
      <c r="EE536" s="1979">
        <v>0</v>
      </c>
      <c r="EF536" s="1979">
        <v>0</v>
      </c>
      <c r="EG536" s="1979">
        <v>0</v>
      </c>
      <c r="EH536" s="1979">
        <v>0</v>
      </c>
      <c r="EI536" s="1998">
        <v>2.0966679740137137</v>
      </c>
      <c r="EJ536" s="1998">
        <v>2.0966679740137137</v>
      </c>
      <c r="EK536" s="1998">
        <v>2.0966679740137137</v>
      </c>
      <c r="EL536" s="1998">
        <v>2.0966679740137137</v>
      </c>
      <c r="EM536" s="1998">
        <v>2.0966679740137137</v>
      </c>
      <c r="EN536" s="1979">
        <v>1.4337071065592959</v>
      </c>
      <c r="EO536" s="1979">
        <v>1.4337071065592959</v>
      </c>
      <c r="EP536" s="1979">
        <v>1.4337071065592959</v>
      </c>
      <c r="EQ536" s="1979">
        <v>1.4337071065592959</v>
      </c>
      <c r="ER536" s="1979">
        <v>1.4337071065592959</v>
      </c>
      <c r="ES536" s="1998">
        <v>1.8379162318633464</v>
      </c>
      <c r="ET536" s="1998">
        <v>1.8379162318633464</v>
      </c>
      <c r="EU536" s="1998">
        <v>1.8379162318633464</v>
      </c>
      <c r="EV536" s="1998">
        <v>1.8379162318633464</v>
      </c>
      <c r="EW536" s="1998">
        <v>1.8379162318633464</v>
      </c>
      <c r="EX536" s="1979">
        <v>1.4662053104562123</v>
      </c>
      <c r="EY536" s="1979">
        <v>1.4662053104562123</v>
      </c>
      <c r="EZ536" s="1979">
        <v>1.4662053104562123</v>
      </c>
      <c r="FA536" s="1979">
        <v>1.4662053104562123</v>
      </c>
      <c r="FB536" s="1979">
        <v>1.4662053104562123</v>
      </c>
      <c r="FC536" s="1998">
        <v>1.6277744053108218</v>
      </c>
      <c r="FD536" s="1998">
        <v>1.6277744053108218</v>
      </c>
      <c r="FE536" s="1998">
        <v>1.6277744053108218</v>
      </c>
      <c r="FF536" s="1998">
        <v>1.6277744053108218</v>
      </c>
      <c r="FG536" s="1998">
        <v>1.6277744053108218</v>
      </c>
      <c r="FH536" s="1979">
        <v>2.3921927569513635</v>
      </c>
      <c r="FI536" s="1979">
        <v>2.3921927569513635</v>
      </c>
      <c r="FJ536" s="1979">
        <v>2.3921927569513635</v>
      </c>
      <c r="FK536" s="1979">
        <v>2.3921927569513635</v>
      </c>
      <c r="FL536" s="1979">
        <v>2.3921927569513635</v>
      </c>
      <c r="FM536" s="1998">
        <v>1.5115041757386145</v>
      </c>
      <c r="FN536" s="1998">
        <v>1.5115041757386145</v>
      </c>
      <c r="FO536" s="1998">
        <v>1.5115041757386145</v>
      </c>
      <c r="FP536" s="1998">
        <v>1.5115041757386145</v>
      </c>
      <c r="FQ536" s="1998">
        <v>1.5115041757386145</v>
      </c>
      <c r="FR536" s="1979">
        <v>8.1198212572277306</v>
      </c>
      <c r="FS536" s="1979">
        <v>8.1198212572277306</v>
      </c>
      <c r="FT536" s="1979">
        <v>8.1198212572277306</v>
      </c>
      <c r="FU536" s="1979">
        <v>8.1198212572277306</v>
      </c>
      <c r="FV536" s="1979">
        <v>8.1198212572277306</v>
      </c>
      <c r="FW536" s="1998">
        <v>8.4799072816005001</v>
      </c>
      <c r="FX536" s="1998">
        <v>8.4799072816005001</v>
      </c>
      <c r="FY536" s="1998">
        <v>8.4799072816005001</v>
      </c>
      <c r="FZ536" s="1998">
        <v>8.4799072816005001</v>
      </c>
      <c r="GA536" s="1998">
        <v>8.4799072816005001</v>
      </c>
      <c r="GB536" s="1979">
        <v>1.3861479372000356</v>
      </c>
      <c r="GC536" s="1979">
        <v>1.3861479372000356</v>
      </c>
      <c r="GD536" s="1979">
        <v>1.3861479372000356</v>
      </c>
      <c r="GE536" s="1979">
        <v>1.3861479372000356</v>
      </c>
      <c r="GF536" s="1979">
        <v>1.3861479372000356</v>
      </c>
      <c r="GG536" s="1998">
        <v>1.4313071575784038</v>
      </c>
      <c r="GH536" s="1998">
        <v>1.4313071575784038</v>
      </c>
      <c r="GI536" s="1998">
        <v>1.4313071575784038</v>
      </c>
      <c r="GJ536" s="1998">
        <v>1.4313071575784038</v>
      </c>
      <c r="GK536" s="2026">
        <v>1.4313071575784038</v>
      </c>
    </row>
    <row r="537" spans="1:193">
      <c r="A537" s="2020"/>
      <c r="B537" s="2">
        <v>36</v>
      </c>
      <c r="C537" s="2" t="str">
        <f>$AF$15</f>
        <v/>
      </c>
      <c r="D537" s="1979">
        <f>IF(Construction!$F$31=Construction!$R$22,Oeko!BQ537,Oeko!ED537)</f>
        <v>0</v>
      </c>
      <c r="E537" s="1979">
        <f>IF(Construction!$F$31=Construction!$R$22,Oeko!BR537,Oeko!EE537)</f>
        <v>0</v>
      </c>
      <c r="F537" s="1979">
        <f>IF(Construction!$F$31=Construction!$R$22,Oeko!BS537,Oeko!EF537)</f>
        <v>0</v>
      </c>
      <c r="G537" s="1979">
        <f>IF(Construction!$F$31=Construction!$R$22,Oeko!BT537,Oeko!EG537)</f>
        <v>0</v>
      </c>
      <c r="H537" s="1979">
        <f>IF(Construction!$F$31=Construction!$R$22,Oeko!BU537,Oeko!EH537)</f>
        <v>0</v>
      </c>
      <c r="I537" s="1998">
        <f>IF(Construction!$F$31=Construction!$R$22,Oeko!BV537,Oeko!EI537)</f>
        <v>1</v>
      </c>
      <c r="J537" s="1998">
        <f>IF(Construction!$F$31=Construction!$R$22,Oeko!BW537,Oeko!EJ537)</f>
        <v>1</v>
      </c>
      <c r="K537" s="1998">
        <f>IF(Construction!$F$31=Construction!$R$22,Oeko!BX537,Oeko!EK537)</f>
        <v>1</v>
      </c>
      <c r="L537" s="1998">
        <f>IF(Construction!$F$31=Construction!$R$22,Oeko!BY537,Oeko!EL537)</f>
        <v>1</v>
      </c>
      <c r="M537" s="1998">
        <f>IF(Construction!$F$31=Construction!$R$22,Oeko!BZ537,Oeko!EM537)</f>
        <v>1</v>
      </c>
      <c r="N537" s="1979">
        <f>IF(Construction!$F$31=Construction!$R$22,Oeko!CA537,Oeko!EN537)</f>
        <v>1</v>
      </c>
      <c r="O537" s="1979">
        <f>IF(Construction!$F$31=Construction!$R$22,Oeko!CB537,Oeko!EO537)</f>
        <v>1</v>
      </c>
      <c r="P537" s="1979">
        <f>IF(Construction!$F$31=Construction!$R$22,Oeko!CC537,Oeko!EP537)</f>
        <v>1</v>
      </c>
      <c r="Q537" s="1979">
        <f>IF(Construction!$F$31=Construction!$R$22,Oeko!CD537,Oeko!EQ537)</f>
        <v>1</v>
      </c>
      <c r="R537" s="1979">
        <f>IF(Construction!$F$31=Construction!$R$22,Oeko!CE537,Oeko!ER537)</f>
        <v>1</v>
      </c>
      <c r="S537" s="1998">
        <f>IF(Construction!$F$31=Construction!$R$22,Oeko!CF537,Oeko!ES537)</f>
        <v>1</v>
      </c>
      <c r="T537" s="1998">
        <f>IF(Construction!$F$31=Construction!$R$22,Oeko!CG537,Oeko!ET537)</f>
        <v>1</v>
      </c>
      <c r="U537" s="1998">
        <f>IF(Construction!$F$31=Construction!$R$22,Oeko!CH537,Oeko!EU537)</f>
        <v>1</v>
      </c>
      <c r="V537" s="1998">
        <f>IF(Construction!$F$31=Construction!$R$22,Oeko!CI537,Oeko!EV537)</f>
        <v>1</v>
      </c>
      <c r="W537" s="1998">
        <f>IF(Construction!$F$31=Construction!$R$22,Oeko!CJ537,Oeko!EW537)</f>
        <v>1</v>
      </c>
      <c r="X537" s="1979">
        <f>IF(Construction!$F$31=Construction!$R$22,Oeko!CK537,Oeko!EX537)</f>
        <v>1</v>
      </c>
      <c r="Y537" s="1979">
        <f>IF(Construction!$F$31=Construction!$R$22,Oeko!CL537,Oeko!EY537)</f>
        <v>1</v>
      </c>
      <c r="Z537" s="1979">
        <f>IF(Construction!$F$31=Construction!$R$22,Oeko!CM537,Oeko!EZ537)</f>
        <v>1</v>
      </c>
      <c r="AA537" s="1979">
        <f>IF(Construction!$F$31=Construction!$R$22,Oeko!CN537,Oeko!FA537)</f>
        <v>1</v>
      </c>
      <c r="AB537" s="1979">
        <f>IF(Construction!$F$31=Construction!$R$22,Oeko!CO537,Oeko!FB537)</f>
        <v>1</v>
      </c>
      <c r="AC537" s="1998">
        <f>IF(Construction!$F$31=Construction!$R$22,Oeko!CP537,Oeko!FC537)</f>
        <v>1</v>
      </c>
      <c r="AD537" s="1998">
        <f>IF(Construction!$F$31=Construction!$R$22,Oeko!CQ537,Oeko!FD537)</f>
        <v>1</v>
      </c>
      <c r="AE537" s="1998">
        <f>IF(Construction!$F$31=Construction!$R$22,Oeko!CR537,Oeko!FE537)</f>
        <v>1</v>
      </c>
      <c r="AF537" s="1998">
        <f>IF(Construction!$F$31=Construction!$R$22,Oeko!CS537,Oeko!FF537)</f>
        <v>1</v>
      </c>
      <c r="AG537" s="1998">
        <f>IF(Construction!$F$31=Construction!$R$22,Oeko!CT537,Oeko!FG537)</f>
        <v>1</v>
      </c>
      <c r="AH537" s="1979">
        <f>IF(Construction!$F$31=Construction!$R$22,Oeko!CU537,Oeko!FH537)</f>
        <v>1</v>
      </c>
      <c r="AI537" s="1979">
        <f>IF(Construction!$F$31=Construction!$R$22,Oeko!CV537,Oeko!FI537)</f>
        <v>1</v>
      </c>
      <c r="AJ537" s="1979">
        <f>IF(Construction!$F$31=Construction!$R$22,Oeko!CW537,Oeko!FJ537)</f>
        <v>1</v>
      </c>
      <c r="AK537" s="1979">
        <f>IF(Construction!$F$31=Construction!$R$22,Oeko!CX537,Oeko!FK537)</f>
        <v>1</v>
      </c>
      <c r="AL537" s="1979">
        <f>IF(Construction!$F$31=Construction!$R$22,Oeko!CY537,Oeko!FL537)</f>
        <v>1</v>
      </c>
      <c r="AM537" s="1998">
        <f>IF(Construction!$F$31=Construction!$R$22,Oeko!CZ537,Oeko!FM537)</f>
        <v>1</v>
      </c>
      <c r="AN537" s="1998">
        <f>IF(Construction!$F$31=Construction!$R$22,Oeko!DA537,Oeko!FN537)</f>
        <v>1</v>
      </c>
      <c r="AO537" s="1998">
        <f>IF(Construction!$F$31=Construction!$R$22,Oeko!DB537,Oeko!FO537)</f>
        <v>1</v>
      </c>
      <c r="AP537" s="1998">
        <f>IF(Construction!$F$31=Construction!$R$22,Oeko!DC537,Oeko!FP537)</f>
        <v>1</v>
      </c>
      <c r="AQ537" s="1998">
        <f>IF(Construction!$F$31=Construction!$R$22,Oeko!DD537,Oeko!FQ537)</f>
        <v>1</v>
      </c>
      <c r="AR537" s="1979">
        <f>IF(Construction!$F$31=Construction!$R$22,Oeko!DE537,Oeko!FR537)</f>
        <v>1</v>
      </c>
      <c r="AS537" s="1979">
        <f>IF(Construction!$F$31=Construction!$R$22,Oeko!DF537,Oeko!FS537)</f>
        <v>1</v>
      </c>
      <c r="AT537" s="1979">
        <f>IF(Construction!$F$31=Construction!$R$22,Oeko!DG537,Oeko!FT537)</f>
        <v>1</v>
      </c>
      <c r="AU537" s="1979">
        <f>IF(Construction!$F$31=Construction!$R$22,Oeko!DH537,Oeko!FU537)</f>
        <v>1</v>
      </c>
      <c r="AV537" s="1979">
        <f>IF(Construction!$F$31=Construction!$R$22,Oeko!DI537,Oeko!FV537)</f>
        <v>1</v>
      </c>
      <c r="AW537" s="1998">
        <f>IF(Construction!$F$31=Construction!$R$22,Oeko!DJ537,Oeko!FW537)</f>
        <v>1</v>
      </c>
      <c r="AX537" s="1998">
        <f>IF(Construction!$F$31=Construction!$R$22,Oeko!DK537,Oeko!FX537)</f>
        <v>1</v>
      </c>
      <c r="AY537" s="1998">
        <f>IF(Construction!$F$31=Construction!$R$22,Oeko!DL537,Oeko!FY537)</f>
        <v>1</v>
      </c>
      <c r="AZ537" s="1998">
        <f>IF(Construction!$F$31=Construction!$R$22,Oeko!DM537,Oeko!FZ537)</f>
        <v>1</v>
      </c>
      <c r="BA537" s="1998">
        <f>IF(Construction!$F$31=Construction!$R$22,Oeko!DN537,Oeko!GA537)</f>
        <v>1</v>
      </c>
      <c r="BB537" s="1979">
        <f>IF(Construction!$F$31=Construction!$R$22,Oeko!DO537,Oeko!GB537)</f>
        <v>1</v>
      </c>
      <c r="BC537" s="1979">
        <f>IF(Construction!$F$31=Construction!$R$22,Oeko!DP537,Oeko!GC537)</f>
        <v>1</v>
      </c>
      <c r="BD537" s="1979">
        <f>IF(Construction!$F$31=Construction!$R$22,Oeko!DQ537,Oeko!GD537)</f>
        <v>1</v>
      </c>
      <c r="BE537" s="1979">
        <f>IF(Construction!$F$31=Construction!$R$22,Oeko!DR537,Oeko!GE537)</f>
        <v>1</v>
      </c>
      <c r="BF537" s="1979">
        <f>IF(Construction!$F$31=Construction!$R$22,Oeko!DS537,Oeko!GF537)</f>
        <v>1</v>
      </c>
      <c r="BG537" s="1998">
        <f>IF(Construction!$F$31=Construction!$R$22,Oeko!DT537,Oeko!GG537)</f>
        <v>1</v>
      </c>
      <c r="BH537" s="1998">
        <f>IF(Construction!$F$31=Construction!$R$22,Oeko!DU537,Oeko!GH537)</f>
        <v>1</v>
      </c>
      <c r="BI537" s="1998">
        <f>IF(Construction!$F$31=Construction!$R$22,Oeko!DV537,Oeko!GI537)</f>
        <v>1</v>
      </c>
      <c r="BJ537" s="1998">
        <f>IF(Construction!$F$31=Construction!$R$22,Oeko!DW537,Oeko!GJ537)</f>
        <v>1</v>
      </c>
      <c r="BK537" s="2026">
        <f>IF(Construction!$F$31=Construction!$R$22,Oeko!DX537,Oeko!GK537)</f>
        <v>1</v>
      </c>
      <c r="BN537" s="2022"/>
      <c r="BO537" s="2">
        <v>36</v>
      </c>
      <c r="BP537" s="2" t="str">
        <f>$AF$15</f>
        <v/>
      </c>
      <c r="BQ537" s="1979">
        <v>0</v>
      </c>
      <c r="BR537" s="1979">
        <v>0</v>
      </c>
      <c r="BS537" s="1979">
        <v>0</v>
      </c>
      <c r="BT537" s="1979">
        <v>0</v>
      </c>
      <c r="BU537" s="1979">
        <v>0</v>
      </c>
      <c r="BV537" s="1998">
        <v>1</v>
      </c>
      <c r="BW537" s="1998">
        <v>1</v>
      </c>
      <c r="BX537" s="1998">
        <v>1</v>
      </c>
      <c r="BY537" s="1998">
        <v>1</v>
      </c>
      <c r="BZ537" s="1998">
        <v>1</v>
      </c>
      <c r="CA537" s="1979">
        <v>1</v>
      </c>
      <c r="CB537" s="1979">
        <v>1</v>
      </c>
      <c r="CC537" s="1979">
        <v>1</v>
      </c>
      <c r="CD537" s="1979">
        <v>1</v>
      </c>
      <c r="CE537" s="1979">
        <v>1</v>
      </c>
      <c r="CF537" s="1998">
        <v>1</v>
      </c>
      <c r="CG537" s="1998">
        <v>1</v>
      </c>
      <c r="CH537" s="1998">
        <v>1</v>
      </c>
      <c r="CI537" s="1998">
        <v>1</v>
      </c>
      <c r="CJ537" s="1998">
        <v>1</v>
      </c>
      <c r="CK537" s="1979">
        <v>1</v>
      </c>
      <c r="CL537" s="1979">
        <v>1</v>
      </c>
      <c r="CM537" s="1979">
        <v>1</v>
      </c>
      <c r="CN537" s="1979">
        <v>1</v>
      </c>
      <c r="CO537" s="1979">
        <v>1</v>
      </c>
      <c r="CP537" s="1998">
        <v>1</v>
      </c>
      <c r="CQ537" s="1998">
        <v>1</v>
      </c>
      <c r="CR537" s="1998">
        <v>1</v>
      </c>
      <c r="CS537" s="1998">
        <v>1</v>
      </c>
      <c r="CT537" s="1998">
        <v>1</v>
      </c>
      <c r="CU537" s="1979">
        <v>1</v>
      </c>
      <c r="CV537" s="1979">
        <v>1</v>
      </c>
      <c r="CW537" s="1979">
        <v>1</v>
      </c>
      <c r="CX537" s="1979">
        <v>1</v>
      </c>
      <c r="CY537" s="1979">
        <v>1</v>
      </c>
      <c r="CZ537" s="1998">
        <v>1</v>
      </c>
      <c r="DA537" s="1998">
        <v>1</v>
      </c>
      <c r="DB537" s="1998">
        <v>1</v>
      </c>
      <c r="DC537" s="1998">
        <v>1</v>
      </c>
      <c r="DD537" s="1998">
        <v>1</v>
      </c>
      <c r="DE537" s="1979">
        <v>1</v>
      </c>
      <c r="DF537" s="1979">
        <v>1</v>
      </c>
      <c r="DG537" s="1979">
        <v>1</v>
      </c>
      <c r="DH537" s="1979">
        <v>1</v>
      </c>
      <c r="DI537" s="1979">
        <v>1</v>
      </c>
      <c r="DJ537" s="1998">
        <v>1</v>
      </c>
      <c r="DK537" s="1998">
        <v>1</v>
      </c>
      <c r="DL537" s="1998">
        <v>1</v>
      </c>
      <c r="DM537" s="1998">
        <v>1</v>
      </c>
      <c r="DN537" s="1998">
        <v>1</v>
      </c>
      <c r="DO537" s="1979">
        <v>1</v>
      </c>
      <c r="DP537" s="1979">
        <v>1</v>
      </c>
      <c r="DQ537" s="1979">
        <v>1</v>
      </c>
      <c r="DR537" s="1979">
        <v>1</v>
      </c>
      <c r="DS537" s="1979">
        <v>1</v>
      </c>
      <c r="DT537" s="1998">
        <v>1</v>
      </c>
      <c r="DU537" s="1998">
        <v>1</v>
      </c>
      <c r="DV537" s="1998">
        <v>1</v>
      </c>
      <c r="DW537" s="1998">
        <v>1</v>
      </c>
      <c r="DX537" s="2026">
        <v>1</v>
      </c>
      <c r="EA537" s="2022"/>
      <c r="EB537" s="2">
        <v>36</v>
      </c>
      <c r="EC537" s="2" t="str">
        <f>$AF$15</f>
        <v/>
      </c>
      <c r="ED537" s="1979">
        <v>0</v>
      </c>
      <c r="EE537" s="1979">
        <v>0</v>
      </c>
      <c r="EF537" s="1979">
        <v>0</v>
      </c>
      <c r="EG537" s="1979">
        <v>0</v>
      </c>
      <c r="EH537" s="1979">
        <v>0</v>
      </c>
      <c r="EI537" s="1998">
        <v>2.0966679740137137</v>
      </c>
      <c r="EJ537" s="1998">
        <v>2.0966679740137137</v>
      </c>
      <c r="EK537" s="1998">
        <v>2.0966679740137137</v>
      </c>
      <c r="EL537" s="1998">
        <v>2.0966679740137137</v>
      </c>
      <c r="EM537" s="1998">
        <v>2.0966679740137137</v>
      </c>
      <c r="EN537" s="1979">
        <v>1.4337071065592959</v>
      </c>
      <c r="EO537" s="1979">
        <v>1.4337071065592959</v>
      </c>
      <c r="EP537" s="1979">
        <v>1.4337071065592959</v>
      </c>
      <c r="EQ537" s="1979">
        <v>1.4337071065592959</v>
      </c>
      <c r="ER537" s="1979">
        <v>1.4337071065592959</v>
      </c>
      <c r="ES537" s="1998">
        <v>1.8379162318633464</v>
      </c>
      <c r="ET537" s="1998">
        <v>1.8379162318633464</v>
      </c>
      <c r="EU537" s="1998">
        <v>1.8379162318633464</v>
      </c>
      <c r="EV537" s="1998">
        <v>1.8379162318633464</v>
      </c>
      <c r="EW537" s="1998">
        <v>1.8379162318633464</v>
      </c>
      <c r="EX537" s="1979">
        <v>1.4662053104562123</v>
      </c>
      <c r="EY537" s="1979">
        <v>1.4662053104562123</v>
      </c>
      <c r="EZ537" s="1979">
        <v>1.4662053104562123</v>
      </c>
      <c r="FA537" s="1979">
        <v>1.4662053104562123</v>
      </c>
      <c r="FB537" s="1979">
        <v>1.4662053104562123</v>
      </c>
      <c r="FC537" s="1998">
        <v>1.6277744053108218</v>
      </c>
      <c r="FD537" s="1998">
        <v>1.6277744053108218</v>
      </c>
      <c r="FE537" s="1998">
        <v>1.6277744053108218</v>
      </c>
      <c r="FF537" s="1998">
        <v>1.6277744053108218</v>
      </c>
      <c r="FG537" s="1998">
        <v>1.6277744053108218</v>
      </c>
      <c r="FH537" s="1979">
        <v>2.3921927569513635</v>
      </c>
      <c r="FI537" s="1979">
        <v>2.3921927569513635</v>
      </c>
      <c r="FJ537" s="1979">
        <v>2.3921927569513635</v>
      </c>
      <c r="FK537" s="1979">
        <v>2.3921927569513635</v>
      </c>
      <c r="FL537" s="1979">
        <v>2.3921927569513635</v>
      </c>
      <c r="FM537" s="1998">
        <v>1.5115041757386145</v>
      </c>
      <c r="FN537" s="1998">
        <v>1.5115041757386145</v>
      </c>
      <c r="FO537" s="1998">
        <v>1.5115041757386145</v>
      </c>
      <c r="FP537" s="1998">
        <v>1.5115041757386145</v>
      </c>
      <c r="FQ537" s="1998">
        <v>1.5115041757386145</v>
      </c>
      <c r="FR537" s="1979">
        <v>8.1198212572277306</v>
      </c>
      <c r="FS537" s="1979">
        <v>8.1198212572277306</v>
      </c>
      <c r="FT537" s="1979">
        <v>8.1198212572277306</v>
      </c>
      <c r="FU537" s="1979">
        <v>8.1198212572277306</v>
      </c>
      <c r="FV537" s="1979">
        <v>8.1198212572277306</v>
      </c>
      <c r="FW537" s="1998">
        <v>8.4799072816005001</v>
      </c>
      <c r="FX537" s="1998">
        <v>8.4799072816005001</v>
      </c>
      <c r="FY537" s="1998">
        <v>8.4799072816005001</v>
      </c>
      <c r="FZ537" s="1998">
        <v>8.4799072816005001</v>
      </c>
      <c r="GA537" s="1998">
        <v>8.4799072816005001</v>
      </c>
      <c r="GB537" s="1979">
        <v>1.3861479372000356</v>
      </c>
      <c r="GC537" s="1979">
        <v>1.3861479372000356</v>
      </c>
      <c r="GD537" s="1979">
        <v>1.3861479372000356</v>
      </c>
      <c r="GE537" s="1979">
        <v>1.3861479372000356</v>
      </c>
      <c r="GF537" s="1979">
        <v>1.3861479372000356</v>
      </c>
      <c r="GG537" s="1998">
        <v>1.4313071575784038</v>
      </c>
      <c r="GH537" s="1998">
        <v>1.4313071575784038</v>
      </c>
      <c r="GI537" s="1998">
        <v>1.4313071575784038</v>
      </c>
      <c r="GJ537" s="1998">
        <v>1.4313071575784038</v>
      </c>
      <c r="GK537" s="2026">
        <v>1.4313071575784038</v>
      </c>
    </row>
    <row r="538" spans="1:193">
      <c r="A538" s="2020"/>
      <c r="B538" s="2">
        <v>37</v>
      </c>
      <c r="C538" s="2" t="str">
        <f>$AF$16</f>
        <v/>
      </c>
      <c r="D538" s="1979">
        <f>IF(Construction!$F$31=Construction!$R$22,Oeko!BQ538,Oeko!ED538)</f>
        <v>0</v>
      </c>
      <c r="E538" s="1979">
        <f>IF(Construction!$F$31=Construction!$R$22,Oeko!BR538,Oeko!EE538)</f>
        <v>0</v>
      </c>
      <c r="F538" s="1979">
        <f>IF(Construction!$F$31=Construction!$R$22,Oeko!BS538,Oeko!EF538)</f>
        <v>0</v>
      </c>
      <c r="G538" s="1979">
        <f>IF(Construction!$F$31=Construction!$R$22,Oeko!BT538,Oeko!EG538)</f>
        <v>0</v>
      </c>
      <c r="H538" s="1979">
        <f>IF(Construction!$F$31=Construction!$R$22,Oeko!BU538,Oeko!EH538)</f>
        <v>0</v>
      </c>
      <c r="I538" s="1998">
        <f>IF(Construction!$F$31=Construction!$R$22,Oeko!BV538,Oeko!EI538)</f>
        <v>1</v>
      </c>
      <c r="J538" s="1998">
        <f>IF(Construction!$F$31=Construction!$R$22,Oeko!BW538,Oeko!EJ538)</f>
        <v>1</v>
      </c>
      <c r="K538" s="1998">
        <f>IF(Construction!$F$31=Construction!$R$22,Oeko!BX538,Oeko!EK538)</f>
        <v>1</v>
      </c>
      <c r="L538" s="1998">
        <f>IF(Construction!$F$31=Construction!$R$22,Oeko!BY538,Oeko!EL538)</f>
        <v>1</v>
      </c>
      <c r="M538" s="1998">
        <f>IF(Construction!$F$31=Construction!$R$22,Oeko!BZ538,Oeko!EM538)</f>
        <v>1</v>
      </c>
      <c r="N538" s="1979">
        <f>IF(Construction!$F$31=Construction!$R$22,Oeko!CA538,Oeko!EN538)</f>
        <v>1</v>
      </c>
      <c r="O538" s="1979">
        <f>IF(Construction!$F$31=Construction!$R$22,Oeko!CB538,Oeko!EO538)</f>
        <v>1</v>
      </c>
      <c r="P538" s="1979">
        <f>IF(Construction!$F$31=Construction!$R$22,Oeko!CC538,Oeko!EP538)</f>
        <v>1</v>
      </c>
      <c r="Q538" s="1979">
        <f>IF(Construction!$F$31=Construction!$R$22,Oeko!CD538,Oeko!EQ538)</f>
        <v>1</v>
      </c>
      <c r="R538" s="1979">
        <f>IF(Construction!$F$31=Construction!$R$22,Oeko!CE538,Oeko!ER538)</f>
        <v>1</v>
      </c>
      <c r="S538" s="1998">
        <f>IF(Construction!$F$31=Construction!$R$22,Oeko!CF538,Oeko!ES538)</f>
        <v>1</v>
      </c>
      <c r="T538" s="1998">
        <f>IF(Construction!$F$31=Construction!$R$22,Oeko!CG538,Oeko!ET538)</f>
        <v>1</v>
      </c>
      <c r="U538" s="1998">
        <f>IF(Construction!$F$31=Construction!$R$22,Oeko!CH538,Oeko!EU538)</f>
        <v>1</v>
      </c>
      <c r="V538" s="1998">
        <f>IF(Construction!$F$31=Construction!$R$22,Oeko!CI538,Oeko!EV538)</f>
        <v>1</v>
      </c>
      <c r="W538" s="1998">
        <f>IF(Construction!$F$31=Construction!$R$22,Oeko!CJ538,Oeko!EW538)</f>
        <v>1</v>
      </c>
      <c r="X538" s="1979">
        <f>IF(Construction!$F$31=Construction!$R$22,Oeko!CK538,Oeko!EX538)</f>
        <v>1</v>
      </c>
      <c r="Y538" s="1979">
        <f>IF(Construction!$F$31=Construction!$R$22,Oeko!CL538,Oeko!EY538)</f>
        <v>1</v>
      </c>
      <c r="Z538" s="1979">
        <f>IF(Construction!$F$31=Construction!$R$22,Oeko!CM538,Oeko!EZ538)</f>
        <v>1</v>
      </c>
      <c r="AA538" s="1979">
        <f>IF(Construction!$F$31=Construction!$R$22,Oeko!CN538,Oeko!FA538)</f>
        <v>1</v>
      </c>
      <c r="AB538" s="1979">
        <f>IF(Construction!$F$31=Construction!$R$22,Oeko!CO538,Oeko!FB538)</f>
        <v>1</v>
      </c>
      <c r="AC538" s="1998">
        <f>IF(Construction!$F$31=Construction!$R$22,Oeko!CP538,Oeko!FC538)</f>
        <v>1</v>
      </c>
      <c r="AD538" s="1998">
        <f>IF(Construction!$F$31=Construction!$R$22,Oeko!CQ538,Oeko!FD538)</f>
        <v>1</v>
      </c>
      <c r="AE538" s="1998">
        <f>IF(Construction!$F$31=Construction!$R$22,Oeko!CR538,Oeko!FE538)</f>
        <v>1</v>
      </c>
      <c r="AF538" s="1998">
        <f>IF(Construction!$F$31=Construction!$R$22,Oeko!CS538,Oeko!FF538)</f>
        <v>1</v>
      </c>
      <c r="AG538" s="1998">
        <f>IF(Construction!$F$31=Construction!$R$22,Oeko!CT538,Oeko!FG538)</f>
        <v>1</v>
      </c>
      <c r="AH538" s="1979">
        <f>IF(Construction!$F$31=Construction!$R$22,Oeko!CU538,Oeko!FH538)</f>
        <v>1</v>
      </c>
      <c r="AI538" s="1979">
        <f>IF(Construction!$F$31=Construction!$R$22,Oeko!CV538,Oeko!FI538)</f>
        <v>1</v>
      </c>
      <c r="AJ538" s="1979">
        <f>IF(Construction!$F$31=Construction!$R$22,Oeko!CW538,Oeko!FJ538)</f>
        <v>1</v>
      </c>
      <c r="AK538" s="1979">
        <f>IF(Construction!$F$31=Construction!$R$22,Oeko!CX538,Oeko!FK538)</f>
        <v>1</v>
      </c>
      <c r="AL538" s="1979">
        <f>IF(Construction!$F$31=Construction!$R$22,Oeko!CY538,Oeko!FL538)</f>
        <v>1</v>
      </c>
      <c r="AM538" s="1998">
        <f>IF(Construction!$F$31=Construction!$R$22,Oeko!CZ538,Oeko!FM538)</f>
        <v>1</v>
      </c>
      <c r="AN538" s="1998">
        <f>IF(Construction!$F$31=Construction!$R$22,Oeko!DA538,Oeko!FN538)</f>
        <v>1</v>
      </c>
      <c r="AO538" s="1998">
        <f>IF(Construction!$F$31=Construction!$R$22,Oeko!DB538,Oeko!FO538)</f>
        <v>1</v>
      </c>
      <c r="AP538" s="1998">
        <f>IF(Construction!$F$31=Construction!$R$22,Oeko!DC538,Oeko!FP538)</f>
        <v>1</v>
      </c>
      <c r="AQ538" s="1998">
        <f>IF(Construction!$F$31=Construction!$R$22,Oeko!DD538,Oeko!FQ538)</f>
        <v>1</v>
      </c>
      <c r="AR538" s="1979">
        <f>IF(Construction!$F$31=Construction!$R$22,Oeko!DE538,Oeko!FR538)</f>
        <v>1</v>
      </c>
      <c r="AS538" s="1979">
        <f>IF(Construction!$F$31=Construction!$R$22,Oeko!DF538,Oeko!FS538)</f>
        <v>1</v>
      </c>
      <c r="AT538" s="1979">
        <f>IF(Construction!$F$31=Construction!$R$22,Oeko!DG538,Oeko!FT538)</f>
        <v>1</v>
      </c>
      <c r="AU538" s="1979">
        <f>IF(Construction!$F$31=Construction!$R$22,Oeko!DH538,Oeko!FU538)</f>
        <v>1</v>
      </c>
      <c r="AV538" s="1979">
        <f>IF(Construction!$F$31=Construction!$R$22,Oeko!DI538,Oeko!FV538)</f>
        <v>1</v>
      </c>
      <c r="AW538" s="1998">
        <f>IF(Construction!$F$31=Construction!$R$22,Oeko!DJ538,Oeko!FW538)</f>
        <v>1</v>
      </c>
      <c r="AX538" s="1998">
        <f>IF(Construction!$F$31=Construction!$R$22,Oeko!DK538,Oeko!FX538)</f>
        <v>1</v>
      </c>
      <c r="AY538" s="1998">
        <f>IF(Construction!$F$31=Construction!$R$22,Oeko!DL538,Oeko!FY538)</f>
        <v>1</v>
      </c>
      <c r="AZ538" s="1998">
        <f>IF(Construction!$F$31=Construction!$R$22,Oeko!DM538,Oeko!FZ538)</f>
        <v>1</v>
      </c>
      <c r="BA538" s="1998">
        <f>IF(Construction!$F$31=Construction!$R$22,Oeko!DN538,Oeko!GA538)</f>
        <v>1</v>
      </c>
      <c r="BB538" s="1979">
        <f>IF(Construction!$F$31=Construction!$R$22,Oeko!DO538,Oeko!GB538)</f>
        <v>1</v>
      </c>
      <c r="BC538" s="1979">
        <f>IF(Construction!$F$31=Construction!$R$22,Oeko!DP538,Oeko!GC538)</f>
        <v>1</v>
      </c>
      <c r="BD538" s="1979">
        <f>IF(Construction!$F$31=Construction!$R$22,Oeko!DQ538,Oeko!GD538)</f>
        <v>1</v>
      </c>
      <c r="BE538" s="1979">
        <f>IF(Construction!$F$31=Construction!$R$22,Oeko!DR538,Oeko!GE538)</f>
        <v>1</v>
      </c>
      <c r="BF538" s="1979">
        <f>IF(Construction!$F$31=Construction!$R$22,Oeko!DS538,Oeko!GF538)</f>
        <v>1</v>
      </c>
      <c r="BG538" s="1998">
        <f>IF(Construction!$F$31=Construction!$R$22,Oeko!DT538,Oeko!GG538)</f>
        <v>1</v>
      </c>
      <c r="BH538" s="1998">
        <f>IF(Construction!$F$31=Construction!$R$22,Oeko!DU538,Oeko!GH538)</f>
        <v>1</v>
      </c>
      <c r="BI538" s="1998">
        <f>IF(Construction!$F$31=Construction!$R$22,Oeko!DV538,Oeko!GI538)</f>
        <v>1</v>
      </c>
      <c r="BJ538" s="1998">
        <f>IF(Construction!$F$31=Construction!$R$22,Oeko!DW538,Oeko!GJ538)</f>
        <v>1</v>
      </c>
      <c r="BK538" s="2026">
        <f>IF(Construction!$F$31=Construction!$R$22,Oeko!DX538,Oeko!GK538)</f>
        <v>1</v>
      </c>
      <c r="BN538" s="2022"/>
      <c r="BO538" s="2">
        <v>37</v>
      </c>
      <c r="BP538" s="2" t="str">
        <f>$AF$16</f>
        <v/>
      </c>
      <c r="BQ538" s="1979">
        <v>0</v>
      </c>
      <c r="BR538" s="1979">
        <v>0</v>
      </c>
      <c r="BS538" s="1979">
        <v>0</v>
      </c>
      <c r="BT538" s="1979">
        <v>0</v>
      </c>
      <c r="BU538" s="1979">
        <v>0</v>
      </c>
      <c r="BV538" s="1998">
        <v>1</v>
      </c>
      <c r="BW538" s="1998">
        <v>1</v>
      </c>
      <c r="BX538" s="1998">
        <v>1</v>
      </c>
      <c r="BY538" s="1998">
        <v>1</v>
      </c>
      <c r="BZ538" s="1998">
        <v>1</v>
      </c>
      <c r="CA538" s="1979">
        <v>1</v>
      </c>
      <c r="CB538" s="1979">
        <v>1</v>
      </c>
      <c r="CC538" s="1979">
        <v>1</v>
      </c>
      <c r="CD538" s="1979">
        <v>1</v>
      </c>
      <c r="CE538" s="1979">
        <v>1</v>
      </c>
      <c r="CF538" s="1998">
        <v>1</v>
      </c>
      <c r="CG538" s="1998">
        <v>1</v>
      </c>
      <c r="CH538" s="1998">
        <v>1</v>
      </c>
      <c r="CI538" s="1998">
        <v>1</v>
      </c>
      <c r="CJ538" s="1998">
        <v>1</v>
      </c>
      <c r="CK538" s="1979">
        <v>1</v>
      </c>
      <c r="CL538" s="1979">
        <v>1</v>
      </c>
      <c r="CM538" s="1979">
        <v>1</v>
      </c>
      <c r="CN538" s="1979">
        <v>1</v>
      </c>
      <c r="CO538" s="1979">
        <v>1</v>
      </c>
      <c r="CP538" s="1998">
        <v>1</v>
      </c>
      <c r="CQ538" s="1998">
        <v>1</v>
      </c>
      <c r="CR538" s="1998">
        <v>1</v>
      </c>
      <c r="CS538" s="1998">
        <v>1</v>
      </c>
      <c r="CT538" s="1998">
        <v>1</v>
      </c>
      <c r="CU538" s="1979">
        <v>1</v>
      </c>
      <c r="CV538" s="1979">
        <v>1</v>
      </c>
      <c r="CW538" s="1979">
        <v>1</v>
      </c>
      <c r="CX538" s="1979">
        <v>1</v>
      </c>
      <c r="CY538" s="1979">
        <v>1</v>
      </c>
      <c r="CZ538" s="1998">
        <v>1</v>
      </c>
      <c r="DA538" s="1998">
        <v>1</v>
      </c>
      <c r="DB538" s="1998">
        <v>1</v>
      </c>
      <c r="DC538" s="1998">
        <v>1</v>
      </c>
      <c r="DD538" s="1998">
        <v>1</v>
      </c>
      <c r="DE538" s="1979">
        <v>1</v>
      </c>
      <c r="DF538" s="1979">
        <v>1</v>
      </c>
      <c r="DG538" s="1979">
        <v>1</v>
      </c>
      <c r="DH538" s="1979">
        <v>1</v>
      </c>
      <c r="DI538" s="1979">
        <v>1</v>
      </c>
      <c r="DJ538" s="1998">
        <v>1</v>
      </c>
      <c r="DK538" s="1998">
        <v>1</v>
      </c>
      <c r="DL538" s="1998">
        <v>1</v>
      </c>
      <c r="DM538" s="1998">
        <v>1</v>
      </c>
      <c r="DN538" s="1998">
        <v>1</v>
      </c>
      <c r="DO538" s="1979">
        <v>1</v>
      </c>
      <c r="DP538" s="1979">
        <v>1</v>
      </c>
      <c r="DQ538" s="1979">
        <v>1</v>
      </c>
      <c r="DR538" s="1979">
        <v>1</v>
      </c>
      <c r="DS538" s="1979">
        <v>1</v>
      </c>
      <c r="DT538" s="1998">
        <v>1</v>
      </c>
      <c r="DU538" s="1998">
        <v>1</v>
      </c>
      <c r="DV538" s="1998">
        <v>1</v>
      </c>
      <c r="DW538" s="1998">
        <v>1</v>
      </c>
      <c r="DX538" s="2026">
        <v>1</v>
      </c>
      <c r="EA538" s="2022"/>
      <c r="EB538" s="2">
        <v>37</v>
      </c>
      <c r="EC538" s="2" t="str">
        <f>$AF$16</f>
        <v/>
      </c>
      <c r="ED538" s="1979">
        <v>0</v>
      </c>
      <c r="EE538" s="1979">
        <v>0</v>
      </c>
      <c r="EF538" s="1979">
        <v>0</v>
      </c>
      <c r="EG538" s="1979">
        <v>0</v>
      </c>
      <c r="EH538" s="1979">
        <v>0</v>
      </c>
      <c r="EI538" s="1998">
        <v>2.0966679740137137</v>
      </c>
      <c r="EJ538" s="1998">
        <v>2.0966679740137137</v>
      </c>
      <c r="EK538" s="1998">
        <v>2.0966679740137137</v>
      </c>
      <c r="EL538" s="1998">
        <v>2.0966679740137137</v>
      </c>
      <c r="EM538" s="1998">
        <v>2.0966679740137137</v>
      </c>
      <c r="EN538" s="1979">
        <v>1.4337071065592959</v>
      </c>
      <c r="EO538" s="1979">
        <v>1.4337071065592959</v>
      </c>
      <c r="EP538" s="1979">
        <v>1.4337071065592959</v>
      </c>
      <c r="EQ538" s="1979">
        <v>1.4337071065592959</v>
      </c>
      <c r="ER538" s="1979">
        <v>1.4337071065592959</v>
      </c>
      <c r="ES538" s="1998">
        <v>1.8379162318633464</v>
      </c>
      <c r="ET538" s="1998">
        <v>1.8379162318633464</v>
      </c>
      <c r="EU538" s="1998">
        <v>1.8379162318633464</v>
      </c>
      <c r="EV538" s="1998">
        <v>1.8379162318633464</v>
      </c>
      <c r="EW538" s="1998">
        <v>1.8379162318633464</v>
      </c>
      <c r="EX538" s="1979">
        <v>1.4662053104562123</v>
      </c>
      <c r="EY538" s="1979">
        <v>1.4662053104562123</v>
      </c>
      <c r="EZ538" s="1979">
        <v>1.4662053104562123</v>
      </c>
      <c r="FA538" s="1979">
        <v>1.4662053104562123</v>
      </c>
      <c r="FB538" s="1979">
        <v>1.4662053104562123</v>
      </c>
      <c r="FC538" s="1998">
        <v>1.6277744053108218</v>
      </c>
      <c r="FD538" s="1998">
        <v>1.6277744053108218</v>
      </c>
      <c r="FE538" s="1998">
        <v>1.6277744053108218</v>
      </c>
      <c r="FF538" s="1998">
        <v>1.6277744053108218</v>
      </c>
      <c r="FG538" s="1998">
        <v>1.6277744053108218</v>
      </c>
      <c r="FH538" s="1979">
        <v>2.3921927569513635</v>
      </c>
      <c r="FI538" s="1979">
        <v>2.3921927569513635</v>
      </c>
      <c r="FJ538" s="1979">
        <v>2.3921927569513635</v>
      </c>
      <c r="FK538" s="1979">
        <v>2.3921927569513635</v>
      </c>
      <c r="FL538" s="1979">
        <v>2.3921927569513635</v>
      </c>
      <c r="FM538" s="1998">
        <v>1.5115041757386145</v>
      </c>
      <c r="FN538" s="1998">
        <v>1.5115041757386145</v>
      </c>
      <c r="FO538" s="1998">
        <v>1.5115041757386145</v>
      </c>
      <c r="FP538" s="1998">
        <v>1.5115041757386145</v>
      </c>
      <c r="FQ538" s="1998">
        <v>1.5115041757386145</v>
      </c>
      <c r="FR538" s="1979">
        <v>8.1198212572277306</v>
      </c>
      <c r="FS538" s="1979">
        <v>8.1198212572277306</v>
      </c>
      <c r="FT538" s="1979">
        <v>8.1198212572277306</v>
      </c>
      <c r="FU538" s="1979">
        <v>8.1198212572277306</v>
      </c>
      <c r="FV538" s="1979">
        <v>8.1198212572277306</v>
      </c>
      <c r="FW538" s="1998">
        <v>8.4799072816005001</v>
      </c>
      <c r="FX538" s="1998">
        <v>8.4799072816005001</v>
      </c>
      <c r="FY538" s="1998">
        <v>8.4799072816005001</v>
      </c>
      <c r="FZ538" s="1998">
        <v>8.4799072816005001</v>
      </c>
      <c r="GA538" s="1998">
        <v>8.4799072816005001</v>
      </c>
      <c r="GB538" s="1979">
        <v>1.3861479372000356</v>
      </c>
      <c r="GC538" s="1979">
        <v>1.3861479372000356</v>
      </c>
      <c r="GD538" s="1979">
        <v>1.3861479372000356</v>
      </c>
      <c r="GE538" s="1979">
        <v>1.3861479372000356</v>
      </c>
      <c r="GF538" s="1979">
        <v>1.3861479372000356</v>
      </c>
      <c r="GG538" s="1998">
        <v>1.4313071575784038</v>
      </c>
      <c r="GH538" s="1998">
        <v>1.4313071575784038</v>
      </c>
      <c r="GI538" s="1998">
        <v>1.4313071575784038</v>
      </c>
      <c r="GJ538" s="1998">
        <v>1.4313071575784038</v>
      </c>
      <c r="GK538" s="2026">
        <v>1.4313071575784038</v>
      </c>
    </row>
    <row r="539" spans="1:193">
      <c r="A539" s="2020"/>
      <c r="B539" s="2">
        <v>38</v>
      </c>
      <c r="C539" s="2" t="str">
        <f>$AF$17</f>
        <v/>
      </c>
      <c r="D539" s="1979">
        <f>IF(Construction!$F$31=Construction!$R$22,Oeko!BQ539,Oeko!ED539)</f>
        <v>0</v>
      </c>
      <c r="E539" s="1979">
        <f>IF(Construction!$F$31=Construction!$R$22,Oeko!BR539,Oeko!EE539)</f>
        <v>0</v>
      </c>
      <c r="F539" s="1979">
        <f>IF(Construction!$F$31=Construction!$R$22,Oeko!BS539,Oeko!EF539)</f>
        <v>0</v>
      </c>
      <c r="G539" s="1979">
        <f>IF(Construction!$F$31=Construction!$R$22,Oeko!BT539,Oeko!EG539)</f>
        <v>0</v>
      </c>
      <c r="H539" s="1979">
        <f>IF(Construction!$F$31=Construction!$R$22,Oeko!BU539,Oeko!EH539)</f>
        <v>0</v>
      </c>
      <c r="I539" s="1998">
        <f>IF(Construction!$F$31=Construction!$R$22,Oeko!BV539,Oeko!EI539)</f>
        <v>1</v>
      </c>
      <c r="J539" s="1998">
        <f>IF(Construction!$F$31=Construction!$R$22,Oeko!BW539,Oeko!EJ539)</f>
        <v>1</v>
      </c>
      <c r="K539" s="1998">
        <f>IF(Construction!$F$31=Construction!$R$22,Oeko!BX539,Oeko!EK539)</f>
        <v>1</v>
      </c>
      <c r="L539" s="1998">
        <f>IF(Construction!$F$31=Construction!$R$22,Oeko!BY539,Oeko!EL539)</f>
        <v>1</v>
      </c>
      <c r="M539" s="1998">
        <f>IF(Construction!$F$31=Construction!$R$22,Oeko!BZ539,Oeko!EM539)</f>
        <v>1</v>
      </c>
      <c r="N539" s="1979">
        <f>IF(Construction!$F$31=Construction!$R$22,Oeko!CA539,Oeko!EN539)</f>
        <v>1</v>
      </c>
      <c r="O539" s="1979">
        <f>IF(Construction!$F$31=Construction!$R$22,Oeko!CB539,Oeko!EO539)</f>
        <v>1</v>
      </c>
      <c r="P539" s="1979">
        <f>IF(Construction!$F$31=Construction!$R$22,Oeko!CC539,Oeko!EP539)</f>
        <v>1</v>
      </c>
      <c r="Q539" s="1979">
        <f>IF(Construction!$F$31=Construction!$R$22,Oeko!CD539,Oeko!EQ539)</f>
        <v>1</v>
      </c>
      <c r="R539" s="1979">
        <f>IF(Construction!$F$31=Construction!$R$22,Oeko!CE539,Oeko!ER539)</f>
        <v>1</v>
      </c>
      <c r="S539" s="1998">
        <f>IF(Construction!$F$31=Construction!$R$22,Oeko!CF539,Oeko!ES539)</f>
        <v>1</v>
      </c>
      <c r="T539" s="1998">
        <f>IF(Construction!$F$31=Construction!$R$22,Oeko!CG539,Oeko!ET539)</f>
        <v>1</v>
      </c>
      <c r="U539" s="1998">
        <f>IF(Construction!$F$31=Construction!$R$22,Oeko!CH539,Oeko!EU539)</f>
        <v>1</v>
      </c>
      <c r="V539" s="1998">
        <f>IF(Construction!$F$31=Construction!$R$22,Oeko!CI539,Oeko!EV539)</f>
        <v>1</v>
      </c>
      <c r="W539" s="1998">
        <f>IF(Construction!$F$31=Construction!$R$22,Oeko!CJ539,Oeko!EW539)</f>
        <v>1</v>
      </c>
      <c r="X539" s="1979">
        <f>IF(Construction!$F$31=Construction!$R$22,Oeko!CK539,Oeko!EX539)</f>
        <v>1</v>
      </c>
      <c r="Y539" s="1979">
        <f>IF(Construction!$F$31=Construction!$R$22,Oeko!CL539,Oeko!EY539)</f>
        <v>1</v>
      </c>
      <c r="Z539" s="1979">
        <f>IF(Construction!$F$31=Construction!$R$22,Oeko!CM539,Oeko!EZ539)</f>
        <v>1</v>
      </c>
      <c r="AA539" s="1979">
        <f>IF(Construction!$F$31=Construction!$R$22,Oeko!CN539,Oeko!FA539)</f>
        <v>1</v>
      </c>
      <c r="AB539" s="1979">
        <f>IF(Construction!$F$31=Construction!$R$22,Oeko!CO539,Oeko!FB539)</f>
        <v>1</v>
      </c>
      <c r="AC539" s="1998">
        <f>IF(Construction!$F$31=Construction!$R$22,Oeko!CP539,Oeko!FC539)</f>
        <v>1</v>
      </c>
      <c r="AD539" s="1998">
        <f>IF(Construction!$F$31=Construction!$R$22,Oeko!CQ539,Oeko!FD539)</f>
        <v>1</v>
      </c>
      <c r="AE539" s="1998">
        <f>IF(Construction!$F$31=Construction!$R$22,Oeko!CR539,Oeko!FE539)</f>
        <v>1</v>
      </c>
      <c r="AF539" s="1998">
        <f>IF(Construction!$F$31=Construction!$R$22,Oeko!CS539,Oeko!FF539)</f>
        <v>1</v>
      </c>
      <c r="AG539" s="1998">
        <f>IF(Construction!$F$31=Construction!$R$22,Oeko!CT539,Oeko!FG539)</f>
        <v>1</v>
      </c>
      <c r="AH539" s="1979">
        <f>IF(Construction!$F$31=Construction!$R$22,Oeko!CU539,Oeko!FH539)</f>
        <v>1</v>
      </c>
      <c r="AI539" s="1979">
        <f>IF(Construction!$F$31=Construction!$R$22,Oeko!CV539,Oeko!FI539)</f>
        <v>1</v>
      </c>
      <c r="AJ539" s="1979">
        <f>IF(Construction!$F$31=Construction!$R$22,Oeko!CW539,Oeko!FJ539)</f>
        <v>1</v>
      </c>
      <c r="AK539" s="1979">
        <f>IF(Construction!$F$31=Construction!$R$22,Oeko!CX539,Oeko!FK539)</f>
        <v>1</v>
      </c>
      <c r="AL539" s="1979">
        <f>IF(Construction!$F$31=Construction!$R$22,Oeko!CY539,Oeko!FL539)</f>
        <v>1</v>
      </c>
      <c r="AM539" s="1998">
        <f>IF(Construction!$F$31=Construction!$R$22,Oeko!CZ539,Oeko!FM539)</f>
        <v>1</v>
      </c>
      <c r="AN539" s="1998">
        <f>IF(Construction!$F$31=Construction!$R$22,Oeko!DA539,Oeko!FN539)</f>
        <v>1</v>
      </c>
      <c r="AO539" s="1998">
        <f>IF(Construction!$F$31=Construction!$R$22,Oeko!DB539,Oeko!FO539)</f>
        <v>1</v>
      </c>
      <c r="AP539" s="1998">
        <f>IF(Construction!$F$31=Construction!$R$22,Oeko!DC539,Oeko!FP539)</f>
        <v>1</v>
      </c>
      <c r="AQ539" s="1998">
        <f>IF(Construction!$F$31=Construction!$R$22,Oeko!DD539,Oeko!FQ539)</f>
        <v>1</v>
      </c>
      <c r="AR539" s="1979">
        <f>IF(Construction!$F$31=Construction!$R$22,Oeko!DE539,Oeko!FR539)</f>
        <v>1</v>
      </c>
      <c r="AS539" s="1979">
        <f>IF(Construction!$F$31=Construction!$R$22,Oeko!DF539,Oeko!FS539)</f>
        <v>1</v>
      </c>
      <c r="AT539" s="1979">
        <f>IF(Construction!$F$31=Construction!$R$22,Oeko!DG539,Oeko!FT539)</f>
        <v>1</v>
      </c>
      <c r="AU539" s="1979">
        <f>IF(Construction!$F$31=Construction!$R$22,Oeko!DH539,Oeko!FU539)</f>
        <v>1</v>
      </c>
      <c r="AV539" s="1979">
        <f>IF(Construction!$F$31=Construction!$R$22,Oeko!DI539,Oeko!FV539)</f>
        <v>1</v>
      </c>
      <c r="AW539" s="1998">
        <f>IF(Construction!$F$31=Construction!$R$22,Oeko!DJ539,Oeko!FW539)</f>
        <v>1</v>
      </c>
      <c r="AX539" s="1998">
        <f>IF(Construction!$F$31=Construction!$R$22,Oeko!DK539,Oeko!FX539)</f>
        <v>1</v>
      </c>
      <c r="AY539" s="1998">
        <f>IF(Construction!$F$31=Construction!$R$22,Oeko!DL539,Oeko!FY539)</f>
        <v>1</v>
      </c>
      <c r="AZ539" s="1998">
        <f>IF(Construction!$F$31=Construction!$R$22,Oeko!DM539,Oeko!FZ539)</f>
        <v>1</v>
      </c>
      <c r="BA539" s="1998">
        <f>IF(Construction!$F$31=Construction!$R$22,Oeko!DN539,Oeko!GA539)</f>
        <v>1</v>
      </c>
      <c r="BB539" s="1979">
        <f>IF(Construction!$F$31=Construction!$R$22,Oeko!DO539,Oeko!GB539)</f>
        <v>1</v>
      </c>
      <c r="BC539" s="1979">
        <f>IF(Construction!$F$31=Construction!$R$22,Oeko!DP539,Oeko!GC539)</f>
        <v>1</v>
      </c>
      <c r="BD539" s="1979">
        <f>IF(Construction!$F$31=Construction!$R$22,Oeko!DQ539,Oeko!GD539)</f>
        <v>1</v>
      </c>
      <c r="BE539" s="1979">
        <f>IF(Construction!$F$31=Construction!$R$22,Oeko!DR539,Oeko!GE539)</f>
        <v>1</v>
      </c>
      <c r="BF539" s="1979">
        <f>IF(Construction!$F$31=Construction!$R$22,Oeko!DS539,Oeko!GF539)</f>
        <v>1</v>
      </c>
      <c r="BG539" s="1998">
        <f>IF(Construction!$F$31=Construction!$R$22,Oeko!DT539,Oeko!GG539)</f>
        <v>1</v>
      </c>
      <c r="BH539" s="1998">
        <f>IF(Construction!$F$31=Construction!$R$22,Oeko!DU539,Oeko!GH539)</f>
        <v>1</v>
      </c>
      <c r="BI539" s="1998">
        <f>IF(Construction!$F$31=Construction!$R$22,Oeko!DV539,Oeko!GI539)</f>
        <v>1</v>
      </c>
      <c r="BJ539" s="1998">
        <f>IF(Construction!$F$31=Construction!$R$22,Oeko!DW539,Oeko!GJ539)</f>
        <v>1</v>
      </c>
      <c r="BK539" s="2026">
        <f>IF(Construction!$F$31=Construction!$R$22,Oeko!DX539,Oeko!GK539)</f>
        <v>1</v>
      </c>
      <c r="BN539" s="2022"/>
      <c r="BO539" s="2">
        <v>38</v>
      </c>
      <c r="BP539" s="2" t="str">
        <f>$AF$17</f>
        <v/>
      </c>
      <c r="BQ539" s="1979">
        <v>0</v>
      </c>
      <c r="BR539" s="1979">
        <v>0</v>
      </c>
      <c r="BS539" s="1979">
        <v>0</v>
      </c>
      <c r="BT539" s="1979">
        <v>0</v>
      </c>
      <c r="BU539" s="1979">
        <v>0</v>
      </c>
      <c r="BV539" s="1998">
        <v>1</v>
      </c>
      <c r="BW539" s="1998">
        <v>1</v>
      </c>
      <c r="BX539" s="1998">
        <v>1</v>
      </c>
      <c r="BY539" s="1998">
        <v>1</v>
      </c>
      <c r="BZ539" s="1998">
        <v>1</v>
      </c>
      <c r="CA539" s="1979">
        <v>1</v>
      </c>
      <c r="CB539" s="1979">
        <v>1</v>
      </c>
      <c r="CC539" s="1979">
        <v>1</v>
      </c>
      <c r="CD539" s="1979">
        <v>1</v>
      </c>
      <c r="CE539" s="1979">
        <v>1</v>
      </c>
      <c r="CF539" s="1998">
        <v>1</v>
      </c>
      <c r="CG539" s="1998">
        <v>1</v>
      </c>
      <c r="CH539" s="1998">
        <v>1</v>
      </c>
      <c r="CI539" s="1998">
        <v>1</v>
      </c>
      <c r="CJ539" s="1998">
        <v>1</v>
      </c>
      <c r="CK539" s="1979">
        <v>1</v>
      </c>
      <c r="CL539" s="1979">
        <v>1</v>
      </c>
      <c r="CM539" s="1979">
        <v>1</v>
      </c>
      <c r="CN539" s="1979">
        <v>1</v>
      </c>
      <c r="CO539" s="1979">
        <v>1</v>
      </c>
      <c r="CP539" s="1998">
        <v>1</v>
      </c>
      <c r="CQ539" s="1998">
        <v>1</v>
      </c>
      <c r="CR539" s="1998">
        <v>1</v>
      </c>
      <c r="CS539" s="1998">
        <v>1</v>
      </c>
      <c r="CT539" s="1998">
        <v>1</v>
      </c>
      <c r="CU539" s="1979">
        <v>1</v>
      </c>
      <c r="CV539" s="1979">
        <v>1</v>
      </c>
      <c r="CW539" s="1979">
        <v>1</v>
      </c>
      <c r="CX539" s="1979">
        <v>1</v>
      </c>
      <c r="CY539" s="1979">
        <v>1</v>
      </c>
      <c r="CZ539" s="1998">
        <v>1</v>
      </c>
      <c r="DA539" s="1998">
        <v>1</v>
      </c>
      <c r="DB539" s="1998">
        <v>1</v>
      </c>
      <c r="DC539" s="1998">
        <v>1</v>
      </c>
      <c r="DD539" s="1998">
        <v>1</v>
      </c>
      <c r="DE539" s="1979">
        <v>1</v>
      </c>
      <c r="DF539" s="1979">
        <v>1</v>
      </c>
      <c r="DG539" s="1979">
        <v>1</v>
      </c>
      <c r="DH539" s="1979">
        <v>1</v>
      </c>
      <c r="DI539" s="1979">
        <v>1</v>
      </c>
      <c r="DJ539" s="1998">
        <v>1</v>
      </c>
      <c r="DK539" s="1998">
        <v>1</v>
      </c>
      <c r="DL539" s="1998">
        <v>1</v>
      </c>
      <c r="DM539" s="1998">
        <v>1</v>
      </c>
      <c r="DN539" s="1998">
        <v>1</v>
      </c>
      <c r="DO539" s="1979">
        <v>1</v>
      </c>
      <c r="DP539" s="1979">
        <v>1</v>
      </c>
      <c r="DQ539" s="1979">
        <v>1</v>
      </c>
      <c r="DR539" s="1979">
        <v>1</v>
      </c>
      <c r="DS539" s="1979">
        <v>1</v>
      </c>
      <c r="DT539" s="1998">
        <v>1</v>
      </c>
      <c r="DU539" s="1998">
        <v>1</v>
      </c>
      <c r="DV539" s="1998">
        <v>1</v>
      </c>
      <c r="DW539" s="1998">
        <v>1</v>
      </c>
      <c r="DX539" s="2026">
        <v>1</v>
      </c>
      <c r="EA539" s="2022"/>
      <c r="EB539" s="2">
        <v>38</v>
      </c>
      <c r="EC539" s="2" t="str">
        <f>$AF$17</f>
        <v/>
      </c>
      <c r="ED539" s="1979">
        <v>0</v>
      </c>
      <c r="EE539" s="1979">
        <v>0</v>
      </c>
      <c r="EF539" s="1979">
        <v>0</v>
      </c>
      <c r="EG539" s="1979">
        <v>0</v>
      </c>
      <c r="EH539" s="1979">
        <v>0</v>
      </c>
      <c r="EI539" s="1998">
        <v>2.0966679740137137</v>
      </c>
      <c r="EJ539" s="1998">
        <v>2.0966679740137137</v>
      </c>
      <c r="EK539" s="1998">
        <v>2.0966679740137137</v>
      </c>
      <c r="EL539" s="1998">
        <v>2.0966679740137137</v>
      </c>
      <c r="EM539" s="1998">
        <v>2.0966679740137137</v>
      </c>
      <c r="EN539" s="1979">
        <v>1.4337071065592959</v>
      </c>
      <c r="EO539" s="1979">
        <v>1.4337071065592959</v>
      </c>
      <c r="EP539" s="1979">
        <v>1.4337071065592959</v>
      </c>
      <c r="EQ539" s="1979">
        <v>1.4337071065592959</v>
      </c>
      <c r="ER539" s="1979">
        <v>1.4337071065592959</v>
      </c>
      <c r="ES539" s="1998">
        <v>1.8379162318633464</v>
      </c>
      <c r="ET539" s="1998">
        <v>1.8379162318633464</v>
      </c>
      <c r="EU539" s="1998">
        <v>1.8379162318633464</v>
      </c>
      <c r="EV539" s="1998">
        <v>1.8379162318633464</v>
      </c>
      <c r="EW539" s="1998">
        <v>1.8379162318633464</v>
      </c>
      <c r="EX539" s="1979">
        <v>1.4662053104562123</v>
      </c>
      <c r="EY539" s="1979">
        <v>1.4662053104562123</v>
      </c>
      <c r="EZ539" s="1979">
        <v>1.4662053104562123</v>
      </c>
      <c r="FA539" s="1979">
        <v>1.4662053104562123</v>
      </c>
      <c r="FB539" s="1979">
        <v>1.4662053104562123</v>
      </c>
      <c r="FC539" s="1998">
        <v>1.6277744053108218</v>
      </c>
      <c r="FD539" s="1998">
        <v>1.6277744053108218</v>
      </c>
      <c r="FE539" s="1998">
        <v>1.6277744053108218</v>
      </c>
      <c r="FF539" s="1998">
        <v>1.6277744053108218</v>
      </c>
      <c r="FG539" s="1998">
        <v>1.6277744053108218</v>
      </c>
      <c r="FH539" s="1979">
        <v>2.3921927569513635</v>
      </c>
      <c r="FI539" s="1979">
        <v>2.3921927569513635</v>
      </c>
      <c r="FJ539" s="1979">
        <v>2.3921927569513635</v>
      </c>
      <c r="FK539" s="1979">
        <v>2.3921927569513635</v>
      </c>
      <c r="FL539" s="1979">
        <v>2.3921927569513635</v>
      </c>
      <c r="FM539" s="1998">
        <v>1.5115041757386145</v>
      </c>
      <c r="FN539" s="1998">
        <v>1.5115041757386145</v>
      </c>
      <c r="FO539" s="1998">
        <v>1.5115041757386145</v>
      </c>
      <c r="FP539" s="1998">
        <v>1.5115041757386145</v>
      </c>
      <c r="FQ539" s="1998">
        <v>1.5115041757386145</v>
      </c>
      <c r="FR539" s="1979">
        <v>8.1198212572277306</v>
      </c>
      <c r="FS539" s="1979">
        <v>8.1198212572277306</v>
      </c>
      <c r="FT539" s="1979">
        <v>8.1198212572277306</v>
      </c>
      <c r="FU539" s="1979">
        <v>8.1198212572277306</v>
      </c>
      <c r="FV539" s="1979">
        <v>8.1198212572277306</v>
      </c>
      <c r="FW539" s="1998">
        <v>8.4799072816005001</v>
      </c>
      <c r="FX539" s="1998">
        <v>8.4799072816005001</v>
      </c>
      <c r="FY539" s="1998">
        <v>8.4799072816005001</v>
      </c>
      <c r="FZ539" s="1998">
        <v>8.4799072816005001</v>
      </c>
      <c r="GA539" s="1998">
        <v>8.4799072816005001</v>
      </c>
      <c r="GB539" s="1979">
        <v>1.3861479372000356</v>
      </c>
      <c r="GC539" s="1979">
        <v>1.3861479372000356</v>
      </c>
      <c r="GD539" s="1979">
        <v>1.3861479372000356</v>
      </c>
      <c r="GE539" s="1979">
        <v>1.3861479372000356</v>
      </c>
      <c r="GF539" s="1979">
        <v>1.3861479372000356</v>
      </c>
      <c r="GG539" s="1998">
        <v>1.4313071575784038</v>
      </c>
      <c r="GH539" s="1998">
        <v>1.4313071575784038</v>
      </c>
      <c r="GI539" s="1998">
        <v>1.4313071575784038</v>
      </c>
      <c r="GJ539" s="1998">
        <v>1.4313071575784038</v>
      </c>
      <c r="GK539" s="2026">
        <v>1.4313071575784038</v>
      </c>
    </row>
    <row r="540" spans="1:193">
      <c r="A540" s="2020"/>
      <c r="B540" s="2">
        <v>39</v>
      </c>
      <c r="C540" s="2" t="str">
        <f>$AF$18</f>
        <v/>
      </c>
      <c r="D540" s="1979">
        <f>IF(Construction!$F$31=Construction!$R$22,Oeko!BQ540,Oeko!ED540)</f>
        <v>0</v>
      </c>
      <c r="E540" s="1979">
        <f>IF(Construction!$F$31=Construction!$R$22,Oeko!BR540,Oeko!EE540)</f>
        <v>0</v>
      </c>
      <c r="F540" s="1979">
        <f>IF(Construction!$F$31=Construction!$R$22,Oeko!BS540,Oeko!EF540)</f>
        <v>0</v>
      </c>
      <c r="G540" s="1979">
        <f>IF(Construction!$F$31=Construction!$R$22,Oeko!BT540,Oeko!EG540)</f>
        <v>0</v>
      </c>
      <c r="H540" s="1979">
        <f>IF(Construction!$F$31=Construction!$R$22,Oeko!BU540,Oeko!EH540)</f>
        <v>0</v>
      </c>
      <c r="I540" s="1998">
        <f>IF(Construction!$F$31=Construction!$R$22,Oeko!BV540,Oeko!EI540)</f>
        <v>1</v>
      </c>
      <c r="J540" s="1998">
        <f>IF(Construction!$F$31=Construction!$R$22,Oeko!BW540,Oeko!EJ540)</f>
        <v>1</v>
      </c>
      <c r="K540" s="1998">
        <f>IF(Construction!$F$31=Construction!$R$22,Oeko!BX540,Oeko!EK540)</f>
        <v>1</v>
      </c>
      <c r="L540" s="1998">
        <f>IF(Construction!$F$31=Construction!$R$22,Oeko!BY540,Oeko!EL540)</f>
        <v>1</v>
      </c>
      <c r="M540" s="1998">
        <f>IF(Construction!$F$31=Construction!$R$22,Oeko!BZ540,Oeko!EM540)</f>
        <v>1</v>
      </c>
      <c r="N540" s="1979">
        <f>IF(Construction!$F$31=Construction!$R$22,Oeko!CA540,Oeko!EN540)</f>
        <v>1</v>
      </c>
      <c r="O540" s="1979">
        <f>IF(Construction!$F$31=Construction!$R$22,Oeko!CB540,Oeko!EO540)</f>
        <v>1</v>
      </c>
      <c r="P540" s="1979">
        <f>IF(Construction!$F$31=Construction!$R$22,Oeko!CC540,Oeko!EP540)</f>
        <v>1</v>
      </c>
      <c r="Q540" s="1979">
        <f>IF(Construction!$F$31=Construction!$R$22,Oeko!CD540,Oeko!EQ540)</f>
        <v>1</v>
      </c>
      <c r="R540" s="1979">
        <f>IF(Construction!$F$31=Construction!$R$22,Oeko!CE540,Oeko!ER540)</f>
        <v>1</v>
      </c>
      <c r="S540" s="1998">
        <f>IF(Construction!$F$31=Construction!$R$22,Oeko!CF540,Oeko!ES540)</f>
        <v>1</v>
      </c>
      <c r="T540" s="1998">
        <f>IF(Construction!$F$31=Construction!$R$22,Oeko!CG540,Oeko!ET540)</f>
        <v>1</v>
      </c>
      <c r="U540" s="1998">
        <f>IF(Construction!$F$31=Construction!$R$22,Oeko!CH540,Oeko!EU540)</f>
        <v>1</v>
      </c>
      <c r="V540" s="1998">
        <f>IF(Construction!$F$31=Construction!$R$22,Oeko!CI540,Oeko!EV540)</f>
        <v>1</v>
      </c>
      <c r="W540" s="1998">
        <f>IF(Construction!$F$31=Construction!$R$22,Oeko!CJ540,Oeko!EW540)</f>
        <v>1</v>
      </c>
      <c r="X540" s="1979">
        <f>IF(Construction!$F$31=Construction!$R$22,Oeko!CK540,Oeko!EX540)</f>
        <v>1</v>
      </c>
      <c r="Y540" s="1979">
        <f>IF(Construction!$F$31=Construction!$R$22,Oeko!CL540,Oeko!EY540)</f>
        <v>1</v>
      </c>
      <c r="Z540" s="1979">
        <f>IF(Construction!$F$31=Construction!$R$22,Oeko!CM540,Oeko!EZ540)</f>
        <v>1</v>
      </c>
      <c r="AA540" s="1979">
        <f>IF(Construction!$F$31=Construction!$R$22,Oeko!CN540,Oeko!FA540)</f>
        <v>1</v>
      </c>
      <c r="AB540" s="1979">
        <f>IF(Construction!$F$31=Construction!$R$22,Oeko!CO540,Oeko!FB540)</f>
        <v>1</v>
      </c>
      <c r="AC540" s="1998">
        <f>IF(Construction!$F$31=Construction!$R$22,Oeko!CP540,Oeko!FC540)</f>
        <v>1</v>
      </c>
      <c r="AD540" s="1998">
        <f>IF(Construction!$F$31=Construction!$R$22,Oeko!CQ540,Oeko!FD540)</f>
        <v>1</v>
      </c>
      <c r="AE540" s="1998">
        <f>IF(Construction!$F$31=Construction!$R$22,Oeko!CR540,Oeko!FE540)</f>
        <v>1</v>
      </c>
      <c r="AF540" s="1998">
        <f>IF(Construction!$F$31=Construction!$R$22,Oeko!CS540,Oeko!FF540)</f>
        <v>1</v>
      </c>
      <c r="AG540" s="1998">
        <f>IF(Construction!$F$31=Construction!$R$22,Oeko!CT540,Oeko!FG540)</f>
        <v>1</v>
      </c>
      <c r="AH540" s="1979">
        <f>IF(Construction!$F$31=Construction!$R$22,Oeko!CU540,Oeko!FH540)</f>
        <v>1</v>
      </c>
      <c r="AI540" s="1979">
        <f>IF(Construction!$F$31=Construction!$R$22,Oeko!CV540,Oeko!FI540)</f>
        <v>1</v>
      </c>
      <c r="AJ540" s="1979">
        <f>IF(Construction!$F$31=Construction!$R$22,Oeko!CW540,Oeko!FJ540)</f>
        <v>1</v>
      </c>
      <c r="AK540" s="1979">
        <f>IF(Construction!$F$31=Construction!$R$22,Oeko!CX540,Oeko!FK540)</f>
        <v>1</v>
      </c>
      <c r="AL540" s="1979">
        <f>IF(Construction!$F$31=Construction!$R$22,Oeko!CY540,Oeko!FL540)</f>
        <v>1</v>
      </c>
      <c r="AM540" s="1998">
        <f>IF(Construction!$F$31=Construction!$R$22,Oeko!CZ540,Oeko!FM540)</f>
        <v>1</v>
      </c>
      <c r="AN540" s="1998">
        <f>IF(Construction!$F$31=Construction!$R$22,Oeko!DA540,Oeko!FN540)</f>
        <v>1</v>
      </c>
      <c r="AO540" s="1998">
        <f>IF(Construction!$F$31=Construction!$R$22,Oeko!DB540,Oeko!FO540)</f>
        <v>1</v>
      </c>
      <c r="AP540" s="1998">
        <f>IF(Construction!$F$31=Construction!$R$22,Oeko!DC540,Oeko!FP540)</f>
        <v>1</v>
      </c>
      <c r="AQ540" s="1998">
        <f>IF(Construction!$F$31=Construction!$R$22,Oeko!DD540,Oeko!FQ540)</f>
        <v>1</v>
      </c>
      <c r="AR540" s="1979">
        <f>IF(Construction!$F$31=Construction!$R$22,Oeko!DE540,Oeko!FR540)</f>
        <v>1</v>
      </c>
      <c r="AS540" s="1979">
        <f>IF(Construction!$F$31=Construction!$R$22,Oeko!DF540,Oeko!FS540)</f>
        <v>1</v>
      </c>
      <c r="AT540" s="1979">
        <f>IF(Construction!$F$31=Construction!$R$22,Oeko!DG540,Oeko!FT540)</f>
        <v>1</v>
      </c>
      <c r="AU540" s="1979">
        <f>IF(Construction!$F$31=Construction!$R$22,Oeko!DH540,Oeko!FU540)</f>
        <v>1</v>
      </c>
      <c r="AV540" s="1979">
        <f>IF(Construction!$F$31=Construction!$R$22,Oeko!DI540,Oeko!FV540)</f>
        <v>1</v>
      </c>
      <c r="AW540" s="1998">
        <f>IF(Construction!$F$31=Construction!$R$22,Oeko!DJ540,Oeko!FW540)</f>
        <v>1</v>
      </c>
      <c r="AX540" s="1998">
        <f>IF(Construction!$F$31=Construction!$R$22,Oeko!DK540,Oeko!FX540)</f>
        <v>1</v>
      </c>
      <c r="AY540" s="1998">
        <f>IF(Construction!$F$31=Construction!$R$22,Oeko!DL540,Oeko!FY540)</f>
        <v>1</v>
      </c>
      <c r="AZ540" s="1998">
        <f>IF(Construction!$F$31=Construction!$R$22,Oeko!DM540,Oeko!FZ540)</f>
        <v>1</v>
      </c>
      <c r="BA540" s="1998">
        <f>IF(Construction!$F$31=Construction!$R$22,Oeko!DN540,Oeko!GA540)</f>
        <v>1</v>
      </c>
      <c r="BB540" s="1979">
        <f>IF(Construction!$F$31=Construction!$R$22,Oeko!DO540,Oeko!GB540)</f>
        <v>1</v>
      </c>
      <c r="BC540" s="1979">
        <f>IF(Construction!$F$31=Construction!$R$22,Oeko!DP540,Oeko!GC540)</f>
        <v>1</v>
      </c>
      <c r="BD540" s="1979">
        <f>IF(Construction!$F$31=Construction!$R$22,Oeko!DQ540,Oeko!GD540)</f>
        <v>1</v>
      </c>
      <c r="BE540" s="1979">
        <f>IF(Construction!$F$31=Construction!$R$22,Oeko!DR540,Oeko!GE540)</f>
        <v>1</v>
      </c>
      <c r="BF540" s="1979">
        <f>IF(Construction!$F$31=Construction!$R$22,Oeko!DS540,Oeko!GF540)</f>
        <v>1</v>
      </c>
      <c r="BG540" s="1998">
        <f>IF(Construction!$F$31=Construction!$R$22,Oeko!DT540,Oeko!GG540)</f>
        <v>1</v>
      </c>
      <c r="BH540" s="1998">
        <f>IF(Construction!$F$31=Construction!$R$22,Oeko!DU540,Oeko!GH540)</f>
        <v>1</v>
      </c>
      <c r="BI540" s="1998">
        <f>IF(Construction!$F$31=Construction!$R$22,Oeko!DV540,Oeko!GI540)</f>
        <v>1</v>
      </c>
      <c r="BJ540" s="1998">
        <f>IF(Construction!$F$31=Construction!$R$22,Oeko!DW540,Oeko!GJ540)</f>
        <v>1</v>
      </c>
      <c r="BK540" s="2026">
        <f>IF(Construction!$F$31=Construction!$R$22,Oeko!DX540,Oeko!GK540)</f>
        <v>1</v>
      </c>
      <c r="BN540" s="2022"/>
      <c r="BO540" s="2">
        <v>39</v>
      </c>
      <c r="BP540" s="2" t="str">
        <f>$AF$18</f>
        <v/>
      </c>
      <c r="BQ540" s="1979">
        <v>0</v>
      </c>
      <c r="BR540" s="1979">
        <v>0</v>
      </c>
      <c r="BS540" s="1979">
        <v>0</v>
      </c>
      <c r="BT540" s="1979">
        <v>0</v>
      </c>
      <c r="BU540" s="1979">
        <v>0</v>
      </c>
      <c r="BV540" s="1998">
        <v>1</v>
      </c>
      <c r="BW540" s="1998">
        <v>1</v>
      </c>
      <c r="BX540" s="1998">
        <v>1</v>
      </c>
      <c r="BY540" s="1998">
        <v>1</v>
      </c>
      <c r="BZ540" s="1998">
        <v>1</v>
      </c>
      <c r="CA540" s="1979">
        <v>1</v>
      </c>
      <c r="CB540" s="1979">
        <v>1</v>
      </c>
      <c r="CC540" s="1979">
        <v>1</v>
      </c>
      <c r="CD540" s="1979">
        <v>1</v>
      </c>
      <c r="CE540" s="1979">
        <v>1</v>
      </c>
      <c r="CF540" s="1998">
        <v>1</v>
      </c>
      <c r="CG540" s="1998">
        <v>1</v>
      </c>
      <c r="CH540" s="1998">
        <v>1</v>
      </c>
      <c r="CI540" s="1998">
        <v>1</v>
      </c>
      <c r="CJ540" s="1998">
        <v>1</v>
      </c>
      <c r="CK540" s="1979">
        <v>1</v>
      </c>
      <c r="CL540" s="1979">
        <v>1</v>
      </c>
      <c r="CM540" s="1979">
        <v>1</v>
      </c>
      <c r="CN540" s="1979">
        <v>1</v>
      </c>
      <c r="CO540" s="1979">
        <v>1</v>
      </c>
      <c r="CP540" s="1998">
        <v>1</v>
      </c>
      <c r="CQ540" s="1998">
        <v>1</v>
      </c>
      <c r="CR540" s="1998">
        <v>1</v>
      </c>
      <c r="CS540" s="1998">
        <v>1</v>
      </c>
      <c r="CT540" s="1998">
        <v>1</v>
      </c>
      <c r="CU540" s="1979">
        <v>1</v>
      </c>
      <c r="CV540" s="1979">
        <v>1</v>
      </c>
      <c r="CW540" s="1979">
        <v>1</v>
      </c>
      <c r="CX540" s="1979">
        <v>1</v>
      </c>
      <c r="CY540" s="1979">
        <v>1</v>
      </c>
      <c r="CZ540" s="1998">
        <v>1</v>
      </c>
      <c r="DA540" s="1998">
        <v>1</v>
      </c>
      <c r="DB540" s="1998">
        <v>1</v>
      </c>
      <c r="DC540" s="1998">
        <v>1</v>
      </c>
      <c r="DD540" s="1998">
        <v>1</v>
      </c>
      <c r="DE540" s="1979">
        <v>1</v>
      </c>
      <c r="DF540" s="1979">
        <v>1</v>
      </c>
      <c r="DG540" s="1979">
        <v>1</v>
      </c>
      <c r="DH540" s="1979">
        <v>1</v>
      </c>
      <c r="DI540" s="1979">
        <v>1</v>
      </c>
      <c r="DJ540" s="1998">
        <v>1</v>
      </c>
      <c r="DK540" s="1998">
        <v>1</v>
      </c>
      <c r="DL540" s="1998">
        <v>1</v>
      </c>
      <c r="DM540" s="1998">
        <v>1</v>
      </c>
      <c r="DN540" s="1998">
        <v>1</v>
      </c>
      <c r="DO540" s="1979">
        <v>1</v>
      </c>
      <c r="DP540" s="1979">
        <v>1</v>
      </c>
      <c r="DQ540" s="1979">
        <v>1</v>
      </c>
      <c r="DR540" s="1979">
        <v>1</v>
      </c>
      <c r="DS540" s="1979">
        <v>1</v>
      </c>
      <c r="DT540" s="1998">
        <v>1</v>
      </c>
      <c r="DU540" s="1998">
        <v>1</v>
      </c>
      <c r="DV540" s="1998">
        <v>1</v>
      </c>
      <c r="DW540" s="1998">
        <v>1</v>
      </c>
      <c r="DX540" s="2026">
        <v>1</v>
      </c>
      <c r="EA540" s="2022"/>
      <c r="EB540" s="2">
        <v>39</v>
      </c>
      <c r="EC540" s="2" t="str">
        <f>$AF$18</f>
        <v/>
      </c>
      <c r="ED540" s="1979">
        <v>0</v>
      </c>
      <c r="EE540" s="1979">
        <v>0</v>
      </c>
      <c r="EF540" s="1979">
        <v>0</v>
      </c>
      <c r="EG540" s="1979">
        <v>0</v>
      </c>
      <c r="EH540" s="1979">
        <v>0</v>
      </c>
      <c r="EI540" s="1998">
        <v>2.0966679740137137</v>
      </c>
      <c r="EJ540" s="1998">
        <v>2.0966679740137137</v>
      </c>
      <c r="EK540" s="1998">
        <v>2.0966679740137137</v>
      </c>
      <c r="EL540" s="1998">
        <v>2.0966679740137137</v>
      </c>
      <c r="EM540" s="1998">
        <v>2.0966679740137137</v>
      </c>
      <c r="EN540" s="1979">
        <v>1.4337071065592959</v>
      </c>
      <c r="EO540" s="1979">
        <v>1.4337071065592959</v>
      </c>
      <c r="EP540" s="1979">
        <v>1.4337071065592959</v>
      </c>
      <c r="EQ540" s="1979">
        <v>1.4337071065592959</v>
      </c>
      <c r="ER540" s="1979">
        <v>1.4337071065592959</v>
      </c>
      <c r="ES540" s="1998">
        <v>1.8379162318633464</v>
      </c>
      <c r="ET540" s="1998">
        <v>1.8379162318633464</v>
      </c>
      <c r="EU540" s="1998">
        <v>1.8379162318633464</v>
      </c>
      <c r="EV540" s="1998">
        <v>1.8379162318633464</v>
      </c>
      <c r="EW540" s="1998">
        <v>1.8379162318633464</v>
      </c>
      <c r="EX540" s="1979">
        <v>1.4662053104562123</v>
      </c>
      <c r="EY540" s="1979">
        <v>1.4662053104562123</v>
      </c>
      <c r="EZ540" s="1979">
        <v>1.4662053104562123</v>
      </c>
      <c r="FA540" s="1979">
        <v>1.4662053104562123</v>
      </c>
      <c r="FB540" s="1979">
        <v>1.4662053104562123</v>
      </c>
      <c r="FC540" s="1998">
        <v>1.6277744053108218</v>
      </c>
      <c r="FD540" s="1998">
        <v>1.6277744053108218</v>
      </c>
      <c r="FE540" s="1998">
        <v>1.6277744053108218</v>
      </c>
      <c r="FF540" s="1998">
        <v>1.6277744053108218</v>
      </c>
      <c r="FG540" s="1998">
        <v>1.6277744053108218</v>
      </c>
      <c r="FH540" s="1979">
        <v>2.3921927569513635</v>
      </c>
      <c r="FI540" s="1979">
        <v>2.3921927569513635</v>
      </c>
      <c r="FJ540" s="1979">
        <v>2.3921927569513635</v>
      </c>
      <c r="FK540" s="1979">
        <v>2.3921927569513635</v>
      </c>
      <c r="FL540" s="1979">
        <v>2.3921927569513635</v>
      </c>
      <c r="FM540" s="1998">
        <v>1.5115041757386145</v>
      </c>
      <c r="FN540" s="1998">
        <v>1.5115041757386145</v>
      </c>
      <c r="FO540" s="1998">
        <v>1.5115041757386145</v>
      </c>
      <c r="FP540" s="1998">
        <v>1.5115041757386145</v>
      </c>
      <c r="FQ540" s="1998">
        <v>1.5115041757386145</v>
      </c>
      <c r="FR540" s="1979">
        <v>8.1198212572277306</v>
      </c>
      <c r="FS540" s="1979">
        <v>8.1198212572277306</v>
      </c>
      <c r="FT540" s="1979">
        <v>8.1198212572277306</v>
      </c>
      <c r="FU540" s="1979">
        <v>8.1198212572277306</v>
      </c>
      <c r="FV540" s="1979">
        <v>8.1198212572277306</v>
      </c>
      <c r="FW540" s="1998">
        <v>8.4799072816005001</v>
      </c>
      <c r="FX540" s="1998">
        <v>8.4799072816005001</v>
      </c>
      <c r="FY540" s="1998">
        <v>8.4799072816005001</v>
      </c>
      <c r="FZ540" s="1998">
        <v>8.4799072816005001</v>
      </c>
      <c r="GA540" s="1998">
        <v>8.4799072816005001</v>
      </c>
      <c r="GB540" s="1979">
        <v>1.3861479372000356</v>
      </c>
      <c r="GC540" s="1979">
        <v>1.3861479372000356</v>
      </c>
      <c r="GD540" s="1979">
        <v>1.3861479372000356</v>
      </c>
      <c r="GE540" s="1979">
        <v>1.3861479372000356</v>
      </c>
      <c r="GF540" s="1979">
        <v>1.3861479372000356</v>
      </c>
      <c r="GG540" s="1998">
        <v>1.4313071575784038</v>
      </c>
      <c r="GH540" s="1998">
        <v>1.4313071575784038</v>
      </c>
      <c r="GI540" s="1998">
        <v>1.4313071575784038</v>
      </c>
      <c r="GJ540" s="1998">
        <v>1.4313071575784038</v>
      </c>
      <c r="GK540" s="2026">
        <v>1.4313071575784038</v>
      </c>
    </row>
    <row r="541" spans="1:193">
      <c r="A541" s="2023" t="str">
        <f>Uebersetzung!$D635</f>
        <v>Construction vitrée</v>
      </c>
      <c r="B541" s="2">
        <v>1</v>
      </c>
      <c r="C541" s="2" t="s">
        <v>4327</v>
      </c>
      <c r="D541" s="2004">
        <f>IF(Construction!$F$31=Construction!$R$22,Oeko!BQ541,Oeko!ED541)</f>
        <v>1.09375</v>
      </c>
      <c r="E541" s="2004">
        <f>IF(Construction!$F$31=Construction!$R$22,Oeko!BR541,Oeko!EE541)</f>
        <v>1.09375</v>
      </c>
      <c r="F541" s="2004">
        <f>IF(Construction!$F$31=Construction!$R$22,Oeko!BS541,Oeko!EF541)</f>
        <v>1.09375</v>
      </c>
      <c r="G541" s="2004">
        <f>IF(Construction!$F$31=Construction!$R$22,Oeko!BT541,Oeko!EG541)</f>
        <v>1.09375</v>
      </c>
      <c r="H541" s="2004">
        <f>IF(Construction!$F$31=Construction!$R$22,Oeko!BU541,Oeko!EH541)</f>
        <v>1.09375</v>
      </c>
      <c r="I541" s="2002">
        <f>IF(Construction!$F$31=Construction!$R$22,Oeko!BV541,Oeko!EI541)</f>
        <v>0</v>
      </c>
      <c r="J541" s="2002">
        <f>IF(Construction!$F$31=Construction!$R$22,Oeko!BW541,Oeko!EJ541)</f>
        <v>0</v>
      </c>
      <c r="K541" s="2002">
        <f>IF(Construction!$F$31=Construction!$R$22,Oeko!BX541,Oeko!EK541)</f>
        <v>0</v>
      </c>
      <c r="L541" s="2002">
        <f>IF(Construction!$F$31=Construction!$R$22,Oeko!BY541,Oeko!EL541)</f>
        <v>0</v>
      </c>
      <c r="M541" s="2002">
        <f>IF(Construction!$F$31=Construction!$R$22,Oeko!BZ541,Oeko!EM541)</f>
        <v>0</v>
      </c>
      <c r="N541" s="2004">
        <f>IF(Construction!$F$31=Construction!$R$22,Oeko!CA541,Oeko!EN541)</f>
        <v>1.0389610389610389</v>
      </c>
      <c r="O541" s="2004">
        <f>IF(Construction!$F$31=Construction!$R$22,Oeko!CB541,Oeko!EO541)</f>
        <v>1.0389610389610389</v>
      </c>
      <c r="P541" s="2004">
        <f>IF(Construction!$F$31=Construction!$R$22,Oeko!CC541,Oeko!EP541)</f>
        <v>1.0389610389610389</v>
      </c>
      <c r="Q541" s="2004">
        <f>IF(Construction!$F$31=Construction!$R$22,Oeko!CD541,Oeko!EQ541)</f>
        <v>1.0389610389610389</v>
      </c>
      <c r="R541" s="2004">
        <f>IF(Construction!$F$31=Construction!$R$22,Oeko!CE541,Oeko!ER541)</f>
        <v>1.0389610389610389</v>
      </c>
      <c r="S541" s="2002">
        <f>IF(Construction!$F$31=Construction!$R$22,Oeko!CF541,Oeko!ES541)</f>
        <v>1.3500000000000003</v>
      </c>
      <c r="T541" s="2002">
        <f>IF(Construction!$F$31=Construction!$R$22,Oeko!CG541,Oeko!ET541)</f>
        <v>1.3500000000000003</v>
      </c>
      <c r="U541" s="2002">
        <f>IF(Construction!$F$31=Construction!$R$22,Oeko!CH541,Oeko!EU541)</f>
        <v>1.3500000000000003</v>
      </c>
      <c r="V541" s="2002">
        <f>IF(Construction!$F$31=Construction!$R$22,Oeko!CI541,Oeko!EV541)</f>
        <v>1.3500000000000003</v>
      </c>
      <c r="W541" s="2002">
        <f>IF(Construction!$F$31=Construction!$R$22,Oeko!CJ541,Oeko!EW541)</f>
        <v>1.3500000000000003</v>
      </c>
      <c r="X541" s="2004">
        <f>IF(Construction!$F$31=Construction!$R$22,Oeko!CK541,Oeko!EX541)</f>
        <v>1.0285714285714285</v>
      </c>
      <c r="Y541" s="2004">
        <f>IF(Construction!$F$31=Construction!$R$22,Oeko!CL541,Oeko!EY541)</f>
        <v>1.0285714285714285</v>
      </c>
      <c r="Z541" s="2004">
        <f>IF(Construction!$F$31=Construction!$R$22,Oeko!CM541,Oeko!EZ541)</f>
        <v>1.0285714285714285</v>
      </c>
      <c r="AA541" s="2004">
        <f>IF(Construction!$F$31=Construction!$R$22,Oeko!CN541,Oeko!FA541)</f>
        <v>1.0285714285714285</v>
      </c>
      <c r="AB541" s="2004">
        <f>IF(Construction!$F$31=Construction!$R$22,Oeko!CO541,Oeko!FB541)</f>
        <v>1.0285714285714285</v>
      </c>
      <c r="AC541" s="2002">
        <f>IF(Construction!$F$31=Construction!$R$22,Oeko!CP541,Oeko!FC541)</f>
        <v>1.0000000000000002</v>
      </c>
      <c r="AD541" s="2002">
        <f>IF(Construction!$F$31=Construction!$R$22,Oeko!CQ541,Oeko!FD541)</f>
        <v>1.0000000000000002</v>
      </c>
      <c r="AE541" s="2002">
        <f>IF(Construction!$F$31=Construction!$R$22,Oeko!CR541,Oeko!FE541)</f>
        <v>1.0000000000000002</v>
      </c>
      <c r="AF541" s="2002">
        <f>IF(Construction!$F$31=Construction!$R$22,Oeko!CS541,Oeko!FF541)</f>
        <v>1.0000000000000002</v>
      </c>
      <c r="AG541" s="2002">
        <f>IF(Construction!$F$31=Construction!$R$22,Oeko!CT541,Oeko!FG541)</f>
        <v>1.0000000000000002</v>
      </c>
      <c r="AH541" s="2004">
        <f>IF(Construction!$F$31=Construction!$R$22,Oeko!CU541,Oeko!FH541)</f>
        <v>1.4999999999999998</v>
      </c>
      <c r="AI541" s="2004">
        <f>IF(Construction!$F$31=Construction!$R$22,Oeko!CV541,Oeko!FI541)</f>
        <v>1.4999999999999998</v>
      </c>
      <c r="AJ541" s="2004">
        <f>IF(Construction!$F$31=Construction!$R$22,Oeko!CW541,Oeko!FJ541)</f>
        <v>1.4999999999999998</v>
      </c>
      <c r="AK541" s="2004">
        <f>IF(Construction!$F$31=Construction!$R$22,Oeko!CX541,Oeko!FK541)</f>
        <v>1.4999999999999998</v>
      </c>
      <c r="AL541" s="2004">
        <f>IF(Construction!$F$31=Construction!$R$22,Oeko!CY541,Oeko!FL541)</f>
        <v>1.4999999999999998</v>
      </c>
      <c r="AM541" s="2002">
        <f>IF(Construction!$F$31=Construction!$R$22,Oeko!CZ541,Oeko!FM541)</f>
        <v>1.2222222222222223</v>
      </c>
      <c r="AN541" s="2002">
        <f>IF(Construction!$F$31=Construction!$R$22,Oeko!DA541,Oeko!FN541)</f>
        <v>1.2222222222222223</v>
      </c>
      <c r="AO541" s="2002">
        <f>IF(Construction!$F$31=Construction!$R$22,Oeko!DB541,Oeko!FO541)</f>
        <v>1.2222222222222223</v>
      </c>
      <c r="AP541" s="2002">
        <f>IF(Construction!$F$31=Construction!$R$22,Oeko!DC541,Oeko!FP541)</f>
        <v>1.2222222222222223</v>
      </c>
      <c r="AQ541" s="2002">
        <f>IF(Construction!$F$31=Construction!$R$22,Oeko!DD541,Oeko!FQ541)</f>
        <v>1.2222222222222223</v>
      </c>
      <c r="AR541" s="2004">
        <f>IF(Construction!$F$31=Construction!$R$22,Oeko!DE541,Oeko!FR541)</f>
        <v>13.798045313008366</v>
      </c>
      <c r="AS541" s="2004">
        <f>IF(Construction!$F$31=Construction!$R$22,Oeko!DF541,Oeko!FS541)</f>
        <v>13.798045313008366</v>
      </c>
      <c r="AT541" s="2004">
        <f>IF(Construction!$F$31=Construction!$R$22,Oeko!DG541,Oeko!FT541)</f>
        <v>13.798045313008366</v>
      </c>
      <c r="AU541" s="2004">
        <f>IF(Construction!$F$31=Construction!$R$22,Oeko!DH541,Oeko!FU541)</f>
        <v>13.798045313008366</v>
      </c>
      <c r="AV541" s="2004">
        <f>IF(Construction!$F$31=Construction!$R$22,Oeko!DI541,Oeko!FV541)</f>
        <v>13.798045313008366</v>
      </c>
      <c r="AW541" s="2002">
        <f>IF(Construction!$F$31=Construction!$R$22,Oeko!DJ541,Oeko!FW541)</f>
        <v>13.770696286005787</v>
      </c>
      <c r="AX541" s="2002">
        <f>IF(Construction!$F$31=Construction!$R$22,Oeko!DK541,Oeko!FX541)</f>
        <v>13.770696286005787</v>
      </c>
      <c r="AY541" s="2002">
        <f>IF(Construction!$F$31=Construction!$R$22,Oeko!DL541,Oeko!FY541)</f>
        <v>13.770696286005787</v>
      </c>
      <c r="AZ541" s="2002">
        <f>IF(Construction!$F$31=Construction!$R$22,Oeko!DM541,Oeko!FZ541)</f>
        <v>13.770696286005787</v>
      </c>
      <c r="BA541" s="2002">
        <f>IF(Construction!$F$31=Construction!$R$22,Oeko!DN541,Oeko!GA541)</f>
        <v>13.770696286005787</v>
      </c>
      <c r="BB541" s="2004">
        <f>IF(Construction!$F$31=Construction!$R$22,Oeko!DO541,Oeko!GB541)</f>
        <v>0.97975662301212196</v>
      </c>
      <c r="BC541" s="2004">
        <f>IF(Construction!$F$31=Construction!$R$22,Oeko!DP541,Oeko!GC541)</f>
        <v>0.97975662301212196</v>
      </c>
      <c r="BD541" s="2004">
        <f>IF(Construction!$F$31=Construction!$R$22,Oeko!DQ541,Oeko!GD541)</f>
        <v>0.97975662301212196</v>
      </c>
      <c r="BE541" s="2004">
        <f>IF(Construction!$F$31=Construction!$R$22,Oeko!DR541,Oeko!GE541)</f>
        <v>0.97975662301212196</v>
      </c>
      <c r="BF541" s="2004">
        <f>IF(Construction!$F$31=Construction!$R$22,Oeko!DS541,Oeko!GF541)</f>
        <v>0.97975662301212196</v>
      </c>
      <c r="BG541" s="2002">
        <f>IF(Construction!$F$31=Construction!$R$22,Oeko!DT541,Oeko!GG541)</f>
        <v>0.97614876347816082</v>
      </c>
      <c r="BH541" s="2002">
        <f>IF(Construction!$F$31=Construction!$R$22,Oeko!DU541,Oeko!GH541)</f>
        <v>0.97614876347816082</v>
      </c>
      <c r="BI541" s="2002">
        <f>IF(Construction!$F$31=Construction!$R$22,Oeko!DV541,Oeko!GI541)</f>
        <v>0.97614876347816082</v>
      </c>
      <c r="BJ541" s="2002">
        <f>IF(Construction!$F$31=Construction!$R$22,Oeko!DW541,Oeko!GJ541)</f>
        <v>0.97614876347816082</v>
      </c>
      <c r="BK541" s="2027">
        <f>IF(Construction!$F$31=Construction!$R$22,Oeko!DX541,Oeko!GK541)</f>
        <v>0.97614876347816082</v>
      </c>
      <c r="BN541" s="2025" t="str">
        <f>Uebersetzung!$D635</f>
        <v>Construction vitrée</v>
      </c>
      <c r="BO541" s="2">
        <v>1</v>
      </c>
      <c r="BP541" s="2" t="s">
        <v>4327</v>
      </c>
      <c r="BQ541" s="2004">
        <v>1.09375</v>
      </c>
      <c r="BR541" s="2004">
        <v>1.09375</v>
      </c>
      <c r="BS541" s="2004">
        <v>1.09375</v>
      </c>
      <c r="BT541" s="2004">
        <v>1.09375</v>
      </c>
      <c r="BU541" s="2004">
        <v>1.09375</v>
      </c>
      <c r="BV541" s="2002">
        <v>0</v>
      </c>
      <c r="BW541" s="2002">
        <v>0</v>
      </c>
      <c r="BX541" s="2002">
        <v>0</v>
      </c>
      <c r="BY541" s="2002">
        <v>0</v>
      </c>
      <c r="BZ541" s="2002">
        <v>0</v>
      </c>
      <c r="CA541" s="2004">
        <v>1.0389610389610389</v>
      </c>
      <c r="CB541" s="2004">
        <v>1.0389610389610389</v>
      </c>
      <c r="CC541" s="2004">
        <v>1.0389610389610389</v>
      </c>
      <c r="CD541" s="2004">
        <v>1.0389610389610389</v>
      </c>
      <c r="CE541" s="2004">
        <v>1.0389610389610389</v>
      </c>
      <c r="CF541" s="2002">
        <v>1.3500000000000003</v>
      </c>
      <c r="CG541" s="2002">
        <v>1.3500000000000003</v>
      </c>
      <c r="CH541" s="2002">
        <v>1.3500000000000003</v>
      </c>
      <c r="CI541" s="2002">
        <v>1.3500000000000003</v>
      </c>
      <c r="CJ541" s="2002">
        <v>1.3500000000000003</v>
      </c>
      <c r="CK541" s="2004">
        <v>1.0285714285714285</v>
      </c>
      <c r="CL541" s="2004">
        <v>1.0285714285714285</v>
      </c>
      <c r="CM541" s="2004">
        <v>1.0285714285714285</v>
      </c>
      <c r="CN541" s="2004">
        <v>1.0285714285714285</v>
      </c>
      <c r="CO541" s="2004">
        <v>1.0285714285714285</v>
      </c>
      <c r="CP541" s="2002">
        <v>1.0000000000000002</v>
      </c>
      <c r="CQ541" s="2002">
        <v>1.0000000000000002</v>
      </c>
      <c r="CR541" s="2002">
        <v>1.0000000000000002</v>
      </c>
      <c r="CS541" s="2002">
        <v>1.0000000000000002</v>
      </c>
      <c r="CT541" s="2002">
        <v>1.0000000000000002</v>
      </c>
      <c r="CU541" s="2004">
        <v>1.4999999999999998</v>
      </c>
      <c r="CV541" s="2004">
        <v>1.4999999999999998</v>
      </c>
      <c r="CW541" s="2004">
        <v>1.4999999999999998</v>
      </c>
      <c r="CX541" s="2004">
        <v>1.4999999999999998</v>
      </c>
      <c r="CY541" s="2004">
        <v>1.4999999999999998</v>
      </c>
      <c r="CZ541" s="2002">
        <v>1.2222222222222223</v>
      </c>
      <c r="DA541" s="2002">
        <v>1.2222222222222223</v>
      </c>
      <c r="DB541" s="2002">
        <v>1.2222222222222223</v>
      </c>
      <c r="DC541" s="2002">
        <v>1.2222222222222223</v>
      </c>
      <c r="DD541" s="2002">
        <v>1.2222222222222223</v>
      </c>
      <c r="DE541" s="2004">
        <v>13.798045313008366</v>
      </c>
      <c r="DF541" s="2004">
        <v>13.798045313008366</v>
      </c>
      <c r="DG541" s="2004">
        <v>13.798045313008366</v>
      </c>
      <c r="DH541" s="2004">
        <v>13.798045313008366</v>
      </c>
      <c r="DI541" s="2004">
        <v>13.798045313008366</v>
      </c>
      <c r="DJ541" s="2002">
        <v>13.770696286005787</v>
      </c>
      <c r="DK541" s="2002">
        <v>13.770696286005787</v>
      </c>
      <c r="DL541" s="2002">
        <v>13.770696286005787</v>
      </c>
      <c r="DM541" s="2002">
        <v>13.770696286005787</v>
      </c>
      <c r="DN541" s="2002">
        <v>13.770696286005787</v>
      </c>
      <c r="DO541" s="2004">
        <v>0.97975662301212196</v>
      </c>
      <c r="DP541" s="2004">
        <v>0.97975662301212196</v>
      </c>
      <c r="DQ541" s="2004">
        <v>0.97975662301212196</v>
      </c>
      <c r="DR541" s="2004">
        <v>0.97975662301212196</v>
      </c>
      <c r="DS541" s="2004">
        <v>0.97975662301212196</v>
      </c>
      <c r="DT541" s="2002">
        <v>0.97614876347816082</v>
      </c>
      <c r="DU541" s="2002">
        <v>0.97614876347816082</v>
      </c>
      <c r="DV541" s="2002">
        <v>0.97614876347816082</v>
      </c>
      <c r="DW541" s="2002">
        <v>0.97614876347816082</v>
      </c>
      <c r="DX541" s="2027">
        <v>0.97614876347816082</v>
      </c>
      <c r="EA541" s="2025" t="str">
        <f>Uebersetzung!$D635</f>
        <v>Construction vitrée</v>
      </c>
      <c r="EB541" s="2">
        <v>1</v>
      </c>
      <c r="EC541" s="2" t="s">
        <v>4327</v>
      </c>
      <c r="ED541" s="2004">
        <v>1.4462181403417813</v>
      </c>
      <c r="EE541" s="2004">
        <v>1.4642601740905083</v>
      </c>
      <c r="EF541" s="2004">
        <v>1.4977668081952884</v>
      </c>
      <c r="EG541" s="2004">
        <v>1.5390057424780932</v>
      </c>
      <c r="EH541" s="2004">
        <v>1.5766362700111538</v>
      </c>
      <c r="EI541" s="2002">
        <v>0</v>
      </c>
      <c r="EJ541" s="2002">
        <v>0</v>
      </c>
      <c r="EK541" s="2002">
        <v>0</v>
      </c>
      <c r="EL541" s="2002">
        <v>0</v>
      </c>
      <c r="EM541" s="2002">
        <v>0</v>
      </c>
      <c r="EN541" s="2004">
        <v>1.4059027809069773</v>
      </c>
      <c r="EO541" s="2004">
        <v>1.4411586267650791</v>
      </c>
      <c r="EP541" s="2004">
        <v>1.4426276203424999</v>
      </c>
      <c r="EQ541" s="2004">
        <v>1.4440966139199207</v>
      </c>
      <c r="ER541" s="2004">
        <v>1.4455656074973418</v>
      </c>
      <c r="ES541" s="2002">
        <v>1.8374795508807176</v>
      </c>
      <c r="ET541" s="2002">
        <v>1.8830780296448486</v>
      </c>
      <c r="EU541" s="2002">
        <v>1.8851988891222498</v>
      </c>
      <c r="EV541" s="2002">
        <v>1.8873197485996511</v>
      </c>
      <c r="EW541" s="2002">
        <v>1.8894406080770529</v>
      </c>
      <c r="EX541" s="2004">
        <v>1.4341706546281834</v>
      </c>
      <c r="EY541" s="2004">
        <v>1.4681044062666064</v>
      </c>
      <c r="EZ541" s="2004">
        <v>1.4705282456693511</v>
      </c>
      <c r="FA541" s="2004">
        <v>1.4729520850720956</v>
      </c>
      <c r="FB541" s="2004">
        <v>1.4753759244748401</v>
      </c>
      <c r="FC541" s="2002">
        <v>1.3286389585760032</v>
      </c>
      <c r="FD541" s="2002">
        <v>1.3557388296761326</v>
      </c>
      <c r="FE541" s="2002">
        <v>1.3580953402065785</v>
      </c>
      <c r="FF541" s="2002">
        <v>1.3604518507370247</v>
      </c>
      <c r="FG541" s="2002">
        <v>1.3628083612674706</v>
      </c>
      <c r="FH541" s="2004">
        <v>2.6152186085335827</v>
      </c>
      <c r="FI541" s="2004">
        <v>2.6187533743292515</v>
      </c>
      <c r="FJ541" s="2004">
        <v>2.6222881401249212</v>
      </c>
      <c r="FK541" s="2004">
        <v>2.62582290592059</v>
      </c>
      <c r="FL541" s="2004">
        <v>2.62582290592059</v>
      </c>
      <c r="FM541" s="2002">
        <v>1.591943014379001</v>
      </c>
      <c r="FN541" s="2002">
        <v>1.6131516091530151</v>
      </c>
      <c r="FO541" s="2002">
        <v>1.6516412811503003</v>
      </c>
      <c r="FP541" s="2002">
        <v>1.6987714917592209</v>
      </c>
      <c r="FQ541" s="2002">
        <v>1.7404031777971007</v>
      </c>
      <c r="FR541" s="2004">
        <v>20.475862538996754</v>
      </c>
      <c r="FS541" s="2004">
        <v>20.492120158536594</v>
      </c>
      <c r="FT541" s="2004">
        <v>20.508377778076433</v>
      </c>
      <c r="FU541" s="2004">
        <v>20.524635397616269</v>
      </c>
      <c r="FV541" s="2004">
        <v>20.540893017156108</v>
      </c>
      <c r="FW541" s="2002">
        <v>20.417023878686056</v>
      </c>
      <c r="FX541" s="2002">
        <v>20.433249274090834</v>
      </c>
      <c r="FY541" s="2002">
        <v>20.449474669495601</v>
      </c>
      <c r="FZ541" s="2002">
        <v>20.465700064900375</v>
      </c>
      <c r="GA541" s="2002">
        <v>20.481925460305153</v>
      </c>
      <c r="GB541" s="2004">
        <v>1.355514929614847</v>
      </c>
      <c r="GC541" s="2004">
        <v>1.3566693330145481</v>
      </c>
      <c r="GD541" s="2004">
        <v>1.3578237364142494</v>
      </c>
      <c r="GE541" s="2004">
        <v>1.3589781398139504</v>
      </c>
      <c r="GF541" s="2004">
        <v>1.3612869466133528</v>
      </c>
      <c r="GG541" s="2002">
        <v>1.3764018057109197</v>
      </c>
      <c r="GH541" s="2002">
        <v>1.3781270343412335</v>
      </c>
      <c r="GI541" s="2002">
        <v>1.3798522629715471</v>
      </c>
      <c r="GJ541" s="2002">
        <v>1.3815774916018606</v>
      </c>
      <c r="GK541" s="2027">
        <v>1.3850279488624877</v>
      </c>
    </row>
    <row r="542" spans="1:193">
      <c r="A542" s="2016"/>
      <c r="B542" s="2">
        <v>2</v>
      </c>
      <c r="C542" s="2" t="s">
        <v>4328</v>
      </c>
      <c r="D542" s="1998">
        <f>IF(Construction!$F$31=Construction!$R$22,Oeko!BQ542,Oeko!ED542)</f>
        <v>1.0694444444444444</v>
      </c>
      <c r="E542" s="1998">
        <f>IF(Construction!$F$31=Construction!$R$22,Oeko!BR542,Oeko!EE542)</f>
        <v>1.0694444444444444</v>
      </c>
      <c r="F542" s="1998">
        <f>IF(Construction!$F$31=Construction!$R$22,Oeko!BS542,Oeko!EF542)</f>
        <v>1.0694444444444444</v>
      </c>
      <c r="G542" s="1998">
        <f>IF(Construction!$F$31=Construction!$R$22,Oeko!BT542,Oeko!EG542)</f>
        <v>1.0694444444444444</v>
      </c>
      <c r="H542" s="1998">
        <f>IF(Construction!$F$31=Construction!$R$22,Oeko!BU542,Oeko!EH542)</f>
        <v>1.0694444444444444</v>
      </c>
      <c r="I542" s="1979">
        <f>IF(Construction!$F$31=Construction!$R$22,Oeko!BV542,Oeko!EI542)</f>
        <v>0</v>
      </c>
      <c r="J542" s="1979">
        <f>IF(Construction!$F$31=Construction!$R$22,Oeko!BW542,Oeko!EJ542)</f>
        <v>0</v>
      </c>
      <c r="K542" s="1979">
        <f>IF(Construction!$F$31=Construction!$R$22,Oeko!BX542,Oeko!EK542)</f>
        <v>0</v>
      </c>
      <c r="L542" s="1979">
        <f>IF(Construction!$F$31=Construction!$R$22,Oeko!BY542,Oeko!EL542)</f>
        <v>0</v>
      </c>
      <c r="M542" s="1979">
        <f>IF(Construction!$F$31=Construction!$R$22,Oeko!BZ542,Oeko!EM542)</f>
        <v>0</v>
      </c>
      <c r="N542" s="1998">
        <f>IF(Construction!$F$31=Construction!$R$22,Oeko!CA542,Oeko!EN542)</f>
        <v>1.0389610389610391</v>
      </c>
      <c r="O542" s="1998">
        <f>IF(Construction!$F$31=Construction!$R$22,Oeko!CB542,Oeko!EO542)</f>
        <v>1.0389610389610391</v>
      </c>
      <c r="P542" s="1998">
        <f>IF(Construction!$F$31=Construction!$R$22,Oeko!CC542,Oeko!EP542)</f>
        <v>1.0389610389610391</v>
      </c>
      <c r="Q542" s="1998">
        <f>IF(Construction!$F$31=Construction!$R$22,Oeko!CD542,Oeko!EQ542)</f>
        <v>1.0389610389610391</v>
      </c>
      <c r="R542" s="1998">
        <f>IF(Construction!$F$31=Construction!$R$22,Oeko!CE542,Oeko!ER542)</f>
        <v>1.0389610389610391</v>
      </c>
      <c r="S542" s="1979">
        <f>IF(Construction!$F$31=Construction!$R$22,Oeko!CF542,Oeko!ES542)</f>
        <v>1.3333333333333335</v>
      </c>
      <c r="T542" s="1979">
        <f>IF(Construction!$F$31=Construction!$R$22,Oeko!CG542,Oeko!ET542)</f>
        <v>1.3333333333333335</v>
      </c>
      <c r="U542" s="1979">
        <f>IF(Construction!$F$31=Construction!$R$22,Oeko!CH542,Oeko!EU542)</f>
        <v>1.3333333333333335</v>
      </c>
      <c r="V542" s="1979">
        <f>IF(Construction!$F$31=Construction!$R$22,Oeko!CI542,Oeko!EV542)</f>
        <v>1.3333333333333335</v>
      </c>
      <c r="W542" s="1979">
        <f>IF(Construction!$F$31=Construction!$R$22,Oeko!CJ542,Oeko!EW542)</f>
        <v>1.3333333333333335</v>
      </c>
      <c r="X542" s="1998">
        <f>IF(Construction!$F$31=Construction!$R$22,Oeko!CK542,Oeko!EX542)</f>
        <v>1.0285714285714285</v>
      </c>
      <c r="Y542" s="1998">
        <f>IF(Construction!$F$31=Construction!$R$22,Oeko!CL542,Oeko!EY542)</f>
        <v>1.0285714285714285</v>
      </c>
      <c r="Z542" s="1998">
        <f>IF(Construction!$F$31=Construction!$R$22,Oeko!CM542,Oeko!EZ542)</f>
        <v>1.0285714285714285</v>
      </c>
      <c r="AA542" s="1998">
        <f>IF(Construction!$F$31=Construction!$R$22,Oeko!CN542,Oeko!FA542)</f>
        <v>1.0285714285714285</v>
      </c>
      <c r="AB542" s="1998">
        <f>IF(Construction!$F$31=Construction!$R$22,Oeko!CO542,Oeko!FB542)</f>
        <v>1.0285714285714285</v>
      </c>
      <c r="AC542" s="1979">
        <f>IF(Construction!$F$31=Construction!$R$22,Oeko!CP542,Oeko!FC542)</f>
        <v>1.0000000000000002</v>
      </c>
      <c r="AD542" s="1979">
        <f>IF(Construction!$F$31=Construction!$R$22,Oeko!CQ542,Oeko!FD542)</f>
        <v>1.0000000000000002</v>
      </c>
      <c r="AE542" s="1979">
        <f>IF(Construction!$F$31=Construction!$R$22,Oeko!CR542,Oeko!FE542)</f>
        <v>1.0000000000000002</v>
      </c>
      <c r="AF542" s="1979">
        <f>IF(Construction!$F$31=Construction!$R$22,Oeko!CS542,Oeko!FF542)</f>
        <v>1.0000000000000002</v>
      </c>
      <c r="AG542" s="1979">
        <f>IF(Construction!$F$31=Construction!$R$22,Oeko!CT542,Oeko!FG542)</f>
        <v>1.0000000000000002</v>
      </c>
      <c r="AH542" s="1998">
        <f>IF(Construction!$F$31=Construction!$R$22,Oeko!CU542,Oeko!FH542)</f>
        <v>1.5</v>
      </c>
      <c r="AI542" s="1998">
        <f>IF(Construction!$F$31=Construction!$R$22,Oeko!CV542,Oeko!FI542)</f>
        <v>1.5</v>
      </c>
      <c r="AJ542" s="1998">
        <f>IF(Construction!$F$31=Construction!$R$22,Oeko!CW542,Oeko!FJ542)</f>
        <v>1.5</v>
      </c>
      <c r="AK542" s="1998">
        <f>IF(Construction!$F$31=Construction!$R$22,Oeko!CX542,Oeko!FK542)</f>
        <v>1.5</v>
      </c>
      <c r="AL542" s="1998">
        <f>IF(Construction!$F$31=Construction!$R$22,Oeko!CY542,Oeko!FL542)</f>
        <v>1.5</v>
      </c>
      <c r="AM542" s="1979">
        <f>IF(Construction!$F$31=Construction!$R$22,Oeko!CZ542,Oeko!FM542)</f>
        <v>1.2</v>
      </c>
      <c r="AN542" s="1979">
        <f>IF(Construction!$F$31=Construction!$R$22,Oeko!DA542,Oeko!FN542)</f>
        <v>1.2</v>
      </c>
      <c r="AO542" s="1979">
        <f>IF(Construction!$F$31=Construction!$R$22,Oeko!DB542,Oeko!FO542)</f>
        <v>1.2</v>
      </c>
      <c r="AP542" s="1979">
        <f>IF(Construction!$F$31=Construction!$R$22,Oeko!DC542,Oeko!FP542)</f>
        <v>1.2</v>
      </c>
      <c r="AQ542" s="1979">
        <f>IF(Construction!$F$31=Construction!$R$22,Oeko!DD542,Oeko!FQ542)</f>
        <v>1.2</v>
      </c>
      <c r="AR542" s="1998">
        <f>IF(Construction!$F$31=Construction!$R$22,Oeko!DE542,Oeko!FR542)</f>
        <v>13.414766276535909</v>
      </c>
      <c r="AS542" s="1998">
        <f>IF(Construction!$F$31=Construction!$R$22,Oeko!DF542,Oeko!FS542)</f>
        <v>13.414766276535909</v>
      </c>
      <c r="AT542" s="1998">
        <f>IF(Construction!$F$31=Construction!$R$22,Oeko!DG542,Oeko!FT542)</f>
        <v>13.414766276535909</v>
      </c>
      <c r="AU542" s="1998">
        <f>IF(Construction!$F$31=Construction!$R$22,Oeko!DH542,Oeko!FU542)</f>
        <v>13.414766276535909</v>
      </c>
      <c r="AV542" s="1998">
        <f>IF(Construction!$F$31=Construction!$R$22,Oeko!DI542,Oeko!FV542)</f>
        <v>13.414766276535909</v>
      </c>
      <c r="AW542" s="1979">
        <f>IF(Construction!$F$31=Construction!$R$22,Oeko!DJ542,Oeko!FW542)</f>
        <v>12.852649866938734</v>
      </c>
      <c r="AX542" s="1979">
        <f>IF(Construction!$F$31=Construction!$R$22,Oeko!DK542,Oeko!FX542)</f>
        <v>12.852649866938734</v>
      </c>
      <c r="AY542" s="1979">
        <f>IF(Construction!$F$31=Construction!$R$22,Oeko!DL542,Oeko!FY542)</f>
        <v>12.852649866938734</v>
      </c>
      <c r="AZ542" s="1979">
        <f>IF(Construction!$F$31=Construction!$R$22,Oeko!DM542,Oeko!FZ542)</f>
        <v>12.852649866938734</v>
      </c>
      <c r="BA542" s="1979">
        <f>IF(Construction!$F$31=Construction!$R$22,Oeko!DN542,Oeko!GA542)</f>
        <v>12.852649866938734</v>
      </c>
      <c r="BB542" s="1998">
        <f>IF(Construction!$F$31=Construction!$R$22,Oeko!DO542,Oeko!GB542)</f>
        <v>0.97975662301212174</v>
      </c>
      <c r="BC542" s="1998">
        <f>IF(Construction!$F$31=Construction!$R$22,Oeko!DP542,Oeko!GC542)</f>
        <v>0.97975662301212174</v>
      </c>
      <c r="BD542" s="1998">
        <f>IF(Construction!$F$31=Construction!$R$22,Oeko!DQ542,Oeko!GD542)</f>
        <v>0.97975662301212174</v>
      </c>
      <c r="BE542" s="1998">
        <f>IF(Construction!$F$31=Construction!$R$22,Oeko!DR542,Oeko!GE542)</f>
        <v>0.97975662301212174</v>
      </c>
      <c r="BF542" s="1998">
        <f>IF(Construction!$F$31=Construction!$R$22,Oeko!DS542,Oeko!GF542)</f>
        <v>0.97975662301212174</v>
      </c>
      <c r="BG542" s="1979">
        <f>IF(Construction!$F$31=Construction!$R$22,Oeko!DT542,Oeko!GG542)</f>
        <v>0.9761487634781606</v>
      </c>
      <c r="BH542" s="1979">
        <f>IF(Construction!$F$31=Construction!$R$22,Oeko!DU542,Oeko!GH542)</f>
        <v>0.9761487634781606</v>
      </c>
      <c r="BI542" s="1979">
        <f>IF(Construction!$F$31=Construction!$R$22,Oeko!DV542,Oeko!GI542)</f>
        <v>0.9761487634781606</v>
      </c>
      <c r="BJ542" s="1979">
        <f>IF(Construction!$F$31=Construction!$R$22,Oeko!DW542,Oeko!GJ542)</f>
        <v>0.9761487634781606</v>
      </c>
      <c r="BK542" s="2021">
        <f>IF(Construction!$F$31=Construction!$R$22,Oeko!DX542,Oeko!GK542)</f>
        <v>0.9761487634781606</v>
      </c>
      <c r="BN542" s="2018"/>
      <c r="BO542" s="2">
        <v>2</v>
      </c>
      <c r="BP542" s="2" t="s">
        <v>4328</v>
      </c>
      <c r="BQ542" s="1998">
        <v>1.0694444444444444</v>
      </c>
      <c r="BR542" s="1998">
        <v>1.0694444444444444</v>
      </c>
      <c r="BS542" s="1998">
        <v>1.0694444444444444</v>
      </c>
      <c r="BT542" s="1998">
        <v>1.0694444444444444</v>
      </c>
      <c r="BU542" s="1998">
        <v>1.0694444444444444</v>
      </c>
      <c r="BV542" s="1979">
        <v>0</v>
      </c>
      <c r="BW542" s="1979">
        <v>0</v>
      </c>
      <c r="BX542" s="1979">
        <v>0</v>
      </c>
      <c r="BY542" s="1979">
        <v>0</v>
      </c>
      <c r="BZ542" s="1979">
        <v>0</v>
      </c>
      <c r="CA542" s="1998">
        <v>1.0389610389610391</v>
      </c>
      <c r="CB542" s="1998">
        <v>1.0389610389610391</v>
      </c>
      <c r="CC542" s="1998">
        <v>1.0389610389610391</v>
      </c>
      <c r="CD542" s="1998">
        <v>1.0389610389610391</v>
      </c>
      <c r="CE542" s="1998">
        <v>1.0389610389610391</v>
      </c>
      <c r="CF542" s="1979">
        <v>1.3333333333333335</v>
      </c>
      <c r="CG542" s="1979">
        <v>1.3333333333333335</v>
      </c>
      <c r="CH542" s="1979">
        <v>1.3333333333333335</v>
      </c>
      <c r="CI542" s="1979">
        <v>1.3333333333333335</v>
      </c>
      <c r="CJ542" s="1979">
        <v>1.3333333333333335</v>
      </c>
      <c r="CK542" s="1998">
        <v>1.0285714285714285</v>
      </c>
      <c r="CL542" s="1998">
        <v>1.0285714285714285</v>
      </c>
      <c r="CM542" s="1998">
        <v>1.0285714285714285</v>
      </c>
      <c r="CN542" s="1998">
        <v>1.0285714285714285</v>
      </c>
      <c r="CO542" s="1998">
        <v>1.0285714285714285</v>
      </c>
      <c r="CP542" s="1979">
        <v>1.0000000000000002</v>
      </c>
      <c r="CQ542" s="1979">
        <v>1.0000000000000002</v>
      </c>
      <c r="CR542" s="1979">
        <v>1.0000000000000002</v>
      </c>
      <c r="CS542" s="1979">
        <v>1.0000000000000002</v>
      </c>
      <c r="CT542" s="1979">
        <v>1.0000000000000002</v>
      </c>
      <c r="CU542" s="1998">
        <v>1.5</v>
      </c>
      <c r="CV542" s="1998">
        <v>1.5</v>
      </c>
      <c r="CW542" s="1998">
        <v>1.5</v>
      </c>
      <c r="CX542" s="1998">
        <v>1.5</v>
      </c>
      <c r="CY542" s="1998">
        <v>1.5</v>
      </c>
      <c r="CZ542" s="1979">
        <v>1.2</v>
      </c>
      <c r="DA542" s="1979">
        <v>1.2</v>
      </c>
      <c r="DB542" s="1979">
        <v>1.2</v>
      </c>
      <c r="DC542" s="1979">
        <v>1.2</v>
      </c>
      <c r="DD542" s="1979">
        <v>1.2</v>
      </c>
      <c r="DE542" s="1998">
        <v>13.414766276535909</v>
      </c>
      <c r="DF542" s="1998">
        <v>13.414766276535909</v>
      </c>
      <c r="DG542" s="1998">
        <v>13.414766276535909</v>
      </c>
      <c r="DH542" s="1998">
        <v>13.414766276535909</v>
      </c>
      <c r="DI542" s="1998">
        <v>13.414766276535909</v>
      </c>
      <c r="DJ542" s="1979">
        <v>12.852649866938734</v>
      </c>
      <c r="DK542" s="1979">
        <v>12.852649866938734</v>
      </c>
      <c r="DL542" s="1979">
        <v>12.852649866938734</v>
      </c>
      <c r="DM542" s="1979">
        <v>12.852649866938734</v>
      </c>
      <c r="DN542" s="1979">
        <v>12.852649866938734</v>
      </c>
      <c r="DO542" s="1998">
        <v>0.97975662301212174</v>
      </c>
      <c r="DP542" s="1998">
        <v>0.97975662301212174</v>
      </c>
      <c r="DQ542" s="1998">
        <v>0.97975662301212174</v>
      </c>
      <c r="DR542" s="1998">
        <v>0.97975662301212174</v>
      </c>
      <c r="DS542" s="1998">
        <v>0.97975662301212174</v>
      </c>
      <c r="DT542" s="1979">
        <v>0.9761487634781606</v>
      </c>
      <c r="DU542" s="1979">
        <v>0.9761487634781606</v>
      </c>
      <c r="DV542" s="1979">
        <v>0.9761487634781606</v>
      </c>
      <c r="DW542" s="1979">
        <v>0.9761487634781606</v>
      </c>
      <c r="DX542" s="2021">
        <v>0.9761487634781606</v>
      </c>
      <c r="EA542" s="2018"/>
      <c r="EB542" s="2">
        <v>2</v>
      </c>
      <c r="EC542" s="2" t="s">
        <v>4328</v>
      </c>
      <c r="ED542" s="1998">
        <v>1.4320302136547263</v>
      </c>
      <c r="EE542" s="1998">
        <v>1.4505877340819888</v>
      </c>
      <c r="EF542" s="1998">
        <v>1.4842661970796134</v>
      </c>
      <c r="EG542" s="1998">
        <v>1.5255051313624186</v>
      </c>
      <c r="EH542" s="1998">
        <v>1.5619328566455639</v>
      </c>
      <c r="EI542" s="1979">
        <v>0</v>
      </c>
      <c r="EJ542" s="1979">
        <v>0</v>
      </c>
      <c r="EK542" s="1979">
        <v>0</v>
      </c>
      <c r="EL542" s="1979">
        <v>0</v>
      </c>
      <c r="EM542" s="1979">
        <v>0</v>
      </c>
      <c r="EN542" s="1998">
        <v>1.4075094926322813</v>
      </c>
      <c r="EO542" s="1998">
        <v>1.4427653384903831</v>
      </c>
      <c r="EP542" s="1998">
        <v>1.4442343320678042</v>
      </c>
      <c r="EQ542" s="1998">
        <v>1.445703325645225</v>
      </c>
      <c r="ER542" s="1998">
        <v>1.447172319222646</v>
      </c>
      <c r="ES542" s="1979">
        <v>1.8286482817277838</v>
      </c>
      <c r="ET542" s="1979">
        <v>1.873421981806259</v>
      </c>
      <c r="EU542" s="1979">
        <v>1.8757784923367045</v>
      </c>
      <c r="EV542" s="1979">
        <v>1.8781350028671506</v>
      </c>
      <c r="EW542" s="1979">
        <v>1.8804915133975968</v>
      </c>
      <c r="EX542" s="1998">
        <v>1.4378064137323003</v>
      </c>
      <c r="EY542" s="1998">
        <v>1.4717401653707234</v>
      </c>
      <c r="EZ542" s="1998">
        <v>1.4741640047734679</v>
      </c>
      <c r="FA542" s="1998">
        <v>1.4765878441762124</v>
      </c>
      <c r="FB542" s="1998">
        <v>1.4790116835789568</v>
      </c>
      <c r="FC542" s="1979">
        <v>1.3286389585760032</v>
      </c>
      <c r="FD542" s="1979">
        <v>1.3557388296761326</v>
      </c>
      <c r="FE542" s="1979">
        <v>1.3580953402065785</v>
      </c>
      <c r="FF542" s="1979">
        <v>1.3604518507370247</v>
      </c>
      <c r="FG542" s="1979">
        <v>1.3628083612674706</v>
      </c>
      <c r="FH542" s="1998">
        <v>2.6191952200537094</v>
      </c>
      <c r="FI542" s="1998">
        <v>2.6227299858493787</v>
      </c>
      <c r="FJ542" s="1998">
        <v>2.6262647516450479</v>
      </c>
      <c r="FK542" s="1998">
        <v>2.6297995174407167</v>
      </c>
      <c r="FL542" s="1998">
        <v>2.6297995174407167</v>
      </c>
      <c r="FM542" s="1979">
        <v>1.5835456539353956</v>
      </c>
      <c r="FN542" s="1979">
        <v>1.6052255508154987</v>
      </c>
      <c r="FO542" s="1979">
        <v>1.6438723235148138</v>
      </c>
      <c r="FP542" s="1979">
        <v>1.691002534123734</v>
      </c>
      <c r="FQ542" s="1979">
        <v>1.731534515247406</v>
      </c>
      <c r="FR542" s="1998">
        <v>20.254820997515598</v>
      </c>
      <c r="FS542" s="1998">
        <v>20.273788220312078</v>
      </c>
      <c r="FT542" s="1998">
        <v>20.292755443108554</v>
      </c>
      <c r="FU542" s="1998">
        <v>20.31172266590503</v>
      </c>
      <c r="FV542" s="1998">
        <v>20.33068988870151</v>
      </c>
      <c r="FW542" s="1979">
        <v>19.880274251631178</v>
      </c>
      <c r="FX542" s="1979">
        <v>19.902989805197858</v>
      </c>
      <c r="FY542" s="1979">
        <v>19.925705358764546</v>
      </c>
      <c r="FZ542" s="1979">
        <v>19.948420912331226</v>
      </c>
      <c r="GA542" s="1979">
        <v>19.971136465897906</v>
      </c>
      <c r="GB542" s="1998">
        <v>1.3659045602121573</v>
      </c>
      <c r="GC542" s="1998">
        <v>1.3672898442917989</v>
      </c>
      <c r="GD542" s="1998">
        <v>1.36867512837144</v>
      </c>
      <c r="GE542" s="1998">
        <v>1.3700604124510813</v>
      </c>
      <c r="GF542" s="1998">
        <v>1.372830980610364</v>
      </c>
      <c r="GG542" s="1979">
        <v>1.3764018057109197</v>
      </c>
      <c r="GH542" s="1979">
        <v>1.3781270343412333</v>
      </c>
      <c r="GI542" s="1979">
        <v>1.3798522629715471</v>
      </c>
      <c r="GJ542" s="1979">
        <v>1.3815774916018606</v>
      </c>
      <c r="GK542" s="2021">
        <v>1.3850279488624875</v>
      </c>
    </row>
    <row r="543" spans="1:193">
      <c r="A543" s="2016"/>
      <c r="B543" s="2">
        <v>3</v>
      </c>
      <c r="C543" s="2" t="s">
        <v>4329</v>
      </c>
      <c r="D543" s="1998">
        <f>IF(Construction!$F$31=Construction!$R$22,Oeko!BQ543,Oeko!ED543)</f>
        <v>1.0606060606060606</v>
      </c>
      <c r="E543" s="1998">
        <f>IF(Construction!$F$31=Construction!$R$22,Oeko!BR543,Oeko!EE543)</f>
        <v>1.0606060606060606</v>
      </c>
      <c r="F543" s="1998">
        <f>IF(Construction!$F$31=Construction!$R$22,Oeko!BS543,Oeko!EF543)</f>
        <v>1.0606060606060606</v>
      </c>
      <c r="G543" s="1998">
        <f>IF(Construction!$F$31=Construction!$R$22,Oeko!BT543,Oeko!EG543)</f>
        <v>1.0606060606060606</v>
      </c>
      <c r="H543" s="1998">
        <f>IF(Construction!$F$31=Construction!$R$22,Oeko!BU543,Oeko!EH543)</f>
        <v>1.0606060606060606</v>
      </c>
      <c r="I543" s="1979">
        <f>IF(Construction!$F$31=Construction!$R$22,Oeko!BV543,Oeko!EI543)</f>
        <v>0</v>
      </c>
      <c r="J543" s="1979">
        <f>IF(Construction!$F$31=Construction!$R$22,Oeko!BW543,Oeko!EJ543)</f>
        <v>0</v>
      </c>
      <c r="K543" s="1979">
        <f>IF(Construction!$F$31=Construction!$R$22,Oeko!BX543,Oeko!EK543)</f>
        <v>0</v>
      </c>
      <c r="L543" s="1979">
        <f>IF(Construction!$F$31=Construction!$R$22,Oeko!BY543,Oeko!EL543)</f>
        <v>0</v>
      </c>
      <c r="M543" s="1979">
        <f>IF(Construction!$F$31=Construction!$R$22,Oeko!BZ543,Oeko!EM543)</f>
        <v>0</v>
      </c>
      <c r="N543" s="1998">
        <f>IF(Construction!$F$31=Construction!$R$22,Oeko!CA543,Oeko!EN543)</f>
        <v>1.0285714285714287</v>
      </c>
      <c r="O543" s="1998">
        <f>IF(Construction!$F$31=Construction!$R$22,Oeko!CB543,Oeko!EO543)</f>
        <v>1.0285714285714287</v>
      </c>
      <c r="P543" s="1998">
        <f>IF(Construction!$F$31=Construction!$R$22,Oeko!CC543,Oeko!EP543)</f>
        <v>1.0285714285714287</v>
      </c>
      <c r="Q543" s="1998">
        <f>IF(Construction!$F$31=Construction!$R$22,Oeko!CD543,Oeko!EQ543)</f>
        <v>1.0285714285714287</v>
      </c>
      <c r="R543" s="1998">
        <f>IF(Construction!$F$31=Construction!$R$22,Oeko!CE543,Oeko!ER543)</f>
        <v>1.0285714285714287</v>
      </c>
      <c r="S543" s="1979">
        <f>IF(Construction!$F$31=Construction!$R$22,Oeko!CF543,Oeko!ES543)</f>
        <v>1.3125000000000002</v>
      </c>
      <c r="T543" s="1979">
        <f>IF(Construction!$F$31=Construction!$R$22,Oeko!CG543,Oeko!ET543)</f>
        <v>1.3125000000000002</v>
      </c>
      <c r="U543" s="1979">
        <f>IF(Construction!$F$31=Construction!$R$22,Oeko!CH543,Oeko!EU543)</f>
        <v>1.3125000000000002</v>
      </c>
      <c r="V543" s="1979">
        <f>IF(Construction!$F$31=Construction!$R$22,Oeko!CI543,Oeko!EV543)</f>
        <v>1.3125000000000002</v>
      </c>
      <c r="W543" s="1979">
        <f>IF(Construction!$F$31=Construction!$R$22,Oeko!CJ543,Oeko!EW543)</f>
        <v>1.3125000000000002</v>
      </c>
      <c r="X543" s="1998">
        <f>IF(Construction!$F$31=Construction!$R$22,Oeko!CK543,Oeko!EX543)</f>
        <v>0.99999999999999989</v>
      </c>
      <c r="Y543" s="1998">
        <f>IF(Construction!$F$31=Construction!$R$22,Oeko!CL543,Oeko!EY543)</f>
        <v>0.99999999999999989</v>
      </c>
      <c r="Z543" s="1998">
        <f>IF(Construction!$F$31=Construction!$R$22,Oeko!CM543,Oeko!EZ543)</f>
        <v>0.99999999999999989</v>
      </c>
      <c r="AA543" s="1998">
        <f>IF(Construction!$F$31=Construction!$R$22,Oeko!CN543,Oeko!FA543)</f>
        <v>0.99999999999999989</v>
      </c>
      <c r="AB543" s="1998">
        <f>IF(Construction!$F$31=Construction!$R$22,Oeko!CO543,Oeko!FB543)</f>
        <v>0.99999999999999989</v>
      </c>
      <c r="AC543" s="1979">
        <f>IF(Construction!$F$31=Construction!$R$22,Oeko!CP543,Oeko!FC543)</f>
        <v>1.0000000000000002</v>
      </c>
      <c r="AD543" s="1979">
        <f>IF(Construction!$F$31=Construction!$R$22,Oeko!CQ543,Oeko!FD543)</f>
        <v>1.0000000000000002</v>
      </c>
      <c r="AE543" s="1979">
        <f>IF(Construction!$F$31=Construction!$R$22,Oeko!CR543,Oeko!FE543)</f>
        <v>1.0000000000000002</v>
      </c>
      <c r="AF543" s="1979">
        <f>IF(Construction!$F$31=Construction!$R$22,Oeko!CS543,Oeko!FF543)</f>
        <v>1.0000000000000002</v>
      </c>
      <c r="AG543" s="1979">
        <f>IF(Construction!$F$31=Construction!$R$22,Oeko!CT543,Oeko!FG543)</f>
        <v>1.0000000000000002</v>
      </c>
      <c r="AH543" s="1998">
        <f>IF(Construction!$F$31=Construction!$R$22,Oeko!CU543,Oeko!FH543)</f>
        <v>1.5</v>
      </c>
      <c r="AI543" s="1998">
        <f>IF(Construction!$F$31=Construction!$R$22,Oeko!CV543,Oeko!FI543)</f>
        <v>1.5</v>
      </c>
      <c r="AJ543" s="1998">
        <f>IF(Construction!$F$31=Construction!$R$22,Oeko!CW543,Oeko!FJ543)</f>
        <v>1.5</v>
      </c>
      <c r="AK543" s="1998">
        <f>IF(Construction!$F$31=Construction!$R$22,Oeko!CX543,Oeko!FK543)</f>
        <v>1.5</v>
      </c>
      <c r="AL543" s="1998">
        <f>IF(Construction!$F$31=Construction!$R$22,Oeko!CY543,Oeko!FL543)</f>
        <v>1.5</v>
      </c>
      <c r="AM543" s="1979">
        <f>IF(Construction!$F$31=Construction!$R$22,Oeko!CZ543,Oeko!FM543)</f>
        <v>1.1428571428571428</v>
      </c>
      <c r="AN543" s="1979">
        <f>IF(Construction!$F$31=Construction!$R$22,Oeko!DA543,Oeko!FN543)</f>
        <v>1.1428571428571428</v>
      </c>
      <c r="AO543" s="1979">
        <f>IF(Construction!$F$31=Construction!$R$22,Oeko!DB543,Oeko!FO543)</f>
        <v>1.1428571428571428</v>
      </c>
      <c r="AP543" s="1979">
        <f>IF(Construction!$F$31=Construction!$R$22,Oeko!DC543,Oeko!FP543)</f>
        <v>1.1428571428571428</v>
      </c>
      <c r="AQ543" s="1979">
        <f>IF(Construction!$F$31=Construction!$R$22,Oeko!DD543,Oeko!FQ543)</f>
        <v>1.1428571428571428</v>
      </c>
      <c r="AR543" s="1998">
        <f>IF(Construction!$F$31=Construction!$R$22,Oeko!DE543,Oeko!FR543)</f>
        <v>12.878175625474475</v>
      </c>
      <c r="AS543" s="1998">
        <f>IF(Construction!$F$31=Construction!$R$22,Oeko!DF543,Oeko!FS543)</f>
        <v>12.878175625474475</v>
      </c>
      <c r="AT543" s="1998">
        <f>IF(Construction!$F$31=Construction!$R$22,Oeko!DG543,Oeko!FT543)</f>
        <v>12.878175625474475</v>
      </c>
      <c r="AU543" s="1998">
        <f>IF(Construction!$F$31=Construction!$R$22,Oeko!DH543,Oeko!FU543)</f>
        <v>12.878175625474475</v>
      </c>
      <c r="AV543" s="1998">
        <f>IF(Construction!$F$31=Construction!$R$22,Oeko!DI543,Oeko!FV543)</f>
        <v>12.878175625474475</v>
      </c>
      <c r="AW543" s="1979">
        <f>IF(Construction!$F$31=Construction!$R$22,Oeko!DJ543,Oeko!FW543)</f>
        <v>12.852649866938734</v>
      </c>
      <c r="AX543" s="1979">
        <f>IF(Construction!$F$31=Construction!$R$22,Oeko!DK543,Oeko!FX543)</f>
        <v>12.852649866938734</v>
      </c>
      <c r="AY543" s="1979">
        <f>IF(Construction!$F$31=Construction!$R$22,Oeko!DL543,Oeko!FY543)</f>
        <v>12.852649866938734</v>
      </c>
      <c r="AZ543" s="1979">
        <f>IF(Construction!$F$31=Construction!$R$22,Oeko!DM543,Oeko!FZ543)</f>
        <v>12.852649866938734</v>
      </c>
      <c r="BA543" s="1979">
        <f>IF(Construction!$F$31=Construction!$R$22,Oeko!DN543,Oeko!GA543)</f>
        <v>12.852649866938734</v>
      </c>
      <c r="BB543" s="1998">
        <f>IF(Construction!$F$31=Construction!$R$22,Oeko!DO543,Oeko!GB543)</f>
        <v>0.97975662301212196</v>
      </c>
      <c r="BC543" s="1998">
        <f>IF(Construction!$F$31=Construction!$R$22,Oeko!DP543,Oeko!GC543)</f>
        <v>0.97975662301212196</v>
      </c>
      <c r="BD543" s="1998">
        <f>IF(Construction!$F$31=Construction!$R$22,Oeko!DQ543,Oeko!GD543)</f>
        <v>0.97975662301212196</v>
      </c>
      <c r="BE543" s="1998">
        <f>IF(Construction!$F$31=Construction!$R$22,Oeko!DR543,Oeko!GE543)</f>
        <v>0.97975662301212196</v>
      </c>
      <c r="BF543" s="1998">
        <f>IF(Construction!$F$31=Construction!$R$22,Oeko!DS543,Oeko!GF543)</f>
        <v>0.97975662301212196</v>
      </c>
      <c r="BG543" s="1979">
        <f>IF(Construction!$F$31=Construction!$R$22,Oeko!DT543,Oeko!GG543)</f>
        <v>0.9761487634781606</v>
      </c>
      <c r="BH543" s="1979">
        <f>IF(Construction!$F$31=Construction!$R$22,Oeko!DU543,Oeko!GH543)</f>
        <v>0.9761487634781606</v>
      </c>
      <c r="BI543" s="1979">
        <f>IF(Construction!$F$31=Construction!$R$22,Oeko!DV543,Oeko!GI543)</f>
        <v>0.9761487634781606</v>
      </c>
      <c r="BJ543" s="1979">
        <f>IF(Construction!$F$31=Construction!$R$22,Oeko!DW543,Oeko!GJ543)</f>
        <v>0.9761487634781606</v>
      </c>
      <c r="BK543" s="2021">
        <f>IF(Construction!$F$31=Construction!$R$22,Oeko!DX543,Oeko!GK543)</f>
        <v>0.9761487634781606</v>
      </c>
      <c r="BN543" s="2018"/>
      <c r="BO543" s="2">
        <v>3</v>
      </c>
      <c r="BP543" s="2" t="s">
        <v>4329</v>
      </c>
      <c r="BQ543" s="1998">
        <v>1.0606060606060606</v>
      </c>
      <c r="BR543" s="1998">
        <v>1.0606060606060606</v>
      </c>
      <c r="BS543" s="1998">
        <v>1.0606060606060606</v>
      </c>
      <c r="BT543" s="1998">
        <v>1.0606060606060606</v>
      </c>
      <c r="BU543" s="1998">
        <v>1.0606060606060606</v>
      </c>
      <c r="BV543" s="1979">
        <v>0</v>
      </c>
      <c r="BW543" s="1979">
        <v>0</v>
      </c>
      <c r="BX543" s="1979">
        <v>0</v>
      </c>
      <c r="BY543" s="1979">
        <v>0</v>
      </c>
      <c r="BZ543" s="1979">
        <v>0</v>
      </c>
      <c r="CA543" s="1998">
        <v>1.0285714285714287</v>
      </c>
      <c r="CB543" s="1998">
        <v>1.0285714285714287</v>
      </c>
      <c r="CC543" s="1998">
        <v>1.0285714285714287</v>
      </c>
      <c r="CD543" s="1998">
        <v>1.0285714285714287</v>
      </c>
      <c r="CE543" s="1998">
        <v>1.0285714285714287</v>
      </c>
      <c r="CF543" s="1979">
        <v>1.3125000000000002</v>
      </c>
      <c r="CG543" s="1979">
        <v>1.3125000000000002</v>
      </c>
      <c r="CH543" s="1979">
        <v>1.3125000000000002</v>
      </c>
      <c r="CI543" s="1979">
        <v>1.3125000000000002</v>
      </c>
      <c r="CJ543" s="1979">
        <v>1.3125000000000002</v>
      </c>
      <c r="CK543" s="1998">
        <v>0.99999999999999989</v>
      </c>
      <c r="CL543" s="1998">
        <v>0.99999999999999989</v>
      </c>
      <c r="CM543" s="1998">
        <v>0.99999999999999989</v>
      </c>
      <c r="CN543" s="1998">
        <v>0.99999999999999989</v>
      </c>
      <c r="CO543" s="1998">
        <v>0.99999999999999989</v>
      </c>
      <c r="CP543" s="1979">
        <v>1.0000000000000002</v>
      </c>
      <c r="CQ543" s="1979">
        <v>1.0000000000000002</v>
      </c>
      <c r="CR543" s="1979">
        <v>1.0000000000000002</v>
      </c>
      <c r="CS543" s="1979">
        <v>1.0000000000000002</v>
      </c>
      <c r="CT543" s="1979">
        <v>1.0000000000000002</v>
      </c>
      <c r="CU543" s="1998">
        <v>1.5</v>
      </c>
      <c r="CV543" s="1998">
        <v>1.5</v>
      </c>
      <c r="CW543" s="1998">
        <v>1.5</v>
      </c>
      <c r="CX543" s="1998">
        <v>1.5</v>
      </c>
      <c r="CY543" s="1998">
        <v>1.5</v>
      </c>
      <c r="CZ543" s="1979">
        <v>1.1428571428571428</v>
      </c>
      <c r="DA543" s="1979">
        <v>1.1428571428571428</v>
      </c>
      <c r="DB543" s="1979">
        <v>1.1428571428571428</v>
      </c>
      <c r="DC543" s="1979">
        <v>1.1428571428571428</v>
      </c>
      <c r="DD543" s="1979">
        <v>1.1428571428571428</v>
      </c>
      <c r="DE543" s="1998">
        <v>12.878175625474475</v>
      </c>
      <c r="DF543" s="1998">
        <v>12.878175625474475</v>
      </c>
      <c r="DG543" s="1998">
        <v>12.878175625474475</v>
      </c>
      <c r="DH543" s="1998">
        <v>12.878175625474475</v>
      </c>
      <c r="DI543" s="1998">
        <v>12.878175625474475</v>
      </c>
      <c r="DJ543" s="1979">
        <v>12.852649866938734</v>
      </c>
      <c r="DK543" s="1979">
        <v>12.852649866938734</v>
      </c>
      <c r="DL543" s="1979">
        <v>12.852649866938734</v>
      </c>
      <c r="DM543" s="1979">
        <v>12.852649866938734</v>
      </c>
      <c r="DN543" s="1979">
        <v>12.852649866938734</v>
      </c>
      <c r="DO543" s="1998">
        <v>0.97975662301212196</v>
      </c>
      <c r="DP543" s="1998">
        <v>0.97975662301212196</v>
      </c>
      <c r="DQ543" s="1998">
        <v>0.97975662301212196</v>
      </c>
      <c r="DR543" s="1998">
        <v>0.97975662301212196</v>
      </c>
      <c r="DS543" s="1998">
        <v>0.97975662301212196</v>
      </c>
      <c r="DT543" s="1979">
        <v>0.9761487634781606</v>
      </c>
      <c r="DU543" s="1979">
        <v>0.9761487634781606</v>
      </c>
      <c r="DV543" s="1979">
        <v>0.9761487634781606</v>
      </c>
      <c r="DW543" s="1979">
        <v>0.9761487634781606</v>
      </c>
      <c r="DX543" s="2021">
        <v>0.9761487634781606</v>
      </c>
      <c r="EA543" s="2018"/>
      <c r="EB543" s="2">
        <v>3</v>
      </c>
      <c r="EC543" s="2" t="s">
        <v>4329</v>
      </c>
      <c r="ED543" s="1998">
        <v>1.4269322636390267</v>
      </c>
      <c r="EE543" s="1998">
        <v>1.4456772337675745</v>
      </c>
      <c r="EF543" s="1998">
        <v>1.479418179998961</v>
      </c>
      <c r="EG543" s="1998">
        <v>1.5206571142817664</v>
      </c>
      <c r="EH543" s="1998">
        <v>1.5566474569285784</v>
      </c>
      <c r="EI543" s="1979">
        <v>0</v>
      </c>
      <c r="EJ543" s="1979">
        <v>0</v>
      </c>
      <c r="EK543" s="1979">
        <v>0</v>
      </c>
      <c r="EL543" s="1979">
        <v>0</v>
      </c>
      <c r="EM543" s="1979">
        <v>0</v>
      </c>
      <c r="EN543" s="1998">
        <v>1.4037211721312064</v>
      </c>
      <c r="EO543" s="1998">
        <v>1.4384628702372106</v>
      </c>
      <c r="EP543" s="1998">
        <v>1.4400787631723737</v>
      </c>
      <c r="EQ543" s="1998">
        <v>1.4416946561075368</v>
      </c>
      <c r="ER543" s="1998">
        <v>1.4433105490426996</v>
      </c>
      <c r="ES543" s="1979">
        <v>1.8386057041128911</v>
      </c>
      <c r="ET543" s="1979">
        <v>1.8823484308342957</v>
      </c>
      <c r="EU543" s="1979">
        <v>1.8849995051810473</v>
      </c>
      <c r="EV543" s="1979">
        <v>1.8876505795277989</v>
      </c>
      <c r="EW543" s="1979">
        <v>1.890301653874551</v>
      </c>
      <c r="EX543" s="1998">
        <v>1.4219096453710565</v>
      </c>
      <c r="EY543" s="1998">
        <v>1.4544294906912119</v>
      </c>
      <c r="EZ543" s="1998">
        <v>1.4572573033277469</v>
      </c>
      <c r="FA543" s="1998">
        <v>1.4600851159642825</v>
      </c>
      <c r="FB543" s="1998">
        <v>1.4629129286008178</v>
      </c>
      <c r="FC543" s="1979">
        <v>1.3337290213217665</v>
      </c>
      <c r="FD543" s="1979">
        <v>1.3608288924218959</v>
      </c>
      <c r="FE543" s="1979">
        <v>1.3631854029523418</v>
      </c>
      <c r="FF543" s="1979">
        <v>1.3655419134827882</v>
      </c>
      <c r="FG543" s="1979">
        <v>1.3678984240132341</v>
      </c>
      <c r="FH543" s="1998">
        <v>2.6258229059205895</v>
      </c>
      <c r="FI543" s="1998">
        <v>2.6293576717162588</v>
      </c>
      <c r="FJ543" s="1998">
        <v>2.6328924375119276</v>
      </c>
      <c r="FK543" s="1998">
        <v>2.6364272033075964</v>
      </c>
      <c r="FL543" s="1998">
        <v>2.6364272033075964</v>
      </c>
      <c r="FM543" s="1979">
        <v>1.5589226421126934</v>
      </c>
      <c r="FN543" s="1979">
        <v>1.5818144586941689</v>
      </c>
      <c r="FO543" s="1979">
        <v>1.6208652046272745</v>
      </c>
      <c r="FP543" s="1979">
        <v>1.6679954152361951</v>
      </c>
      <c r="FQ543" s="1979">
        <v>1.7056995837233317</v>
      </c>
      <c r="FR543" s="1998">
        <v>19.988039090734052</v>
      </c>
      <c r="FS543" s="1998">
        <v>20.010799758089824</v>
      </c>
      <c r="FT543" s="1998">
        <v>20.0335604254456</v>
      </c>
      <c r="FU543" s="1998">
        <v>20.056321092801372</v>
      </c>
      <c r="FV543" s="1998">
        <v>20.079081760157145</v>
      </c>
      <c r="FW543" s="1979">
        <v>20.263599218068951</v>
      </c>
      <c r="FX543" s="1979">
        <v>20.286314771635631</v>
      </c>
      <c r="FY543" s="1979">
        <v>20.309030325202315</v>
      </c>
      <c r="FZ543" s="1979">
        <v>20.331745878768999</v>
      </c>
      <c r="GA543" s="1979">
        <v>20.354461432335679</v>
      </c>
      <c r="GB543" s="1998">
        <v>1.3814890061081229</v>
      </c>
      <c r="GC543" s="1998">
        <v>1.3832206112076746</v>
      </c>
      <c r="GD543" s="1998">
        <v>1.3849522163072265</v>
      </c>
      <c r="GE543" s="1998">
        <v>1.386683821406778</v>
      </c>
      <c r="GF543" s="1998">
        <v>1.3901470316058815</v>
      </c>
      <c r="GG543" s="1979">
        <v>1.4022802351656238</v>
      </c>
      <c r="GH543" s="1979">
        <v>1.404580540006042</v>
      </c>
      <c r="GI543" s="1979">
        <v>1.4068808448464603</v>
      </c>
      <c r="GJ543" s="1979">
        <v>1.4091811496868785</v>
      </c>
      <c r="GK543" s="2021">
        <v>1.4137817593677147</v>
      </c>
    </row>
    <row r="544" spans="1:193">
      <c r="A544" s="2016"/>
      <c r="B544" s="2">
        <v>4</v>
      </c>
      <c r="C544" s="2" t="s">
        <v>4330</v>
      </c>
      <c r="D544" s="1998">
        <f>IF(Construction!$F$31=Construction!$R$22,Oeko!BQ544,Oeko!ED544)</f>
        <v>1.0606060606060606</v>
      </c>
      <c r="E544" s="1998">
        <f>IF(Construction!$F$31=Construction!$R$22,Oeko!BR544,Oeko!EE544)</f>
        <v>1.0606060606060606</v>
      </c>
      <c r="F544" s="1998">
        <f>IF(Construction!$F$31=Construction!$R$22,Oeko!BS544,Oeko!EF544)</f>
        <v>1.0606060606060606</v>
      </c>
      <c r="G544" s="1998">
        <f>IF(Construction!$F$31=Construction!$R$22,Oeko!BT544,Oeko!EG544)</f>
        <v>1.0606060606060606</v>
      </c>
      <c r="H544" s="1998">
        <f>IF(Construction!$F$31=Construction!$R$22,Oeko!BU544,Oeko!EH544)</f>
        <v>1.0606060606060606</v>
      </c>
      <c r="I544" s="1979">
        <f>IF(Construction!$F$31=Construction!$R$22,Oeko!BV544,Oeko!EI544)</f>
        <v>0</v>
      </c>
      <c r="J544" s="1979">
        <f>IF(Construction!$F$31=Construction!$R$22,Oeko!BW544,Oeko!EJ544)</f>
        <v>0</v>
      </c>
      <c r="K544" s="1979">
        <f>IF(Construction!$F$31=Construction!$R$22,Oeko!BX544,Oeko!EK544)</f>
        <v>0</v>
      </c>
      <c r="L544" s="1979">
        <f>IF(Construction!$F$31=Construction!$R$22,Oeko!BY544,Oeko!EL544)</f>
        <v>0</v>
      </c>
      <c r="M544" s="1979">
        <f>IF(Construction!$F$31=Construction!$R$22,Oeko!BZ544,Oeko!EM544)</f>
        <v>0</v>
      </c>
      <c r="N544" s="1998">
        <f>IF(Construction!$F$31=Construction!$R$22,Oeko!CA544,Oeko!EN544)</f>
        <v>1.0158730158730158</v>
      </c>
      <c r="O544" s="1998">
        <f>IF(Construction!$F$31=Construction!$R$22,Oeko!CB544,Oeko!EO544)</f>
        <v>1.0158730158730158</v>
      </c>
      <c r="P544" s="1998">
        <f>IF(Construction!$F$31=Construction!$R$22,Oeko!CC544,Oeko!EP544)</f>
        <v>1.0158730158730158</v>
      </c>
      <c r="Q544" s="1998">
        <f>IF(Construction!$F$31=Construction!$R$22,Oeko!CD544,Oeko!EQ544)</f>
        <v>1.0158730158730158</v>
      </c>
      <c r="R544" s="1998">
        <f>IF(Construction!$F$31=Construction!$R$22,Oeko!CE544,Oeko!ER544)</f>
        <v>1.0158730158730158</v>
      </c>
      <c r="S544" s="1979">
        <f>IF(Construction!$F$31=Construction!$R$22,Oeko!CF544,Oeko!ES544)</f>
        <v>1.25</v>
      </c>
      <c r="T544" s="1979">
        <f>IF(Construction!$F$31=Construction!$R$22,Oeko!CG544,Oeko!ET544)</f>
        <v>1.25</v>
      </c>
      <c r="U544" s="1979">
        <f>IF(Construction!$F$31=Construction!$R$22,Oeko!CH544,Oeko!EU544)</f>
        <v>1.25</v>
      </c>
      <c r="V544" s="1979">
        <f>IF(Construction!$F$31=Construction!$R$22,Oeko!CI544,Oeko!EV544)</f>
        <v>1.25</v>
      </c>
      <c r="W544" s="1979">
        <f>IF(Construction!$F$31=Construction!$R$22,Oeko!CJ544,Oeko!EW544)</f>
        <v>1.25</v>
      </c>
      <c r="X544" s="1998">
        <f>IF(Construction!$F$31=Construction!$R$22,Oeko!CK544,Oeko!EX544)</f>
        <v>0.99999999999999989</v>
      </c>
      <c r="Y544" s="1998">
        <f>IF(Construction!$F$31=Construction!$R$22,Oeko!CL544,Oeko!EY544)</f>
        <v>0.99999999999999989</v>
      </c>
      <c r="Z544" s="1998">
        <f>IF(Construction!$F$31=Construction!$R$22,Oeko!CM544,Oeko!EZ544)</f>
        <v>0.99999999999999989</v>
      </c>
      <c r="AA544" s="1998">
        <f>IF(Construction!$F$31=Construction!$R$22,Oeko!CN544,Oeko!FA544)</f>
        <v>0.99999999999999989</v>
      </c>
      <c r="AB544" s="1998">
        <f>IF(Construction!$F$31=Construction!$R$22,Oeko!CO544,Oeko!FB544)</f>
        <v>0.99999999999999989</v>
      </c>
      <c r="AC544" s="1979">
        <f>IF(Construction!$F$31=Construction!$R$22,Oeko!CP544,Oeko!FC544)</f>
        <v>1.0000000000000002</v>
      </c>
      <c r="AD544" s="1979">
        <f>IF(Construction!$F$31=Construction!$R$22,Oeko!CQ544,Oeko!FD544)</f>
        <v>1.0000000000000002</v>
      </c>
      <c r="AE544" s="1979">
        <f>IF(Construction!$F$31=Construction!$R$22,Oeko!CR544,Oeko!FE544)</f>
        <v>1.0000000000000002</v>
      </c>
      <c r="AF544" s="1979">
        <f>IF(Construction!$F$31=Construction!$R$22,Oeko!CS544,Oeko!FF544)</f>
        <v>1.0000000000000002</v>
      </c>
      <c r="AG544" s="1979">
        <f>IF(Construction!$F$31=Construction!$R$22,Oeko!CT544,Oeko!FG544)</f>
        <v>1.0000000000000002</v>
      </c>
      <c r="AH544" s="1998">
        <f>IF(Construction!$F$31=Construction!$R$22,Oeko!CU544,Oeko!FH544)</f>
        <v>1.3333333333333333</v>
      </c>
      <c r="AI544" s="1998">
        <f>IF(Construction!$F$31=Construction!$R$22,Oeko!CV544,Oeko!FI544)</f>
        <v>1.3333333333333333</v>
      </c>
      <c r="AJ544" s="1998">
        <f>IF(Construction!$F$31=Construction!$R$22,Oeko!CW544,Oeko!FJ544)</f>
        <v>1.3333333333333333</v>
      </c>
      <c r="AK544" s="1998">
        <f>IF(Construction!$F$31=Construction!$R$22,Oeko!CX544,Oeko!FK544)</f>
        <v>1.3333333333333333</v>
      </c>
      <c r="AL544" s="1998">
        <f>IF(Construction!$F$31=Construction!$R$22,Oeko!CY544,Oeko!FL544)</f>
        <v>1.3333333333333333</v>
      </c>
      <c r="AM544" s="1979">
        <f>IF(Construction!$F$31=Construction!$R$22,Oeko!CZ544,Oeko!FM544)</f>
        <v>1.1428571428571428</v>
      </c>
      <c r="AN544" s="1979">
        <f>IF(Construction!$F$31=Construction!$R$22,Oeko!DA544,Oeko!FN544)</f>
        <v>1.1428571428571428</v>
      </c>
      <c r="AO544" s="1979">
        <f>IF(Construction!$F$31=Construction!$R$22,Oeko!DB544,Oeko!FO544)</f>
        <v>1.1428571428571428</v>
      </c>
      <c r="AP544" s="1979">
        <f>IF(Construction!$F$31=Construction!$R$22,Oeko!DC544,Oeko!FP544)</f>
        <v>1.1428571428571428</v>
      </c>
      <c r="AQ544" s="1979">
        <f>IF(Construction!$F$31=Construction!$R$22,Oeko!DD544,Oeko!FQ544)</f>
        <v>1.1428571428571428</v>
      </c>
      <c r="AR544" s="1998">
        <f>IF(Construction!$F$31=Construction!$R$22,Oeko!DE544,Oeko!FR544)</f>
        <v>12.073289648882321</v>
      </c>
      <c r="AS544" s="1998">
        <f>IF(Construction!$F$31=Construction!$R$22,Oeko!DF544,Oeko!FS544)</f>
        <v>12.073289648882321</v>
      </c>
      <c r="AT544" s="1998">
        <f>IF(Construction!$F$31=Construction!$R$22,Oeko!DG544,Oeko!FT544)</f>
        <v>12.073289648882321</v>
      </c>
      <c r="AU544" s="1998">
        <f>IF(Construction!$F$31=Construction!$R$22,Oeko!DH544,Oeko!FU544)</f>
        <v>12.073289648882321</v>
      </c>
      <c r="AV544" s="1998">
        <f>IF(Construction!$F$31=Construction!$R$22,Oeko!DI544,Oeko!FV544)</f>
        <v>12.073289648882321</v>
      </c>
      <c r="AW544" s="1979">
        <f>IF(Construction!$F$31=Construction!$R$22,Oeko!DJ544,Oeko!FW544)</f>
        <v>12.049359250255064</v>
      </c>
      <c r="AX544" s="1979">
        <f>IF(Construction!$F$31=Construction!$R$22,Oeko!DK544,Oeko!FX544)</f>
        <v>12.049359250255064</v>
      </c>
      <c r="AY544" s="1979">
        <f>IF(Construction!$F$31=Construction!$R$22,Oeko!DL544,Oeko!FY544)</f>
        <v>12.049359250255064</v>
      </c>
      <c r="AZ544" s="1979">
        <f>IF(Construction!$F$31=Construction!$R$22,Oeko!DM544,Oeko!FZ544)</f>
        <v>12.049359250255064</v>
      </c>
      <c r="BA544" s="1979">
        <f>IF(Construction!$F$31=Construction!$R$22,Oeko!DN544,Oeko!GA544)</f>
        <v>12.049359250255064</v>
      </c>
      <c r="BB544" s="1998">
        <f>IF(Construction!$F$31=Construction!$R$22,Oeko!DO544,Oeko!GB544)</f>
        <v>0.97975662301212196</v>
      </c>
      <c r="BC544" s="1998">
        <f>IF(Construction!$F$31=Construction!$R$22,Oeko!DP544,Oeko!GC544)</f>
        <v>0.97975662301212196</v>
      </c>
      <c r="BD544" s="1998">
        <f>IF(Construction!$F$31=Construction!$R$22,Oeko!DQ544,Oeko!GD544)</f>
        <v>0.97975662301212196</v>
      </c>
      <c r="BE544" s="1998">
        <f>IF(Construction!$F$31=Construction!$R$22,Oeko!DR544,Oeko!GE544)</f>
        <v>0.97975662301212196</v>
      </c>
      <c r="BF544" s="1998">
        <f>IF(Construction!$F$31=Construction!$R$22,Oeko!DS544,Oeko!GF544)</f>
        <v>0.97975662301212196</v>
      </c>
      <c r="BG544" s="1979">
        <f>IF(Construction!$F$31=Construction!$R$22,Oeko!DT544,Oeko!GG544)</f>
        <v>0.9761487634781606</v>
      </c>
      <c r="BH544" s="1979">
        <f>IF(Construction!$F$31=Construction!$R$22,Oeko!DU544,Oeko!GH544)</f>
        <v>0.9761487634781606</v>
      </c>
      <c r="BI544" s="1979">
        <f>IF(Construction!$F$31=Construction!$R$22,Oeko!DV544,Oeko!GI544)</f>
        <v>0.9761487634781606</v>
      </c>
      <c r="BJ544" s="1979">
        <f>IF(Construction!$F$31=Construction!$R$22,Oeko!DW544,Oeko!GJ544)</f>
        <v>0.9761487634781606</v>
      </c>
      <c r="BK544" s="2021">
        <f>IF(Construction!$F$31=Construction!$R$22,Oeko!DX544,Oeko!GK544)</f>
        <v>0.9761487634781606</v>
      </c>
      <c r="BN544" s="2018"/>
      <c r="BO544" s="2">
        <v>4</v>
      </c>
      <c r="BP544" s="2" t="s">
        <v>4330</v>
      </c>
      <c r="BQ544" s="1998">
        <v>1.0606060606060606</v>
      </c>
      <c r="BR544" s="1998">
        <v>1.0606060606060606</v>
      </c>
      <c r="BS544" s="1998">
        <v>1.0606060606060606</v>
      </c>
      <c r="BT544" s="1998">
        <v>1.0606060606060606</v>
      </c>
      <c r="BU544" s="1998">
        <v>1.0606060606060606</v>
      </c>
      <c r="BV544" s="1979">
        <v>0</v>
      </c>
      <c r="BW544" s="1979">
        <v>0</v>
      </c>
      <c r="BX544" s="1979">
        <v>0</v>
      </c>
      <c r="BY544" s="1979">
        <v>0</v>
      </c>
      <c r="BZ544" s="1979">
        <v>0</v>
      </c>
      <c r="CA544" s="1998">
        <v>1.0158730158730158</v>
      </c>
      <c r="CB544" s="1998">
        <v>1.0158730158730158</v>
      </c>
      <c r="CC544" s="1998">
        <v>1.0158730158730158</v>
      </c>
      <c r="CD544" s="1998">
        <v>1.0158730158730158</v>
      </c>
      <c r="CE544" s="1998">
        <v>1.0158730158730158</v>
      </c>
      <c r="CF544" s="1979">
        <v>1.25</v>
      </c>
      <c r="CG544" s="1979">
        <v>1.25</v>
      </c>
      <c r="CH544" s="1979">
        <v>1.25</v>
      </c>
      <c r="CI544" s="1979">
        <v>1.25</v>
      </c>
      <c r="CJ544" s="1979">
        <v>1.25</v>
      </c>
      <c r="CK544" s="1998">
        <v>0.99999999999999989</v>
      </c>
      <c r="CL544" s="1998">
        <v>0.99999999999999989</v>
      </c>
      <c r="CM544" s="1998">
        <v>0.99999999999999989</v>
      </c>
      <c r="CN544" s="1998">
        <v>0.99999999999999989</v>
      </c>
      <c r="CO544" s="1998">
        <v>0.99999999999999989</v>
      </c>
      <c r="CP544" s="1979">
        <v>1.0000000000000002</v>
      </c>
      <c r="CQ544" s="1979">
        <v>1.0000000000000002</v>
      </c>
      <c r="CR544" s="1979">
        <v>1.0000000000000002</v>
      </c>
      <c r="CS544" s="1979">
        <v>1.0000000000000002</v>
      </c>
      <c r="CT544" s="1979">
        <v>1.0000000000000002</v>
      </c>
      <c r="CU544" s="1998">
        <v>1.3333333333333333</v>
      </c>
      <c r="CV544" s="1998">
        <v>1.3333333333333333</v>
      </c>
      <c r="CW544" s="1998">
        <v>1.3333333333333333</v>
      </c>
      <c r="CX544" s="1998">
        <v>1.3333333333333333</v>
      </c>
      <c r="CY544" s="1998">
        <v>1.3333333333333333</v>
      </c>
      <c r="CZ544" s="1979">
        <v>1.1428571428571428</v>
      </c>
      <c r="DA544" s="1979">
        <v>1.1428571428571428</v>
      </c>
      <c r="DB544" s="1979">
        <v>1.1428571428571428</v>
      </c>
      <c r="DC544" s="1979">
        <v>1.1428571428571428</v>
      </c>
      <c r="DD544" s="1979">
        <v>1.1428571428571428</v>
      </c>
      <c r="DE544" s="1998">
        <v>12.073289648882321</v>
      </c>
      <c r="DF544" s="1998">
        <v>12.073289648882321</v>
      </c>
      <c r="DG544" s="1998">
        <v>12.073289648882321</v>
      </c>
      <c r="DH544" s="1998">
        <v>12.073289648882321</v>
      </c>
      <c r="DI544" s="1998">
        <v>12.073289648882321</v>
      </c>
      <c r="DJ544" s="1979">
        <v>12.049359250255064</v>
      </c>
      <c r="DK544" s="1979">
        <v>12.049359250255064</v>
      </c>
      <c r="DL544" s="1979">
        <v>12.049359250255064</v>
      </c>
      <c r="DM544" s="1979">
        <v>12.049359250255064</v>
      </c>
      <c r="DN544" s="1979">
        <v>12.049359250255064</v>
      </c>
      <c r="DO544" s="1998">
        <v>0.97975662301212196</v>
      </c>
      <c r="DP544" s="1998">
        <v>0.97975662301212196</v>
      </c>
      <c r="DQ544" s="1998">
        <v>0.97975662301212196</v>
      </c>
      <c r="DR544" s="1998">
        <v>0.97975662301212196</v>
      </c>
      <c r="DS544" s="1998">
        <v>0.97975662301212196</v>
      </c>
      <c r="DT544" s="1979">
        <v>0.9761487634781606</v>
      </c>
      <c r="DU544" s="1979">
        <v>0.9761487634781606</v>
      </c>
      <c r="DV544" s="1979">
        <v>0.9761487634781606</v>
      </c>
      <c r="DW544" s="1979">
        <v>0.9761487634781606</v>
      </c>
      <c r="DX544" s="2021">
        <v>0.9761487634781606</v>
      </c>
      <c r="EA544" s="2018"/>
      <c r="EB544" s="2">
        <v>4</v>
      </c>
      <c r="EC544" s="2" t="s">
        <v>4330</v>
      </c>
      <c r="ED544" s="1998">
        <v>1.4230396831421324</v>
      </c>
      <c r="EE544" s="1998">
        <v>1.44178465327068</v>
      </c>
      <c r="EF544" s="1998">
        <v>1.4755255995020671</v>
      </c>
      <c r="EG544" s="1998">
        <v>1.5167645337848719</v>
      </c>
      <c r="EH544" s="1998">
        <v>1.5527548764316843</v>
      </c>
      <c r="EI544" s="1979">
        <v>0</v>
      </c>
      <c r="EJ544" s="1979">
        <v>0</v>
      </c>
      <c r="EK544" s="1979">
        <v>0</v>
      </c>
      <c r="EL544" s="1979">
        <v>0</v>
      </c>
      <c r="EM544" s="1979">
        <v>0</v>
      </c>
      <c r="EN544" s="1998">
        <v>1.4004936874694434</v>
      </c>
      <c r="EO544" s="1998">
        <v>1.4346069827673287</v>
      </c>
      <c r="EP544" s="1998">
        <v>1.4364024193619542</v>
      </c>
      <c r="EQ544" s="1998">
        <v>1.4381978559565798</v>
      </c>
      <c r="ER544" s="1998">
        <v>1.4399932925512053</v>
      </c>
      <c r="ES544" s="1979">
        <v>1.8054884447893895</v>
      </c>
      <c r="ET544" s="1979">
        <v>1.8461382514395841</v>
      </c>
      <c r="EU544" s="1979">
        <v>1.8496730172352531</v>
      </c>
      <c r="EV544" s="1979">
        <v>1.8532077830309219</v>
      </c>
      <c r="EW544" s="1979">
        <v>1.856742548826591</v>
      </c>
      <c r="EX544" s="1998">
        <v>1.4261513643258594</v>
      </c>
      <c r="EY544" s="1998">
        <v>1.4586712096460148</v>
      </c>
      <c r="EZ544" s="1998">
        <v>1.4614990222825499</v>
      </c>
      <c r="FA544" s="1998">
        <v>1.4643268349190852</v>
      </c>
      <c r="FB544" s="1998">
        <v>1.4671546475556205</v>
      </c>
      <c r="FC544" s="1979">
        <v>1.3464070479755661</v>
      </c>
      <c r="FD544" s="1979">
        <v>1.3718573617043834</v>
      </c>
      <c r="FE544" s="1979">
        <v>1.3746851743409185</v>
      </c>
      <c r="FF544" s="1979">
        <v>1.3775129869774538</v>
      </c>
      <c r="FG544" s="1979">
        <v>1.3803407996139891</v>
      </c>
      <c r="FH544" s="1998">
        <v>2.5345645762281954</v>
      </c>
      <c r="FI544" s="1998">
        <v>2.5392775972890873</v>
      </c>
      <c r="FJ544" s="1998">
        <v>2.5439906183499796</v>
      </c>
      <c r="FK544" s="1998">
        <v>2.5487036394108715</v>
      </c>
      <c r="FL544" s="1998">
        <v>2.5487036394108715</v>
      </c>
      <c r="FM544" s="1979">
        <v>1.567002106788508</v>
      </c>
      <c r="FN544" s="1979">
        <v>1.5898939233699838</v>
      </c>
      <c r="FO544" s="1979">
        <v>1.6289446693030896</v>
      </c>
      <c r="FP544" s="1979">
        <v>1.6760748799120102</v>
      </c>
      <c r="FQ544" s="1979">
        <v>1.7137790483991466</v>
      </c>
      <c r="FR544" s="1998">
        <v>19.534520916446645</v>
      </c>
      <c r="FS544" s="1998">
        <v>19.562971750641363</v>
      </c>
      <c r="FT544" s="1998">
        <v>19.591422584836078</v>
      </c>
      <c r="FU544" s="1998">
        <v>19.619873419030796</v>
      </c>
      <c r="FV544" s="1998">
        <v>19.64832425322551</v>
      </c>
      <c r="FW544" s="1979">
        <v>19.82132364914148</v>
      </c>
      <c r="FX544" s="1979">
        <v>19.849718091099835</v>
      </c>
      <c r="FY544" s="1979">
        <v>19.878112533058189</v>
      </c>
      <c r="FZ544" s="1979">
        <v>19.906506975016544</v>
      </c>
      <c r="GA544" s="1979">
        <v>19.934901416974895</v>
      </c>
      <c r="GB544" s="1998">
        <v>1.3814890061081229</v>
      </c>
      <c r="GC544" s="1998">
        <v>1.3832206112076744</v>
      </c>
      <c r="GD544" s="1998">
        <v>1.3849522163072265</v>
      </c>
      <c r="GE544" s="1998">
        <v>1.3866838214067778</v>
      </c>
      <c r="GF544" s="1998">
        <v>1.3901470316058815</v>
      </c>
      <c r="GG544" s="1979">
        <v>1.4229829787293873</v>
      </c>
      <c r="GH544" s="1979">
        <v>1.4247082073597006</v>
      </c>
      <c r="GI544" s="1979">
        <v>1.4264334359900146</v>
      </c>
      <c r="GJ544" s="1979">
        <v>1.4281586646203281</v>
      </c>
      <c r="GK544" s="2021">
        <v>1.4316091218809552</v>
      </c>
    </row>
    <row r="545" spans="1:193">
      <c r="A545" s="2016"/>
      <c r="B545" s="2">
        <v>5</v>
      </c>
      <c r="C545" s="2" t="s">
        <v>4331</v>
      </c>
      <c r="D545" s="1998">
        <f>IF(Construction!$F$31=Construction!$R$22,Oeko!BQ545,Oeko!ED545)</f>
        <v>1.0606060606060606</v>
      </c>
      <c r="E545" s="1998">
        <f>IF(Construction!$F$31=Construction!$R$22,Oeko!BR545,Oeko!EE545)</f>
        <v>1.0606060606060606</v>
      </c>
      <c r="F545" s="1998">
        <f>IF(Construction!$F$31=Construction!$R$22,Oeko!BS545,Oeko!EF545)</f>
        <v>1.0606060606060606</v>
      </c>
      <c r="G545" s="1998">
        <f>IF(Construction!$F$31=Construction!$R$22,Oeko!BT545,Oeko!EG545)</f>
        <v>1.0606060606060606</v>
      </c>
      <c r="H545" s="1998">
        <f>IF(Construction!$F$31=Construction!$R$22,Oeko!BU545,Oeko!EH545)</f>
        <v>1.0606060606060606</v>
      </c>
      <c r="I545" s="1979">
        <f>IF(Construction!$F$31=Construction!$R$22,Oeko!BV545,Oeko!EI545)</f>
        <v>0</v>
      </c>
      <c r="J545" s="1979">
        <f>IF(Construction!$F$31=Construction!$R$22,Oeko!BW545,Oeko!EJ545)</f>
        <v>0</v>
      </c>
      <c r="K545" s="1979">
        <f>IF(Construction!$F$31=Construction!$R$22,Oeko!BX545,Oeko!EK545)</f>
        <v>0</v>
      </c>
      <c r="L545" s="1979">
        <f>IF(Construction!$F$31=Construction!$R$22,Oeko!BY545,Oeko!EL545)</f>
        <v>0</v>
      </c>
      <c r="M545" s="1979">
        <f>IF(Construction!$F$31=Construction!$R$22,Oeko!BZ545,Oeko!EM545)</f>
        <v>0</v>
      </c>
      <c r="N545" s="1998">
        <f>IF(Construction!$F$31=Construction!$R$22,Oeko!CA545,Oeko!EN545)</f>
        <v>1.015873015873016</v>
      </c>
      <c r="O545" s="1998">
        <f>IF(Construction!$F$31=Construction!$R$22,Oeko!CB545,Oeko!EO545)</f>
        <v>1.015873015873016</v>
      </c>
      <c r="P545" s="1998">
        <f>IF(Construction!$F$31=Construction!$R$22,Oeko!CC545,Oeko!EP545)</f>
        <v>1.015873015873016</v>
      </c>
      <c r="Q545" s="1998">
        <f>IF(Construction!$F$31=Construction!$R$22,Oeko!CD545,Oeko!EQ545)</f>
        <v>1.015873015873016</v>
      </c>
      <c r="R545" s="1998">
        <f>IF(Construction!$F$31=Construction!$R$22,Oeko!CE545,Oeko!ER545)</f>
        <v>1.015873015873016</v>
      </c>
      <c r="S545" s="1979">
        <f>IF(Construction!$F$31=Construction!$R$22,Oeko!CF545,Oeko!ES545)</f>
        <v>1.25</v>
      </c>
      <c r="T545" s="1979">
        <f>IF(Construction!$F$31=Construction!$R$22,Oeko!CG545,Oeko!ET545)</f>
        <v>1.25</v>
      </c>
      <c r="U545" s="1979">
        <f>IF(Construction!$F$31=Construction!$R$22,Oeko!CH545,Oeko!EU545)</f>
        <v>1.25</v>
      </c>
      <c r="V545" s="1979">
        <f>IF(Construction!$F$31=Construction!$R$22,Oeko!CI545,Oeko!EV545)</f>
        <v>1.25</v>
      </c>
      <c r="W545" s="1979">
        <f>IF(Construction!$F$31=Construction!$R$22,Oeko!CJ545,Oeko!EW545)</f>
        <v>1.25</v>
      </c>
      <c r="X545" s="1998">
        <f>IF(Construction!$F$31=Construction!$R$22,Oeko!CK545,Oeko!EX545)</f>
        <v>1</v>
      </c>
      <c r="Y545" s="1998">
        <f>IF(Construction!$F$31=Construction!$R$22,Oeko!CL545,Oeko!EY545)</f>
        <v>1</v>
      </c>
      <c r="Z545" s="1998">
        <f>IF(Construction!$F$31=Construction!$R$22,Oeko!CM545,Oeko!EZ545)</f>
        <v>1</v>
      </c>
      <c r="AA545" s="1998">
        <f>IF(Construction!$F$31=Construction!$R$22,Oeko!CN545,Oeko!FA545)</f>
        <v>1</v>
      </c>
      <c r="AB545" s="1998">
        <f>IF(Construction!$F$31=Construction!$R$22,Oeko!CO545,Oeko!FB545)</f>
        <v>1</v>
      </c>
      <c r="AC545" s="1979">
        <f>IF(Construction!$F$31=Construction!$R$22,Oeko!CP545,Oeko!FC545)</f>
        <v>1</v>
      </c>
      <c r="AD545" s="1979">
        <f>IF(Construction!$F$31=Construction!$R$22,Oeko!CQ545,Oeko!FD545)</f>
        <v>1</v>
      </c>
      <c r="AE545" s="1979">
        <f>IF(Construction!$F$31=Construction!$R$22,Oeko!CR545,Oeko!FE545)</f>
        <v>1</v>
      </c>
      <c r="AF545" s="1979">
        <f>IF(Construction!$F$31=Construction!$R$22,Oeko!CS545,Oeko!FF545)</f>
        <v>1</v>
      </c>
      <c r="AG545" s="1979">
        <f>IF(Construction!$F$31=Construction!$R$22,Oeko!CT545,Oeko!FG545)</f>
        <v>1</v>
      </c>
      <c r="AH545" s="1998">
        <f>IF(Construction!$F$31=Construction!$R$22,Oeko!CU545,Oeko!FH545)</f>
        <v>1.3333333333333333</v>
      </c>
      <c r="AI545" s="1998">
        <f>IF(Construction!$F$31=Construction!$R$22,Oeko!CV545,Oeko!FI545)</f>
        <v>1.3333333333333333</v>
      </c>
      <c r="AJ545" s="1998">
        <f>IF(Construction!$F$31=Construction!$R$22,Oeko!CW545,Oeko!FJ545)</f>
        <v>1.3333333333333333</v>
      </c>
      <c r="AK545" s="1998">
        <f>IF(Construction!$F$31=Construction!$R$22,Oeko!CX545,Oeko!FK545)</f>
        <v>1.3333333333333333</v>
      </c>
      <c r="AL545" s="1998">
        <f>IF(Construction!$F$31=Construction!$R$22,Oeko!CY545,Oeko!FL545)</f>
        <v>1.3333333333333333</v>
      </c>
      <c r="AM545" s="1979">
        <f>IF(Construction!$F$31=Construction!$R$22,Oeko!CZ545,Oeko!FM545)</f>
        <v>1.0666666666666667</v>
      </c>
      <c r="AN545" s="1979">
        <f>IF(Construction!$F$31=Construction!$R$22,Oeko!DA545,Oeko!FN545)</f>
        <v>1.0666666666666667</v>
      </c>
      <c r="AO545" s="1979">
        <f>IF(Construction!$F$31=Construction!$R$22,Oeko!DB545,Oeko!FO545)</f>
        <v>1.0666666666666667</v>
      </c>
      <c r="AP545" s="1979">
        <f>IF(Construction!$F$31=Construction!$R$22,Oeko!DC545,Oeko!FP545)</f>
        <v>1.0666666666666667</v>
      </c>
      <c r="AQ545" s="1979">
        <f>IF(Construction!$F$31=Construction!$R$22,Oeko!DD545,Oeko!FQ545)</f>
        <v>1.0666666666666667</v>
      </c>
      <c r="AR545" s="1998">
        <f>IF(Construction!$F$31=Construction!$R$22,Oeko!DE545,Oeko!FR545)</f>
        <v>12.073289648882321</v>
      </c>
      <c r="AS545" s="1998">
        <f>IF(Construction!$F$31=Construction!$R$22,Oeko!DF545,Oeko!FS545)</f>
        <v>12.073289648882321</v>
      </c>
      <c r="AT545" s="1998">
        <f>IF(Construction!$F$31=Construction!$R$22,Oeko!DG545,Oeko!FT545)</f>
        <v>12.073289648882321</v>
      </c>
      <c r="AU545" s="1998">
        <f>IF(Construction!$F$31=Construction!$R$22,Oeko!DH545,Oeko!FU545)</f>
        <v>12.073289648882321</v>
      </c>
      <c r="AV545" s="1998">
        <f>IF(Construction!$F$31=Construction!$R$22,Oeko!DI545,Oeko!FV545)</f>
        <v>12.073289648882321</v>
      </c>
      <c r="AW545" s="1979">
        <f>IF(Construction!$F$31=Construction!$R$22,Oeko!DJ545,Oeko!FW545)</f>
        <v>10.71054155578228</v>
      </c>
      <c r="AX545" s="1979">
        <f>IF(Construction!$F$31=Construction!$R$22,Oeko!DK545,Oeko!FX545)</f>
        <v>10.71054155578228</v>
      </c>
      <c r="AY545" s="1979">
        <f>IF(Construction!$F$31=Construction!$R$22,Oeko!DL545,Oeko!FY545)</f>
        <v>10.71054155578228</v>
      </c>
      <c r="AZ545" s="1979">
        <f>IF(Construction!$F$31=Construction!$R$22,Oeko!DM545,Oeko!FZ545)</f>
        <v>10.71054155578228</v>
      </c>
      <c r="BA545" s="1979">
        <f>IF(Construction!$F$31=Construction!$R$22,Oeko!DN545,Oeko!GA545)</f>
        <v>10.71054155578228</v>
      </c>
      <c r="BB545" s="1998">
        <f>IF(Construction!$F$31=Construction!$R$22,Oeko!DO545,Oeko!GB545)</f>
        <v>0.97975662301212196</v>
      </c>
      <c r="BC545" s="1998">
        <f>IF(Construction!$F$31=Construction!$R$22,Oeko!DP545,Oeko!GC545)</f>
        <v>0.97975662301212196</v>
      </c>
      <c r="BD545" s="1998">
        <f>IF(Construction!$F$31=Construction!$R$22,Oeko!DQ545,Oeko!GD545)</f>
        <v>0.97975662301212196</v>
      </c>
      <c r="BE545" s="1998">
        <f>IF(Construction!$F$31=Construction!$R$22,Oeko!DR545,Oeko!GE545)</f>
        <v>0.97975662301212196</v>
      </c>
      <c r="BF545" s="1998">
        <f>IF(Construction!$F$31=Construction!$R$22,Oeko!DS545,Oeko!GF545)</f>
        <v>0.97975662301212196</v>
      </c>
      <c r="BG545" s="1979">
        <f>IF(Construction!$F$31=Construction!$R$22,Oeko!DT545,Oeko!GG545)</f>
        <v>0.9761487634781606</v>
      </c>
      <c r="BH545" s="1979">
        <f>IF(Construction!$F$31=Construction!$R$22,Oeko!DU545,Oeko!GH545)</f>
        <v>0.9761487634781606</v>
      </c>
      <c r="BI545" s="1979">
        <f>IF(Construction!$F$31=Construction!$R$22,Oeko!DV545,Oeko!GI545)</f>
        <v>0.9761487634781606</v>
      </c>
      <c r="BJ545" s="1979">
        <f>IF(Construction!$F$31=Construction!$R$22,Oeko!DW545,Oeko!GJ545)</f>
        <v>0.9761487634781606</v>
      </c>
      <c r="BK545" s="2021">
        <f>IF(Construction!$F$31=Construction!$R$22,Oeko!DX545,Oeko!GK545)</f>
        <v>0.9761487634781606</v>
      </c>
      <c r="BN545" s="2018"/>
      <c r="BO545" s="2">
        <v>5</v>
      </c>
      <c r="BP545" s="2" t="s">
        <v>4331</v>
      </c>
      <c r="BQ545" s="1998">
        <v>1.0606060606060606</v>
      </c>
      <c r="BR545" s="1998">
        <v>1.0606060606060606</v>
      </c>
      <c r="BS545" s="1998">
        <v>1.0606060606060606</v>
      </c>
      <c r="BT545" s="1998">
        <v>1.0606060606060606</v>
      </c>
      <c r="BU545" s="1998">
        <v>1.0606060606060606</v>
      </c>
      <c r="BV545" s="1979">
        <v>0</v>
      </c>
      <c r="BW545" s="1979">
        <v>0</v>
      </c>
      <c r="BX545" s="1979">
        <v>0</v>
      </c>
      <c r="BY545" s="1979">
        <v>0</v>
      </c>
      <c r="BZ545" s="1979">
        <v>0</v>
      </c>
      <c r="CA545" s="1998">
        <v>1.015873015873016</v>
      </c>
      <c r="CB545" s="1998">
        <v>1.015873015873016</v>
      </c>
      <c r="CC545" s="1998">
        <v>1.015873015873016</v>
      </c>
      <c r="CD545" s="1998">
        <v>1.015873015873016</v>
      </c>
      <c r="CE545" s="1998">
        <v>1.015873015873016</v>
      </c>
      <c r="CF545" s="1979">
        <v>1.25</v>
      </c>
      <c r="CG545" s="1979">
        <v>1.25</v>
      </c>
      <c r="CH545" s="1979">
        <v>1.25</v>
      </c>
      <c r="CI545" s="1979">
        <v>1.25</v>
      </c>
      <c r="CJ545" s="1979">
        <v>1.25</v>
      </c>
      <c r="CK545" s="1998">
        <v>1</v>
      </c>
      <c r="CL545" s="1998">
        <v>1</v>
      </c>
      <c r="CM545" s="1998">
        <v>1</v>
      </c>
      <c r="CN545" s="1998">
        <v>1</v>
      </c>
      <c r="CO545" s="1998">
        <v>1</v>
      </c>
      <c r="CP545" s="1979">
        <v>1</v>
      </c>
      <c r="CQ545" s="1979">
        <v>1</v>
      </c>
      <c r="CR545" s="1979">
        <v>1</v>
      </c>
      <c r="CS545" s="1979">
        <v>1</v>
      </c>
      <c r="CT545" s="1979">
        <v>1</v>
      </c>
      <c r="CU545" s="1998">
        <v>1.3333333333333333</v>
      </c>
      <c r="CV545" s="1998">
        <v>1.3333333333333333</v>
      </c>
      <c r="CW545" s="1998">
        <v>1.3333333333333333</v>
      </c>
      <c r="CX545" s="1998">
        <v>1.3333333333333333</v>
      </c>
      <c r="CY545" s="1998">
        <v>1.3333333333333333</v>
      </c>
      <c r="CZ545" s="1979">
        <v>1.0666666666666667</v>
      </c>
      <c r="DA545" s="1979">
        <v>1.0666666666666667</v>
      </c>
      <c r="DB545" s="1979">
        <v>1.0666666666666667</v>
      </c>
      <c r="DC545" s="1979">
        <v>1.0666666666666667</v>
      </c>
      <c r="DD545" s="1979">
        <v>1.0666666666666667</v>
      </c>
      <c r="DE545" s="1998">
        <v>12.073289648882321</v>
      </c>
      <c r="DF545" s="1998">
        <v>12.073289648882321</v>
      </c>
      <c r="DG545" s="1998">
        <v>12.073289648882321</v>
      </c>
      <c r="DH545" s="1998">
        <v>12.073289648882321</v>
      </c>
      <c r="DI545" s="1998">
        <v>12.073289648882321</v>
      </c>
      <c r="DJ545" s="1979">
        <v>10.71054155578228</v>
      </c>
      <c r="DK545" s="1979">
        <v>10.71054155578228</v>
      </c>
      <c r="DL545" s="1979">
        <v>10.71054155578228</v>
      </c>
      <c r="DM545" s="1979">
        <v>10.71054155578228</v>
      </c>
      <c r="DN545" s="1979">
        <v>10.71054155578228</v>
      </c>
      <c r="DO545" s="1998">
        <v>0.97975662301212196</v>
      </c>
      <c r="DP545" s="1998">
        <v>0.97975662301212196</v>
      </c>
      <c r="DQ545" s="1998">
        <v>0.97975662301212196</v>
      </c>
      <c r="DR545" s="1998">
        <v>0.97975662301212196</v>
      </c>
      <c r="DS545" s="1998">
        <v>0.97975662301212196</v>
      </c>
      <c r="DT545" s="1979">
        <v>0.9761487634781606</v>
      </c>
      <c r="DU545" s="1979">
        <v>0.9761487634781606</v>
      </c>
      <c r="DV545" s="1979">
        <v>0.9761487634781606</v>
      </c>
      <c r="DW545" s="1979">
        <v>0.9761487634781606</v>
      </c>
      <c r="DX545" s="2021">
        <v>0.9761487634781606</v>
      </c>
      <c r="EA545" s="2018"/>
      <c r="EB545" s="2">
        <v>5</v>
      </c>
      <c r="EC545" s="2" t="s">
        <v>4331</v>
      </c>
      <c r="ED545" s="1998">
        <v>1.4194282771971665</v>
      </c>
      <c r="EE545" s="1998">
        <v>1.4381732473257143</v>
      </c>
      <c r="EF545" s="1998">
        <v>1.4719141935571005</v>
      </c>
      <c r="EG545" s="1998">
        <v>1.513153127839906</v>
      </c>
      <c r="EH545" s="1998">
        <v>1.5491434704867184</v>
      </c>
      <c r="EI545" s="1979">
        <v>0</v>
      </c>
      <c r="EJ545" s="1979">
        <v>0</v>
      </c>
      <c r="EK545" s="1979">
        <v>0</v>
      </c>
      <c r="EL545" s="1979">
        <v>0</v>
      </c>
      <c r="EM545" s="1979">
        <v>0</v>
      </c>
      <c r="EN545" s="1998">
        <v>1.4047017419880969</v>
      </c>
      <c r="EO545" s="1998">
        <v>1.4388150372859823</v>
      </c>
      <c r="EP545" s="1998">
        <v>1.4406104738806078</v>
      </c>
      <c r="EQ545" s="1998">
        <v>1.4424059104752334</v>
      </c>
      <c r="ER545" s="1998">
        <v>1.4442013470698589</v>
      </c>
      <c r="ES545" s="1979">
        <v>1.8094650563095172</v>
      </c>
      <c r="ET545" s="1979">
        <v>1.8501148629597117</v>
      </c>
      <c r="EU545" s="1979">
        <v>1.8536496287553808</v>
      </c>
      <c r="EV545" s="1979">
        <v>1.85718439455105</v>
      </c>
      <c r="EW545" s="1979">
        <v>1.8607191603467186</v>
      </c>
      <c r="EX545" s="1998">
        <v>1.4299386133926479</v>
      </c>
      <c r="EY545" s="1998">
        <v>1.4624584587128031</v>
      </c>
      <c r="EZ545" s="1998">
        <v>1.4652862713493382</v>
      </c>
      <c r="FA545" s="1998">
        <v>1.4681140839858735</v>
      </c>
      <c r="FB545" s="1998">
        <v>1.470941896622409</v>
      </c>
      <c r="FC545" s="1979">
        <v>1.3616065408969431</v>
      </c>
      <c r="FD545" s="1979">
        <v>1.3845825185687919</v>
      </c>
      <c r="FE545" s="1979">
        <v>1.3881172843644611</v>
      </c>
      <c r="FF545" s="1979">
        <v>1.3916520501601302</v>
      </c>
      <c r="FG545" s="1979">
        <v>1.395186815955799</v>
      </c>
      <c r="FH545" s="1998">
        <v>2.5398667249216991</v>
      </c>
      <c r="FI545" s="1998">
        <v>2.544579745982591</v>
      </c>
      <c r="FJ545" s="1998">
        <v>2.5492927670434828</v>
      </c>
      <c r="FK545" s="1998">
        <v>2.5540057881043752</v>
      </c>
      <c r="FL545" s="1998">
        <v>2.5540057881043752</v>
      </c>
      <c r="FM545" s="1979">
        <v>1.5374032102285651</v>
      </c>
      <c r="FN545" s="1979">
        <v>1.5619109197452037</v>
      </c>
      <c r="FO545" s="1979">
        <v>1.6015002966566969</v>
      </c>
      <c r="FP545" s="1979">
        <v>1.6486305072656173</v>
      </c>
      <c r="FQ545" s="1979">
        <v>1.6825642589040402</v>
      </c>
      <c r="FR545" s="1998">
        <v>19.59853529338476</v>
      </c>
      <c r="FS545" s="1998">
        <v>19.626986127579475</v>
      </c>
      <c r="FT545" s="1998">
        <v>19.655436961774189</v>
      </c>
      <c r="FU545" s="1998">
        <v>19.683887795968907</v>
      </c>
      <c r="FV545" s="1998">
        <v>19.712338630163622</v>
      </c>
      <c r="FW545" s="1979">
        <v>19.047690561268301</v>
      </c>
      <c r="FX545" s="1979">
        <v>19.085549817212772</v>
      </c>
      <c r="FY545" s="1979">
        <v>19.123409073157241</v>
      </c>
      <c r="FZ545" s="1979">
        <v>19.161268329101713</v>
      </c>
      <c r="GA545" s="1979">
        <v>19.199127585046185</v>
      </c>
      <c r="GB545" s="1998">
        <v>1.4074630826013985</v>
      </c>
      <c r="GC545" s="1998">
        <v>1.4097718894008009</v>
      </c>
      <c r="GD545" s="1998">
        <v>1.4120806962002033</v>
      </c>
      <c r="GE545" s="1998">
        <v>1.4143895029996054</v>
      </c>
      <c r="GF545" s="1998">
        <v>1.4190071165984099</v>
      </c>
      <c r="GG545" s="1979">
        <v>1.4850912094206774</v>
      </c>
      <c r="GH545" s="1979">
        <v>1.4868164380509907</v>
      </c>
      <c r="GI545" s="1979">
        <v>1.4885416666813047</v>
      </c>
      <c r="GJ545" s="1979">
        <v>1.4902668953116183</v>
      </c>
      <c r="GK545" s="2021">
        <v>1.4937173525722456</v>
      </c>
    </row>
    <row r="546" spans="1:193">
      <c r="A546" s="2016"/>
      <c r="B546" s="2">
        <v>6</v>
      </c>
      <c r="C546" s="2" t="s">
        <v>4332</v>
      </c>
      <c r="D546" s="1998">
        <f>IF(Construction!$F$31=Construction!$R$22,Oeko!BQ546,Oeko!ED546)</f>
        <v>1</v>
      </c>
      <c r="E546" s="1998">
        <f>IF(Construction!$F$31=Construction!$R$22,Oeko!BR546,Oeko!EE546)</f>
        <v>1</v>
      </c>
      <c r="F546" s="1998">
        <f>IF(Construction!$F$31=Construction!$R$22,Oeko!BS546,Oeko!EF546)</f>
        <v>1</v>
      </c>
      <c r="G546" s="1998">
        <f>IF(Construction!$F$31=Construction!$R$22,Oeko!BT546,Oeko!EG546)</f>
        <v>1</v>
      </c>
      <c r="H546" s="1998">
        <f>IF(Construction!$F$31=Construction!$R$22,Oeko!BU546,Oeko!EH546)</f>
        <v>1</v>
      </c>
      <c r="I546" s="1979">
        <f>IF(Construction!$F$31=Construction!$R$22,Oeko!BV546,Oeko!EI546)</f>
        <v>0</v>
      </c>
      <c r="J546" s="1979">
        <f>IF(Construction!$F$31=Construction!$R$22,Oeko!BW546,Oeko!EJ546)</f>
        <v>0</v>
      </c>
      <c r="K546" s="1979">
        <f>IF(Construction!$F$31=Construction!$R$22,Oeko!BX546,Oeko!EK546)</f>
        <v>0</v>
      </c>
      <c r="L546" s="1979">
        <f>IF(Construction!$F$31=Construction!$R$22,Oeko!BY546,Oeko!EL546)</f>
        <v>0</v>
      </c>
      <c r="M546" s="1979">
        <f>IF(Construction!$F$31=Construction!$R$22,Oeko!BZ546,Oeko!EM546)</f>
        <v>0</v>
      </c>
      <c r="N546" s="1998">
        <f>IF(Construction!$F$31=Construction!$R$22,Oeko!CA546,Oeko!EN546)</f>
        <v>1</v>
      </c>
      <c r="O546" s="1998">
        <f>IF(Construction!$F$31=Construction!$R$22,Oeko!CB546,Oeko!EO546)</f>
        <v>1</v>
      </c>
      <c r="P546" s="1998">
        <f>IF(Construction!$F$31=Construction!$R$22,Oeko!CC546,Oeko!EP546)</f>
        <v>1</v>
      </c>
      <c r="Q546" s="1998">
        <f>IF(Construction!$F$31=Construction!$R$22,Oeko!CD546,Oeko!EQ546)</f>
        <v>1</v>
      </c>
      <c r="R546" s="1998">
        <f>IF(Construction!$F$31=Construction!$R$22,Oeko!CE546,Oeko!ER546)</f>
        <v>1</v>
      </c>
      <c r="S546" s="1979">
        <f>IF(Construction!$F$31=Construction!$R$22,Oeko!CF546,Oeko!ES546)</f>
        <v>1.2000000000000002</v>
      </c>
      <c r="T546" s="1979">
        <f>IF(Construction!$F$31=Construction!$R$22,Oeko!CG546,Oeko!ET546)</f>
        <v>1.2000000000000002</v>
      </c>
      <c r="U546" s="1979">
        <f>IF(Construction!$F$31=Construction!$R$22,Oeko!CH546,Oeko!EU546)</f>
        <v>1.2000000000000002</v>
      </c>
      <c r="V546" s="1979">
        <f>IF(Construction!$F$31=Construction!$R$22,Oeko!CI546,Oeko!EV546)</f>
        <v>1.2000000000000002</v>
      </c>
      <c r="W546" s="1979">
        <f>IF(Construction!$F$31=Construction!$R$22,Oeko!CJ546,Oeko!EW546)</f>
        <v>1.2000000000000002</v>
      </c>
      <c r="X546" s="1998">
        <f>IF(Construction!$F$31=Construction!$R$22,Oeko!CK546,Oeko!EX546)</f>
        <v>0.96</v>
      </c>
      <c r="Y546" s="1998">
        <f>IF(Construction!$F$31=Construction!$R$22,Oeko!CL546,Oeko!EY546)</f>
        <v>0.96</v>
      </c>
      <c r="Z546" s="1998">
        <f>IF(Construction!$F$31=Construction!$R$22,Oeko!CM546,Oeko!EZ546)</f>
        <v>0.96</v>
      </c>
      <c r="AA546" s="1998">
        <f>IF(Construction!$F$31=Construction!$R$22,Oeko!CN546,Oeko!FA546)</f>
        <v>0.96</v>
      </c>
      <c r="AB546" s="1998">
        <f>IF(Construction!$F$31=Construction!$R$22,Oeko!CO546,Oeko!FB546)</f>
        <v>0.96</v>
      </c>
      <c r="AC546" s="1979">
        <f>IF(Construction!$F$31=Construction!$R$22,Oeko!CP546,Oeko!FC546)</f>
        <v>1.0000000000000002</v>
      </c>
      <c r="AD546" s="1979">
        <f>IF(Construction!$F$31=Construction!$R$22,Oeko!CQ546,Oeko!FD546)</f>
        <v>1.0000000000000002</v>
      </c>
      <c r="AE546" s="1979">
        <f>IF(Construction!$F$31=Construction!$R$22,Oeko!CR546,Oeko!FE546)</f>
        <v>1.0000000000000002</v>
      </c>
      <c r="AF546" s="1979">
        <f>IF(Construction!$F$31=Construction!$R$22,Oeko!CS546,Oeko!FF546)</f>
        <v>1.0000000000000002</v>
      </c>
      <c r="AG546" s="1979">
        <f>IF(Construction!$F$31=Construction!$R$22,Oeko!CT546,Oeko!FG546)</f>
        <v>1.0000000000000002</v>
      </c>
      <c r="AH546" s="1998">
        <f>IF(Construction!$F$31=Construction!$R$22,Oeko!CU546,Oeko!FH546)</f>
        <v>1.333333333333333</v>
      </c>
      <c r="AI546" s="1998">
        <f>IF(Construction!$F$31=Construction!$R$22,Oeko!CV546,Oeko!FI546)</f>
        <v>1.333333333333333</v>
      </c>
      <c r="AJ546" s="1998">
        <f>IF(Construction!$F$31=Construction!$R$22,Oeko!CW546,Oeko!FJ546)</f>
        <v>1.333333333333333</v>
      </c>
      <c r="AK546" s="1998">
        <f>IF(Construction!$F$31=Construction!$R$22,Oeko!CX546,Oeko!FK546)</f>
        <v>1.333333333333333</v>
      </c>
      <c r="AL546" s="1998">
        <f>IF(Construction!$F$31=Construction!$R$22,Oeko!CY546,Oeko!FL546)</f>
        <v>1.333333333333333</v>
      </c>
      <c r="AM546" s="1979">
        <f>IF(Construction!$F$31=Construction!$R$22,Oeko!CZ546,Oeko!FM546)</f>
        <v>1</v>
      </c>
      <c r="AN546" s="1979">
        <f>IF(Construction!$F$31=Construction!$R$22,Oeko!DA546,Oeko!FN546)</f>
        <v>1</v>
      </c>
      <c r="AO546" s="1979">
        <f>IF(Construction!$F$31=Construction!$R$22,Oeko!DB546,Oeko!FO546)</f>
        <v>1</v>
      </c>
      <c r="AP546" s="1979">
        <f>IF(Construction!$F$31=Construction!$R$22,Oeko!DC546,Oeko!FP546)</f>
        <v>1</v>
      </c>
      <c r="AQ546" s="1979">
        <f>IF(Construction!$F$31=Construction!$R$22,Oeko!DD546,Oeko!FQ546)</f>
        <v>1</v>
      </c>
      <c r="AR546" s="1998">
        <f>IF(Construction!$F$31=Construction!$R$22,Oeko!DE546,Oeko!FR546)</f>
        <v>10.73181302122873</v>
      </c>
      <c r="AS546" s="1998">
        <f>IF(Construction!$F$31=Construction!$R$22,Oeko!DF546,Oeko!FS546)</f>
        <v>10.73181302122873</v>
      </c>
      <c r="AT546" s="1998">
        <f>IF(Construction!$F$31=Construction!$R$22,Oeko!DG546,Oeko!FT546)</f>
        <v>10.73181302122873</v>
      </c>
      <c r="AU546" s="1998">
        <f>IF(Construction!$F$31=Construction!$R$22,Oeko!DH546,Oeko!FU546)</f>
        <v>10.73181302122873</v>
      </c>
      <c r="AV546" s="1998">
        <f>IF(Construction!$F$31=Construction!$R$22,Oeko!DI546,Oeko!FV546)</f>
        <v>10.73181302122873</v>
      </c>
      <c r="AW546" s="1979">
        <f>IF(Construction!$F$31=Construction!$R$22,Oeko!DJ546,Oeko!FW546)</f>
        <v>10.71054155578228</v>
      </c>
      <c r="AX546" s="1979">
        <f>IF(Construction!$F$31=Construction!$R$22,Oeko!DK546,Oeko!FX546)</f>
        <v>10.71054155578228</v>
      </c>
      <c r="AY546" s="1979">
        <f>IF(Construction!$F$31=Construction!$R$22,Oeko!DL546,Oeko!FY546)</f>
        <v>10.71054155578228</v>
      </c>
      <c r="AZ546" s="1979">
        <f>IF(Construction!$F$31=Construction!$R$22,Oeko!DM546,Oeko!FZ546)</f>
        <v>10.71054155578228</v>
      </c>
      <c r="BA546" s="1979">
        <f>IF(Construction!$F$31=Construction!$R$22,Oeko!DN546,Oeko!GA546)</f>
        <v>10.71054155578228</v>
      </c>
      <c r="BB546" s="1998">
        <f>IF(Construction!$F$31=Construction!$R$22,Oeko!DO546,Oeko!GB546)</f>
        <v>0.97975662301212196</v>
      </c>
      <c r="BC546" s="1998">
        <f>IF(Construction!$F$31=Construction!$R$22,Oeko!DP546,Oeko!GC546)</f>
        <v>0.97975662301212196</v>
      </c>
      <c r="BD546" s="1998">
        <f>IF(Construction!$F$31=Construction!$R$22,Oeko!DQ546,Oeko!GD546)</f>
        <v>0.97975662301212196</v>
      </c>
      <c r="BE546" s="1998">
        <f>IF(Construction!$F$31=Construction!$R$22,Oeko!DR546,Oeko!GE546)</f>
        <v>0.97975662301212196</v>
      </c>
      <c r="BF546" s="1998">
        <f>IF(Construction!$F$31=Construction!$R$22,Oeko!DS546,Oeko!GF546)</f>
        <v>0.97975662301212196</v>
      </c>
      <c r="BG546" s="1979">
        <f>IF(Construction!$F$31=Construction!$R$22,Oeko!DT546,Oeko!GG546)</f>
        <v>0.97614876347816082</v>
      </c>
      <c r="BH546" s="1979">
        <f>IF(Construction!$F$31=Construction!$R$22,Oeko!DU546,Oeko!GH546)</f>
        <v>0.97614876347816082</v>
      </c>
      <c r="BI546" s="1979">
        <f>IF(Construction!$F$31=Construction!$R$22,Oeko!DV546,Oeko!GI546)</f>
        <v>0.97614876347816082</v>
      </c>
      <c r="BJ546" s="1979">
        <f>IF(Construction!$F$31=Construction!$R$22,Oeko!DW546,Oeko!GJ546)</f>
        <v>0.97614876347816082</v>
      </c>
      <c r="BK546" s="2021">
        <f>IF(Construction!$F$31=Construction!$R$22,Oeko!DX546,Oeko!GK546)</f>
        <v>0.97614876347816082</v>
      </c>
      <c r="BN546" s="2018"/>
      <c r="BO546" s="2">
        <v>6</v>
      </c>
      <c r="BP546" s="2" t="s">
        <v>4332</v>
      </c>
      <c r="BQ546" s="1998">
        <v>1</v>
      </c>
      <c r="BR546" s="1998">
        <v>1</v>
      </c>
      <c r="BS546" s="1998">
        <v>1</v>
      </c>
      <c r="BT546" s="1998">
        <v>1</v>
      </c>
      <c r="BU546" s="1998">
        <v>1</v>
      </c>
      <c r="BV546" s="1979">
        <v>0</v>
      </c>
      <c r="BW546" s="1979">
        <v>0</v>
      </c>
      <c r="BX546" s="1979">
        <v>0</v>
      </c>
      <c r="BY546" s="1979">
        <v>0</v>
      </c>
      <c r="BZ546" s="1979">
        <v>0</v>
      </c>
      <c r="CA546" s="1998">
        <v>1</v>
      </c>
      <c r="CB546" s="1998">
        <v>1</v>
      </c>
      <c r="CC546" s="1998">
        <v>1</v>
      </c>
      <c r="CD546" s="1998">
        <v>1</v>
      </c>
      <c r="CE546" s="1998">
        <v>1</v>
      </c>
      <c r="CF546" s="1979">
        <v>1.2000000000000002</v>
      </c>
      <c r="CG546" s="1979">
        <v>1.2000000000000002</v>
      </c>
      <c r="CH546" s="1979">
        <v>1.2000000000000002</v>
      </c>
      <c r="CI546" s="1979">
        <v>1.2000000000000002</v>
      </c>
      <c r="CJ546" s="1979">
        <v>1.2000000000000002</v>
      </c>
      <c r="CK546" s="1998">
        <v>0.96</v>
      </c>
      <c r="CL546" s="1998">
        <v>0.96</v>
      </c>
      <c r="CM546" s="1998">
        <v>0.96</v>
      </c>
      <c r="CN546" s="1998">
        <v>0.96</v>
      </c>
      <c r="CO546" s="1998">
        <v>0.96</v>
      </c>
      <c r="CP546" s="1979">
        <v>1.0000000000000002</v>
      </c>
      <c r="CQ546" s="1979">
        <v>1.0000000000000002</v>
      </c>
      <c r="CR546" s="1979">
        <v>1.0000000000000002</v>
      </c>
      <c r="CS546" s="1979">
        <v>1.0000000000000002</v>
      </c>
      <c r="CT546" s="1979">
        <v>1.0000000000000002</v>
      </c>
      <c r="CU546" s="1998">
        <v>1.333333333333333</v>
      </c>
      <c r="CV546" s="1998">
        <v>1.333333333333333</v>
      </c>
      <c r="CW546" s="1998">
        <v>1.333333333333333</v>
      </c>
      <c r="CX546" s="1998">
        <v>1.333333333333333</v>
      </c>
      <c r="CY546" s="1998">
        <v>1.333333333333333</v>
      </c>
      <c r="CZ546" s="1979">
        <v>1</v>
      </c>
      <c r="DA546" s="1979">
        <v>1</v>
      </c>
      <c r="DB546" s="1979">
        <v>1</v>
      </c>
      <c r="DC546" s="1979">
        <v>1</v>
      </c>
      <c r="DD546" s="1979">
        <v>1</v>
      </c>
      <c r="DE546" s="1998">
        <v>10.73181302122873</v>
      </c>
      <c r="DF546" s="1998">
        <v>10.73181302122873</v>
      </c>
      <c r="DG546" s="1998">
        <v>10.73181302122873</v>
      </c>
      <c r="DH546" s="1998">
        <v>10.73181302122873</v>
      </c>
      <c r="DI546" s="1998">
        <v>10.73181302122873</v>
      </c>
      <c r="DJ546" s="1979">
        <v>10.71054155578228</v>
      </c>
      <c r="DK546" s="1979">
        <v>10.71054155578228</v>
      </c>
      <c r="DL546" s="1979">
        <v>10.71054155578228</v>
      </c>
      <c r="DM546" s="1979">
        <v>10.71054155578228</v>
      </c>
      <c r="DN546" s="1979">
        <v>10.71054155578228</v>
      </c>
      <c r="DO546" s="1998">
        <v>0.97975662301212196</v>
      </c>
      <c r="DP546" s="1998">
        <v>0.97975662301212196</v>
      </c>
      <c r="DQ546" s="1998">
        <v>0.97975662301212196</v>
      </c>
      <c r="DR546" s="1998">
        <v>0.97975662301212196</v>
      </c>
      <c r="DS546" s="1998">
        <v>0.97975662301212196</v>
      </c>
      <c r="DT546" s="1979">
        <v>0.97614876347816082</v>
      </c>
      <c r="DU546" s="1979">
        <v>0.97614876347816082</v>
      </c>
      <c r="DV546" s="1979">
        <v>0.97614876347816082</v>
      </c>
      <c r="DW546" s="1979">
        <v>0.97614876347816082</v>
      </c>
      <c r="DX546" s="2021">
        <v>0.97614876347816082</v>
      </c>
      <c r="EA546" s="2018"/>
      <c r="EB546" s="2">
        <v>6</v>
      </c>
      <c r="EC546" s="2" t="s">
        <v>4332</v>
      </c>
      <c r="ED546" s="1998">
        <v>1.3845801620582612</v>
      </c>
      <c r="EE546" s="1998">
        <v>1.4046105015670522</v>
      </c>
      <c r="EF546" s="1998">
        <v>1.4387799042585199</v>
      </c>
      <c r="EG546" s="1998">
        <v>1.4800188385413251</v>
      </c>
      <c r="EH546" s="1998">
        <v>1.5130099859675696</v>
      </c>
      <c r="EI546" s="1979">
        <v>0</v>
      </c>
      <c r="EJ546" s="1979">
        <v>0</v>
      </c>
      <c r="EK546" s="1979">
        <v>0</v>
      </c>
      <c r="EL546" s="1979">
        <v>0</v>
      </c>
      <c r="EM546" s="1979">
        <v>0</v>
      </c>
      <c r="EN546" s="1998">
        <v>1.3988038191597751</v>
      </c>
      <c r="EO546" s="1998">
        <v>1.432131610947512</v>
      </c>
      <c r="EP546" s="1998">
        <v>1.4341514771164658</v>
      </c>
      <c r="EQ546" s="1998">
        <v>1.4361713432854195</v>
      </c>
      <c r="ER546" s="1998">
        <v>1.4381912094543732</v>
      </c>
      <c r="ES546" s="1979">
        <v>1.7888036124135704</v>
      </c>
      <c r="ET546" s="1979">
        <v>1.826979083006796</v>
      </c>
      <c r="EU546" s="1979">
        <v>1.831220801961599</v>
      </c>
      <c r="EV546" s="1979">
        <v>1.8354625209164022</v>
      </c>
      <c r="EW546" s="1979">
        <v>1.8397042398712051</v>
      </c>
      <c r="EX546" s="1998">
        <v>1.4092889312912245</v>
      </c>
      <c r="EY546" s="1998">
        <v>1.4398293077658051</v>
      </c>
      <c r="EZ546" s="1998">
        <v>1.4432226829296473</v>
      </c>
      <c r="FA546" s="1998">
        <v>1.4466160580934895</v>
      </c>
      <c r="FB546" s="1998">
        <v>1.4500094332573319</v>
      </c>
      <c r="FC546" s="1979">
        <v>1.3869390290992378</v>
      </c>
      <c r="FD546" s="1979">
        <v>1.4057911133428063</v>
      </c>
      <c r="FE546" s="1979">
        <v>1.4105041344036984</v>
      </c>
      <c r="FF546" s="1979">
        <v>1.4152171554645903</v>
      </c>
      <c r="FG546" s="1979">
        <v>1.4199301765254824</v>
      </c>
      <c r="FH546" s="1998">
        <v>2.5469362565130371</v>
      </c>
      <c r="FI546" s="1998">
        <v>2.5516492775739295</v>
      </c>
      <c r="FJ546" s="1998">
        <v>2.5563622986348213</v>
      </c>
      <c r="FK546" s="1998">
        <v>2.5610753196957137</v>
      </c>
      <c r="FL546" s="1998">
        <v>2.5610753196957137</v>
      </c>
      <c r="FM546" s="1979">
        <v>1.5115041757386145</v>
      </c>
      <c r="FN546" s="1979">
        <v>1.5374257915735208</v>
      </c>
      <c r="FO546" s="1979">
        <v>1.5774864705911036</v>
      </c>
      <c r="FP546" s="1979">
        <v>1.6246166812000238</v>
      </c>
      <c r="FQ546" s="1979">
        <v>1.6552513180958224</v>
      </c>
      <c r="FR546" s="1998">
        <v>18.864009795218443</v>
      </c>
      <c r="FS546" s="1998">
        <v>18.901944240811396</v>
      </c>
      <c r="FT546" s="1998">
        <v>18.939878686404352</v>
      </c>
      <c r="FU546" s="1998">
        <v>18.977813131997308</v>
      </c>
      <c r="FV546" s="1998">
        <v>19.015747577590261</v>
      </c>
      <c r="FW546" s="1979">
        <v>19.431015527706069</v>
      </c>
      <c r="FX546" s="1979">
        <v>19.468874783650541</v>
      </c>
      <c r="FY546" s="1979">
        <v>19.506734039595013</v>
      </c>
      <c r="FZ546" s="1979">
        <v>19.544593295539482</v>
      </c>
      <c r="GA546" s="1979">
        <v>19.582452551483954</v>
      </c>
      <c r="GB546" s="1998">
        <v>1.423047528497364</v>
      </c>
      <c r="GC546" s="1998">
        <v>1.4253563352967664</v>
      </c>
      <c r="GD546" s="1998">
        <v>1.4276651420961688</v>
      </c>
      <c r="GE546" s="1998">
        <v>1.4299739488955709</v>
      </c>
      <c r="GF546" s="1998">
        <v>1.4345915624943757</v>
      </c>
      <c r="GG546" s="1979">
        <v>1.4850912094206774</v>
      </c>
      <c r="GH546" s="1979">
        <v>1.486816438050991</v>
      </c>
      <c r="GI546" s="1979">
        <v>1.4885416666813047</v>
      </c>
      <c r="GJ546" s="1979">
        <v>1.4902668953116183</v>
      </c>
      <c r="GK546" s="2021">
        <v>1.4937173525722456</v>
      </c>
    </row>
    <row r="547" spans="1:193">
      <c r="A547" s="2016"/>
      <c r="B547" s="2">
        <v>7</v>
      </c>
      <c r="C547" s="2" t="s">
        <v>4333</v>
      </c>
      <c r="D547" s="1998">
        <f>IF(Construction!$F$31=Construction!$R$22,Oeko!BQ547,Oeko!ED547)</f>
        <v>1</v>
      </c>
      <c r="E547" s="1998">
        <f>IF(Construction!$F$31=Construction!$R$22,Oeko!BR547,Oeko!EE547)</f>
        <v>1</v>
      </c>
      <c r="F547" s="1998">
        <f>IF(Construction!$F$31=Construction!$R$22,Oeko!BS547,Oeko!EF547)</f>
        <v>1</v>
      </c>
      <c r="G547" s="1998">
        <f>IF(Construction!$F$31=Construction!$R$22,Oeko!BT547,Oeko!EG547)</f>
        <v>1</v>
      </c>
      <c r="H547" s="1998">
        <f>IF(Construction!$F$31=Construction!$R$22,Oeko!BU547,Oeko!EH547)</f>
        <v>1</v>
      </c>
      <c r="I547" s="1979">
        <f>IF(Construction!$F$31=Construction!$R$22,Oeko!BV547,Oeko!EI547)</f>
        <v>0</v>
      </c>
      <c r="J547" s="1979">
        <f>IF(Construction!$F$31=Construction!$R$22,Oeko!BW547,Oeko!EJ547)</f>
        <v>0</v>
      </c>
      <c r="K547" s="1979">
        <f>IF(Construction!$F$31=Construction!$R$22,Oeko!BX547,Oeko!EK547)</f>
        <v>0</v>
      </c>
      <c r="L547" s="1979">
        <f>IF(Construction!$F$31=Construction!$R$22,Oeko!BY547,Oeko!EL547)</f>
        <v>0</v>
      </c>
      <c r="M547" s="1979">
        <f>IF(Construction!$F$31=Construction!$R$22,Oeko!BZ547,Oeko!EM547)</f>
        <v>0</v>
      </c>
      <c r="N547" s="1998">
        <f>IF(Construction!$F$31=Construction!$R$22,Oeko!CA547,Oeko!EN547)</f>
        <v>0.95238095238095233</v>
      </c>
      <c r="O547" s="1998">
        <f>IF(Construction!$F$31=Construction!$R$22,Oeko!CB547,Oeko!EO547)</f>
        <v>0.95238095238095233</v>
      </c>
      <c r="P547" s="1998">
        <f>IF(Construction!$F$31=Construction!$R$22,Oeko!CC547,Oeko!EP547)</f>
        <v>0.95238095238095233</v>
      </c>
      <c r="Q547" s="1998">
        <f>IF(Construction!$F$31=Construction!$R$22,Oeko!CD547,Oeko!EQ547)</f>
        <v>0.95238095238095233</v>
      </c>
      <c r="R547" s="1998">
        <f>IF(Construction!$F$31=Construction!$R$22,Oeko!CE547,Oeko!ER547)</f>
        <v>0.95238095238095233</v>
      </c>
      <c r="S547" s="1979">
        <f>IF(Construction!$F$31=Construction!$R$22,Oeko!CF547,Oeko!ES547)</f>
        <v>1.125</v>
      </c>
      <c r="T547" s="1979">
        <f>IF(Construction!$F$31=Construction!$R$22,Oeko!CG547,Oeko!ET547)</f>
        <v>1.125</v>
      </c>
      <c r="U547" s="1979">
        <f>IF(Construction!$F$31=Construction!$R$22,Oeko!CH547,Oeko!EU547)</f>
        <v>1.125</v>
      </c>
      <c r="V547" s="1979">
        <f>IF(Construction!$F$31=Construction!$R$22,Oeko!CI547,Oeko!EV547)</f>
        <v>1.125</v>
      </c>
      <c r="W547" s="1979">
        <f>IF(Construction!$F$31=Construction!$R$22,Oeko!CJ547,Oeko!EW547)</f>
        <v>1.125</v>
      </c>
      <c r="X547" s="1998">
        <f>IF(Construction!$F$31=Construction!$R$22,Oeko!CK547,Oeko!EX547)</f>
        <v>0.9</v>
      </c>
      <c r="Y547" s="1998">
        <f>IF(Construction!$F$31=Construction!$R$22,Oeko!CL547,Oeko!EY547)</f>
        <v>0.9</v>
      </c>
      <c r="Z547" s="1998">
        <f>IF(Construction!$F$31=Construction!$R$22,Oeko!CM547,Oeko!EZ547)</f>
        <v>0.9</v>
      </c>
      <c r="AA547" s="1998">
        <f>IF(Construction!$F$31=Construction!$R$22,Oeko!CN547,Oeko!FA547)</f>
        <v>0.9</v>
      </c>
      <c r="AB547" s="1998">
        <f>IF(Construction!$F$31=Construction!$R$22,Oeko!CO547,Oeko!FB547)</f>
        <v>0.9</v>
      </c>
      <c r="AC547" s="1979">
        <f>IF(Construction!$F$31=Construction!$R$22,Oeko!CP547,Oeko!FC547)</f>
        <v>1.0000000000000002</v>
      </c>
      <c r="AD547" s="1979">
        <f>IF(Construction!$F$31=Construction!$R$22,Oeko!CQ547,Oeko!FD547)</f>
        <v>1.0000000000000002</v>
      </c>
      <c r="AE547" s="1979">
        <f>IF(Construction!$F$31=Construction!$R$22,Oeko!CR547,Oeko!FE547)</f>
        <v>1.0000000000000002</v>
      </c>
      <c r="AF547" s="1979">
        <f>IF(Construction!$F$31=Construction!$R$22,Oeko!CS547,Oeko!FF547)</f>
        <v>1.0000000000000002</v>
      </c>
      <c r="AG547" s="1979">
        <f>IF(Construction!$F$31=Construction!$R$22,Oeko!CT547,Oeko!FG547)</f>
        <v>1.0000000000000002</v>
      </c>
      <c r="AH547" s="1998">
        <f>IF(Construction!$F$31=Construction!$R$22,Oeko!CU547,Oeko!FH547)</f>
        <v>1.333333333333333</v>
      </c>
      <c r="AI547" s="1998">
        <f>IF(Construction!$F$31=Construction!$R$22,Oeko!CV547,Oeko!FI547)</f>
        <v>1.333333333333333</v>
      </c>
      <c r="AJ547" s="1998">
        <f>IF(Construction!$F$31=Construction!$R$22,Oeko!CW547,Oeko!FJ547)</f>
        <v>1.333333333333333</v>
      </c>
      <c r="AK547" s="1998">
        <f>IF(Construction!$F$31=Construction!$R$22,Oeko!CX547,Oeko!FK547)</f>
        <v>1.333333333333333</v>
      </c>
      <c r="AL547" s="1998">
        <f>IF(Construction!$F$31=Construction!$R$22,Oeko!CY547,Oeko!FL547)</f>
        <v>1.333333333333333</v>
      </c>
      <c r="AM547" s="1979">
        <f>IF(Construction!$F$31=Construction!$R$22,Oeko!CZ547,Oeko!FM547)</f>
        <v>0.99999999999999989</v>
      </c>
      <c r="AN547" s="1979">
        <f>IF(Construction!$F$31=Construction!$R$22,Oeko!DA547,Oeko!FN547)</f>
        <v>0.99999999999999989</v>
      </c>
      <c r="AO547" s="1979">
        <f>IF(Construction!$F$31=Construction!$R$22,Oeko!DB547,Oeko!FO547)</f>
        <v>0.99999999999999989</v>
      </c>
      <c r="AP547" s="1979">
        <f>IF(Construction!$F$31=Construction!$R$22,Oeko!DC547,Oeko!FP547)</f>
        <v>0.99999999999999989</v>
      </c>
      <c r="AQ547" s="1979">
        <f>IF(Construction!$F$31=Construction!$R$22,Oeko!DD547,Oeko!FQ547)</f>
        <v>0.99999999999999989</v>
      </c>
      <c r="AR547" s="1998">
        <f>IF(Construction!$F$31=Construction!$R$22,Oeko!DE547,Oeko!FR547)</f>
        <v>10.73181302122873</v>
      </c>
      <c r="AS547" s="1998">
        <f>IF(Construction!$F$31=Construction!$R$22,Oeko!DF547,Oeko!FS547)</f>
        <v>10.73181302122873</v>
      </c>
      <c r="AT547" s="1998">
        <f>IF(Construction!$F$31=Construction!$R$22,Oeko!DG547,Oeko!FT547)</f>
        <v>10.73181302122873</v>
      </c>
      <c r="AU547" s="1998">
        <f>IF(Construction!$F$31=Construction!$R$22,Oeko!DH547,Oeko!FU547)</f>
        <v>10.73181302122873</v>
      </c>
      <c r="AV547" s="1998">
        <f>IF(Construction!$F$31=Construction!$R$22,Oeko!DI547,Oeko!FV547)</f>
        <v>10.73181302122873</v>
      </c>
      <c r="AW547" s="1979">
        <f>IF(Construction!$F$31=Construction!$R$22,Oeko!DJ547,Oeko!FW547)</f>
        <v>8.0329061668367086</v>
      </c>
      <c r="AX547" s="1979">
        <f>IF(Construction!$F$31=Construction!$R$22,Oeko!DK547,Oeko!FX547)</f>
        <v>8.0329061668367086</v>
      </c>
      <c r="AY547" s="1979">
        <f>IF(Construction!$F$31=Construction!$R$22,Oeko!DL547,Oeko!FY547)</f>
        <v>8.0329061668367086</v>
      </c>
      <c r="AZ547" s="1979">
        <f>IF(Construction!$F$31=Construction!$R$22,Oeko!DM547,Oeko!FZ547)</f>
        <v>8.0329061668367086</v>
      </c>
      <c r="BA547" s="1979">
        <f>IF(Construction!$F$31=Construction!$R$22,Oeko!DN547,Oeko!GA547)</f>
        <v>8.0329061668367086</v>
      </c>
      <c r="BB547" s="1998">
        <f>IF(Construction!$F$31=Construction!$R$22,Oeko!DO547,Oeko!GB547)</f>
        <v>0.97975662301212196</v>
      </c>
      <c r="BC547" s="1998">
        <f>IF(Construction!$F$31=Construction!$R$22,Oeko!DP547,Oeko!GC547)</f>
        <v>0.97975662301212196</v>
      </c>
      <c r="BD547" s="1998">
        <f>IF(Construction!$F$31=Construction!$R$22,Oeko!DQ547,Oeko!GD547)</f>
        <v>0.97975662301212196</v>
      </c>
      <c r="BE547" s="1998">
        <f>IF(Construction!$F$31=Construction!$R$22,Oeko!DR547,Oeko!GE547)</f>
        <v>0.97975662301212196</v>
      </c>
      <c r="BF547" s="1998">
        <f>IF(Construction!$F$31=Construction!$R$22,Oeko!DS547,Oeko!GF547)</f>
        <v>0.97975662301212196</v>
      </c>
      <c r="BG547" s="1979">
        <f>IF(Construction!$F$31=Construction!$R$22,Oeko!DT547,Oeko!GG547)</f>
        <v>0.9761487634781606</v>
      </c>
      <c r="BH547" s="1979">
        <f>IF(Construction!$F$31=Construction!$R$22,Oeko!DU547,Oeko!GH547)</f>
        <v>0.9761487634781606</v>
      </c>
      <c r="BI547" s="1979">
        <f>IF(Construction!$F$31=Construction!$R$22,Oeko!DV547,Oeko!GI547)</f>
        <v>0.9761487634781606</v>
      </c>
      <c r="BJ547" s="1979">
        <f>IF(Construction!$F$31=Construction!$R$22,Oeko!DW547,Oeko!GJ547)</f>
        <v>0.9761487634781606</v>
      </c>
      <c r="BK547" s="2021">
        <f>IF(Construction!$F$31=Construction!$R$22,Oeko!DX547,Oeko!GK547)</f>
        <v>0.9761487634781606</v>
      </c>
      <c r="BN547" s="2018"/>
      <c r="BO547" s="2">
        <v>7</v>
      </c>
      <c r="BP547" s="2" t="s">
        <v>4333</v>
      </c>
      <c r="BQ547" s="1998">
        <v>1</v>
      </c>
      <c r="BR547" s="1998">
        <v>1</v>
      </c>
      <c r="BS547" s="1998">
        <v>1</v>
      </c>
      <c r="BT547" s="1998">
        <v>1</v>
      </c>
      <c r="BU547" s="1998">
        <v>1</v>
      </c>
      <c r="BV547" s="1979">
        <v>0</v>
      </c>
      <c r="BW547" s="1979">
        <v>0</v>
      </c>
      <c r="BX547" s="1979">
        <v>0</v>
      </c>
      <c r="BY547" s="1979">
        <v>0</v>
      </c>
      <c r="BZ547" s="1979">
        <v>0</v>
      </c>
      <c r="CA547" s="1998">
        <v>0.95238095238095233</v>
      </c>
      <c r="CB547" s="1998">
        <v>0.95238095238095233</v>
      </c>
      <c r="CC547" s="1998">
        <v>0.95238095238095233</v>
      </c>
      <c r="CD547" s="1998">
        <v>0.95238095238095233</v>
      </c>
      <c r="CE547" s="1998">
        <v>0.95238095238095233</v>
      </c>
      <c r="CF547" s="1979">
        <v>1.125</v>
      </c>
      <c r="CG547" s="1979">
        <v>1.125</v>
      </c>
      <c r="CH547" s="1979">
        <v>1.125</v>
      </c>
      <c r="CI547" s="1979">
        <v>1.125</v>
      </c>
      <c r="CJ547" s="1979">
        <v>1.125</v>
      </c>
      <c r="CK547" s="1998">
        <v>0.9</v>
      </c>
      <c r="CL547" s="1998">
        <v>0.9</v>
      </c>
      <c r="CM547" s="1998">
        <v>0.9</v>
      </c>
      <c r="CN547" s="1998">
        <v>0.9</v>
      </c>
      <c r="CO547" s="1998">
        <v>0.9</v>
      </c>
      <c r="CP547" s="1979">
        <v>1.0000000000000002</v>
      </c>
      <c r="CQ547" s="1979">
        <v>1.0000000000000002</v>
      </c>
      <c r="CR547" s="1979">
        <v>1.0000000000000002</v>
      </c>
      <c r="CS547" s="1979">
        <v>1.0000000000000002</v>
      </c>
      <c r="CT547" s="1979">
        <v>1.0000000000000002</v>
      </c>
      <c r="CU547" s="1998">
        <v>1.333333333333333</v>
      </c>
      <c r="CV547" s="1998">
        <v>1.333333333333333</v>
      </c>
      <c r="CW547" s="1998">
        <v>1.333333333333333</v>
      </c>
      <c r="CX547" s="1998">
        <v>1.333333333333333</v>
      </c>
      <c r="CY547" s="1998">
        <v>1.333333333333333</v>
      </c>
      <c r="CZ547" s="1979">
        <v>0.99999999999999989</v>
      </c>
      <c r="DA547" s="1979">
        <v>0.99999999999999989</v>
      </c>
      <c r="DB547" s="1979">
        <v>0.99999999999999989</v>
      </c>
      <c r="DC547" s="1979">
        <v>0.99999999999999989</v>
      </c>
      <c r="DD547" s="1979">
        <v>0.99999999999999989</v>
      </c>
      <c r="DE547" s="1998">
        <v>10.73181302122873</v>
      </c>
      <c r="DF547" s="1998">
        <v>10.73181302122873</v>
      </c>
      <c r="DG547" s="1998">
        <v>10.73181302122873</v>
      </c>
      <c r="DH547" s="1998">
        <v>10.73181302122873</v>
      </c>
      <c r="DI547" s="1998">
        <v>10.73181302122873</v>
      </c>
      <c r="DJ547" s="1979">
        <v>8.0329061668367086</v>
      </c>
      <c r="DK547" s="1979">
        <v>8.0329061668367086</v>
      </c>
      <c r="DL547" s="1979">
        <v>8.0329061668367086</v>
      </c>
      <c r="DM547" s="1979">
        <v>8.0329061668367086</v>
      </c>
      <c r="DN547" s="1979">
        <v>8.0329061668367086</v>
      </c>
      <c r="DO547" s="1998">
        <v>0.97975662301212196</v>
      </c>
      <c r="DP547" s="1998">
        <v>0.97975662301212196</v>
      </c>
      <c r="DQ547" s="1998">
        <v>0.97975662301212196</v>
      </c>
      <c r="DR547" s="1998">
        <v>0.97975662301212196</v>
      </c>
      <c r="DS547" s="1998">
        <v>0.97975662301212196</v>
      </c>
      <c r="DT547" s="1979">
        <v>0.9761487634781606</v>
      </c>
      <c r="DU547" s="1979">
        <v>0.9761487634781606</v>
      </c>
      <c r="DV547" s="1979">
        <v>0.9761487634781606</v>
      </c>
      <c r="DW547" s="1979">
        <v>0.9761487634781606</v>
      </c>
      <c r="DX547" s="2021">
        <v>0.9761487634781606</v>
      </c>
      <c r="EA547" s="2018"/>
      <c r="EB547" s="2">
        <v>7</v>
      </c>
      <c r="EC547" s="2" t="s">
        <v>4333</v>
      </c>
      <c r="ED547" s="1998">
        <v>1.3783761870304538</v>
      </c>
      <c r="EE547" s="1998">
        <v>1.3984065265392449</v>
      </c>
      <c r="EF547" s="1998">
        <v>1.4325759292307125</v>
      </c>
      <c r="EG547" s="1998">
        <v>1.4738148635135178</v>
      </c>
      <c r="EH547" s="1998">
        <v>1.5068060109397625</v>
      </c>
      <c r="EI547" s="1979">
        <v>0</v>
      </c>
      <c r="EJ547" s="1979">
        <v>0</v>
      </c>
      <c r="EK547" s="1979">
        <v>0</v>
      </c>
      <c r="EL547" s="1979">
        <v>0</v>
      </c>
      <c r="EM547" s="1979">
        <v>0</v>
      </c>
      <c r="EN547" s="1998">
        <v>1.3832741929986891</v>
      </c>
      <c r="EO547" s="1998">
        <v>1.41424547425598</v>
      </c>
      <c r="EP547" s="1998">
        <v>1.4169386291479182</v>
      </c>
      <c r="EQ547" s="1998">
        <v>1.4196317840398567</v>
      </c>
      <c r="ER547" s="1998">
        <v>1.4223249389317949</v>
      </c>
      <c r="ES547" s="1979">
        <v>1.7556574486629146</v>
      </c>
      <c r="ET547" s="1979">
        <v>1.7901214151706875</v>
      </c>
      <c r="EU547" s="1979">
        <v>1.7954235638641911</v>
      </c>
      <c r="EV547" s="1979">
        <v>1.8007257125576948</v>
      </c>
      <c r="EW547" s="1979">
        <v>1.8060278612511984</v>
      </c>
      <c r="EX547" s="1998">
        <v>1.3853586914033158</v>
      </c>
      <c r="EY547" s="1998">
        <v>1.4129298646095345</v>
      </c>
      <c r="EZ547" s="1998">
        <v>1.4171715835643375</v>
      </c>
      <c r="FA547" s="1998">
        <v>1.4214133025191404</v>
      </c>
      <c r="FB547" s="1998">
        <v>1.4256550214739432</v>
      </c>
      <c r="FC547" s="1979">
        <v>1.3869390290992378</v>
      </c>
      <c r="FD547" s="1979">
        <v>1.4057911133428063</v>
      </c>
      <c r="FE547" s="1979">
        <v>1.4105041344036984</v>
      </c>
      <c r="FF547" s="1979">
        <v>1.4152171554645903</v>
      </c>
      <c r="FG547" s="1979">
        <v>1.4199301765254826</v>
      </c>
      <c r="FH547" s="1998">
        <v>2.5544119568448718</v>
      </c>
      <c r="FI547" s="1998">
        <v>2.5591249779057637</v>
      </c>
      <c r="FJ547" s="1998">
        <v>2.5638379989666555</v>
      </c>
      <c r="FK547" s="1998">
        <v>2.5685510200275479</v>
      </c>
      <c r="FL547" s="1998">
        <v>2.5685510200275479</v>
      </c>
      <c r="FM547" s="1979">
        <v>1.5424333764507188</v>
      </c>
      <c r="FN547" s="1979">
        <v>1.568354992285625</v>
      </c>
      <c r="FO547" s="1979">
        <v>1.6084156713032076</v>
      </c>
      <c r="FP547" s="1979">
        <v>1.655545881912128</v>
      </c>
      <c r="FQ547" s="1979">
        <v>1.6861805188079266</v>
      </c>
      <c r="FR547" s="1998">
        <v>19.120067302970892</v>
      </c>
      <c r="FS547" s="1998">
        <v>19.158001748563844</v>
      </c>
      <c r="FT547" s="1998">
        <v>19.195936194156801</v>
      </c>
      <c r="FU547" s="1998">
        <v>19.233870639749757</v>
      </c>
      <c r="FV547" s="1998">
        <v>19.271805085342709</v>
      </c>
      <c r="FW547" s="1979">
        <v>17.11709941908417</v>
      </c>
      <c r="FX547" s="1979">
        <v>17.173888303000872</v>
      </c>
      <c r="FY547" s="1979">
        <v>17.230677186917582</v>
      </c>
      <c r="FZ547" s="1979">
        <v>17.287466070834292</v>
      </c>
      <c r="GA547" s="1979">
        <v>17.344254954750991</v>
      </c>
      <c r="GB547" s="1998">
        <v>1.4698008661852608</v>
      </c>
      <c r="GC547" s="1998">
        <v>1.472109672984663</v>
      </c>
      <c r="GD547" s="1998">
        <v>1.4744184797840656</v>
      </c>
      <c r="GE547" s="1998">
        <v>1.4767272865834675</v>
      </c>
      <c r="GF547" s="1998">
        <v>1.4813449001822723</v>
      </c>
      <c r="GG547" s="1979">
        <v>1.5109696388753817</v>
      </c>
      <c r="GH547" s="1979">
        <v>1.5132699437157997</v>
      </c>
      <c r="GI547" s="1979">
        <v>1.5155702485562181</v>
      </c>
      <c r="GJ547" s="1979">
        <v>1.5178705533966359</v>
      </c>
      <c r="GK547" s="2021">
        <v>1.5224711630774725</v>
      </c>
    </row>
    <row r="548" spans="1:193">
      <c r="A548" s="2016"/>
      <c r="B548" s="2">
        <v>8</v>
      </c>
      <c r="C548" s="2" t="s">
        <v>4334</v>
      </c>
      <c r="D548" s="1998">
        <f>IF(Construction!$F$31=Construction!$R$22,Oeko!BQ548,Oeko!ED548)</f>
        <v>0.99999999999999989</v>
      </c>
      <c r="E548" s="1998">
        <f>IF(Construction!$F$31=Construction!$R$22,Oeko!BR548,Oeko!EE548)</f>
        <v>0.99999999999999989</v>
      </c>
      <c r="F548" s="1998">
        <f>IF(Construction!$F$31=Construction!$R$22,Oeko!BS548,Oeko!EF548)</f>
        <v>0.99999999999999989</v>
      </c>
      <c r="G548" s="1998">
        <f>IF(Construction!$F$31=Construction!$R$22,Oeko!BT548,Oeko!EG548)</f>
        <v>0.99999999999999989</v>
      </c>
      <c r="H548" s="1998">
        <f>IF(Construction!$F$31=Construction!$R$22,Oeko!BU548,Oeko!EH548)</f>
        <v>0.99999999999999989</v>
      </c>
      <c r="I548" s="1979">
        <f>IF(Construction!$F$31=Construction!$R$22,Oeko!BV548,Oeko!EI548)</f>
        <v>0</v>
      </c>
      <c r="J548" s="1979">
        <f>IF(Construction!$F$31=Construction!$R$22,Oeko!BW548,Oeko!EJ548)</f>
        <v>0</v>
      </c>
      <c r="K548" s="1979">
        <f>IF(Construction!$F$31=Construction!$R$22,Oeko!BX548,Oeko!EK548)</f>
        <v>0</v>
      </c>
      <c r="L548" s="1979">
        <f>IF(Construction!$F$31=Construction!$R$22,Oeko!BY548,Oeko!EL548)</f>
        <v>0</v>
      </c>
      <c r="M548" s="1979">
        <f>IF(Construction!$F$31=Construction!$R$22,Oeko!BZ548,Oeko!EM548)</f>
        <v>0</v>
      </c>
      <c r="N548" s="1998">
        <f>IF(Construction!$F$31=Construction!$R$22,Oeko!CA548,Oeko!EN548)</f>
        <v>0.91428571428571437</v>
      </c>
      <c r="O548" s="1998">
        <f>IF(Construction!$F$31=Construction!$R$22,Oeko!CB548,Oeko!EO548)</f>
        <v>0.91428571428571437</v>
      </c>
      <c r="P548" s="1998">
        <f>IF(Construction!$F$31=Construction!$R$22,Oeko!CC548,Oeko!EP548)</f>
        <v>0.91428571428571437</v>
      </c>
      <c r="Q548" s="1998">
        <f>IF(Construction!$F$31=Construction!$R$22,Oeko!CD548,Oeko!EQ548)</f>
        <v>0.91428571428571437</v>
      </c>
      <c r="R548" s="1998">
        <f>IF(Construction!$F$31=Construction!$R$22,Oeko!CE548,Oeko!ER548)</f>
        <v>0.91428571428571437</v>
      </c>
      <c r="S548" s="1979">
        <f>IF(Construction!$F$31=Construction!$R$22,Oeko!CF548,Oeko!ES548)</f>
        <v>1.1250000000000002</v>
      </c>
      <c r="T548" s="1979">
        <f>IF(Construction!$F$31=Construction!$R$22,Oeko!CG548,Oeko!ET548)</f>
        <v>1.1250000000000002</v>
      </c>
      <c r="U548" s="1979">
        <f>IF(Construction!$F$31=Construction!$R$22,Oeko!CH548,Oeko!EU548)</f>
        <v>1.1250000000000002</v>
      </c>
      <c r="V548" s="1979">
        <f>IF(Construction!$F$31=Construction!$R$22,Oeko!CI548,Oeko!EV548)</f>
        <v>1.1250000000000002</v>
      </c>
      <c r="W548" s="1979">
        <f>IF(Construction!$F$31=Construction!$R$22,Oeko!CJ548,Oeko!EW548)</f>
        <v>1.1250000000000002</v>
      </c>
      <c r="X548" s="1998">
        <f>IF(Construction!$F$31=Construction!$R$22,Oeko!CK548,Oeko!EX548)</f>
        <v>0.89999999999999991</v>
      </c>
      <c r="Y548" s="1998">
        <f>IF(Construction!$F$31=Construction!$R$22,Oeko!CL548,Oeko!EY548)</f>
        <v>0.89999999999999991</v>
      </c>
      <c r="Z548" s="1998">
        <f>IF(Construction!$F$31=Construction!$R$22,Oeko!CM548,Oeko!EZ548)</f>
        <v>0.89999999999999991</v>
      </c>
      <c r="AA548" s="1998">
        <f>IF(Construction!$F$31=Construction!$R$22,Oeko!CN548,Oeko!FA548)</f>
        <v>0.89999999999999991</v>
      </c>
      <c r="AB548" s="1998">
        <f>IF(Construction!$F$31=Construction!$R$22,Oeko!CO548,Oeko!FB548)</f>
        <v>0.89999999999999991</v>
      </c>
      <c r="AC548" s="1979">
        <f>IF(Construction!$F$31=Construction!$R$22,Oeko!CP548,Oeko!FC548)</f>
        <v>1.0000000000000002</v>
      </c>
      <c r="AD548" s="1979">
        <f>IF(Construction!$F$31=Construction!$R$22,Oeko!CQ548,Oeko!FD548)</f>
        <v>1.0000000000000002</v>
      </c>
      <c r="AE548" s="1979">
        <f>IF(Construction!$F$31=Construction!$R$22,Oeko!CR548,Oeko!FE548)</f>
        <v>1.0000000000000002</v>
      </c>
      <c r="AF548" s="1979">
        <f>IF(Construction!$F$31=Construction!$R$22,Oeko!CS548,Oeko!FF548)</f>
        <v>1.0000000000000002</v>
      </c>
      <c r="AG548" s="1979">
        <f>IF(Construction!$F$31=Construction!$R$22,Oeko!CT548,Oeko!FG548)</f>
        <v>1.0000000000000002</v>
      </c>
      <c r="AH548" s="1998">
        <f>IF(Construction!$F$31=Construction!$R$22,Oeko!CU548,Oeko!FH548)</f>
        <v>1.333333333333333</v>
      </c>
      <c r="AI548" s="1998">
        <f>IF(Construction!$F$31=Construction!$R$22,Oeko!CV548,Oeko!FI548)</f>
        <v>1.333333333333333</v>
      </c>
      <c r="AJ548" s="1998">
        <f>IF(Construction!$F$31=Construction!$R$22,Oeko!CW548,Oeko!FJ548)</f>
        <v>1.333333333333333</v>
      </c>
      <c r="AK548" s="1998">
        <f>IF(Construction!$F$31=Construction!$R$22,Oeko!CX548,Oeko!FK548)</f>
        <v>1.333333333333333</v>
      </c>
      <c r="AL548" s="1998">
        <f>IF(Construction!$F$31=Construction!$R$22,Oeko!CY548,Oeko!FL548)</f>
        <v>1.333333333333333</v>
      </c>
      <c r="AM548" s="1979">
        <f>IF(Construction!$F$31=Construction!$R$22,Oeko!CZ548,Oeko!FM548)</f>
        <v>1</v>
      </c>
      <c r="AN548" s="1979">
        <f>IF(Construction!$F$31=Construction!$R$22,Oeko!DA548,Oeko!FN548)</f>
        <v>1</v>
      </c>
      <c r="AO548" s="1979">
        <f>IF(Construction!$F$31=Construction!$R$22,Oeko!DB548,Oeko!FO548)</f>
        <v>1</v>
      </c>
      <c r="AP548" s="1979">
        <f>IF(Construction!$F$31=Construction!$R$22,Oeko!DC548,Oeko!FP548)</f>
        <v>1</v>
      </c>
      <c r="AQ548" s="1979">
        <f>IF(Construction!$F$31=Construction!$R$22,Oeko!DD548,Oeko!FQ548)</f>
        <v>1</v>
      </c>
      <c r="AR548" s="1998">
        <f>IF(Construction!$F$31=Construction!$R$22,Oeko!DE548,Oeko!FR548)</f>
        <v>8.0488597659215451</v>
      </c>
      <c r="AS548" s="1998">
        <f>IF(Construction!$F$31=Construction!$R$22,Oeko!DF548,Oeko!FS548)</f>
        <v>8.0488597659215451</v>
      </c>
      <c r="AT548" s="1998">
        <f>IF(Construction!$F$31=Construction!$R$22,Oeko!DG548,Oeko!FT548)</f>
        <v>8.0488597659215451</v>
      </c>
      <c r="AU548" s="1998">
        <f>IF(Construction!$F$31=Construction!$R$22,Oeko!DH548,Oeko!FU548)</f>
        <v>8.0488597659215451</v>
      </c>
      <c r="AV548" s="1998">
        <f>IF(Construction!$F$31=Construction!$R$22,Oeko!DI548,Oeko!FV548)</f>
        <v>8.0488597659215451</v>
      </c>
      <c r="AW548" s="1979">
        <f>IF(Construction!$F$31=Construction!$R$22,Oeko!DJ548,Oeko!FW548)</f>
        <v>8.0329061668367086</v>
      </c>
      <c r="AX548" s="1979">
        <f>IF(Construction!$F$31=Construction!$R$22,Oeko!DK548,Oeko!FX548)</f>
        <v>8.0329061668367086</v>
      </c>
      <c r="AY548" s="1979">
        <f>IF(Construction!$F$31=Construction!$R$22,Oeko!DL548,Oeko!FY548)</f>
        <v>8.0329061668367086</v>
      </c>
      <c r="AZ548" s="1979">
        <f>IF(Construction!$F$31=Construction!$R$22,Oeko!DM548,Oeko!FZ548)</f>
        <v>8.0329061668367086</v>
      </c>
      <c r="BA548" s="1979">
        <f>IF(Construction!$F$31=Construction!$R$22,Oeko!DN548,Oeko!GA548)</f>
        <v>8.0329061668367086</v>
      </c>
      <c r="BB548" s="1998">
        <f>IF(Construction!$F$31=Construction!$R$22,Oeko!DO548,Oeko!GB548)</f>
        <v>0.97975662301212196</v>
      </c>
      <c r="BC548" s="1998">
        <f>IF(Construction!$F$31=Construction!$R$22,Oeko!DP548,Oeko!GC548)</f>
        <v>0.97975662301212196</v>
      </c>
      <c r="BD548" s="1998">
        <f>IF(Construction!$F$31=Construction!$R$22,Oeko!DQ548,Oeko!GD548)</f>
        <v>0.97975662301212196</v>
      </c>
      <c r="BE548" s="1998">
        <f>IF(Construction!$F$31=Construction!$R$22,Oeko!DR548,Oeko!GE548)</f>
        <v>0.97975662301212196</v>
      </c>
      <c r="BF548" s="1998">
        <f>IF(Construction!$F$31=Construction!$R$22,Oeko!DS548,Oeko!GF548)</f>
        <v>0.97975662301212196</v>
      </c>
      <c r="BG548" s="1979">
        <f>IF(Construction!$F$31=Construction!$R$22,Oeko!DT548,Oeko!GG548)</f>
        <v>0.97614876347816082</v>
      </c>
      <c r="BH548" s="1979">
        <f>IF(Construction!$F$31=Construction!$R$22,Oeko!DU548,Oeko!GH548)</f>
        <v>0.97614876347816082</v>
      </c>
      <c r="BI548" s="1979">
        <f>IF(Construction!$F$31=Construction!$R$22,Oeko!DV548,Oeko!GI548)</f>
        <v>0.97614876347816082</v>
      </c>
      <c r="BJ548" s="1979">
        <f>IF(Construction!$F$31=Construction!$R$22,Oeko!DW548,Oeko!GJ548)</f>
        <v>0.97614876347816082</v>
      </c>
      <c r="BK548" s="2021">
        <f>IF(Construction!$F$31=Construction!$R$22,Oeko!DX548,Oeko!GK548)</f>
        <v>0.97614876347816082</v>
      </c>
      <c r="BN548" s="2018"/>
      <c r="BO548" s="2">
        <v>8</v>
      </c>
      <c r="BP548" s="2" t="s">
        <v>4334</v>
      </c>
      <c r="BQ548" s="1998">
        <v>0.99999999999999989</v>
      </c>
      <c r="BR548" s="1998">
        <v>0.99999999999999989</v>
      </c>
      <c r="BS548" s="1998">
        <v>0.99999999999999989</v>
      </c>
      <c r="BT548" s="1998">
        <v>0.99999999999999989</v>
      </c>
      <c r="BU548" s="1998">
        <v>0.99999999999999989</v>
      </c>
      <c r="BV548" s="1979">
        <v>0</v>
      </c>
      <c r="BW548" s="1979">
        <v>0</v>
      </c>
      <c r="BX548" s="1979">
        <v>0</v>
      </c>
      <c r="BY548" s="1979">
        <v>0</v>
      </c>
      <c r="BZ548" s="1979">
        <v>0</v>
      </c>
      <c r="CA548" s="1998">
        <v>0.91428571428571437</v>
      </c>
      <c r="CB548" s="1998">
        <v>0.91428571428571437</v>
      </c>
      <c r="CC548" s="1998">
        <v>0.91428571428571437</v>
      </c>
      <c r="CD548" s="1998">
        <v>0.91428571428571437</v>
      </c>
      <c r="CE548" s="1998">
        <v>0.91428571428571437</v>
      </c>
      <c r="CF548" s="1979">
        <v>1.1250000000000002</v>
      </c>
      <c r="CG548" s="1979">
        <v>1.1250000000000002</v>
      </c>
      <c r="CH548" s="1979">
        <v>1.1250000000000002</v>
      </c>
      <c r="CI548" s="1979">
        <v>1.1250000000000002</v>
      </c>
      <c r="CJ548" s="1979">
        <v>1.1250000000000002</v>
      </c>
      <c r="CK548" s="1998">
        <v>0.89999999999999991</v>
      </c>
      <c r="CL548" s="1998">
        <v>0.89999999999999991</v>
      </c>
      <c r="CM548" s="1998">
        <v>0.89999999999999991</v>
      </c>
      <c r="CN548" s="1998">
        <v>0.89999999999999991</v>
      </c>
      <c r="CO548" s="1998">
        <v>0.89999999999999991</v>
      </c>
      <c r="CP548" s="1979">
        <v>1.0000000000000002</v>
      </c>
      <c r="CQ548" s="1979">
        <v>1.0000000000000002</v>
      </c>
      <c r="CR548" s="1979">
        <v>1.0000000000000002</v>
      </c>
      <c r="CS548" s="1979">
        <v>1.0000000000000002</v>
      </c>
      <c r="CT548" s="1979">
        <v>1.0000000000000002</v>
      </c>
      <c r="CU548" s="1998">
        <v>1.333333333333333</v>
      </c>
      <c r="CV548" s="1998">
        <v>1.333333333333333</v>
      </c>
      <c r="CW548" s="1998">
        <v>1.333333333333333</v>
      </c>
      <c r="CX548" s="1998">
        <v>1.333333333333333</v>
      </c>
      <c r="CY548" s="1998">
        <v>1.333333333333333</v>
      </c>
      <c r="CZ548" s="1979">
        <v>1</v>
      </c>
      <c r="DA548" s="1979">
        <v>1</v>
      </c>
      <c r="DB548" s="1979">
        <v>1</v>
      </c>
      <c r="DC548" s="1979">
        <v>1</v>
      </c>
      <c r="DD548" s="1979">
        <v>1</v>
      </c>
      <c r="DE548" s="1998">
        <v>8.0488597659215451</v>
      </c>
      <c r="DF548" s="1998">
        <v>8.0488597659215451</v>
      </c>
      <c r="DG548" s="1998">
        <v>8.0488597659215451</v>
      </c>
      <c r="DH548" s="1998">
        <v>8.0488597659215451</v>
      </c>
      <c r="DI548" s="1998">
        <v>8.0488597659215451</v>
      </c>
      <c r="DJ548" s="1979">
        <v>8.0329061668367086</v>
      </c>
      <c r="DK548" s="1979">
        <v>8.0329061668367086</v>
      </c>
      <c r="DL548" s="1979">
        <v>8.0329061668367086</v>
      </c>
      <c r="DM548" s="1979">
        <v>8.0329061668367086</v>
      </c>
      <c r="DN548" s="1979">
        <v>8.0329061668367086</v>
      </c>
      <c r="DO548" s="1998">
        <v>0.97975662301212196</v>
      </c>
      <c r="DP548" s="1998">
        <v>0.97975662301212196</v>
      </c>
      <c r="DQ548" s="1998">
        <v>0.97975662301212196</v>
      </c>
      <c r="DR548" s="1998">
        <v>0.97975662301212196</v>
      </c>
      <c r="DS548" s="1998">
        <v>0.97975662301212196</v>
      </c>
      <c r="DT548" s="1979">
        <v>0.97614876347816082</v>
      </c>
      <c r="DU548" s="1979">
        <v>0.97614876347816082</v>
      </c>
      <c r="DV548" s="1979">
        <v>0.97614876347816082</v>
      </c>
      <c r="DW548" s="1979">
        <v>0.97614876347816082</v>
      </c>
      <c r="DX548" s="2021">
        <v>0.97614876347816082</v>
      </c>
      <c r="EA548" s="2018"/>
      <c r="EB548" s="2">
        <v>8</v>
      </c>
      <c r="EC548" s="2" t="s">
        <v>4334</v>
      </c>
      <c r="ED548" s="1998">
        <v>1.3762929036503153</v>
      </c>
      <c r="EE548" s="1998">
        <v>1.3963232431591059</v>
      </c>
      <c r="EF548" s="1998">
        <v>1.4304926458505736</v>
      </c>
      <c r="EG548" s="1998">
        <v>1.4717315801333788</v>
      </c>
      <c r="EH548" s="1998">
        <v>1.5047227275596233</v>
      </c>
      <c r="EI548" s="1979">
        <v>0</v>
      </c>
      <c r="EJ548" s="1979">
        <v>0</v>
      </c>
      <c r="EK548" s="1979">
        <v>0</v>
      </c>
      <c r="EL548" s="1979">
        <v>0</v>
      </c>
      <c r="EM548" s="1979">
        <v>0</v>
      </c>
      <c r="EN548" s="1998">
        <v>1.3721489774641475</v>
      </c>
      <c r="EO548" s="1998">
        <v>1.4012350502970814</v>
      </c>
      <c r="EP548" s="1998">
        <v>1.4044668361674071</v>
      </c>
      <c r="EQ548" s="1998">
        <v>1.4076986220377332</v>
      </c>
      <c r="ER548" s="1998">
        <v>1.4109304079080593</v>
      </c>
      <c r="ES548" s="1979">
        <v>1.7770317355836007</v>
      </c>
      <c r="ET548" s="1979">
        <v>1.811495702091374</v>
      </c>
      <c r="EU548" s="1979">
        <v>1.8167978507848777</v>
      </c>
      <c r="EV548" s="1979">
        <v>1.8220999994783813</v>
      </c>
      <c r="EW548" s="1979">
        <v>1.827402148171885</v>
      </c>
      <c r="EX548" s="1998">
        <v>1.4012651374838265</v>
      </c>
      <c r="EY548" s="1998">
        <v>1.428836310690045</v>
      </c>
      <c r="EZ548" s="1998">
        <v>1.433078029644848</v>
      </c>
      <c r="FA548" s="1998">
        <v>1.4373197485996507</v>
      </c>
      <c r="FB548" s="1998">
        <v>1.4415614675544537</v>
      </c>
      <c r="FC548" s="1979">
        <v>1.3869390290992378</v>
      </c>
      <c r="FD548" s="1979">
        <v>1.405791113342806</v>
      </c>
      <c r="FE548" s="1979">
        <v>1.4105041344036982</v>
      </c>
      <c r="FF548" s="1979">
        <v>1.41521715546459</v>
      </c>
      <c r="FG548" s="1979">
        <v>1.4199301765254824</v>
      </c>
      <c r="FH548" s="1998">
        <v>2.5613278029668329</v>
      </c>
      <c r="FI548" s="1998">
        <v>2.5660408240277253</v>
      </c>
      <c r="FJ548" s="1998">
        <v>2.5707538450886172</v>
      </c>
      <c r="FK548" s="1998">
        <v>2.575466866149509</v>
      </c>
      <c r="FL548" s="1998">
        <v>2.575466866149509</v>
      </c>
      <c r="FM548" s="1979">
        <v>1.5821994916519955</v>
      </c>
      <c r="FN548" s="1979">
        <v>1.6081211074869013</v>
      </c>
      <c r="FO548" s="1979">
        <v>1.6481817865044843</v>
      </c>
      <c r="FP548" s="1979">
        <v>1.6953119971134045</v>
      </c>
      <c r="FQ548" s="1979">
        <v>1.7259466340092033</v>
      </c>
      <c r="FR548" s="1998">
        <v>18.696584463294087</v>
      </c>
      <c r="FS548" s="1998">
        <v>18.75348613168352</v>
      </c>
      <c r="FT548" s="1998">
        <v>18.810387800072949</v>
      </c>
      <c r="FU548" s="1998">
        <v>18.867289468462388</v>
      </c>
      <c r="FV548" s="1998">
        <v>18.924191136851817</v>
      </c>
      <c r="FW548" s="1979">
        <v>19.033724251273018</v>
      </c>
      <c r="FX548" s="1979">
        <v>19.09051313518972</v>
      </c>
      <c r="FY548" s="1979">
        <v>19.14730201910643</v>
      </c>
      <c r="FZ548" s="1979">
        <v>19.20409090302314</v>
      </c>
      <c r="GA548" s="1979">
        <v>19.260879786939839</v>
      </c>
      <c r="GB548" s="1998">
        <v>1.4698008661852611</v>
      </c>
      <c r="GC548" s="1998">
        <v>1.4721096729846634</v>
      </c>
      <c r="GD548" s="1998">
        <v>1.4744184797840658</v>
      </c>
      <c r="GE548" s="1998">
        <v>1.476727286583468</v>
      </c>
      <c r="GF548" s="1998">
        <v>1.4813449001822725</v>
      </c>
      <c r="GG548" s="1979">
        <v>1.5109696388753817</v>
      </c>
      <c r="GH548" s="1979">
        <v>1.5132699437157997</v>
      </c>
      <c r="GI548" s="1979">
        <v>1.5155702485562181</v>
      </c>
      <c r="GJ548" s="1979">
        <v>1.5178705533966359</v>
      </c>
      <c r="GK548" s="2021">
        <v>1.5224711630774723</v>
      </c>
    </row>
    <row r="549" spans="1:193">
      <c r="A549" s="2016"/>
      <c r="B549" s="2">
        <v>9</v>
      </c>
      <c r="C549" s="2" t="s">
        <v>4335</v>
      </c>
      <c r="D549" s="1998">
        <f>IF(Construction!$F$31=Construction!$R$22,Oeko!BQ549,Oeko!ED549)</f>
        <v>0.99999999999999989</v>
      </c>
      <c r="E549" s="1998">
        <f>IF(Construction!$F$31=Construction!$R$22,Oeko!BR549,Oeko!EE549)</f>
        <v>0.99999999999999989</v>
      </c>
      <c r="F549" s="1998">
        <f>IF(Construction!$F$31=Construction!$R$22,Oeko!BS549,Oeko!EF549)</f>
        <v>0.99999999999999989</v>
      </c>
      <c r="G549" s="1998">
        <f>IF(Construction!$F$31=Construction!$R$22,Oeko!BT549,Oeko!EG549)</f>
        <v>0.99999999999999989</v>
      </c>
      <c r="H549" s="1998">
        <f>IF(Construction!$F$31=Construction!$R$22,Oeko!BU549,Oeko!EH549)</f>
        <v>0.99999999999999989</v>
      </c>
      <c r="I549" s="1979">
        <f>IF(Construction!$F$31=Construction!$R$22,Oeko!BV549,Oeko!EI549)</f>
        <v>0</v>
      </c>
      <c r="J549" s="1979">
        <f>IF(Construction!$F$31=Construction!$R$22,Oeko!BW549,Oeko!EJ549)</f>
        <v>0</v>
      </c>
      <c r="K549" s="1979">
        <f>IF(Construction!$F$31=Construction!$R$22,Oeko!BX549,Oeko!EK549)</f>
        <v>0</v>
      </c>
      <c r="L549" s="1979">
        <f>IF(Construction!$F$31=Construction!$R$22,Oeko!BY549,Oeko!EL549)</f>
        <v>0</v>
      </c>
      <c r="M549" s="1979">
        <f>IF(Construction!$F$31=Construction!$R$22,Oeko!BZ549,Oeko!EM549)</f>
        <v>0</v>
      </c>
      <c r="N549" s="1998">
        <f>IF(Construction!$F$31=Construction!$R$22,Oeko!CA549,Oeko!EN549)</f>
        <v>0.85714285714285721</v>
      </c>
      <c r="O549" s="1998">
        <f>IF(Construction!$F$31=Construction!$R$22,Oeko!CB549,Oeko!EO549)</f>
        <v>0.85714285714285721</v>
      </c>
      <c r="P549" s="1998">
        <f>IF(Construction!$F$31=Construction!$R$22,Oeko!CC549,Oeko!EP549)</f>
        <v>0.85714285714285721</v>
      </c>
      <c r="Q549" s="1998">
        <f>IF(Construction!$F$31=Construction!$R$22,Oeko!CD549,Oeko!EQ549)</f>
        <v>0.85714285714285721</v>
      </c>
      <c r="R549" s="1998">
        <f>IF(Construction!$F$31=Construction!$R$22,Oeko!CE549,Oeko!ER549)</f>
        <v>0.85714285714285721</v>
      </c>
      <c r="S549" s="1979">
        <f>IF(Construction!$F$31=Construction!$R$22,Oeko!CF549,Oeko!ES549)</f>
        <v>1.125</v>
      </c>
      <c r="T549" s="1979">
        <f>IF(Construction!$F$31=Construction!$R$22,Oeko!CG549,Oeko!ET549)</f>
        <v>1.125</v>
      </c>
      <c r="U549" s="1979">
        <f>IF(Construction!$F$31=Construction!$R$22,Oeko!CH549,Oeko!EU549)</f>
        <v>1.125</v>
      </c>
      <c r="V549" s="1979">
        <f>IF(Construction!$F$31=Construction!$R$22,Oeko!CI549,Oeko!EV549)</f>
        <v>1.125</v>
      </c>
      <c r="W549" s="1979">
        <f>IF(Construction!$F$31=Construction!$R$22,Oeko!CJ549,Oeko!EW549)</f>
        <v>1.125</v>
      </c>
      <c r="X549" s="1998">
        <f>IF(Construction!$F$31=Construction!$R$22,Oeko!CK549,Oeko!EX549)</f>
        <v>0.9</v>
      </c>
      <c r="Y549" s="1998">
        <f>IF(Construction!$F$31=Construction!$R$22,Oeko!CL549,Oeko!EY549)</f>
        <v>0.9</v>
      </c>
      <c r="Z549" s="1998">
        <f>IF(Construction!$F$31=Construction!$R$22,Oeko!CM549,Oeko!EZ549)</f>
        <v>0.9</v>
      </c>
      <c r="AA549" s="1998">
        <f>IF(Construction!$F$31=Construction!$R$22,Oeko!CN549,Oeko!FA549)</f>
        <v>0.9</v>
      </c>
      <c r="AB549" s="1998">
        <f>IF(Construction!$F$31=Construction!$R$22,Oeko!CO549,Oeko!FB549)</f>
        <v>0.9</v>
      </c>
      <c r="AC549" s="1979">
        <f>IF(Construction!$F$31=Construction!$R$22,Oeko!CP549,Oeko!FC549)</f>
        <v>1</v>
      </c>
      <c r="AD549" s="1979">
        <f>IF(Construction!$F$31=Construction!$R$22,Oeko!CQ549,Oeko!FD549)</f>
        <v>1</v>
      </c>
      <c r="AE549" s="1979">
        <f>IF(Construction!$F$31=Construction!$R$22,Oeko!CR549,Oeko!FE549)</f>
        <v>1</v>
      </c>
      <c r="AF549" s="1979">
        <f>IF(Construction!$F$31=Construction!$R$22,Oeko!CS549,Oeko!FF549)</f>
        <v>1</v>
      </c>
      <c r="AG549" s="1979">
        <f>IF(Construction!$F$31=Construction!$R$22,Oeko!CT549,Oeko!FG549)</f>
        <v>1</v>
      </c>
      <c r="AH549" s="1998">
        <f>IF(Construction!$F$31=Construction!$R$22,Oeko!CU549,Oeko!FH549)</f>
        <v>1.333333333333333</v>
      </c>
      <c r="AI549" s="1998">
        <f>IF(Construction!$F$31=Construction!$R$22,Oeko!CV549,Oeko!FI549)</f>
        <v>1.333333333333333</v>
      </c>
      <c r="AJ549" s="1998">
        <f>IF(Construction!$F$31=Construction!$R$22,Oeko!CW549,Oeko!FJ549)</f>
        <v>1.333333333333333</v>
      </c>
      <c r="AK549" s="1998">
        <f>IF(Construction!$F$31=Construction!$R$22,Oeko!CX549,Oeko!FK549)</f>
        <v>1.333333333333333</v>
      </c>
      <c r="AL549" s="1998">
        <f>IF(Construction!$F$31=Construction!$R$22,Oeko!CY549,Oeko!FL549)</f>
        <v>1.333333333333333</v>
      </c>
      <c r="AM549" s="1979">
        <f>IF(Construction!$F$31=Construction!$R$22,Oeko!CZ549,Oeko!FM549)</f>
        <v>1</v>
      </c>
      <c r="AN549" s="1979">
        <f>IF(Construction!$F$31=Construction!$R$22,Oeko!DA549,Oeko!FN549)</f>
        <v>1</v>
      </c>
      <c r="AO549" s="1979">
        <f>IF(Construction!$F$31=Construction!$R$22,Oeko!DB549,Oeko!FO549)</f>
        <v>1</v>
      </c>
      <c r="AP549" s="1979">
        <f>IF(Construction!$F$31=Construction!$R$22,Oeko!DC549,Oeko!FP549)</f>
        <v>1</v>
      </c>
      <c r="AQ549" s="1979">
        <f>IF(Construction!$F$31=Construction!$R$22,Oeko!DD549,Oeko!FQ549)</f>
        <v>1</v>
      </c>
      <c r="AR549" s="1998">
        <f>IF(Construction!$F$31=Construction!$R$22,Oeko!DE549,Oeko!FR549)</f>
        <v>8.0488597659215468</v>
      </c>
      <c r="AS549" s="1998">
        <f>IF(Construction!$F$31=Construction!$R$22,Oeko!DF549,Oeko!FS549)</f>
        <v>8.0488597659215468</v>
      </c>
      <c r="AT549" s="1998">
        <f>IF(Construction!$F$31=Construction!$R$22,Oeko!DG549,Oeko!FT549)</f>
        <v>8.0488597659215468</v>
      </c>
      <c r="AU549" s="1998">
        <f>IF(Construction!$F$31=Construction!$R$22,Oeko!DH549,Oeko!FU549)</f>
        <v>8.0488597659215468</v>
      </c>
      <c r="AV549" s="1998">
        <f>IF(Construction!$F$31=Construction!$R$22,Oeko!DI549,Oeko!FV549)</f>
        <v>8.0488597659215468</v>
      </c>
      <c r="AW549" s="1979">
        <f>IF(Construction!$F$31=Construction!$R$22,Oeko!DJ549,Oeko!FW549)</f>
        <v>8.0329061668367086</v>
      </c>
      <c r="AX549" s="1979">
        <f>IF(Construction!$F$31=Construction!$R$22,Oeko!DK549,Oeko!FX549)</f>
        <v>8.0329061668367086</v>
      </c>
      <c r="AY549" s="1979">
        <f>IF(Construction!$F$31=Construction!$R$22,Oeko!DL549,Oeko!FY549)</f>
        <v>8.0329061668367086</v>
      </c>
      <c r="AZ549" s="1979">
        <f>IF(Construction!$F$31=Construction!$R$22,Oeko!DM549,Oeko!FZ549)</f>
        <v>8.0329061668367086</v>
      </c>
      <c r="BA549" s="1979">
        <f>IF(Construction!$F$31=Construction!$R$22,Oeko!DN549,Oeko!GA549)</f>
        <v>8.0329061668367086</v>
      </c>
      <c r="BB549" s="1998">
        <f>IF(Construction!$F$31=Construction!$R$22,Oeko!DO549,Oeko!GB549)</f>
        <v>0.97975662301212196</v>
      </c>
      <c r="BC549" s="1998">
        <f>IF(Construction!$F$31=Construction!$R$22,Oeko!DP549,Oeko!GC549)</f>
        <v>0.97975662301212196</v>
      </c>
      <c r="BD549" s="1998">
        <f>IF(Construction!$F$31=Construction!$R$22,Oeko!DQ549,Oeko!GD549)</f>
        <v>0.97975662301212196</v>
      </c>
      <c r="BE549" s="1998">
        <f>IF(Construction!$F$31=Construction!$R$22,Oeko!DR549,Oeko!GE549)</f>
        <v>0.97975662301212196</v>
      </c>
      <c r="BF549" s="1998">
        <f>IF(Construction!$F$31=Construction!$R$22,Oeko!DS549,Oeko!GF549)</f>
        <v>0.97975662301212196</v>
      </c>
      <c r="BG549" s="1979">
        <f>IF(Construction!$F$31=Construction!$R$22,Oeko!DT549,Oeko!GG549)</f>
        <v>0.97614876347816082</v>
      </c>
      <c r="BH549" s="1979">
        <f>IF(Construction!$F$31=Construction!$R$22,Oeko!DU549,Oeko!GH549)</f>
        <v>0.97614876347816082</v>
      </c>
      <c r="BI549" s="1979">
        <f>IF(Construction!$F$31=Construction!$R$22,Oeko!DV549,Oeko!GI549)</f>
        <v>0.97614876347816082</v>
      </c>
      <c r="BJ549" s="1979">
        <f>IF(Construction!$F$31=Construction!$R$22,Oeko!DW549,Oeko!GJ549)</f>
        <v>0.97614876347816082</v>
      </c>
      <c r="BK549" s="2021">
        <f>IF(Construction!$F$31=Construction!$R$22,Oeko!DX549,Oeko!GK549)</f>
        <v>0.97614876347816082</v>
      </c>
      <c r="BN549" s="2018"/>
      <c r="BO549" s="2">
        <v>9</v>
      </c>
      <c r="BP549" s="2" t="s">
        <v>4335</v>
      </c>
      <c r="BQ549" s="1998">
        <v>0.99999999999999989</v>
      </c>
      <c r="BR549" s="1998">
        <v>0.99999999999999989</v>
      </c>
      <c r="BS549" s="1998">
        <v>0.99999999999999989</v>
      </c>
      <c r="BT549" s="1998">
        <v>0.99999999999999989</v>
      </c>
      <c r="BU549" s="1998">
        <v>0.99999999999999989</v>
      </c>
      <c r="BV549" s="1979">
        <v>0</v>
      </c>
      <c r="BW549" s="1979">
        <v>0</v>
      </c>
      <c r="BX549" s="1979">
        <v>0</v>
      </c>
      <c r="BY549" s="1979">
        <v>0</v>
      </c>
      <c r="BZ549" s="1979">
        <v>0</v>
      </c>
      <c r="CA549" s="1998">
        <v>0.85714285714285721</v>
      </c>
      <c r="CB549" s="1998">
        <v>0.85714285714285721</v>
      </c>
      <c r="CC549" s="1998">
        <v>0.85714285714285721</v>
      </c>
      <c r="CD549" s="1998">
        <v>0.85714285714285721</v>
      </c>
      <c r="CE549" s="1998">
        <v>0.85714285714285721</v>
      </c>
      <c r="CF549" s="1979">
        <v>1.125</v>
      </c>
      <c r="CG549" s="1979">
        <v>1.125</v>
      </c>
      <c r="CH549" s="1979">
        <v>1.125</v>
      </c>
      <c r="CI549" s="1979">
        <v>1.125</v>
      </c>
      <c r="CJ549" s="1979">
        <v>1.125</v>
      </c>
      <c r="CK549" s="1998">
        <v>0.9</v>
      </c>
      <c r="CL549" s="1998">
        <v>0.9</v>
      </c>
      <c r="CM549" s="1998">
        <v>0.9</v>
      </c>
      <c r="CN549" s="1998">
        <v>0.9</v>
      </c>
      <c r="CO549" s="1998">
        <v>0.9</v>
      </c>
      <c r="CP549" s="1979">
        <v>1</v>
      </c>
      <c r="CQ549" s="1979">
        <v>1</v>
      </c>
      <c r="CR549" s="1979">
        <v>1</v>
      </c>
      <c r="CS549" s="1979">
        <v>1</v>
      </c>
      <c r="CT549" s="1979">
        <v>1</v>
      </c>
      <c r="CU549" s="1998">
        <v>1.333333333333333</v>
      </c>
      <c r="CV549" s="1998">
        <v>1.333333333333333</v>
      </c>
      <c r="CW549" s="1998">
        <v>1.333333333333333</v>
      </c>
      <c r="CX549" s="1998">
        <v>1.333333333333333</v>
      </c>
      <c r="CY549" s="1998">
        <v>1.333333333333333</v>
      </c>
      <c r="CZ549" s="1979">
        <v>1</v>
      </c>
      <c r="DA549" s="1979">
        <v>1</v>
      </c>
      <c r="DB549" s="1979">
        <v>1</v>
      </c>
      <c r="DC549" s="1979">
        <v>1</v>
      </c>
      <c r="DD549" s="1979">
        <v>1</v>
      </c>
      <c r="DE549" s="1998">
        <v>8.0488597659215468</v>
      </c>
      <c r="DF549" s="1998">
        <v>8.0488597659215468</v>
      </c>
      <c r="DG549" s="1998">
        <v>8.0488597659215468</v>
      </c>
      <c r="DH549" s="1998">
        <v>8.0488597659215468</v>
      </c>
      <c r="DI549" s="1998">
        <v>8.0488597659215468</v>
      </c>
      <c r="DJ549" s="1979">
        <v>8.0329061668367086</v>
      </c>
      <c r="DK549" s="1979">
        <v>8.0329061668367086</v>
      </c>
      <c r="DL549" s="1979">
        <v>8.0329061668367086</v>
      </c>
      <c r="DM549" s="1979">
        <v>8.0329061668367086</v>
      </c>
      <c r="DN549" s="1979">
        <v>8.0329061668367086</v>
      </c>
      <c r="DO549" s="1998">
        <v>0.97975662301212196</v>
      </c>
      <c r="DP549" s="1998">
        <v>0.97975662301212196</v>
      </c>
      <c r="DQ549" s="1998">
        <v>0.97975662301212196</v>
      </c>
      <c r="DR549" s="1998">
        <v>0.97975662301212196</v>
      </c>
      <c r="DS549" s="1998">
        <v>0.97975662301212196</v>
      </c>
      <c r="DT549" s="1979">
        <v>0.97614876347816082</v>
      </c>
      <c r="DU549" s="1979">
        <v>0.97614876347816082</v>
      </c>
      <c r="DV549" s="1979">
        <v>0.97614876347816082</v>
      </c>
      <c r="DW549" s="1979">
        <v>0.97614876347816082</v>
      </c>
      <c r="DX549" s="2021">
        <v>0.97614876347816082</v>
      </c>
      <c r="EA549" s="2018"/>
      <c r="EB549" s="2">
        <v>9</v>
      </c>
      <c r="EC549" s="2" t="s">
        <v>4335</v>
      </c>
      <c r="ED549" s="1998">
        <v>1.3715338464729889</v>
      </c>
      <c r="EE549" s="1998">
        <v>1.39156418598178</v>
      </c>
      <c r="EF549" s="1998">
        <v>1.4257335886732474</v>
      </c>
      <c r="EG549" s="1998">
        <v>1.4669725229560528</v>
      </c>
      <c r="EH549" s="1998">
        <v>1.4999636703822976</v>
      </c>
      <c r="EI549" s="1979">
        <v>0</v>
      </c>
      <c r="EJ549" s="1979">
        <v>0</v>
      </c>
      <c r="EK549" s="1979">
        <v>0</v>
      </c>
      <c r="EL549" s="1979">
        <v>0</v>
      </c>
      <c r="EM549" s="1979">
        <v>0</v>
      </c>
      <c r="EN549" s="1998">
        <v>1.3576252964862143</v>
      </c>
      <c r="EO549" s="1998">
        <v>1.3838835566826131</v>
      </c>
      <c r="EP549" s="1998">
        <v>1.3879232890205204</v>
      </c>
      <c r="EQ549" s="1998">
        <v>1.391963021358428</v>
      </c>
      <c r="ER549" s="1998">
        <v>1.3960027536963355</v>
      </c>
      <c r="ES549" s="1979">
        <v>1.7929381816641112</v>
      </c>
      <c r="ET549" s="1979">
        <v>1.8274021481718845</v>
      </c>
      <c r="EU549" s="1979">
        <v>1.8327042968653879</v>
      </c>
      <c r="EV549" s="1979">
        <v>1.8380064455588916</v>
      </c>
      <c r="EW549" s="1979">
        <v>1.8433085942523952</v>
      </c>
      <c r="EX549" s="1998">
        <v>1.4092183605240816</v>
      </c>
      <c r="EY549" s="1998">
        <v>1.4367895337303003</v>
      </c>
      <c r="EZ549" s="1998">
        <v>1.441031252685103</v>
      </c>
      <c r="FA549" s="1998">
        <v>1.445272971639906</v>
      </c>
      <c r="FB549" s="1998">
        <v>1.4495146905947087</v>
      </c>
      <c r="FC549" s="1979">
        <v>1.3869390290992378</v>
      </c>
      <c r="FD549" s="1979">
        <v>1.405791113342806</v>
      </c>
      <c r="FE549" s="1979">
        <v>1.4105041344036984</v>
      </c>
      <c r="FF549" s="1979">
        <v>1.4152171554645903</v>
      </c>
      <c r="FG549" s="1979">
        <v>1.4199301765254824</v>
      </c>
      <c r="FH549" s="1998">
        <v>2.5734469999805554</v>
      </c>
      <c r="FI549" s="1998">
        <v>2.5781600210414473</v>
      </c>
      <c r="FJ549" s="1998">
        <v>2.5828730421023387</v>
      </c>
      <c r="FK549" s="1998">
        <v>2.5875860631632315</v>
      </c>
      <c r="FL549" s="1998">
        <v>2.5875860631632315</v>
      </c>
      <c r="FM549" s="1979">
        <v>1.617547149608686</v>
      </c>
      <c r="FN549" s="1979">
        <v>1.6434687654435922</v>
      </c>
      <c r="FO549" s="1979">
        <v>1.6835294444611746</v>
      </c>
      <c r="FP549" s="1979">
        <v>1.7306596550700952</v>
      </c>
      <c r="FQ549" s="1979">
        <v>1.7612942919658936</v>
      </c>
      <c r="FR549" s="1998">
        <v>18.888627594108421</v>
      </c>
      <c r="FS549" s="1998">
        <v>18.945529262497853</v>
      </c>
      <c r="FT549" s="1998">
        <v>19.002430930887286</v>
      </c>
      <c r="FU549" s="1998">
        <v>19.059332599276722</v>
      </c>
      <c r="FV549" s="1998">
        <v>19.116234267666151</v>
      </c>
      <c r="FW549" s="1979">
        <v>19.277105182344616</v>
      </c>
      <c r="FX549" s="1979">
        <v>19.333894066261323</v>
      </c>
      <c r="FY549" s="1979">
        <v>19.390682950178032</v>
      </c>
      <c r="FZ549" s="1979">
        <v>19.447471834094735</v>
      </c>
      <c r="GA549" s="1979">
        <v>19.504260718011441</v>
      </c>
      <c r="GB549" s="1998">
        <v>1.5217490191718126</v>
      </c>
      <c r="GC549" s="1998">
        <v>1.5252122293709158</v>
      </c>
      <c r="GD549" s="1998">
        <v>1.5286754395700199</v>
      </c>
      <c r="GE549" s="1998">
        <v>1.532138649769123</v>
      </c>
      <c r="GF549" s="1998">
        <v>1.5390650701673299</v>
      </c>
      <c r="GG549" s="1979">
        <v>1.5627264977847901</v>
      </c>
      <c r="GH549" s="1979">
        <v>1.5661769550454174</v>
      </c>
      <c r="GI549" s="1979">
        <v>1.5696274123060445</v>
      </c>
      <c r="GJ549" s="1979">
        <v>1.5730778695666718</v>
      </c>
      <c r="GK549" s="2021">
        <v>1.5799787840879262</v>
      </c>
    </row>
    <row r="550" spans="1:193">
      <c r="A550" s="2016"/>
      <c r="B550" s="2">
        <v>10</v>
      </c>
      <c r="C550" s="2" t="s">
        <v>4336</v>
      </c>
      <c r="D550" s="1998">
        <f>IF(Construction!$F$31=Construction!$R$22,Oeko!BQ550,Oeko!ED550)</f>
        <v>0.99999999999999989</v>
      </c>
      <c r="E550" s="1998">
        <f>IF(Construction!$F$31=Construction!$R$22,Oeko!BR550,Oeko!EE550)</f>
        <v>0.99999999999999989</v>
      </c>
      <c r="F550" s="1998">
        <f>IF(Construction!$F$31=Construction!$R$22,Oeko!BS550,Oeko!EF550)</f>
        <v>0.99999999999999989</v>
      </c>
      <c r="G550" s="1998">
        <f>IF(Construction!$F$31=Construction!$R$22,Oeko!BT550,Oeko!EG550)</f>
        <v>0.99999999999999989</v>
      </c>
      <c r="H550" s="1998">
        <f>IF(Construction!$F$31=Construction!$R$22,Oeko!BU550,Oeko!EH550)</f>
        <v>0.99999999999999989</v>
      </c>
      <c r="I550" s="1979">
        <f>IF(Construction!$F$31=Construction!$R$22,Oeko!BV550,Oeko!EI550)</f>
        <v>0</v>
      </c>
      <c r="J550" s="1979">
        <f>IF(Construction!$F$31=Construction!$R$22,Oeko!BW550,Oeko!EJ550)</f>
        <v>0</v>
      </c>
      <c r="K550" s="1979">
        <f>IF(Construction!$F$31=Construction!$R$22,Oeko!BX550,Oeko!EK550)</f>
        <v>0</v>
      </c>
      <c r="L550" s="1979">
        <f>IF(Construction!$F$31=Construction!$R$22,Oeko!BY550,Oeko!EL550)</f>
        <v>0</v>
      </c>
      <c r="M550" s="1979">
        <f>IF(Construction!$F$31=Construction!$R$22,Oeko!BZ550,Oeko!EM550)</f>
        <v>0</v>
      </c>
      <c r="N550" s="1998">
        <f>IF(Construction!$F$31=Construction!$R$22,Oeko!CA550,Oeko!EN550)</f>
        <v>0.76190476190476186</v>
      </c>
      <c r="O550" s="1998">
        <f>IF(Construction!$F$31=Construction!$R$22,Oeko!CB550,Oeko!EO550)</f>
        <v>0.76190476190476186</v>
      </c>
      <c r="P550" s="1998">
        <f>IF(Construction!$F$31=Construction!$R$22,Oeko!CC550,Oeko!EP550)</f>
        <v>0.76190476190476186</v>
      </c>
      <c r="Q550" s="1998">
        <f>IF(Construction!$F$31=Construction!$R$22,Oeko!CD550,Oeko!EQ550)</f>
        <v>0.76190476190476186</v>
      </c>
      <c r="R550" s="1998">
        <f>IF(Construction!$F$31=Construction!$R$22,Oeko!CE550,Oeko!ER550)</f>
        <v>0.76190476190476186</v>
      </c>
      <c r="S550" s="1979">
        <f>IF(Construction!$F$31=Construction!$R$22,Oeko!CF550,Oeko!ES550)</f>
        <v>1.1250000000000002</v>
      </c>
      <c r="T550" s="1979">
        <f>IF(Construction!$F$31=Construction!$R$22,Oeko!CG550,Oeko!ET550)</f>
        <v>1.1250000000000002</v>
      </c>
      <c r="U550" s="1979">
        <f>IF(Construction!$F$31=Construction!$R$22,Oeko!CH550,Oeko!EU550)</f>
        <v>1.1250000000000002</v>
      </c>
      <c r="V550" s="1979">
        <f>IF(Construction!$F$31=Construction!$R$22,Oeko!CI550,Oeko!EV550)</f>
        <v>1.1250000000000002</v>
      </c>
      <c r="W550" s="1979">
        <f>IF(Construction!$F$31=Construction!$R$22,Oeko!CJ550,Oeko!EW550)</f>
        <v>1.1250000000000002</v>
      </c>
      <c r="X550" s="1998">
        <f>IF(Construction!$F$31=Construction!$R$22,Oeko!CK550,Oeko!EX550)</f>
        <v>0.8</v>
      </c>
      <c r="Y550" s="1998">
        <f>IF(Construction!$F$31=Construction!$R$22,Oeko!CL550,Oeko!EY550)</f>
        <v>0.8</v>
      </c>
      <c r="Z550" s="1998">
        <f>IF(Construction!$F$31=Construction!$R$22,Oeko!CM550,Oeko!EZ550)</f>
        <v>0.8</v>
      </c>
      <c r="AA550" s="1998">
        <f>IF(Construction!$F$31=Construction!$R$22,Oeko!CN550,Oeko!FA550)</f>
        <v>0.8</v>
      </c>
      <c r="AB550" s="1998">
        <f>IF(Construction!$F$31=Construction!$R$22,Oeko!CO550,Oeko!FB550)</f>
        <v>0.8</v>
      </c>
      <c r="AC550" s="1979">
        <f>IF(Construction!$F$31=Construction!$R$22,Oeko!CP550,Oeko!FC550)</f>
        <v>1.0000000000000002</v>
      </c>
      <c r="AD550" s="1979">
        <f>IF(Construction!$F$31=Construction!$R$22,Oeko!CQ550,Oeko!FD550)</f>
        <v>1.0000000000000002</v>
      </c>
      <c r="AE550" s="1979">
        <f>IF(Construction!$F$31=Construction!$R$22,Oeko!CR550,Oeko!FE550)</f>
        <v>1.0000000000000002</v>
      </c>
      <c r="AF550" s="1979">
        <f>IF(Construction!$F$31=Construction!$R$22,Oeko!CS550,Oeko!FF550)</f>
        <v>1.0000000000000002</v>
      </c>
      <c r="AG550" s="1979">
        <f>IF(Construction!$F$31=Construction!$R$22,Oeko!CT550,Oeko!FG550)</f>
        <v>1.0000000000000002</v>
      </c>
      <c r="AH550" s="1998">
        <f>IF(Construction!$F$31=Construction!$R$22,Oeko!CU550,Oeko!FH550)</f>
        <v>1</v>
      </c>
      <c r="AI550" s="1998">
        <f>IF(Construction!$F$31=Construction!$R$22,Oeko!CV550,Oeko!FI550)</f>
        <v>1</v>
      </c>
      <c r="AJ550" s="1998">
        <f>IF(Construction!$F$31=Construction!$R$22,Oeko!CW550,Oeko!FJ550)</f>
        <v>1</v>
      </c>
      <c r="AK550" s="1998">
        <f>IF(Construction!$F$31=Construction!$R$22,Oeko!CX550,Oeko!FK550)</f>
        <v>1</v>
      </c>
      <c r="AL550" s="1998">
        <f>IF(Construction!$F$31=Construction!$R$22,Oeko!CY550,Oeko!FL550)</f>
        <v>1</v>
      </c>
      <c r="AM550" s="1979">
        <f>IF(Construction!$F$31=Construction!$R$22,Oeko!CZ550,Oeko!FM550)</f>
        <v>0.88888888888888884</v>
      </c>
      <c r="AN550" s="1979">
        <f>IF(Construction!$F$31=Construction!$R$22,Oeko!DA550,Oeko!FN550)</f>
        <v>0.88888888888888884</v>
      </c>
      <c r="AO550" s="1979">
        <f>IF(Construction!$F$31=Construction!$R$22,Oeko!DB550,Oeko!FO550)</f>
        <v>0.88888888888888884</v>
      </c>
      <c r="AP550" s="1979">
        <f>IF(Construction!$F$31=Construction!$R$22,Oeko!DC550,Oeko!FP550)</f>
        <v>0.88888888888888884</v>
      </c>
      <c r="AQ550" s="1979">
        <f>IF(Construction!$F$31=Construction!$R$22,Oeko!DD550,Oeko!FQ550)</f>
        <v>0.88888888888888884</v>
      </c>
      <c r="AR550" s="1998">
        <f>IF(Construction!$F$31=Construction!$R$22,Oeko!DE550,Oeko!FR550)</f>
        <v>8.0488597659215468</v>
      </c>
      <c r="AS550" s="1998">
        <f>IF(Construction!$F$31=Construction!$R$22,Oeko!DF550,Oeko!FS550)</f>
        <v>8.0488597659215468</v>
      </c>
      <c r="AT550" s="1998">
        <f>IF(Construction!$F$31=Construction!$R$22,Oeko!DG550,Oeko!FT550)</f>
        <v>8.0488597659215468</v>
      </c>
      <c r="AU550" s="1998">
        <f>IF(Construction!$F$31=Construction!$R$22,Oeko!DH550,Oeko!FU550)</f>
        <v>8.0488597659215468</v>
      </c>
      <c r="AV550" s="1998">
        <f>IF(Construction!$F$31=Construction!$R$22,Oeko!DI550,Oeko!FV550)</f>
        <v>8.0488597659215468</v>
      </c>
      <c r="AW550" s="1979">
        <f>IF(Construction!$F$31=Construction!$R$22,Oeko!DJ550,Oeko!FW550)</f>
        <v>8.0329061668367068</v>
      </c>
      <c r="AX550" s="1979">
        <f>IF(Construction!$F$31=Construction!$R$22,Oeko!DK550,Oeko!FX550)</f>
        <v>8.0329061668367068</v>
      </c>
      <c r="AY550" s="1979">
        <f>IF(Construction!$F$31=Construction!$R$22,Oeko!DL550,Oeko!FY550)</f>
        <v>8.0329061668367068</v>
      </c>
      <c r="AZ550" s="1979">
        <f>IF(Construction!$F$31=Construction!$R$22,Oeko!DM550,Oeko!FZ550)</f>
        <v>8.0329061668367068</v>
      </c>
      <c r="BA550" s="1979">
        <f>IF(Construction!$F$31=Construction!$R$22,Oeko!DN550,Oeko!GA550)</f>
        <v>8.0329061668367068</v>
      </c>
      <c r="BB550" s="1998">
        <f>IF(Construction!$F$31=Construction!$R$22,Oeko!DO550,Oeko!GB550)</f>
        <v>0.97975662301212196</v>
      </c>
      <c r="BC550" s="1998">
        <f>IF(Construction!$F$31=Construction!$R$22,Oeko!DP550,Oeko!GC550)</f>
        <v>0.97975662301212196</v>
      </c>
      <c r="BD550" s="1998">
        <f>IF(Construction!$F$31=Construction!$R$22,Oeko!DQ550,Oeko!GD550)</f>
        <v>0.97975662301212196</v>
      </c>
      <c r="BE550" s="1998">
        <f>IF(Construction!$F$31=Construction!$R$22,Oeko!DR550,Oeko!GE550)</f>
        <v>0.97975662301212196</v>
      </c>
      <c r="BF550" s="1998">
        <f>IF(Construction!$F$31=Construction!$R$22,Oeko!DS550,Oeko!GF550)</f>
        <v>0.97975662301212196</v>
      </c>
      <c r="BG550" s="1979">
        <f>IF(Construction!$F$31=Construction!$R$22,Oeko!DT550,Oeko!GG550)</f>
        <v>0.9761487634781606</v>
      </c>
      <c r="BH550" s="1979">
        <f>IF(Construction!$F$31=Construction!$R$22,Oeko!DU550,Oeko!GH550)</f>
        <v>0.9761487634781606</v>
      </c>
      <c r="BI550" s="1979">
        <f>IF(Construction!$F$31=Construction!$R$22,Oeko!DV550,Oeko!GI550)</f>
        <v>0.9761487634781606</v>
      </c>
      <c r="BJ550" s="1979">
        <f>IF(Construction!$F$31=Construction!$R$22,Oeko!DW550,Oeko!GJ550)</f>
        <v>0.9761487634781606</v>
      </c>
      <c r="BK550" s="2021">
        <f>IF(Construction!$F$31=Construction!$R$22,Oeko!DX550,Oeko!GK550)</f>
        <v>0.9761487634781606</v>
      </c>
      <c r="BN550" s="2018"/>
      <c r="BO550" s="2">
        <v>10</v>
      </c>
      <c r="BP550" s="2" t="s">
        <v>4336</v>
      </c>
      <c r="BQ550" s="1998">
        <v>0.99999999999999989</v>
      </c>
      <c r="BR550" s="1998">
        <v>0.99999999999999989</v>
      </c>
      <c r="BS550" s="1998">
        <v>0.99999999999999989</v>
      </c>
      <c r="BT550" s="1998">
        <v>0.99999999999999989</v>
      </c>
      <c r="BU550" s="1998">
        <v>0.99999999999999989</v>
      </c>
      <c r="BV550" s="1979">
        <v>0</v>
      </c>
      <c r="BW550" s="1979">
        <v>0</v>
      </c>
      <c r="BX550" s="1979">
        <v>0</v>
      </c>
      <c r="BY550" s="1979">
        <v>0</v>
      </c>
      <c r="BZ550" s="1979">
        <v>0</v>
      </c>
      <c r="CA550" s="1998">
        <v>0.76190476190476186</v>
      </c>
      <c r="CB550" s="1998">
        <v>0.76190476190476186</v>
      </c>
      <c r="CC550" s="1998">
        <v>0.76190476190476186</v>
      </c>
      <c r="CD550" s="1998">
        <v>0.76190476190476186</v>
      </c>
      <c r="CE550" s="1998">
        <v>0.76190476190476186</v>
      </c>
      <c r="CF550" s="1979">
        <v>1.1250000000000002</v>
      </c>
      <c r="CG550" s="1979">
        <v>1.1250000000000002</v>
      </c>
      <c r="CH550" s="1979">
        <v>1.1250000000000002</v>
      </c>
      <c r="CI550" s="1979">
        <v>1.1250000000000002</v>
      </c>
      <c r="CJ550" s="1979">
        <v>1.1250000000000002</v>
      </c>
      <c r="CK550" s="1998">
        <v>0.8</v>
      </c>
      <c r="CL550" s="1998">
        <v>0.8</v>
      </c>
      <c r="CM550" s="1998">
        <v>0.8</v>
      </c>
      <c r="CN550" s="1998">
        <v>0.8</v>
      </c>
      <c r="CO550" s="1998">
        <v>0.8</v>
      </c>
      <c r="CP550" s="1979">
        <v>1.0000000000000002</v>
      </c>
      <c r="CQ550" s="1979">
        <v>1.0000000000000002</v>
      </c>
      <c r="CR550" s="1979">
        <v>1.0000000000000002</v>
      </c>
      <c r="CS550" s="1979">
        <v>1.0000000000000002</v>
      </c>
      <c r="CT550" s="1979">
        <v>1.0000000000000002</v>
      </c>
      <c r="CU550" s="1998">
        <v>1</v>
      </c>
      <c r="CV550" s="1998">
        <v>1</v>
      </c>
      <c r="CW550" s="1998">
        <v>1</v>
      </c>
      <c r="CX550" s="1998">
        <v>1</v>
      </c>
      <c r="CY550" s="1998">
        <v>1</v>
      </c>
      <c r="CZ550" s="1979">
        <v>0.88888888888888884</v>
      </c>
      <c r="DA550" s="1979">
        <v>0.88888888888888884</v>
      </c>
      <c r="DB550" s="1979">
        <v>0.88888888888888884</v>
      </c>
      <c r="DC550" s="1979">
        <v>0.88888888888888884</v>
      </c>
      <c r="DD550" s="1979">
        <v>0.88888888888888884</v>
      </c>
      <c r="DE550" s="1998">
        <v>8.0488597659215468</v>
      </c>
      <c r="DF550" s="1998">
        <v>8.0488597659215468</v>
      </c>
      <c r="DG550" s="1998">
        <v>8.0488597659215468</v>
      </c>
      <c r="DH550" s="1998">
        <v>8.0488597659215468</v>
      </c>
      <c r="DI550" s="1998">
        <v>8.0488597659215468</v>
      </c>
      <c r="DJ550" s="1979">
        <v>8.0329061668367068</v>
      </c>
      <c r="DK550" s="1979">
        <v>8.0329061668367068</v>
      </c>
      <c r="DL550" s="1979">
        <v>8.0329061668367068</v>
      </c>
      <c r="DM550" s="1979">
        <v>8.0329061668367068</v>
      </c>
      <c r="DN550" s="1979">
        <v>8.0329061668367068</v>
      </c>
      <c r="DO550" s="1998">
        <v>0.97975662301212196</v>
      </c>
      <c r="DP550" s="1998">
        <v>0.97975662301212196</v>
      </c>
      <c r="DQ550" s="1998">
        <v>0.97975662301212196</v>
      </c>
      <c r="DR550" s="1998">
        <v>0.97975662301212196</v>
      </c>
      <c r="DS550" s="1998">
        <v>0.97975662301212196</v>
      </c>
      <c r="DT550" s="1979">
        <v>0.9761487634781606</v>
      </c>
      <c r="DU550" s="1979">
        <v>0.9761487634781606</v>
      </c>
      <c r="DV550" s="1979">
        <v>0.9761487634781606</v>
      </c>
      <c r="DW550" s="1979">
        <v>0.9761487634781606</v>
      </c>
      <c r="DX550" s="2021">
        <v>0.9761487634781606</v>
      </c>
      <c r="EA550" s="2018"/>
      <c r="EB550" s="2">
        <v>10</v>
      </c>
      <c r="EC550" s="2" t="s">
        <v>4336</v>
      </c>
      <c r="ED550" s="1998">
        <v>1.3695721891745403</v>
      </c>
      <c r="EE550" s="1998">
        <v>1.3896025286833318</v>
      </c>
      <c r="EF550" s="1998">
        <v>1.4237719313747994</v>
      </c>
      <c r="EG550" s="1998">
        <v>1.4650108656576046</v>
      </c>
      <c r="EH550" s="1998">
        <v>1.4980020130838492</v>
      </c>
      <c r="EI550" s="1979">
        <v>0</v>
      </c>
      <c r="EJ550" s="1979">
        <v>0</v>
      </c>
      <c r="EK550" s="1979">
        <v>0</v>
      </c>
      <c r="EL550" s="1979">
        <v>0</v>
      </c>
      <c r="EM550" s="1979">
        <v>0</v>
      </c>
      <c r="EN550" s="1998">
        <v>1.3233198306782235</v>
      </c>
      <c r="EO550" s="1998">
        <v>1.3448650698137301</v>
      </c>
      <c r="EP550" s="1998">
        <v>1.3502513795976068</v>
      </c>
      <c r="EQ550" s="1998">
        <v>1.3556376893814834</v>
      </c>
      <c r="ER550" s="1998">
        <v>1.3610239991653599</v>
      </c>
      <c r="ES550" s="1979">
        <v>1.8028797104644307</v>
      </c>
      <c r="ET550" s="1979">
        <v>1.8373436769722034</v>
      </c>
      <c r="EU550" s="1979">
        <v>1.8426458256657074</v>
      </c>
      <c r="EV550" s="1979">
        <v>1.8479479743592107</v>
      </c>
      <c r="EW550" s="1979">
        <v>1.8532501230527143</v>
      </c>
      <c r="EX550" s="1998">
        <v>1.3758486957724434</v>
      </c>
      <c r="EY550" s="1998">
        <v>1.3984711968647254</v>
      </c>
      <c r="EZ550" s="1998">
        <v>1.4041268221377958</v>
      </c>
      <c r="FA550" s="1998">
        <v>1.4097824474108662</v>
      </c>
      <c r="FB550" s="1998">
        <v>1.4154380726839368</v>
      </c>
      <c r="FC550" s="1979">
        <v>1.3869390290992378</v>
      </c>
      <c r="FD550" s="1979">
        <v>1.405791113342806</v>
      </c>
      <c r="FE550" s="1979">
        <v>1.4105041344036982</v>
      </c>
      <c r="FF550" s="1979">
        <v>1.41521715546459</v>
      </c>
      <c r="FG550" s="1979">
        <v>1.4199301765254821</v>
      </c>
      <c r="FH550" s="1998">
        <v>2.3921927569513635</v>
      </c>
      <c r="FI550" s="1998">
        <v>2.3992622885427015</v>
      </c>
      <c r="FJ550" s="1998">
        <v>2.4063318201340396</v>
      </c>
      <c r="FK550" s="1998">
        <v>2.4134013517253781</v>
      </c>
      <c r="FL550" s="1998">
        <v>2.4134013517253781</v>
      </c>
      <c r="FM550" s="1979">
        <v>1.6332948553865858</v>
      </c>
      <c r="FN550" s="1979">
        <v>1.661572981751938</v>
      </c>
      <c r="FO550" s="1979">
        <v>1.7024191642796691</v>
      </c>
      <c r="FP550" s="1979">
        <v>1.7495493748885895</v>
      </c>
      <c r="FQ550" s="1979">
        <v>1.7746854872133475</v>
      </c>
      <c r="FR550" s="1998">
        <v>19.187361353152941</v>
      </c>
      <c r="FS550" s="1998">
        <v>19.244263021542373</v>
      </c>
      <c r="FT550" s="1998">
        <v>19.301164689931806</v>
      </c>
      <c r="FU550" s="1998">
        <v>19.358066358321235</v>
      </c>
      <c r="FV550" s="1998">
        <v>19.414968026710671</v>
      </c>
      <c r="FW550" s="1979">
        <v>19.490063497032267</v>
      </c>
      <c r="FX550" s="1979">
        <v>19.546852380948977</v>
      </c>
      <c r="FY550" s="1979">
        <v>19.603641264865679</v>
      </c>
      <c r="FZ550" s="1979">
        <v>19.660430148782389</v>
      </c>
      <c r="GA550" s="1979">
        <v>19.717219032699095</v>
      </c>
      <c r="GB550" s="1998">
        <v>1.5217490191718128</v>
      </c>
      <c r="GC550" s="1998">
        <v>1.5252122293709163</v>
      </c>
      <c r="GD550" s="1998">
        <v>1.5286754395700197</v>
      </c>
      <c r="GE550" s="1998">
        <v>1.5321386497691232</v>
      </c>
      <c r="GF550" s="1998">
        <v>1.5390650701673303</v>
      </c>
      <c r="GG550" s="1979">
        <v>1.5627264977847901</v>
      </c>
      <c r="GH550" s="1979">
        <v>1.5661769550454172</v>
      </c>
      <c r="GI550" s="1979">
        <v>1.5696274123060447</v>
      </c>
      <c r="GJ550" s="1979">
        <v>1.5730778695666718</v>
      </c>
      <c r="GK550" s="2021">
        <v>1.5799787840879262</v>
      </c>
    </row>
    <row r="551" spans="1:193">
      <c r="A551" s="2016"/>
      <c r="B551" s="2">
        <v>11</v>
      </c>
      <c r="C551" s="2" t="s">
        <v>4337</v>
      </c>
      <c r="D551" s="1998">
        <f>IF(Construction!$F$31=Construction!$R$22,Oeko!BQ551,Oeko!ED551)</f>
        <v>0.9722222222222221</v>
      </c>
      <c r="E551" s="1998">
        <f>IF(Construction!$F$31=Construction!$R$22,Oeko!BR551,Oeko!EE551)</f>
        <v>0.9722222222222221</v>
      </c>
      <c r="F551" s="1998">
        <f>IF(Construction!$F$31=Construction!$R$22,Oeko!BS551,Oeko!EF551)</f>
        <v>0.9722222222222221</v>
      </c>
      <c r="G551" s="1998">
        <f>IF(Construction!$F$31=Construction!$R$22,Oeko!BT551,Oeko!EG551)</f>
        <v>0.9722222222222221</v>
      </c>
      <c r="H551" s="1998">
        <f>IF(Construction!$F$31=Construction!$R$22,Oeko!BU551,Oeko!EH551)</f>
        <v>0.9722222222222221</v>
      </c>
      <c r="I551" s="1979">
        <f>IF(Construction!$F$31=Construction!$R$22,Oeko!BV551,Oeko!EI551)</f>
        <v>0</v>
      </c>
      <c r="J551" s="1979">
        <f>IF(Construction!$F$31=Construction!$R$22,Oeko!BW551,Oeko!EJ551)</f>
        <v>0</v>
      </c>
      <c r="K551" s="1979">
        <f>IF(Construction!$F$31=Construction!$R$22,Oeko!BX551,Oeko!EK551)</f>
        <v>0</v>
      </c>
      <c r="L551" s="1979">
        <f>IF(Construction!$F$31=Construction!$R$22,Oeko!BY551,Oeko!EL551)</f>
        <v>0</v>
      </c>
      <c r="M551" s="1979">
        <f>IF(Construction!$F$31=Construction!$R$22,Oeko!BZ551,Oeko!EM551)</f>
        <v>0</v>
      </c>
      <c r="N551" s="1998">
        <f>IF(Construction!$F$31=Construction!$R$22,Oeko!CA551,Oeko!EN551)</f>
        <v>0.76190476190476186</v>
      </c>
      <c r="O551" s="1998">
        <f>IF(Construction!$F$31=Construction!$R$22,Oeko!CB551,Oeko!EO551)</f>
        <v>0.76190476190476186</v>
      </c>
      <c r="P551" s="1998">
        <f>IF(Construction!$F$31=Construction!$R$22,Oeko!CC551,Oeko!EP551)</f>
        <v>0.76190476190476186</v>
      </c>
      <c r="Q551" s="1998">
        <f>IF(Construction!$F$31=Construction!$R$22,Oeko!CD551,Oeko!EQ551)</f>
        <v>0.76190476190476186</v>
      </c>
      <c r="R551" s="1998">
        <f>IF(Construction!$F$31=Construction!$R$22,Oeko!CE551,Oeko!ER551)</f>
        <v>0.76190476190476186</v>
      </c>
      <c r="S551" s="1979">
        <f>IF(Construction!$F$31=Construction!$R$22,Oeko!CF551,Oeko!ES551)</f>
        <v>1</v>
      </c>
      <c r="T551" s="1979">
        <f>IF(Construction!$F$31=Construction!$R$22,Oeko!CG551,Oeko!ET551)</f>
        <v>1</v>
      </c>
      <c r="U551" s="1979">
        <f>IF(Construction!$F$31=Construction!$R$22,Oeko!CH551,Oeko!EU551)</f>
        <v>1</v>
      </c>
      <c r="V551" s="1979">
        <f>IF(Construction!$F$31=Construction!$R$22,Oeko!CI551,Oeko!EV551)</f>
        <v>1</v>
      </c>
      <c r="W551" s="1979">
        <f>IF(Construction!$F$31=Construction!$R$22,Oeko!CJ551,Oeko!EW551)</f>
        <v>1</v>
      </c>
      <c r="X551" s="1998">
        <f>IF(Construction!$F$31=Construction!$R$22,Oeko!CK551,Oeko!EX551)</f>
        <v>0.79999999999999982</v>
      </c>
      <c r="Y551" s="1998">
        <f>IF(Construction!$F$31=Construction!$R$22,Oeko!CL551,Oeko!EY551)</f>
        <v>0.79999999999999982</v>
      </c>
      <c r="Z551" s="1998">
        <f>IF(Construction!$F$31=Construction!$R$22,Oeko!CM551,Oeko!EZ551)</f>
        <v>0.79999999999999982</v>
      </c>
      <c r="AA551" s="1998">
        <f>IF(Construction!$F$31=Construction!$R$22,Oeko!CN551,Oeko!FA551)</f>
        <v>0.79999999999999982</v>
      </c>
      <c r="AB551" s="1998">
        <f>IF(Construction!$F$31=Construction!$R$22,Oeko!CO551,Oeko!FB551)</f>
        <v>0.79999999999999982</v>
      </c>
      <c r="AC551" s="1979">
        <f>IF(Construction!$F$31=Construction!$R$22,Oeko!CP551,Oeko!FC551)</f>
        <v>1.0000000000000002</v>
      </c>
      <c r="AD551" s="1979">
        <f>IF(Construction!$F$31=Construction!$R$22,Oeko!CQ551,Oeko!FD551)</f>
        <v>1.0000000000000002</v>
      </c>
      <c r="AE551" s="1979">
        <f>IF(Construction!$F$31=Construction!$R$22,Oeko!CR551,Oeko!FE551)</f>
        <v>1.0000000000000002</v>
      </c>
      <c r="AF551" s="1979">
        <f>IF(Construction!$F$31=Construction!$R$22,Oeko!CS551,Oeko!FF551)</f>
        <v>1.0000000000000002</v>
      </c>
      <c r="AG551" s="1979">
        <f>IF(Construction!$F$31=Construction!$R$22,Oeko!CT551,Oeko!FG551)</f>
        <v>1.0000000000000002</v>
      </c>
      <c r="AH551" s="1998">
        <f>IF(Construction!$F$31=Construction!$R$22,Oeko!CU551,Oeko!FH551)</f>
        <v>0.99999999999999978</v>
      </c>
      <c r="AI551" s="1998">
        <f>IF(Construction!$F$31=Construction!$R$22,Oeko!CV551,Oeko!FI551)</f>
        <v>0.99999999999999978</v>
      </c>
      <c r="AJ551" s="1998">
        <f>IF(Construction!$F$31=Construction!$R$22,Oeko!CW551,Oeko!FJ551)</f>
        <v>0.99999999999999978</v>
      </c>
      <c r="AK551" s="1998">
        <f>IF(Construction!$F$31=Construction!$R$22,Oeko!CX551,Oeko!FK551)</f>
        <v>0.99999999999999978</v>
      </c>
      <c r="AL551" s="1998">
        <f>IF(Construction!$F$31=Construction!$R$22,Oeko!CY551,Oeko!FL551)</f>
        <v>0.99999999999999978</v>
      </c>
      <c r="AM551" s="1979">
        <f>IF(Construction!$F$31=Construction!$R$22,Oeko!CZ551,Oeko!FM551)</f>
        <v>0.88888888888888884</v>
      </c>
      <c r="AN551" s="1979">
        <f>IF(Construction!$F$31=Construction!$R$22,Oeko!DA551,Oeko!FN551)</f>
        <v>0.88888888888888884</v>
      </c>
      <c r="AO551" s="1979">
        <f>IF(Construction!$F$31=Construction!$R$22,Oeko!DB551,Oeko!FO551)</f>
        <v>0.88888888888888884</v>
      </c>
      <c r="AP551" s="1979">
        <f>IF(Construction!$F$31=Construction!$R$22,Oeko!DC551,Oeko!FP551)</f>
        <v>0.88888888888888884</v>
      </c>
      <c r="AQ551" s="1979">
        <f>IF(Construction!$F$31=Construction!$R$22,Oeko!DD551,Oeko!FQ551)</f>
        <v>0.88888888888888884</v>
      </c>
      <c r="AR551" s="1998">
        <f>IF(Construction!$F$31=Construction!$R$22,Oeko!DE551,Oeko!FR551)</f>
        <v>8.0488597659215451</v>
      </c>
      <c r="AS551" s="1998">
        <f>IF(Construction!$F$31=Construction!$R$22,Oeko!DF551,Oeko!FS551)</f>
        <v>8.0488597659215451</v>
      </c>
      <c r="AT551" s="1998">
        <f>IF(Construction!$F$31=Construction!$R$22,Oeko!DG551,Oeko!FT551)</f>
        <v>8.0488597659215451</v>
      </c>
      <c r="AU551" s="1998">
        <f>IF(Construction!$F$31=Construction!$R$22,Oeko!DH551,Oeko!FU551)</f>
        <v>8.0488597659215451</v>
      </c>
      <c r="AV551" s="1998">
        <f>IF(Construction!$F$31=Construction!$R$22,Oeko!DI551,Oeko!FV551)</f>
        <v>8.0488597659215451</v>
      </c>
      <c r="AW551" s="1979">
        <f>IF(Construction!$F$31=Construction!$R$22,Oeko!DJ551,Oeko!FW551)</f>
        <v>8.0329061668367086</v>
      </c>
      <c r="AX551" s="1979">
        <f>IF(Construction!$F$31=Construction!$R$22,Oeko!DK551,Oeko!FX551)</f>
        <v>8.0329061668367086</v>
      </c>
      <c r="AY551" s="1979">
        <f>IF(Construction!$F$31=Construction!$R$22,Oeko!DL551,Oeko!FY551)</f>
        <v>8.0329061668367086</v>
      </c>
      <c r="AZ551" s="1979">
        <f>IF(Construction!$F$31=Construction!$R$22,Oeko!DM551,Oeko!FZ551)</f>
        <v>8.0329061668367086</v>
      </c>
      <c r="BA551" s="1979">
        <f>IF(Construction!$F$31=Construction!$R$22,Oeko!DN551,Oeko!GA551)</f>
        <v>8.0329061668367086</v>
      </c>
      <c r="BB551" s="1998">
        <f>IF(Construction!$F$31=Construction!$R$22,Oeko!DO551,Oeko!GB551)</f>
        <v>0.97975662301212196</v>
      </c>
      <c r="BC551" s="1998">
        <f>IF(Construction!$F$31=Construction!$R$22,Oeko!DP551,Oeko!GC551)</f>
        <v>0.97975662301212196</v>
      </c>
      <c r="BD551" s="1998">
        <f>IF(Construction!$F$31=Construction!$R$22,Oeko!DQ551,Oeko!GD551)</f>
        <v>0.97975662301212196</v>
      </c>
      <c r="BE551" s="1998">
        <f>IF(Construction!$F$31=Construction!$R$22,Oeko!DR551,Oeko!GE551)</f>
        <v>0.97975662301212196</v>
      </c>
      <c r="BF551" s="1998">
        <f>IF(Construction!$F$31=Construction!$R$22,Oeko!DS551,Oeko!GF551)</f>
        <v>0.97975662301212196</v>
      </c>
      <c r="BG551" s="1979">
        <f>IF(Construction!$F$31=Construction!$R$22,Oeko!DT551,Oeko!GG551)</f>
        <v>0.9761487634781606</v>
      </c>
      <c r="BH551" s="1979">
        <f>IF(Construction!$F$31=Construction!$R$22,Oeko!DU551,Oeko!GH551)</f>
        <v>0.9761487634781606</v>
      </c>
      <c r="BI551" s="1979">
        <f>IF(Construction!$F$31=Construction!$R$22,Oeko!DV551,Oeko!GI551)</f>
        <v>0.9761487634781606</v>
      </c>
      <c r="BJ551" s="1979">
        <f>IF(Construction!$F$31=Construction!$R$22,Oeko!DW551,Oeko!GJ551)</f>
        <v>0.9761487634781606</v>
      </c>
      <c r="BK551" s="2021">
        <f>IF(Construction!$F$31=Construction!$R$22,Oeko!DX551,Oeko!GK551)</f>
        <v>0.9761487634781606</v>
      </c>
      <c r="BN551" s="2018"/>
      <c r="BO551" s="2">
        <v>11</v>
      </c>
      <c r="BP551" s="2" t="s">
        <v>4337</v>
      </c>
      <c r="BQ551" s="1998">
        <v>0.9722222222222221</v>
      </c>
      <c r="BR551" s="1998">
        <v>0.9722222222222221</v>
      </c>
      <c r="BS551" s="1998">
        <v>0.9722222222222221</v>
      </c>
      <c r="BT551" s="1998">
        <v>0.9722222222222221</v>
      </c>
      <c r="BU551" s="1998">
        <v>0.9722222222222221</v>
      </c>
      <c r="BV551" s="1979">
        <v>0</v>
      </c>
      <c r="BW551" s="1979">
        <v>0</v>
      </c>
      <c r="BX551" s="1979">
        <v>0</v>
      </c>
      <c r="BY551" s="1979">
        <v>0</v>
      </c>
      <c r="BZ551" s="1979">
        <v>0</v>
      </c>
      <c r="CA551" s="1998">
        <v>0.76190476190476186</v>
      </c>
      <c r="CB551" s="1998">
        <v>0.76190476190476186</v>
      </c>
      <c r="CC551" s="1998">
        <v>0.76190476190476186</v>
      </c>
      <c r="CD551" s="1998">
        <v>0.76190476190476186</v>
      </c>
      <c r="CE551" s="1998">
        <v>0.76190476190476186</v>
      </c>
      <c r="CF551" s="1979">
        <v>1</v>
      </c>
      <c r="CG551" s="1979">
        <v>1</v>
      </c>
      <c r="CH551" s="1979">
        <v>1</v>
      </c>
      <c r="CI551" s="1979">
        <v>1</v>
      </c>
      <c r="CJ551" s="1979">
        <v>1</v>
      </c>
      <c r="CK551" s="1998">
        <v>0.79999999999999982</v>
      </c>
      <c r="CL551" s="1998">
        <v>0.79999999999999982</v>
      </c>
      <c r="CM551" s="1998">
        <v>0.79999999999999982</v>
      </c>
      <c r="CN551" s="1998">
        <v>0.79999999999999982</v>
      </c>
      <c r="CO551" s="1998">
        <v>0.79999999999999982</v>
      </c>
      <c r="CP551" s="1979">
        <v>1.0000000000000002</v>
      </c>
      <c r="CQ551" s="1979">
        <v>1.0000000000000002</v>
      </c>
      <c r="CR551" s="1979">
        <v>1.0000000000000002</v>
      </c>
      <c r="CS551" s="1979">
        <v>1.0000000000000002</v>
      </c>
      <c r="CT551" s="1979">
        <v>1.0000000000000002</v>
      </c>
      <c r="CU551" s="1998">
        <v>0.99999999999999978</v>
      </c>
      <c r="CV551" s="1998">
        <v>0.99999999999999978</v>
      </c>
      <c r="CW551" s="1998">
        <v>0.99999999999999978</v>
      </c>
      <c r="CX551" s="1998">
        <v>0.99999999999999978</v>
      </c>
      <c r="CY551" s="1998">
        <v>0.99999999999999978</v>
      </c>
      <c r="CZ551" s="1979">
        <v>0.88888888888888884</v>
      </c>
      <c r="DA551" s="1979">
        <v>0.88888888888888884</v>
      </c>
      <c r="DB551" s="1979">
        <v>0.88888888888888884</v>
      </c>
      <c r="DC551" s="1979">
        <v>0.88888888888888884</v>
      </c>
      <c r="DD551" s="1979">
        <v>0.88888888888888884</v>
      </c>
      <c r="DE551" s="1998">
        <v>8.0488597659215451</v>
      </c>
      <c r="DF551" s="1998">
        <v>8.0488597659215451</v>
      </c>
      <c r="DG551" s="1998">
        <v>8.0488597659215451</v>
      </c>
      <c r="DH551" s="1998">
        <v>8.0488597659215451</v>
      </c>
      <c r="DI551" s="1998">
        <v>8.0488597659215451</v>
      </c>
      <c r="DJ551" s="1979">
        <v>8.0329061668367086</v>
      </c>
      <c r="DK551" s="1979">
        <v>8.0329061668367086</v>
      </c>
      <c r="DL551" s="1979">
        <v>8.0329061668367086</v>
      </c>
      <c r="DM551" s="1979">
        <v>8.0329061668367086</v>
      </c>
      <c r="DN551" s="1979">
        <v>8.0329061668367086</v>
      </c>
      <c r="DO551" s="1998">
        <v>0.97975662301212196</v>
      </c>
      <c r="DP551" s="1998">
        <v>0.97975662301212196</v>
      </c>
      <c r="DQ551" s="1998">
        <v>0.97975662301212196</v>
      </c>
      <c r="DR551" s="1998">
        <v>0.97975662301212196</v>
      </c>
      <c r="DS551" s="1998">
        <v>0.97975662301212196</v>
      </c>
      <c r="DT551" s="1979">
        <v>0.9761487634781606</v>
      </c>
      <c r="DU551" s="1979">
        <v>0.9761487634781606</v>
      </c>
      <c r="DV551" s="1979">
        <v>0.9761487634781606</v>
      </c>
      <c r="DW551" s="1979">
        <v>0.9761487634781606</v>
      </c>
      <c r="DX551" s="2021">
        <v>0.9761487634781606</v>
      </c>
      <c r="EA551" s="2018"/>
      <c r="EB551" s="2">
        <v>11</v>
      </c>
      <c r="EC551" s="2" t="s">
        <v>4337</v>
      </c>
      <c r="ED551" s="1998">
        <v>1.3519895685690972</v>
      </c>
      <c r="EE551" s="1998">
        <v>1.3726090357105001</v>
      </c>
      <c r="EF551" s="1998">
        <v>1.4069748142795049</v>
      </c>
      <c r="EG551" s="1998">
        <v>1.4482137485623099</v>
      </c>
      <c r="EH551" s="1998">
        <v>1.4798302648457942</v>
      </c>
      <c r="EI551" s="1979">
        <v>0</v>
      </c>
      <c r="EJ551" s="1979">
        <v>0</v>
      </c>
      <c r="EK551" s="1979">
        <v>0</v>
      </c>
      <c r="EL551" s="1979">
        <v>0</v>
      </c>
      <c r="EM551" s="1979">
        <v>0</v>
      </c>
      <c r="EN551" s="1998">
        <v>1.3334191615229924</v>
      </c>
      <c r="EO551" s="1998">
        <v>1.3549644006584989</v>
      </c>
      <c r="EP551" s="1998">
        <v>1.3603507104423755</v>
      </c>
      <c r="EQ551" s="1998">
        <v>1.365737020226252</v>
      </c>
      <c r="ER551" s="1998">
        <v>1.3711233300101289</v>
      </c>
      <c r="ES551" s="1979">
        <v>1.7711091583252017</v>
      </c>
      <c r="ET551" s="1979">
        <v>1.7993872846905539</v>
      </c>
      <c r="EU551" s="1979">
        <v>1.8064568162818917</v>
      </c>
      <c r="EV551" s="1979">
        <v>1.8135263478732302</v>
      </c>
      <c r="EW551" s="1979">
        <v>1.820595879464568</v>
      </c>
      <c r="EX551" s="1998">
        <v>1.3891040675062021</v>
      </c>
      <c r="EY551" s="1998">
        <v>1.4117265685984843</v>
      </c>
      <c r="EZ551" s="1998">
        <v>1.4173821938715545</v>
      </c>
      <c r="FA551" s="1998">
        <v>1.4230378191446249</v>
      </c>
      <c r="FB551" s="1998">
        <v>1.4286934444176957</v>
      </c>
      <c r="FC551" s="1979">
        <v>1.4376040055038273</v>
      </c>
      <c r="FD551" s="1979">
        <v>1.4482083028908348</v>
      </c>
      <c r="FE551" s="1979">
        <v>1.4552778344821728</v>
      </c>
      <c r="FF551" s="1979">
        <v>1.4623473660735109</v>
      </c>
      <c r="FG551" s="1979">
        <v>1.469416897664849</v>
      </c>
      <c r="FH551" s="1998">
        <v>2.4103715524719473</v>
      </c>
      <c r="FI551" s="1998">
        <v>2.417441084063285</v>
      </c>
      <c r="FJ551" s="1998">
        <v>2.4245106156546234</v>
      </c>
      <c r="FK551" s="1998">
        <v>2.4315801472459615</v>
      </c>
      <c r="FL551" s="1998">
        <v>2.4315801472459615</v>
      </c>
      <c r="FM551" s="1979">
        <v>1.6536551063696394</v>
      </c>
      <c r="FN551" s="1979">
        <v>1.6819332327349916</v>
      </c>
      <c r="FO551" s="1979">
        <v>1.7227794152627232</v>
      </c>
      <c r="FP551" s="1979">
        <v>1.7699096258716434</v>
      </c>
      <c r="FQ551" s="1979">
        <v>1.7950457381964011</v>
      </c>
      <c r="FR551" s="1998">
        <v>19.400742609613314</v>
      </c>
      <c r="FS551" s="1998">
        <v>19.457644278002743</v>
      </c>
      <c r="FT551" s="1998">
        <v>19.514545946392175</v>
      </c>
      <c r="FU551" s="1998">
        <v>19.571447614781611</v>
      </c>
      <c r="FV551" s="1998">
        <v>19.628349283171044</v>
      </c>
      <c r="FW551" s="1979">
        <v>19.660430148782389</v>
      </c>
      <c r="FX551" s="1979">
        <v>19.717219032699091</v>
      </c>
      <c r="FY551" s="1979">
        <v>19.774007916615798</v>
      </c>
      <c r="FZ551" s="1979">
        <v>19.830796800532507</v>
      </c>
      <c r="GA551" s="1979">
        <v>19.887585684449213</v>
      </c>
      <c r="GB551" s="1998">
        <v>1.5217490191718128</v>
      </c>
      <c r="GC551" s="1998">
        <v>1.5252122293709163</v>
      </c>
      <c r="GD551" s="1998">
        <v>1.5286754395700197</v>
      </c>
      <c r="GE551" s="1998">
        <v>1.5321386497691232</v>
      </c>
      <c r="GF551" s="1998">
        <v>1.5390650701673303</v>
      </c>
      <c r="GG551" s="1979">
        <v>1.5627264977847901</v>
      </c>
      <c r="GH551" s="1979">
        <v>1.5661769550454174</v>
      </c>
      <c r="GI551" s="1979">
        <v>1.5696274123060447</v>
      </c>
      <c r="GJ551" s="1979">
        <v>1.5730778695666718</v>
      </c>
      <c r="GK551" s="2021">
        <v>1.5799787840879262</v>
      </c>
    </row>
    <row r="552" spans="1:193">
      <c r="A552" s="2016"/>
      <c r="B552" s="2">
        <v>12</v>
      </c>
      <c r="C552" s="2" t="s">
        <v>4338</v>
      </c>
      <c r="D552" s="1998">
        <f>IF(Construction!$F$31=Construction!$R$22,Oeko!BQ552,Oeko!ED552)</f>
        <v>0.93333333333333335</v>
      </c>
      <c r="E552" s="1998">
        <f>IF(Construction!$F$31=Construction!$R$22,Oeko!BR552,Oeko!EE552)</f>
        <v>0.93333333333333335</v>
      </c>
      <c r="F552" s="1998">
        <f>IF(Construction!$F$31=Construction!$R$22,Oeko!BS552,Oeko!EF552)</f>
        <v>0.93333333333333335</v>
      </c>
      <c r="G552" s="1998">
        <f>IF(Construction!$F$31=Construction!$R$22,Oeko!BT552,Oeko!EG552)</f>
        <v>0.93333333333333335</v>
      </c>
      <c r="H552" s="1998">
        <f>IF(Construction!$F$31=Construction!$R$22,Oeko!BU552,Oeko!EH552)</f>
        <v>0.93333333333333335</v>
      </c>
      <c r="I552" s="1979">
        <f>IF(Construction!$F$31=Construction!$R$22,Oeko!BV552,Oeko!EI552)</f>
        <v>0</v>
      </c>
      <c r="J552" s="1979">
        <f>IF(Construction!$F$31=Construction!$R$22,Oeko!BW552,Oeko!EJ552)</f>
        <v>0</v>
      </c>
      <c r="K552" s="1979">
        <f>IF(Construction!$F$31=Construction!$R$22,Oeko!BX552,Oeko!EK552)</f>
        <v>0</v>
      </c>
      <c r="L552" s="1979">
        <f>IF(Construction!$F$31=Construction!$R$22,Oeko!BY552,Oeko!EL552)</f>
        <v>0</v>
      </c>
      <c r="M552" s="1979">
        <f>IF(Construction!$F$31=Construction!$R$22,Oeko!BZ552,Oeko!EM552)</f>
        <v>0</v>
      </c>
      <c r="N552" s="1998">
        <f>IF(Construction!$F$31=Construction!$R$22,Oeko!CA552,Oeko!EN552)</f>
        <v>0.5714285714285714</v>
      </c>
      <c r="O552" s="1998">
        <f>IF(Construction!$F$31=Construction!$R$22,Oeko!CB552,Oeko!EO552)</f>
        <v>0.5714285714285714</v>
      </c>
      <c r="P552" s="1998">
        <f>IF(Construction!$F$31=Construction!$R$22,Oeko!CC552,Oeko!EP552)</f>
        <v>0.5714285714285714</v>
      </c>
      <c r="Q552" s="1998">
        <f>IF(Construction!$F$31=Construction!$R$22,Oeko!CD552,Oeko!EQ552)</f>
        <v>0.5714285714285714</v>
      </c>
      <c r="R552" s="1998">
        <f>IF(Construction!$F$31=Construction!$R$22,Oeko!CE552,Oeko!ER552)</f>
        <v>0.5714285714285714</v>
      </c>
      <c r="S552" s="1979">
        <f>IF(Construction!$F$31=Construction!$R$22,Oeko!CF552,Oeko!ES552)</f>
        <v>0.75000000000000011</v>
      </c>
      <c r="T552" s="1979">
        <f>IF(Construction!$F$31=Construction!$R$22,Oeko!CG552,Oeko!ET552)</f>
        <v>0.75000000000000011</v>
      </c>
      <c r="U552" s="1979">
        <f>IF(Construction!$F$31=Construction!$R$22,Oeko!CH552,Oeko!EU552)</f>
        <v>0.75000000000000011</v>
      </c>
      <c r="V552" s="1979">
        <f>IF(Construction!$F$31=Construction!$R$22,Oeko!CI552,Oeko!EV552)</f>
        <v>0.75000000000000011</v>
      </c>
      <c r="W552" s="1979">
        <f>IF(Construction!$F$31=Construction!$R$22,Oeko!CJ552,Oeko!EW552)</f>
        <v>0.75000000000000011</v>
      </c>
      <c r="X552" s="1998">
        <f>IF(Construction!$F$31=Construction!$R$22,Oeko!CK552,Oeko!EX552)</f>
        <v>0.6</v>
      </c>
      <c r="Y552" s="1998">
        <f>IF(Construction!$F$31=Construction!$R$22,Oeko!CL552,Oeko!EY552)</f>
        <v>0.6</v>
      </c>
      <c r="Z552" s="1998">
        <f>IF(Construction!$F$31=Construction!$R$22,Oeko!CM552,Oeko!EZ552)</f>
        <v>0.6</v>
      </c>
      <c r="AA552" s="1998">
        <f>IF(Construction!$F$31=Construction!$R$22,Oeko!CN552,Oeko!FA552)</f>
        <v>0.6</v>
      </c>
      <c r="AB552" s="1998">
        <f>IF(Construction!$F$31=Construction!$R$22,Oeko!CO552,Oeko!FB552)</f>
        <v>0.6</v>
      </c>
      <c r="AC552" s="1979">
        <f>IF(Construction!$F$31=Construction!$R$22,Oeko!CP552,Oeko!FC552)</f>
        <v>1</v>
      </c>
      <c r="AD552" s="1979">
        <f>IF(Construction!$F$31=Construction!$R$22,Oeko!CQ552,Oeko!FD552)</f>
        <v>1</v>
      </c>
      <c r="AE552" s="1979">
        <f>IF(Construction!$F$31=Construction!$R$22,Oeko!CR552,Oeko!FE552)</f>
        <v>1</v>
      </c>
      <c r="AF552" s="1979">
        <f>IF(Construction!$F$31=Construction!$R$22,Oeko!CS552,Oeko!FF552)</f>
        <v>1</v>
      </c>
      <c r="AG552" s="1979">
        <f>IF(Construction!$F$31=Construction!$R$22,Oeko!CT552,Oeko!FG552)</f>
        <v>1</v>
      </c>
      <c r="AH552" s="1998">
        <f>IF(Construction!$F$31=Construction!$R$22,Oeko!CU552,Oeko!FH552)</f>
        <v>0.99999999999999978</v>
      </c>
      <c r="AI552" s="1998">
        <f>IF(Construction!$F$31=Construction!$R$22,Oeko!CV552,Oeko!FI552)</f>
        <v>0.99999999999999978</v>
      </c>
      <c r="AJ552" s="1998">
        <f>IF(Construction!$F$31=Construction!$R$22,Oeko!CW552,Oeko!FJ552)</f>
        <v>0.99999999999999978</v>
      </c>
      <c r="AK552" s="1998">
        <f>IF(Construction!$F$31=Construction!$R$22,Oeko!CX552,Oeko!FK552)</f>
        <v>0.99999999999999978</v>
      </c>
      <c r="AL552" s="1998">
        <f>IF(Construction!$F$31=Construction!$R$22,Oeko!CY552,Oeko!FL552)</f>
        <v>0.99999999999999978</v>
      </c>
      <c r="AM552" s="1979">
        <f>IF(Construction!$F$31=Construction!$R$22,Oeko!CZ552,Oeko!FM552)</f>
        <v>0.88888888888888884</v>
      </c>
      <c r="AN552" s="1979">
        <f>IF(Construction!$F$31=Construction!$R$22,Oeko!DA552,Oeko!FN552)</f>
        <v>0.88888888888888884</v>
      </c>
      <c r="AO552" s="1979">
        <f>IF(Construction!$F$31=Construction!$R$22,Oeko!DB552,Oeko!FO552)</f>
        <v>0.88888888888888884</v>
      </c>
      <c r="AP552" s="1979">
        <f>IF(Construction!$F$31=Construction!$R$22,Oeko!DC552,Oeko!FP552)</f>
        <v>0.88888888888888884</v>
      </c>
      <c r="AQ552" s="1979">
        <f>IF(Construction!$F$31=Construction!$R$22,Oeko!DD552,Oeko!FQ552)</f>
        <v>0.88888888888888884</v>
      </c>
      <c r="AR552" s="1998">
        <f>IF(Construction!$F$31=Construction!$R$22,Oeko!DE552,Oeko!FR552)</f>
        <v>8.0488597659215451</v>
      </c>
      <c r="AS552" s="1998">
        <f>IF(Construction!$F$31=Construction!$R$22,Oeko!DF552,Oeko!FS552)</f>
        <v>8.0488597659215451</v>
      </c>
      <c r="AT552" s="1998">
        <f>IF(Construction!$F$31=Construction!$R$22,Oeko!DG552,Oeko!FT552)</f>
        <v>8.0488597659215451</v>
      </c>
      <c r="AU552" s="1998">
        <f>IF(Construction!$F$31=Construction!$R$22,Oeko!DH552,Oeko!FU552)</f>
        <v>8.0488597659215451</v>
      </c>
      <c r="AV552" s="1998">
        <f>IF(Construction!$F$31=Construction!$R$22,Oeko!DI552,Oeko!FV552)</f>
        <v>8.0488597659215451</v>
      </c>
      <c r="AW552" s="1979">
        <f>IF(Construction!$F$31=Construction!$R$22,Oeko!DJ552,Oeko!FW552)</f>
        <v>8.0329061668367068</v>
      </c>
      <c r="AX552" s="1979">
        <f>IF(Construction!$F$31=Construction!$R$22,Oeko!DK552,Oeko!FX552)</f>
        <v>8.0329061668367068</v>
      </c>
      <c r="AY552" s="1979">
        <f>IF(Construction!$F$31=Construction!$R$22,Oeko!DL552,Oeko!FY552)</f>
        <v>8.0329061668367068</v>
      </c>
      <c r="AZ552" s="1979">
        <f>IF(Construction!$F$31=Construction!$R$22,Oeko!DM552,Oeko!FZ552)</f>
        <v>8.0329061668367068</v>
      </c>
      <c r="BA552" s="1979">
        <f>IF(Construction!$F$31=Construction!$R$22,Oeko!DN552,Oeko!GA552)</f>
        <v>8.0329061668367068</v>
      </c>
      <c r="BB552" s="1998">
        <f>IF(Construction!$F$31=Construction!$R$22,Oeko!DO552,Oeko!GB552)</f>
        <v>0.97975662301212196</v>
      </c>
      <c r="BC552" s="1998">
        <f>IF(Construction!$F$31=Construction!$R$22,Oeko!DP552,Oeko!GC552)</f>
        <v>0.97975662301212196</v>
      </c>
      <c r="BD552" s="1998">
        <f>IF(Construction!$F$31=Construction!$R$22,Oeko!DQ552,Oeko!GD552)</f>
        <v>0.97975662301212196</v>
      </c>
      <c r="BE552" s="1998">
        <f>IF(Construction!$F$31=Construction!$R$22,Oeko!DR552,Oeko!GE552)</f>
        <v>0.97975662301212196</v>
      </c>
      <c r="BF552" s="1998">
        <f>IF(Construction!$F$31=Construction!$R$22,Oeko!DS552,Oeko!GF552)</f>
        <v>0.97975662301212196</v>
      </c>
      <c r="BG552" s="1979">
        <f>IF(Construction!$F$31=Construction!$R$22,Oeko!DT552,Oeko!GG552)</f>
        <v>0.97614876347816082</v>
      </c>
      <c r="BH552" s="1979">
        <f>IF(Construction!$F$31=Construction!$R$22,Oeko!DU552,Oeko!GH552)</f>
        <v>0.97614876347816082</v>
      </c>
      <c r="BI552" s="1979">
        <f>IF(Construction!$F$31=Construction!$R$22,Oeko!DV552,Oeko!GI552)</f>
        <v>0.97614876347816082</v>
      </c>
      <c r="BJ552" s="1979">
        <f>IF(Construction!$F$31=Construction!$R$22,Oeko!DW552,Oeko!GJ552)</f>
        <v>0.97614876347816082</v>
      </c>
      <c r="BK552" s="2021">
        <f>IF(Construction!$F$31=Construction!$R$22,Oeko!DX552,Oeko!GK552)</f>
        <v>0.97614876347816082</v>
      </c>
      <c r="BN552" s="2018"/>
      <c r="BO552" s="2">
        <v>12</v>
      </c>
      <c r="BP552" s="2" t="s">
        <v>4338</v>
      </c>
      <c r="BQ552" s="1998">
        <v>0.93333333333333335</v>
      </c>
      <c r="BR552" s="1998">
        <v>0.93333333333333335</v>
      </c>
      <c r="BS552" s="1998">
        <v>0.93333333333333335</v>
      </c>
      <c r="BT552" s="1998">
        <v>0.93333333333333335</v>
      </c>
      <c r="BU552" s="1998">
        <v>0.93333333333333335</v>
      </c>
      <c r="BV552" s="1979">
        <v>0</v>
      </c>
      <c r="BW552" s="1979">
        <v>0</v>
      </c>
      <c r="BX552" s="1979">
        <v>0</v>
      </c>
      <c r="BY552" s="1979">
        <v>0</v>
      </c>
      <c r="BZ552" s="1979">
        <v>0</v>
      </c>
      <c r="CA552" s="1998">
        <v>0.5714285714285714</v>
      </c>
      <c r="CB552" s="1998">
        <v>0.5714285714285714</v>
      </c>
      <c r="CC552" s="1998">
        <v>0.5714285714285714</v>
      </c>
      <c r="CD552" s="1998">
        <v>0.5714285714285714</v>
      </c>
      <c r="CE552" s="1998">
        <v>0.5714285714285714</v>
      </c>
      <c r="CF552" s="1979">
        <v>0.75000000000000011</v>
      </c>
      <c r="CG552" s="1979">
        <v>0.75000000000000011</v>
      </c>
      <c r="CH552" s="1979">
        <v>0.75000000000000011</v>
      </c>
      <c r="CI552" s="1979">
        <v>0.75000000000000011</v>
      </c>
      <c r="CJ552" s="1979">
        <v>0.75000000000000011</v>
      </c>
      <c r="CK552" s="1998">
        <v>0.6</v>
      </c>
      <c r="CL552" s="1998">
        <v>0.6</v>
      </c>
      <c r="CM552" s="1998">
        <v>0.6</v>
      </c>
      <c r="CN552" s="1998">
        <v>0.6</v>
      </c>
      <c r="CO552" s="1998">
        <v>0.6</v>
      </c>
      <c r="CP552" s="1979">
        <v>1</v>
      </c>
      <c r="CQ552" s="1979">
        <v>1</v>
      </c>
      <c r="CR552" s="1979">
        <v>1</v>
      </c>
      <c r="CS552" s="1979">
        <v>1</v>
      </c>
      <c r="CT552" s="1979">
        <v>1</v>
      </c>
      <c r="CU552" s="1998">
        <v>0.99999999999999978</v>
      </c>
      <c r="CV552" s="1998">
        <v>0.99999999999999978</v>
      </c>
      <c r="CW552" s="1998">
        <v>0.99999999999999978</v>
      </c>
      <c r="CX552" s="1998">
        <v>0.99999999999999978</v>
      </c>
      <c r="CY552" s="1998">
        <v>0.99999999999999978</v>
      </c>
      <c r="CZ552" s="1979">
        <v>0.88888888888888884</v>
      </c>
      <c r="DA552" s="1979">
        <v>0.88888888888888884</v>
      </c>
      <c r="DB552" s="1979">
        <v>0.88888888888888884</v>
      </c>
      <c r="DC552" s="1979">
        <v>0.88888888888888884</v>
      </c>
      <c r="DD552" s="1979">
        <v>0.88888888888888884</v>
      </c>
      <c r="DE552" s="1998">
        <v>8.0488597659215451</v>
      </c>
      <c r="DF552" s="1998">
        <v>8.0488597659215451</v>
      </c>
      <c r="DG552" s="1998">
        <v>8.0488597659215451</v>
      </c>
      <c r="DH552" s="1998">
        <v>8.0488597659215451</v>
      </c>
      <c r="DI552" s="1998">
        <v>8.0488597659215451</v>
      </c>
      <c r="DJ552" s="1979">
        <v>8.0329061668367068</v>
      </c>
      <c r="DK552" s="1979">
        <v>8.0329061668367068</v>
      </c>
      <c r="DL552" s="1979">
        <v>8.0329061668367068</v>
      </c>
      <c r="DM552" s="1979">
        <v>8.0329061668367068</v>
      </c>
      <c r="DN552" s="1979">
        <v>8.0329061668367068</v>
      </c>
      <c r="DO552" s="1998">
        <v>0.97975662301212196</v>
      </c>
      <c r="DP552" s="1998">
        <v>0.97975662301212196</v>
      </c>
      <c r="DQ552" s="1998">
        <v>0.97975662301212196</v>
      </c>
      <c r="DR552" s="1998">
        <v>0.97975662301212196</v>
      </c>
      <c r="DS552" s="1998">
        <v>0.97975662301212196</v>
      </c>
      <c r="DT552" s="1979">
        <v>0.97614876347816082</v>
      </c>
      <c r="DU552" s="1979">
        <v>0.97614876347816082</v>
      </c>
      <c r="DV552" s="1979">
        <v>0.97614876347816082</v>
      </c>
      <c r="DW552" s="1979">
        <v>0.97614876347816082</v>
      </c>
      <c r="DX552" s="2021">
        <v>0.97614876347816082</v>
      </c>
      <c r="EA552" s="2018"/>
      <c r="EB552" s="2">
        <v>12</v>
      </c>
      <c r="EC552" s="2" t="s">
        <v>4338</v>
      </c>
      <c r="ED552" s="1998">
        <v>1.339784269624664</v>
      </c>
      <c r="EE552" s="1998">
        <v>1.361228515451723</v>
      </c>
      <c r="EF552" s="1998">
        <v>1.3958692202492797</v>
      </c>
      <c r="EG552" s="1998">
        <v>1.4371081545320852</v>
      </c>
      <c r="EH552" s="1998">
        <v>1.466800187215705</v>
      </c>
      <c r="EI552" s="1979">
        <v>0</v>
      </c>
      <c r="EJ552" s="1979">
        <v>0</v>
      </c>
      <c r="EK552" s="1979">
        <v>0</v>
      </c>
      <c r="EL552" s="1979">
        <v>0</v>
      </c>
      <c r="EM552" s="1979">
        <v>0</v>
      </c>
      <c r="EN552" s="1998">
        <v>1.2698578953293951</v>
      </c>
      <c r="EO552" s="1998">
        <v>1.2819770923431175</v>
      </c>
      <c r="EP552" s="1998">
        <v>1.2900565570189322</v>
      </c>
      <c r="EQ552" s="1998">
        <v>1.2981360216947473</v>
      </c>
      <c r="ER552" s="1998">
        <v>1.3062154863705622</v>
      </c>
      <c r="ES552" s="1979">
        <v>1.7171119216950497</v>
      </c>
      <c r="ET552" s="1979">
        <v>1.7330183677755606</v>
      </c>
      <c r="EU552" s="1979">
        <v>1.7436226651625677</v>
      </c>
      <c r="EV552" s="1979">
        <v>1.7542269625495746</v>
      </c>
      <c r="EW552" s="1979">
        <v>1.7648312599365823</v>
      </c>
      <c r="EX552" s="1998">
        <v>1.3488754814704429</v>
      </c>
      <c r="EY552" s="1998">
        <v>1.3616006383348516</v>
      </c>
      <c r="EZ552" s="1998">
        <v>1.3700840762444575</v>
      </c>
      <c r="FA552" s="1998">
        <v>1.378567514154063</v>
      </c>
      <c r="FB552" s="1998">
        <v>1.3870509520636685</v>
      </c>
      <c r="FC552" s="1979">
        <v>1.5895989347175965</v>
      </c>
      <c r="FD552" s="1979">
        <v>1.5754598715349204</v>
      </c>
      <c r="FE552" s="1979">
        <v>1.5895989347175965</v>
      </c>
      <c r="FF552" s="1979">
        <v>1.6037379979002726</v>
      </c>
      <c r="FG552" s="1979">
        <v>1.6178770610829489</v>
      </c>
      <c r="FH552" s="1998">
        <v>2.4899037828745008</v>
      </c>
      <c r="FI552" s="1998">
        <v>2.4969733144658388</v>
      </c>
      <c r="FJ552" s="1998">
        <v>2.5040428460571764</v>
      </c>
      <c r="FK552" s="1998">
        <v>2.5111123776485149</v>
      </c>
      <c r="FL552" s="1998">
        <v>2.5111123776485149</v>
      </c>
      <c r="FM552" s="1979">
        <v>1.7059696401455418</v>
      </c>
      <c r="FN552" s="1979">
        <v>1.7342477665108937</v>
      </c>
      <c r="FO552" s="1979">
        <v>1.7750939490386248</v>
      </c>
      <c r="FP552" s="1979">
        <v>1.8222241596475452</v>
      </c>
      <c r="FQ552" s="1979">
        <v>1.8473602719723032</v>
      </c>
      <c r="FR552" s="1998">
        <v>19.955533876410282</v>
      </c>
      <c r="FS552" s="1998">
        <v>20.012435544799711</v>
      </c>
      <c r="FT552" s="1998">
        <v>20.069337213189144</v>
      </c>
      <c r="FU552" s="1998">
        <v>20.126238881578576</v>
      </c>
      <c r="FV552" s="1998">
        <v>20.183140549968012</v>
      </c>
      <c r="FW552" s="1979">
        <v>20.299305092845337</v>
      </c>
      <c r="FX552" s="1979">
        <v>20.356093976762047</v>
      </c>
      <c r="FY552" s="1979">
        <v>20.412882860678753</v>
      </c>
      <c r="FZ552" s="1979">
        <v>20.469671744595455</v>
      </c>
      <c r="GA552" s="1979">
        <v>20.526460628512165</v>
      </c>
      <c r="GB552" s="1998">
        <v>1.6152556945476062</v>
      </c>
      <c r="GC552" s="1998">
        <v>1.6221821149458131</v>
      </c>
      <c r="GD552" s="1998">
        <v>1.6291085353440198</v>
      </c>
      <c r="GE552" s="1998">
        <v>1.6360349557422269</v>
      </c>
      <c r="GF552" s="1998">
        <v>1.6498877965386407</v>
      </c>
      <c r="GG552" s="1979">
        <v>1.7179970745130155</v>
      </c>
      <c r="GH552" s="1979">
        <v>1.7248979890342699</v>
      </c>
      <c r="GI552" s="1979">
        <v>1.7317989035555246</v>
      </c>
      <c r="GJ552" s="1979">
        <v>1.738699818076779</v>
      </c>
      <c r="GK552" s="2021">
        <v>1.7525016471192878</v>
      </c>
    </row>
    <row r="553" spans="1:193">
      <c r="A553" s="2016"/>
      <c r="B553" s="2">
        <v>13</v>
      </c>
      <c r="C553" s="2" t="str">
        <f>CONCATENATE($U$8," ",EI$7)</f>
        <v xml:space="preserve">Proportion de fenêtres </v>
      </c>
      <c r="D553" s="1998">
        <f>IF(Construction!$F$31=Construction!$R$22,Oeko!BQ553,Oeko!ED553)</f>
        <v>0</v>
      </c>
      <c r="E553" s="1998">
        <f>IF(Construction!$F$31=Construction!$R$22,Oeko!BR553,Oeko!EE553)</f>
        <v>0</v>
      </c>
      <c r="F553" s="1998">
        <f>IF(Construction!$F$31=Construction!$R$22,Oeko!BS553,Oeko!EF553)</f>
        <v>0</v>
      </c>
      <c r="G553" s="1998">
        <f>IF(Construction!$F$31=Construction!$R$22,Oeko!BT553,Oeko!EG553)</f>
        <v>0</v>
      </c>
      <c r="H553" s="1998">
        <f>IF(Construction!$F$31=Construction!$R$22,Oeko!BU553,Oeko!EH553)</f>
        <v>0</v>
      </c>
      <c r="I553" s="1979">
        <f>IF(Construction!$F$31=Construction!$R$22,Oeko!BV553,Oeko!EI553)</f>
        <v>0</v>
      </c>
      <c r="J553" s="1979">
        <f>IF(Construction!$F$31=Construction!$R$22,Oeko!BW553,Oeko!EJ553)</f>
        <v>0</v>
      </c>
      <c r="K553" s="1979">
        <f>IF(Construction!$F$31=Construction!$R$22,Oeko!BX553,Oeko!EK553)</f>
        <v>0</v>
      </c>
      <c r="L553" s="1979">
        <f>IF(Construction!$F$31=Construction!$R$22,Oeko!BY553,Oeko!EL553)</f>
        <v>0</v>
      </c>
      <c r="M553" s="1979">
        <f>IF(Construction!$F$31=Construction!$R$22,Oeko!BZ553,Oeko!EM553)</f>
        <v>0</v>
      </c>
      <c r="N553" s="1998">
        <f>IF(Construction!$F$31=Construction!$R$22,Oeko!CA553,Oeko!EN553)</f>
        <v>0</v>
      </c>
      <c r="O553" s="1998">
        <f>IF(Construction!$F$31=Construction!$R$22,Oeko!CB553,Oeko!EO553)</f>
        <v>0</v>
      </c>
      <c r="P553" s="1998">
        <f>IF(Construction!$F$31=Construction!$R$22,Oeko!CC553,Oeko!EP553)</f>
        <v>0</v>
      </c>
      <c r="Q553" s="1998">
        <f>IF(Construction!$F$31=Construction!$R$22,Oeko!CD553,Oeko!EQ553)</f>
        <v>0</v>
      </c>
      <c r="R553" s="1998">
        <f>IF(Construction!$F$31=Construction!$R$22,Oeko!CE553,Oeko!ER553)</f>
        <v>0</v>
      </c>
      <c r="S553" s="1979">
        <f>IF(Construction!$F$31=Construction!$R$22,Oeko!CF553,Oeko!ES553)</f>
        <v>0</v>
      </c>
      <c r="T553" s="1979">
        <f>IF(Construction!$F$31=Construction!$R$22,Oeko!CG553,Oeko!ET553)</f>
        <v>0</v>
      </c>
      <c r="U553" s="1979">
        <f>IF(Construction!$F$31=Construction!$R$22,Oeko!CH553,Oeko!EU553)</f>
        <v>0</v>
      </c>
      <c r="V553" s="1979">
        <f>IF(Construction!$F$31=Construction!$R$22,Oeko!CI553,Oeko!EV553)</f>
        <v>0</v>
      </c>
      <c r="W553" s="1979">
        <f>IF(Construction!$F$31=Construction!$R$22,Oeko!CJ553,Oeko!EW553)</f>
        <v>0</v>
      </c>
      <c r="X553" s="1998">
        <f>IF(Construction!$F$31=Construction!$R$22,Oeko!CK553,Oeko!EX553)</f>
        <v>0</v>
      </c>
      <c r="Y553" s="1998">
        <f>IF(Construction!$F$31=Construction!$R$22,Oeko!CL553,Oeko!EY553)</f>
        <v>0</v>
      </c>
      <c r="Z553" s="1998">
        <f>IF(Construction!$F$31=Construction!$R$22,Oeko!CM553,Oeko!EZ553)</f>
        <v>0</v>
      </c>
      <c r="AA553" s="1998">
        <f>IF(Construction!$F$31=Construction!$R$22,Oeko!CN553,Oeko!FA553)</f>
        <v>0</v>
      </c>
      <c r="AB553" s="1998">
        <f>IF(Construction!$F$31=Construction!$R$22,Oeko!CO553,Oeko!FB553)</f>
        <v>0</v>
      </c>
      <c r="AC553" s="1979">
        <f>IF(Construction!$F$31=Construction!$R$22,Oeko!CP553,Oeko!FC553)</f>
        <v>0</v>
      </c>
      <c r="AD553" s="1979">
        <f>IF(Construction!$F$31=Construction!$R$22,Oeko!CQ553,Oeko!FD553)</f>
        <v>0</v>
      </c>
      <c r="AE553" s="1979">
        <f>IF(Construction!$F$31=Construction!$R$22,Oeko!CR553,Oeko!FE553)</f>
        <v>0</v>
      </c>
      <c r="AF553" s="1979">
        <f>IF(Construction!$F$31=Construction!$R$22,Oeko!CS553,Oeko!FF553)</f>
        <v>0</v>
      </c>
      <c r="AG553" s="1979">
        <f>IF(Construction!$F$31=Construction!$R$22,Oeko!CT553,Oeko!FG553)</f>
        <v>0</v>
      </c>
      <c r="AH553" s="1998">
        <f>IF(Construction!$F$31=Construction!$R$22,Oeko!CU553,Oeko!FH553)</f>
        <v>0</v>
      </c>
      <c r="AI553" s="1998">
        <f>IF(Construction!$F$31=Construction!$R$22,Oeko!CV553,Oeko!FI553)</f>
        <v>0</v>
      </c>
      <c r="AJ553" s="1998">
        <f>IF(Construction!$F$31=Construction!$R$22,Oeko!CW553,Oeko!FJ553)</f>
        <v>0</v>
      </c>
      <c r="AK553" s="1998">
        <f>IF(Construction!$F$31=Construction!$R$22,Oeko!CX553,Oeko!FK553)</f>
        <v>0</v>
      </c>
      <c r="AL553" s="1998">
        <f>IF(Construction!$F$31=Construction!$R$22,Oeko!CY553,Oeko!FL553)</f>
        <v>0</v>
      </c>
      <c r="AM553" s="1979">
        <f>IF(Construction!$F$31=Construction!$R$22,Oeko!CZ553,Oeko!FM553)</f>
        <v>0</v>
      </c>
      <c r="AN553" s="1979">
        <f>IF(Construction!$F$31=Construction!$R$22,Oeko!DA553,Oeko!FN553)</f>
        <v>0</v>
      </c>
      <c r="AO553" s="1979">
        <f>IF(Construction!$F$31=Construction!$R$22,Oeko!DB553,Oeko!FO553)</f>
        <v>0</v>
      </c>
      <c r="AP553" s="1979">
        <f>IF(Construction!$F$31=Construction!$R$22,Oeko!DC553,Oeko!FP553)</f>
        <v>0</v>
      </c>
      <c r="AQ553" s="1979">
        <f>IF(Construction!$F$31=Construction!$R$22,Oeko!DD553,Oeko!FQ553)</f>
        <v>0</v>
      </c>
      <c r="AR553" s="1998">
        <f>IF(Construction!$F$31=Construction!$R$22,Oeko!DE553,Oeko!FR553)</f>
        <v>0</v>
      </c>
      <c r="AS553" s="1998">
        <f>IF(Construction!$F$31=Construction!$R$22,Oeko!DF553,Oeko!FS553)</f>
        <v>0</v>
      </c>
      <c r="AT553" s="1998">
        <f>IF(Construction!$F$31=Construction!$R$22,Oeko!DG553,Oeko!FT553)</f>
        <v>0</v>
      </c>
      <c r="AU553" s="1998">
        <f>IF(Construction!$F$31=Construction!$R$22,Oeko!DH553,Oeko!FU553)</f>
        <v>0</v>
      </c>
      <c r="AV553" s="1998">
        <f>IF(Construction!$F$31=Construction!$R$22,Oeko!DI553,Oeko!FV553)</f>
        <v>0</v>
      </c>
      <c r="AW553" s="1979">
        <f>IF(Construction!$F$31=Construction!$R$22,Oeko!DJ553,Oeko!FW553)</f>
        <v>0</v>
      </c>
      <c r="AX553" s="1979">
        <f>IF(Construction!$F$31=Construction!$R$22,Oeko!DK553,Oeko!FX553)</f>
        <v>0</v>
      </c>
      <c r="AY553" s="1979">
        <f>IF(Construction!$F$31=Construction!$R$22,Oeko!DL553,Oeko!FY553)</f>
        <v>0</v>
      </c>
      <c r="AZ553" s="1979">
        <f>IF(Construction!$F$31=Construction!$R$22,Oeko!DM553,Oeko!FZ553)</f>
        <v>0</v>
      </c>
      <c r="BA553" s="1979">
        <f>IF(Construction!$F$31=Construction!$R$22,Oeko!DN553,Oeko!GA553)</f>
        <v>0</v>
      </c>
      <c r="BB553" s="1998">
        <f>IF(Construction!$F$31=Construction!$R$22,Oeko!DO553,Oeko!GB553)</f>
        <v>0</v>
      </c>
      <c r="BC553" s="1998">
        <f>IF(Construction!$F$31=Construction!$R$22,Oeko!DP553,Oeko!GC553)</f>
        <v>0</v>
      </c>
      <c r="BD553" s="1998">
        <f>IF(Construction!$F$31=Construction!$R$22,Oeko!DQ553,Oeko!GD553)</f>
        <v>0</v>
      </c>
      <c r="BE553" s="1998">
        <f>IF(Construction!$F$31=Construction!$R$22,Oeko!DR553,Oeko!GE553)</f>
        <v>0</v>
      </c>
      <c r="BF553" s="1998">
        <f>IF(Construction!$F$31=Construction!$R$22,Oeko!DS553,Oeko!GF553)</f>
        <v>0</v>
      </c>
      <c r="BG553" s="1979">
        <f>IF(Construction!$F$31=Construction!$R$22,Oeko!DT553,Oeko!GG553)</f>
        <v>0</v>
      </c>
      <c r="BH553" s="1979">
        <f>IF(Construction!$F$31=Construction!$R$22,Oeko!DU553,Oeko!GH553)</f>
        <v>0</v>
      </c>
      <c r="BI553" s="1979">
        <f>IF(Construction!$F$31=Construction!$R$22,Oeko!DV553,Oeko!GI553)</f>
        <v>0</v>
      </c>
      <c r="BJ553" s="1979">
        <f>IF(Construction!$F$31=Construction!$R$22,Oeko!DW553,Oeko!GJ553)</f>
        <v>0</v>
      </c>
      <c r="BK553" s="2021">
        <f>IF(Construction!$F$31=Construction!$R$22,Oeko!DX553,Oeko!GK553)</f>
        <v>0</v>
      </c>
      <c r="BN553" s="2018"/>
      <c r="BO553" s="2">
        <v>13</v>
      </c>
      <c r="BP553" s="2" t="str">
        <f>CONCATENATE($U$8," ",GV$7)</f>
        <v xml:space="preserve">Proportion de fenêtres </v>
      </c>
      <c r="BQ553" s="1998">
        <v>0</v>
      </c>
      <c r="BR553" s="1998">
        <v>0</v>
      </c>
      <c r="BS553" s="1998">
        <v>0</v>
      </c>
      <c r="BT553" s="1998">
        <v>0</v>
      </c>
      <c r="BU553" s="1998">
        <v>0</v>
      </c>
      <c r="BV553" s="1979">
        <v>0</v>
      </c>
      <c r="BW553" s="1979">
        <v>0</v>
      </c>
      <c r="BX553" s="1979">
        <v>0</v>
      </c>
      <c r="BY553" s="1979">
        <v>0</v>
      </c>
      <c r="BZ553" s="1979">
        <v>0</v>
      </c>
      <c r="CA553" s="1998">
        <v>0</v>
      </c>
      <c r="CB553" s="1998">
        <v>0</v>
      </c>
      <c r="CC553" s="1998">
        <v>0</v>
      </c>
      <c r="CD553" s="1998">
        <v>0</v>
      </c>
      <c r="CE553" s="1998">
        <v>0</v>
      </c>
      <c r="CF553" s="1979">
        <v>0</v>
      </c>
      <c r="CG553" s="1979">
        <v>0</v>
      </c>
      <c r="CH553" s="1979">
        <v>0</v>
      </c>
      <c r="CI553" s="1979">
        <v>0</v>
      </c>
      <c r="CJ553" s="1979">
        <v>0</v>
      </c>
      <c r="CK553" s="1998">
        <v>0</v>
      </c>
      <c r="CL553" s="1998">
        <v>0</v>
      </c>
      <c r="CM553" s="1998">
        <v>0</v>
      </c>
      <c r="CN553" s="1998">
        <v>0</v>
      </c>
      <c r="CO553" s="1998">
        <v>0</v>
      </c>
      <c r="CP553" s="1979">
        <v>0</v>
      </c>
      <c r="CQ553" s="1979">
        <v>0</v>
      </c>
      <c r="CR553" s="1979">
        <v>0</v>
      </c>
      <c r="CS553" s="1979">
        <v>0</v>
      </c>
      <c r="CT553" s="1979">
        <v>0</v>
      </c>
      <c r="CU553" s="1998">
        <v>0</v>
      </c>
      <c r="CV553" s="1998">
        <v>0</v>
      </c>
      <c r="CW553" s="1998">
        <v>0</v>
      </c>
      <c r="CX553" s="1998">
        <v>0</v>
      </c>
      <c r="CY553" s="1998">
        <v>0</v>
      </c>
      <c r="CZ553" s="1979">
        <v>0</v>
      </c>
      <c r="DA553" s="1979">
        <v>0</v>
      </c>
      <c r="DB553" s="1979">
        <v>0</v>
      </c>
      <c r="DC553" s="1979">
        <v>0</v>
      </c>
      <c r="DD553" s="1979">
        <v>0</v>
      </c>
      <c r="DE553" s="1998">
        <v>0</v>
      </c>
      <c r="DF553" s="1998">
        <v>0</v>
      </c>
      <c r="DG553" s="1998">
        <v>0</v>
      </c>
      <c r="DH553" s="1998">
        <v>0</v>
      </c>
      <c r="DI553" s="1998">
        <v>0</v>
      </c>
      <c r="DJ553" s="1979">
        <v>0</v>
      </c>
      <c r="DK553" s="1979">
        <v>0</v>
      </c>
      <c r="DL553" s="1979">
        <v>0</v>
      </c>
      <c r="DM553" s="1979">
        <v>0</v>
      </c>
      <c r="DN553" s="1979">
        <v>0</v>
      </c>
      <c r="DO553" s="1998">
        <v>0</v>
      </c>
      <c r="DP553" s="1998">
        <v>0</v>
      </c>
      <c r="DQ553" s="1998">
        <v>0</v>
      </c>
      <c r="DR553" s="1998">
        <v>0</v>
      </c>
      <c r="DS553" s="1998">
        <v>0</v>
      </c>
      <c r="DT553" s="1979">
        <v>0</v>
      </c>
      <c r="DU553" s="1979">
        <v>0</v>
      </c>
      <c r="DV553" s="1979">
        <v>0</v>
      </c>
      <c r="DW553" s="1979">
        <v>0</v>
      </c>
      <c r="DX553" s="2021">
        <v>0</v>
      </c>
      <c r="EA553" s="2018"/>
      <c r="EB553" s="2">
        <v>13</v>
      </c>
      <c r="EC553" s="2" t="str">
        <f>CONCATENATE($U$8," ",JI$7)</f>
        <v xml:space="preserve">Proportion de fenêtres </v>
      </c>
      <c r="ED553" s="1998">
        <v>0</v>
      </c>
      <c r="EE553" s="1998">
        <v>0</v>
      </c>
      <c r="EF553" s="1998">
        <v>0</v>
      </c>
      <c r="EG553" s="1998">
        <v>0</v>
      </c>
      <c r="EH553" s="1998">
        <v>0</v>
      </c>
      <c r="EI553" s="1979">
        <v>0</v>
      </c>
      <c r="EJ553" s="1979">
        <v>0</v>
      </c>
      <c r="EK553" s="1979">
        <v>0</v>
      </c>
      <c r="EL553" s="1979">
        <v>0</v>
      </c>
      <c r="EM553" s="1979">
        <v>0</v>
      </c>
      <c r="EN553" s="1998">
        <v>0</v>
      </c>
      <c r="EO553" s="1998">
        <v>0</v>
      </c>
      <c r="EP553" s="1998">
        <v>0</v>
      </c>
      <c r="EQ553" s="1998">
        <v>0</v>
      </c>
      <c r="ER553" s="1998">
        <v>0</v>
      </c>
      <c r="ES553" s="1979">
        <v>0</v>
      </c>
      <c r="ET553" s="1979">
        <v>0</v>
      </c>
      <c r="EU553" s="1979">
        <v>0</v>
      </c>
      <c r="EV553" s="1979">
        <v>0</v>
      </c>
      <c r="EW553" s="1979">
        <v>0</v>
      </c>
      <c r="EX553" s="1998">
        <v>0</v>
      </c>
      <c r="EY553" s="1998">
        <v>0</v>
      </c>
      <c r="EZ553" s="1998">
        <v>0</v>
      </c>
      <c r="FA553" s="1998">
        <v>0</v>
      </c>
      <c r="FB553" s="1998">
        <v>0</v>
      </c>
      <c r="FC553" s="1979">
        <v>0</v>
      </c>
      <c r="FD553" s="1979">
        <v>0</v>
      </c>
      <c r="FE553" s="1979">
        <v>0</v>
      </c>
      <c r="FF553" s="1979">
        <v>0</v>
      </c>
      <c r="FG553" s="1979">
        <v>0</v>
      </c>
      <c r="FH553" s="1998">
        <v>0</v>
      </c>
      <c r="FI553" s="1998">
        <v>0</v>
      </c>
      <c r="FJ553" s="1998">
        <v>0</v>
      </c>
      <c r="FK553" s="1998">
        <v>0</v>
      </c>
      <c r="FL553" s="1998">
        <v>0</v>
      </c>
      <c r="FM553" s="1979">
        <v>0</v>
      </c>
      <c r="FN553" s="1979">
        <v>0</v>
      </c>
      <c r="FO553" s="1979">
        <v>0</v>
      </c>
      <c r="FP553" s="1979">
        <v>0</v>
      </c>
      <c r="FQ553" s="1979">
        <v>0</v>
      </c>
      <c r="FR553" s="1998">
        <v>0</v>
      </c>
      <c r="FS553" s="1998">
        <v>0</v>
      </c>
      <c r="FT553" s="1998">
        <v>0</v>
      </c>
      <c r="FU553" s="1998">
        <v>0</v>
      </c>
      <c r="FV553" s="1998">
        <v>0</v>
      </c>
      <c r="FW553" s="1979">
        <v>0</v>
      </c>
      <c r="FX553" s="1979">
        <v>0</v>
      </c>
      <c r="FY553" s="1979">
        <v>0</v>
      </c>
      <c r="FZ553" s="1979">
        <v>0</v>
      </c>
      <c r="GA553" s="1979">
        <v>0</v>
      </c>
      <c r="GB553" s="1998">
        <v>0</v>
      </c>
      <c r="GC553" s="1998">
        <v>0</v>
      </c>
      <c r="GD553" s="1998">
        <v>0</v>
      </c>
      <c r="GE553" s="1998">
        <v>0</v>
      </c>
      <c r="GF553" s="1998">
        <v>0</v>
      </c>
      <c r="GG553" s="1979">
        <v>0</v>
      </c>
      <c r="GH553" s="1979">
        <v>0</v>
      </c>
      <c r="GI553" s="1979">
        <v>0</v>
      </c>
      <c r="GJ553" s="1979">
        <v>0</v>
      </c>
      <c r="GK553" s="2021">
        <v>0</v>
      </c>
    </row>
    <row r="554" spans="1:193">
      <c r="A554" s="2016"/>
      <c r="B554" s="2">
        <v>14</v>
      </c>
      <c r="C554" s="2" t="str">
        <f>CONCATENATE($U$8," ",EI$8)</f>
        <v xml:space="preserve">Proportion de fenêtres </v>
      </c>
      <c r="D554" s="1998">
        <f>IF(Construction!$F$31=Construction!$R$22,Oeko!BQ554,Oeko!ED554)</f>
        <v>0</v>
      </c>
      <c r="E554" s="1998">
        <f>IF(Construction!$F$31=Construction!$R$22,Oeko!BR554,Oeko!EE554)</f>
        <v>0</v>
      </c>
      <c r="F554" s="1998">
        <f>IF(Construction!$F$31=Construction!$R$22,Oeko!BS554,Oeko!EF554)</f>
        <v>0</v>
      </c>
      <c r="G554" s="1998">
        <f>IF(Construction!$F$31=Construction!$R$22,Oeko!BT554,Oeko!EG554)</f>
        <v>0</v>
      </c>
      <c r="H554" s="1998">
        <f>IF(Construction!$F$31=Construction!$R$22,Oeko!BU554,Oeko!EH554)</f>
        <v>0</v>
      </c>
      <c r="I554" s="1979">
        <f>IF(Construction!$F$31=Construction!$R$22,Oeko!BV554,Oeko!EI554)</f>
        <v>0</v>
      </c>
      <c r="J554" s="1979">
        <f>IF(Construction!$F$31=Construction!$R$22,Oeko!BW554,Oeko!EJ554)</f>
        <v>0</v>
      </c>
      <c r="K554" s="1979">
        <f>IF(Construction!$F$31=Construction!$R$22,Oeko!BX554,Oeko!EK554)</f>
        <v>0</v>
      </c>
      <c r="L554" s="1979">
        <f>IF(Construction!$F$31=Construction!$R$22,Oeko!BY554,Oeko!EL554)</f>
        <v>0</v>
      </c>
      <c r="M554" s="1979">
        <f>IF(Construction!$F$31=Construction!$R$22,Oeko!BZ554,Oeko!EM554)</f>
        <v>0</v>
      </c>
      <c r="N554" s="1998">
        <f>IF(Construction!$F$31=Construction!$R$22,Oeko!CA554,Oeko!EN554)</f>
        <v>0</v>
      </c>
      <c r="O554" s="1998">
        <f>IF(Construction!$F$31=Construction!$R$22,Oeko!CB554,Oeko!EO554)</f>
        <v>0</v>
      </c>
      <c r="P554" s="1998">
        <f>IF(Construction!$F$31=Construction!$R$22,Oeko!CC554,Oeko!EP554)</f>
        <v>0</v>
      </c>
      <c r="Q554" s="1998">
        <f>IF(Construction!$F$31=Construction!$R$22,Oeko!CD554,Oeko!EQ554)</f>
        <v>0</v>
      </c>
      <c r="R554" s="1998">
        <f>IF(Construction!$F$31=Construction!$R$22,Oeko!CE554,Oeko!ER554)</f>
        <v>0</v>
      </c>
      <c r="S554" s="1979">
        <f>IF(Construction!$F$31=Construction!$R$22,Oeko!CF554,Oeko!ES554)</f>
        <v>0</v>
      </c>
      <c r="T554" s="1979">
        <f>IF(Construction!$F$31=Construction!$R$22,Oeko!CG554,Oeko!ET554)</f>
        <v>0</v>
      </c>
      <c r="U554" s="1979">
        <f>IF(Construction!$F$31=Construction!$R$22,Oeko!CH554,Oeko!EU554)</f>
        <v>0</v>
      </c>
      <c r="V554" s="1979">
        <f>IF(Construction!$F$31=Construction!$R$22,Oeko!CI554,Oeko!EV554)</f>
        <v>0</v>
      </c>
      <c r="W554" s="1979">
        <f>IF(Construction!$F$31=Construction!$R$22,Oeko!CJ554,Oeko!EW554)</f>
        <v>0</v>
      </c>
      <c r="X554" s="1998">
        <f>IF(Construction!$F$31=Construction!$R$22,Oeko!CK554,Oeko!EX554)</f>
        <v>0</v>
      </c>
      <c r="Y554" s="1998">
        <f>IF(Construction!$F$31=Construction!$R$22,Oeko!CL554,Oeko!EY554)</f>
        <v>0</v>
      </c>
      <c r="Z554" s="1998">
        <f>IF(Construction!$F$31=Construction!$R$22,Oeko!CM554,Oeko!EZ554)</f>
        <v>0</v>
      </c>
      <c r="AA554" s="1998">
        <f>IF(Construction!$F$31=Construction!$R$22,Oeko!CN554,Oeko!FA554)</f>
        <v>0</v>
      </c>
      <c r="AB554" s="1998">
        <f>IF(Construction!$F$31=Construction!$R$22,Oeko!CO554,Oeko!FB554)</f>
        <v>0</v>
      </c>
      <c r="AC554" s="1979">
        <f>IF(Construction!$F$31=Construction!$R$22,Oeko!CP554,Oeko!FC554)</f>
        <v>0</v>
      </c>
      <c r="AD554" s="1979">
        <f>IF(Construction!$F$31=Construction!$R$22,Oeko!CQ554,Oeko!FD554)</f>
        <v>0</v>
      </c>
      <c r="AE554" s="1979">
        <f>IF(Construction!$F$31=Construction!$R$22,Oeko!CR554,Oeko!FE554)</f>
        <v>0</v>
      </c>
      <c r="AF554" s="1979">
        <f>IF(Construction!$F$31=Construction!$R$22,Oeko!CS554,Oeko!FF554)</f>
        <v>0</v>
      </c>
      <c r="AG554" s="1979">
        <f>IF(Construction!$F$31=Construction!$R$22,Oeko!CT554,Oeko!FG554)</f>
        <v>0</v>
      </c>
      <c r="AH554" s="1998">
        <f>IF(Construction!$F$31=Construction!$R$22,Oeko!CU554,Oeko!FH554)</f>
        <v>0</v>
      </c>
      <c r="AI554" s="1998">
        <f>IF(Construction!$F$31=Construction!$R$22,Oeko!CV554,Oeko!FI554)</f>
        <v>0</v>
      </c>
      <c r="AJ554" s="1998">
        <f>IF(Construction!$F$31=Construction!$R$22,Oeko!CW554,Oeko!FJ554)</f>
        <v>0</v>
      </c>
      <c r="AK554" s="1998">
        <f>IF(Construction!$F$31=Construction!$R$22,Oeko!CX554,Oeko!FK554)</f>
        <v>0</v>
      </c>
      <c r="AL554" s="1998">
        <f>IF(Construction!$F$31=Construction!$R$22,Oeko!CY554,Oeko!FL554)</f>
        <v>0</v>
      </c>
      <c r="AM554" s="1979">
        <f>IF(Construction!$F$31=Construction!$R$22,Oeko!CZ554,Oeko!FM554)</f>
        <v>0</v>
      </c>
      <c r="AN554" s="1979">
        <f>IF(Construction!$F$31=Construction!$R$22,Oeko!DA554,Oeko!FN554)</f>
        <v>0</v>
      </c>
      <c r="AO554" s="1979">
        <f>IF(Construction!$F$31=Construction!$R$22,Oeko!DB554,Oeko!FO554)</f>
        <v>0</v>
      </c>
      <c r="AP554" s="1979">
        <f>IF(Construction!$F$31=Construction!$R$22,Oeko!DC554,Oeko!FP554)</f>
        <v>0</v>
      </c>
      <c r="AQ554" s="1979">
        <f>IF(Construction!$F$31=Construction!$R$22,Oeko!DD554,Oeko!FQ554)</f>
        <v>0</v>
      </c>
      <c r="AR554" s="1998">
        <f>IF(Construction!$F$31=Construction!$R$22,Oeko!DE554,Oeko!FR554)</f>
        <v>0</v>
      </c>
      <c r="AS554" s="1998">
        <f>IF(Construction!$F$31=Construction!$R$22,Oeko!DF554,Oeko!FS554)</f>
        <v>0</v>
      </c>
      <c r="AT554" s="1998">
        <f>IF(Construction!$F$31=Construction!$R$22,Oeko!DG554,Oeko!FT554)</f>
        <v>0</v>
      </c>
      <c r="AU554" s="1998">
        <f>IF(Construction!$F$31=Construction!$R$22,Oeko!DH554,Oeko!FU554)</f>
        <v>0</v>
      </c>
      <c r="AV554" s="1998">
        <f>IF(Construction!$F$31=Construction!$R$22,Oeko!DI554,Oeko!FV554)</f>
        <v>0</v>
      </c>
      <c r="AW554" s="1979">
        <f>IF(Construction!$F$31=Construction!$R$22,Oeko!DJ554,Oeko!FW554)</f>
        <v>0</v>
      </c>
      <c r="AX554" s="1979">
        <f>IF(Construction!$F$31=Construction!$R$22,Oeko!DK554,Oeko!FX554)</f>
        <v>0</v>
      </c>
      <c r="AY554" s="1979">
        <f>IF(Construction!$F$31=Construction!$R$22,Oeko!DL554,Oeko!FY554)</f>
        <v>0</v>
      </c>
      <c r="AZ554" s="1979">
        <f>IF(Construction!$F$31=Construction!$R$22,Oeko!DM554,Oeko!FZ554)</f>
        <v>0</v>
      </c>
      <c r="BA554" s="1979">
        <f>IF(Construction!$F$31=Construction!$R$22,Oeko!DN554,Oeko!GA554)</f>
        <v>0</v>
      </c>
      <c r="BB554" s="1998">
        <f>IF(Construction!$F$31=Construction!$R$22,Oeko!DO554,Oeko!GB554)</f>
        <v>0</v>
      </c>
      <c r="BC554" s="1998">
        <f>IF(Construction!$F$31=Construction!$R$22,Oeko!DP554,Oeko!GC554)</f>
        <v>0</v>
      </c>
      <c r="BD554" s="1998">
        <f>IF(Construction!$F$31=Construction!$R$22,Oeko!DQ554,Oeko!GD554)</f>
        <v>0</v>
      </c>
      <c r="BE554" s="1998">
        <f>IF(Construction!$F$31=Construction!$R$22,Oeko!DR554,Oeko!GE554)</f>
        <v>0</v>
      </c>
      <c r="BF554" s="1998">
        <f>IF(Construction!$F$31=Construction!$R$22,Oeko!DS554,Oeko!GF554)</f>
        <v>0</v>
      </c>
      <c r="BG554" s="1979">
        <f>IF(Construction!$F$31=Construction!$R$22,Oeko!DT554,Oeko!GG554)</f>
        <v>0</v>
      </c>
      <c r="BH554" s="1979">
        <f>IF(Construction!$F$31=Construction!$R$22,Oeko!DU554,Oeko!GH554)</f>
        <v>0</v>
      </c>
      <c r="BI554" s="1979">
        <f>IF(Construction!$F$31=Construction!$R$22,Oeko!DV554,Oeko!GI554)</f>
        <v>0</v>
      </c>
      <c r="BJ554" s="1979">
        <f>IF(Construction!$F$31=Construction!$R$22,Oeko!DW554,Oeko!GJ554)</f>
        <v>0</v>
      </c>
      <c r="BK554" s="2021">
        <f>IF(Construction!$F$31=Construction!$R$22,Oeko!DX554,Oeko!GK554)</f>
        <v>0</v>
      </c>
      <c r="BN554" s="2018"/>
      <c r="BO554" s="2">
        <v>14</v>
      </c>
      <c r="BP554" s="2" t="str">
        <f>CONCATENATE($U$8," ",GV$8)</f>
        <v xml:space="preserve">Proportion de fenêtres </v>
      </c>
      <c r="BQ554" s="1998">
        <v>0</v>
      </c>
      <c r="BR554" s="1998">
        <v>0</v>
      </c>
      <c r="BS554" s="1998">
        <v>0</v>
      </c>
      <c r="BT554" s="1998">
        <v>0</v>
      </c>
      <c r="BU554" s="1998">
        <v>0</v>
      </c>
      <c r="BV554" s="1979">
        <v>0</v>
      </c>
      <c r="BW554" s="1979">
        <v>0</v>
      </c>
      <c r="BX554" s="1979">
        <v>0</v>
      </c>
      <c r="BY554" s="1979">
        <v>0</v>
      </c>
      <c r="BZ554" s="1979">
        <v>0</v>
      </c>
      <c r="CA554" s="1998">
        <v>0</v>
      </c>
      <c r="CB554" s="1998">
        <v>0</v>
      </c>
      <c r="CC554" s="1998">
        <v>0</v>
      </c>
      <c r="CD554" s="1998">
        <v>0</v>
      </c>
      <c r="CE554" s="1998">
        <v>0</v>
      </c>
      <c r="CF554" s="1979">
        <v>0</v>
      </c>
      <c r="CG554" s="1979">
        <v>0</v>
      </c>
      <c r="CH554" s="1979">
        <v>0</v>
      </c>
      <c r="CI554" s="1979">
        <v>0</v>
      </c>
      <c r="CJ554" s="1979">
        <v>0</v>
      </c>
      <c r="CK554" s="1998">
        <v>0</v>
      </c>
      <c r="CL554" s="1998">
        <v>0</v>
      </c>
      <c r="CM554" s="1998">
        <v>0</v>
      </c>
      <c r="CN554" s="1998">
        <v>0</v>
      </c>
      <c r="CO554" s="1998">
        <v>0</v>
      </c>
      <c r="CP554" s="1979">
        <v>0</v>
      </c>
      <c r="CQ554" s="1979">
        <v>0</v>
      </c>
      <c r="CR554" s="1979">
        <v>0</v>
      </c>
      <c r="CS554" s="1979">
        <v>0</v>
      </c>
      <c r="CT554" s="1979">
        <v>0</v>
      </c>
      <c r="CU554" s="1998">
        <v>0</v>
      </c>
      <c r="CV554" s="1998">
        <v>0</v>
      </c>
      <c r="CW554" s="1998">
        <v>0</v>
      </c>
      <c r="CX554" s="1998">
        <v>0</v>
      </c>
      <c r="CY554" s="1998">
        <v>0</v>
      </c>
      <c r="CZ554" s="1979">
        <v>0</v>
      </c>
      <c r="DA554" s="1979">
        <v>0</v>
      </c>
      <c r="DB554" s="1979">
        <v>0</v>
      </c>
      <c r="DC554" s="1979">
        <v>0</v>
      </c>
      <c r="DD554" s="1979">
        <v>0</v>
      </c>
      <c r="DE554" s="1998">
        <v>0</v>
      </c>
      <c r="DF554" s="1998">
        <v>0</v>
      </c>
      <c r="DG554" s="1998">
        <v>0</v>
      </c>
      <c r="DH554" s="1998">
        <v>0</v>
      </c>
      <c r="DI554" s="1998">
        <v>0</v>
      </c>
      <c r="DJ554" s="1979">
        <v>0</v>
      </c>
      <c r="DK554" s="1979">
        <v>0</v>
      </c>
      <c r="DL554" s="1979">
        <v>0</v>
      </c>
      <c r="DM554" s="1979">
        <v>0</v>
      </c>
      <c r="DN554" s="1979">
        <v>0</v>
      </c>
      <c r="DO554" s="1998">
        <v>0</v>
      </c>
      <c r="DP554" s="1998">
        <v>0</v>
      </c>
      <c r="DQ554" s="1998">
        <v>0</v>
      </c>
      <c r="DR554" s="1998">
        <v>0</v>
      </c>
      <c r="DS554" s="1998">
        <v>0</v>
      </c>
      <c r="DT554" s="1979">
        <v>0</v>
      </c>
      <c r="DU554" s="1979">
        <v>0</v>
      </c>
      <c r="DV554" s="1979">
        <v>0</v>
      </c>
      <c r="DW554" s="1979">
        <v>0</v>
      </c>
      <c r="DX554" s="2021">
        <v>0</v>
      </c>
      <c r="EA554" s="2018"/>
      <c r="EB554" s="2">
        <v>14</v>
      </c>
      <c r="EC554" s="2" t="str">
        <f>CONCATENATE($U$8," ",JI$8)</f>
        <v xml:space="preserve">Proportion de fenêtres </v>
      </c>
      <c r="ED554" s="1998">
        <v>0</v>
      </c>
      <c r="EE554" s="1998">
        <v>0</v>
      </c>
      <c r="EF554" s="1998">
        <v>0</v>
      </c>
      <c r="EG554" s="1998">
        <v>0</v>
      </c>
      <c r="EH554" s="1998">
        <v>0</v>
      </c>
      <c r="EI554" s="1979">
        <v>0</v>
      </c>
      <c r="EJ554" s="1979">
        <v>0</v>
      </c>
      <c r="EK554" s="1979">
        <v>0</v>
      </c>
      <c r="EL554" s="1979">
        <v>0</v>
      </c>
      <c r="EM554" s="1979">
        <v>0</v>
      </c>
      <c r="EN554" s="1998">
        <v>0</v>
      </c>
      <c r="EO554" s="1998">
        <v>0</v>
      </c>
      <c r="EP554" s="1998">
        <v>0</v>
      </c>
      <c r="EQ554" s="1998">
        <v>0</v>
      </c>
      <c r="ER554" s="1998">
        <v>0</v>
      </c>
      <c r="ES554" s="1979">
        <v>0</v>
      </c>
      <c r="ET554" s="1979">
        <v>0</v>
      </c>
      <c r="EU554" s="1979">
        <v>0</v>
      </c>
      <c r="EV554" s="1979">
        <v>0</v>
      </c>
      <c r="EW554" s="1979">
        <v>0</v>
      </c>
      <c r="EX554" s="1998">
        <v>0</v>
      </c>
      <c r="EY554" s="1998">
        <v>0</v>
      </c>
      <c r="EZ554" s="1998">
        <v>0</v>
      </c>
      <c r="FA554" s="1998">
        <v>0</v>
      </c>
      <c r="FB554" s="1998">
        <v>0</v>
      </c>
      <c r="FC554" s="1979">
        <v>0</v>
      </c>
      <c r="FD554" s="1979">
        <v>0</v>
      </c>
      <c r="FE554" s="1979">
        <v>0</v>
      </c>
      <c r="FF554" s="1979">
        <v>0</v>
      </c>
      <c r="FG554" s="1979">
        <v>0</v>
      </c>
      <c r="FH554" s="1998">
        <v>0</v>
      </c>
      <c r="FI554" s="1998">
        <v>0</v>
      </c>
      <c r="FJ554" s="1998">
        <v>0</v>
      </c>
      <c r="FK554" s="1998">
        <v>0</v>
      </c>
      <c r="FL554" s="1998">
        <v>0</v>
      </c>
      <c r="FM554" s="1979">
        <v>0</v>
      </c>
      <c r="FN554" s="1979">
        <v>0</v>
      </c>
      <c r="FO554" s="1979">
        <v>0</v>
      </c>
      <c r="FP554" s="1979">
        <v>0</v>
      </c>
      <c r="FQ554" s="1979">
        <v>0</v>
      </c>
      <c r="FR554" s="1998">
        <v>0</v>
      </c>
      <c r="FS554" s="1998">
        <v>0</v>
      </c>
      <c r="FT554" s="1998">
        <v>0</v>
      </c>
      <c r="FU554" s="1998">
        <v>0</v>
      </c>
      <c r="FV554" s="1998">
        <v>0</v>
      </c>
      <c r="FW554" s="1979">
        <v>0</v>
      </c>
      <c r="FX554" s="1979">
        <v>0</v>
      </c>
      <c r="FY554" s="1979">
        <v>0</v>
      </c>
      <c r="FZ554" s="1979">
        <v>0</v>
      </c>
      <c r="GA554" s="1979">
        <v>0</v>
      </c>
      <c r="GB554" s="1998">
        <v>0</v>
      </c>
      <c r="GC554" s="1998">
        <v>0</v>
      </c>
      <c r="GD554" s="1998">
        <v>0</v>
      </c>
      <c r="GE554" s="1998">
        <v>0</v>
      </c>
      <c r="GF554" s="1998">
        <v>0</v>
      </c>
      <c r="GG554" s="1979">
        <v>0</v>
      </c>
      <c r="GH554" s="1979">
        <v>0</v>
      </c>
      <c r="GI554" s="1979">
        <v>0</v>
      </c>
      <c r="GJ554" s="1979">
        <v>0</v>
      </c>
      <c r="GK554" s="2021">
        <v>0</v>
      </c>
    </row>
    <row r="555" spans="1:193">
      <c r="A555" s="2016"/>
      <c r="B555" s="2">
        <v>15</v>
      </c>
      <c r="C555" s="2" t="str">
        <f>CONCATENATE($U$8," ",EI$9)</f>
        <v xml:space="preserve">Proportion de fenêtres </v>
      </c>
      <c r="D555" s="1998">
        <f>IF(Construction!$F$31=Construction!$R$22,Oeko!BQ555,Oeko!ED555)</f>
        <v>0</v>
      </c>
      <c r="E555" s="1998">
        <f>IF(Construction!$F$31=Construction!$R$22,Oeko!BR555,Oeko!EE555)</f>
        <v>0</v>
      </c>
      <c r="F555" s="1998">
        <f>IF(Construction!$F$31=Construction!$R$22,Oeko!BS555,Oeko!EF555)</f>
        <v>0</v>
      </c>
      <c r="G555" s="1998">
        <f>IF(Construction!$F$31=Construction!$R$22,Oeko!BT555,Oeko!EG555)</f>
        <v>0</v>
      </c>
      <c r="H555" s="1998">
        <f>IF(Construction!$F$31=Construction!$R$22,Oeko!BU555,Oeko!EH555)</f>
        <v>0</v>
      </c>
      <c r="I555" s="1979">
        <f>IF(Construction!$F$31=Construction!$R$22,Oeko!BV555,Oeko!EI555)</f>
        <v>0</v>
      </c>
      <c r="J555" s="1979">
        <f>IF(Construction!$F$31=Construction!$R$22,Oeko!BW555,Oeko!EJ555)</f>
        <v>0</v>
      </c>
      <c r="K555" s="1979">
        <f>IF(Construction!$F$31=Construction!$R$22,Oeko!BX555,Oeko!EK555)</f>
        <v>0</v>
      </c>
      <c r="L555" s="1979">
        <f>IF(Construction!$F$31=Construction!$R$22,Oeko!BY555,Oeko!EL555)</f>
        <v>0</v>
      </c>
      <c r="M555" s="1979">
        <f>IF(Construction!$F$31=Construction!$R$22,Oeko!BZ555,Oeko!EM555)</f>
        <v>0</v>
      </c>
      <c r="N555" s="1998">
        <f>IF(Construction!$F$31=Construction!$R$22,Oeko!CA555,Oeko!EN555)</f>
        <v>0</v>
      </c>
      <c r="O555" s="1998">
        <f>IF(Construction!$F$31=Construction!$R$22,Oeko!CB555,Oeko!EO555)</f>
        <v>0</v>
      </c>
      <c r="P555" s="1998">
        <f>IF(Construction!$F$31=Construction!$R$22,Oeko!CC555,Oeko!EP555)</f>
        <v>0</v>
      </c>
      <c r="Q555" s="1998">
        <f>IF(Construction!$F$31=Construction!$R$22,Oeko!CD555,Oeko!EQ555)</f>
        <v>0</v>
      </c>
      <c r="R555" s="1998">
        <f>IF(Construction!$F$31=Construction!$R$22,Oeko!CE555,Oeko!ER555)</f>
        <v>0</v>
      </c>
      <c r="S555" s="1979">
        <f>IF(Construction!$F$31=Construction!$R$22,Oeko!CF555,Oeko!ES555)</f>
        <v>0</v>
      </c>
      <c r="T555" s="1979">
        <f>IF(Construction!$F$31=Construction!$R$22,Oeko!CG555,Oeko!ET555)</f>
        <v>0</v>
      </c>
      <c r="U555" s="1979">
        <f>IF(Construction!$F$31=Construction!$R$22,Oeko!CH555,Oeko!EU555)</f>
        <v>0</v>
      </c>
      <c r="V555" s="1979">
        <f>IF(Construction!$F$31=Construction!$R$22,Oeko!CI555,Oeko!EV555)</f>
        <v>0</v>
      </c>
      <c r="W555" s="1979">
        <f>IF(Construction!$F$31=Construction!$R$22,Oeko!CJ555,Oeko!EW555)</f>
        <v>0</v>
      </c>
      <c r="X555" s="1998">
        <f>IF(Construction!$F$31=Construction!$R$22,Oeko!CK555,Oeko!EX555)</f>
        <v>0</v>
      </c>
      <c r="Y555" s="1998">
        <f>IF(Construction!$F$31=Construction!$R$22,Oeko!CL555,Oeko!EY555)</f>
        <v>0</v>
      </c>
      <c r="Z555" s="1998">
        <f>IF(Construction!$F$31=Construction!$R$22,Oeko!CM555,Oeko!EZ555)</f>
        <v>0</v>
      </c>
      <c r="AA555" s="1998">
        <f>IF(Construction!$F$31=Construction!$R$22,Oeko!CN555,Oeko!FA555)</f>
        <v>0</v>
      </c>
      <c r="AB555" s="1998">
        <f>IF(Construction!$F$31=Construction!$R$22,Oeko!CO555,Oeko!FB555)</f>
        <v>0</v>
      </c>
      <c r="AC555" s="1979">
        <f>IF(Construction!$F$31=Construction!$R$22,Oeko!CP555,Oeko!FC555)</f>
        <v>0</v>
      </c>
      <c r="AD555" s="1979">
        <f>IF(Construction!$F$31=Construction!$R$22,Oeko!CQ555,Oeko!FD555)</f>
        <v>0</v>
      </c>
      <c r="AE555" s="1979">
        <f>IF(Construction!$F$31=Construction!$R$22,Oeko!CR555,Oeko!FE555)</f>
        <v>0</v>
      </c>
      <c r="AF555" s="1979">
        <f>IF(Construction!$F$31=Construction!$R$22,Oeko!CS555,Oeko!FF555)</f>
        <v>0</v>
      </c>
      <c r="AG555" s="1979">
        <f>IF(Construction!$F$31=Construction!$R$22,Oeko!CT555,Oeko!FG555)</f>
        <v>0</v>
      </c>
      <c r="AH555" s="1998">
        <f>IF(Construction!$F$31=Construction!$R$22,Oeko!CU555,Oeko!FH555)</f>
        <v>0</v>
      </c>
      <c r="AI555" s="1998">
        <f>IF(Construction!$F$31=Construction!$R$22,Oeko!CV555,Oeko!FI555)</f>
        <v>0</v>
      </c>
      <c r="AJ555" s="1998">
        <f>IF(Construction!$F$31=Construction!$R$22,Oeko!CW555,Oeko!FJ555)</f>
        <v>0</v>
      </c>
      <c r="AK555" s="1998">
        <f>IF(Construction!$F$31=Construction!$R$22,Oeko!CX555,Oeko!FK555)</f>
        <v>0</v>
      </c>
      <c r="AL555" s="1998">
        <f>IF(Construction!$F$31=Construction!$R$22,Oeko!CY555,Oeko!FL555)</f>
        <v>0</v>
      </c>
      <c r="AM555" s="1979">
        <f>IF(Construction!$F$31=Construction!$R$22,Oeko!CZ555,Oeko!FM555)</f>
        <v>0</v>
      </c>
      <c r="AN555" s="1979">
        <f>IF(Construction!$F$31=Construction!$R$22,Oeko!DA555,Oeko!FN555)</f>
        <v>0</v>
      </c>
      <c r="AO555" s="1979">
        <f>IF(Construction!$F$31=Construction!$R$22,Oeko!DB555,Oeko!FO555)</f>
        <v>0</v>
      </c>
      <c r="AP555" s="1979">
        <f>IF(Construction!$F$31=Construction!$R$22,Oeko!DC555,Oeko!FP555)</f>
        <v>0</v>
      </c>
      <c r="AQ555" s="1979">
        <f>IF(Construction!$F$31=Construction!$R$22,Oeko!DD555,Oeko!FQ555)</f>
        <v>0</v>
      </c>
      <c r="AR555" s="1998">
        <f>IF(Construction!$F$31=Construction!$R$22,Oeko!DE555,Oeko!FR555)</f>
        <v>0</v>
      </c>
      <c r="AS555" s="1998">
        <f>IF(Construction!$F$31=Construction!$R$22,Oeko!DF555,Oeko!FS555)</f>
        <v>0</v>
      </c>
      <c r="AT555" s="1998">
        <f>IF(Construction!$F$31=Construction!$R$22,Oeko!DG555,Oeko!FT555)</f>
        <v>0</v>
      </c>
      <c r="AU555" s="1998">
        <f>IF(Construction!$F$31=Construction!$R$22,Oeko!DH555,Oeko!FU555)</f>
        <v>0</v>
      </c>
      <c r="AV555" s="1998">
        <f>IF(Construction!$F$31=Construction!$R$22,Oeko!DI555,Oeko!FV555)</f>
        <v>0</v>
      </c>
      <c r="AW555" s="1979">
        <f>IF(Construction!$F$31=Construction!$R$22,Oeko!DJ555,Oeko!FW555)</f>
        <v>0</v>
      </c>
      <c r="AX555" s="1979">
        <f>IF(Construction!$F$31=Construction!$R$22,Oeko!DK555,Oeko!FX555)</f>
        <v>0</v>
      </c>
      <c r="AY555" s="1979">
        <f>IF(Construction!$F$31=Construction!$R$22,Oeko!DL555,Oeko!FY555)</f>
        <v>0</v>
      </c>
      <c r="AZ555" s="1979">
        <f>IF(Construction!$F$31=Construction!$R$22,Oeko!DM555,Oeko!FZ555)</f>
        <v>0</v>
      </c>
      <c r="BA555" s="1979">
        <f>IF(Construction!$F$31=Construction!$R$22,Oeko!DN555,Oeko!GA555)</f>
        <v>0</v>
      </c>
      <c r="BB555" s="1998">
        <f>IF(Construction!$F$31=Construction!$R$22,Oeko!DO555,Oeko!GB555)</f>
        <v>0</v>
      </c>
      <c r="BC555" s="1998">
        <f>IF(Construction!$F$31=Construction!$R$22,Oeko!DP555,Oeko!GC555)</f>
        <v>0</v>
      </c>
      <c r="BD555" s="1998">
        <f>IF(Construction!$F$31=Construction!$R$22,Oeko!DQ555,Oeko!GD555)</f>
        <v>0</v>
      </c>
      <c r="BE555" s="1998">
        <f>IF(Construction!$F$31=Construction!$R$22,Oeko!DR555,Oeko!GE555)</f>
        <v>0</v>
      </c>
      <c r="BF555" s="1998">
        <f>IF(Construction!$F$31=Construction!$R$22,Oeko!DS555,Oeko!GF555)</f>
        <v>0</v>
      </c>
      <c r="BG555" s="1979">
        <f>IF(Construction!$F$31=Construction!$R$22,Oeko!DT555,Oeko!GG555)</f>
        <v>0</v>
      </c>
      <c r="BH555" s="1979">
        <f>IF(Construction!$F$31=Construction!$R$22,Oeko!DU555,Oeko!GH555)</f>
        <v>0</v>
      </c>
      <c r="BI555" s="1979">
        <f>IF(Construction!$F$31=Construction!$R$22,Oeko!DV555,Oeko!GI555)</f>
        <v>0</v>
      </c>
      <c r="BJ555" s="1979">
        <f>IF(Construction!$F$31=Construction!$R$22,Oeko!DW555,Oeko!GJ555)</f>
        <v>0</v>
      </c>
      <c r="BK555" s="2021">
        <f>IF(Construction!$F$31=Construction!$R$22,Oeko!DX555,Oeko!GK555)</f>
        <v>0</v>
      </c>
      <c r="BN555" s="2018"/>
      <c r="BO555" s="2">
        <v>15</v>
      </c>
      <c r="BP555" s="2" t="str">
        <f>CONCATENATE($U$8," ",GV$9)</f>
        <v xml:space="preserve">Proportion de fenêtres </v>
      </c>
      <c r="BQ555" s="1998">
        <v>0</v>
      </c>
      <c r="BR555" s="1998">
        <v>0</v>
      </c>
      <c r="BS555" s="1998">
        <v>0</v>
      </c>
      <c r="BT555" s="1998">
        <v>0</v>
      </c>
      <c r="BU555" s="1998">
        <v>0</v>
      </c>
      <c r="BV555" s="1979">
        <v>0</v>
      </c>
      <c r="BW555" s="1979">
        <v>0</v>
      </c>
      <c r="BX555" s="1979">
        <v>0</v>
      </c>
      <c r="BY555" s="1979">
        <v>0</v>
      </c>
      <c r="BZ555" s="1979">
        <v>0</v>
      </c>
      <c r="CA555" s="1998">
        <v>0</v>
      </c>
      <c r="CB555" s="1998">
        <v>0</v>
      </c>
      <c r="CC555" s="1998">
        <v>0</v>
      </c>
      <c r="CD555" s="1998">
        <v>0</v>
      </c>
      <c r="CE555" s="1998">
        <v>0</v>
      </c>
      <c r="CF555" s="1979">
        <v>0</v>
      </c>
      <c r="CG555" s="1979">
        <v>0</v>
      </c>
      <c r="CH555" s="1979">
        <v>0</v>
      </c>
      <c r="CI555" s="1979">
        <v>0</v>
      </c>
      <c r="CJ555" s="1979">
        <v>0</v>
      </c>
      <c r="CK555" s="1998">
        <v>0</v>
      </c>
      <c r="CL555" s="1998">
        <v>0</v>
      </c>
      <c r="CM555" s="1998">
        <v>0</v>
      </c>
      <c r="CN555" s="1998">
        <v>0</v>
      </c>
      <c r="CO555" s="1998">
        <v>0</v>
      </c>
      <c r="CP555" s="1979">
        <v>0</v>
      </c>
      <c r="CQ555" s="1979">
        <v>0</v>
      </c>
      <c r="CR555" s="1979">
        <v>0</v>
      </c>
      <c r="CS555" s="1979">
        <v>0</v>
      </c>
      <c r="CT555" s="1979">
        <v>0</v>
      </c>
      <c r="CU555" s="1998">
        <v>0</v>
      </c>
      <c r="CV555" s="1998">
        <v>0</v>
      </c>
      <c r="CW555" s="1998">
        <v>0</v>
      </c>
      <c r="CX555" s="1998">
        <v>0</v>
      </c>
      <c r="CY555" s="1998">
        <v>0</v>
      </c>
      <c r="CZ555" s="1979">
        <v>0</v>
      </c>
      <c r="DA555" s="1979">
        <v>0</v>
      </c>
      <c r="DB555" s="1979">
        <v>0</v>
      </c>
      <c r="DC555" s="1979">
        <v>0</v>
      </c>
      <c r="DD555" s="1979">
        <v>0</v>
      </c>
      <c r="DE555" s="1998">
        <v>0</v>
      </c>
      <c r="DF555" s="1998">
        <v>0</v>
      </c>
      <c r="DG555" s="1998">
        <v>0</v>
      </c>
      <c r="DH555" s="1998">
        <v>0</v>
      </c>
      <c r="DI555" s="1998">
        <v>0</v>
      </c>
      <c r="DJ555" s="1979">
        <v>0</v>
      </c>
      <c r="DK555" s="1979">
        <v>0</v>
      </c>
      <c r="DL555" s="1979">
        <v>0</v>
      </c>
      <c r="DM555" s="1979">
        <v>0</v>
      </c>
      <c r="DN555" s="1979">
        <v>0</v>
      </c>
      <c r="DO555" s="1998">
        <v>0</v>
      </c>
      <c r="DP555" s="1998">
        <v>0</v>
      </c>
      <c r="DQ555" s="1998">
        <v>0</v>
      </c>
      <c r="DR555" s="1998">
        <v>0</v>
      </c>
      <c r="DS555" s="1998">
        <v>0</v>
      </c>
      <c r="DT555" s="1979">
        <v>0</v>
      </c>
      <c r="DU555" s="1979">
        <v>0</v>
      </c>
      <c r="DV555" s="1979">
        <v>0</v>
      </c>
      <c r="DW555" s="1979">
        <v>0</v>
      </c>
      <c r="DX555" s="2021">
        <v>0</v>
      </c>
      <c r="EA555" s="2018"/>
      <c r="EB555" s="2">
        <v>15</v>
      </c>
      <c r="EC555" s="2" t="str">
        <f>CONCATENATE($U$8," ",JI$9)</f>
        <v xml:space="preserve">Proportion de fenêtres </v>
      </c>
      <c r="ED555" s="1998">
        <v>0</v>
      </c>
      <c r="EE555" s="1998">
        <v>0</v>
      </c>
      <c r="EF555" s="1998">
        <v>0</v>
      </c>
      <c r="EG555" s="1998">
        <v>0</v>
      </c>
      <c r="EH555" s="1998">
        <v>0</v>
      </c>
      <c r="EI555" s="1979">
        <v>0</v>
      </c>
      <c r="EJ555" s="1979">
        <v>0</v>
      </c>
      <c r="EK555" s="1979">
        <v>0</v>
      </c>
      <c r="EL555" s="1979">
        <v>0</v>
      </c>
      <c r="EM555" s="1979">
        <v>0</v>
      </c>
      <c r="EN555" s="1998">
        <v>0</v>
      </c>
      <c r="EO555" s="1998">
        <v>0</v>
      </c>
      <c r="EP555" s="1998">
        <v>0</v>
      </c>
      <c r="EQ555" s="1998">
        <v>0</v>
      </c>
      <c r="ER555" s="1998">
        <v>0</v>
      </c>
      <c r="ES555" s="1979">
        <v>0</v>
      </c>
      <c r="ET555" s="1979">
        <v>0</v>
      </c>
      <c r="EU555" s="1979">
        <v>0</v>
      </c>
      <c r="EV555" s="1979">
        <v>0</v>
      </c>
      <c r="EW555" s="1979">
        <v>0</v>
      </c>
      <c r="EX555" s="1998">
        <v>0</v>
      </c>
      <c r="EY555" s="1998">
        <v>0</v>
      </c>
      <c r="EZ555" s="1998">
        <v>0</v>
      </c>
      <c r="FA555" s="1998">
        <v>0</v>
      </c>
      <c r="FB555" s="1998">
        <v>0</v>
      </c>
      <c r="FC555" s="1979">
        <v>0</v>
      </c>
      <c r="FD555" s="1979">
        <v>0</v>
      </c>
      <c r="FE555" s="1979">
        <v>0</v>
      </c>
      <c r="FF555" s="1979">
        <v>0</v>
      </c>
      <c r="FG555" s="1979">
        <v>0</v>
      </c>
      <c r="FH555" s="1998">
        <v>0</v>
      </c>
      <c r="FI555" s="1998">
        <v>0</v>
      </c>
      <c r="FJ555" s="1998">
        <v>0</v>
      </c>
      <c r="FK555" s="1998">
        <v>0</v>
      </c>
      <c r="FL555" s="1998">
        <v>0</v>
      </c>
      <c r="FM555" s="1979">
        <v>0</v>
      </c>
      <c r="FN555" s="1979">
        <v>0</v>
      </c>
      <c r="FO555" s="1979">
        <v>0</v>
      </c>
      <c r="FP555" s="1979">
        <v>0</v>
      </c>
      <c r="FQ555" s="1979">
        <v>0</v>
      </c>
      <c r="FR555" s="1998">
        <v>0</v>
      </c>
      <c r="FS555" s="1998">
        <v>0</v>
      </c>
      <c r="FT555" s="1998">
        <v>0</v>
      </c>
      <c r="FU555" s="1998">
        <v>0</v>
      </c>
      <c r="FV555" s="1998">
        <v>0</v>
      </c>
      <c r="FW555" s="1979">
        <v>0</v>
      </c>
      <c r="FX555" s="1979">
        <v>0</v>
      </c>
      <c r="FY555" s="1979">
        <v>0</v>
      </c>
      <c r="FZ555" s="1979">
        <v>0</v>
      </c>
      <c r="GA555" s="1979">
        <v>0</v>
      </c>
      <c r="GB555" s="1998">
        <v>0</v>
      </c>
      <c r="GC555" s="1998">
        <v>0</v>
      </c>
      <c r="GD555" s="1998">
        <v>0</v>
      </c>
      <c r="GE555" s="1998">
        <v>0</v>
      </c>
      <c r="GF555" s="1998">
        <v>0</v>
      </c>
      <c r="GG555" s="1979">
        <v>0</v>
      </c>
      <c r="GH555" s="1979">
        <v>0</v>
      </c>
      <c r="GI555" s="1979">
        <v>0</v>
      </c>
      <c r="GJ555" s="1979">
        <v>0</v>
      </c>
      <c r="GK555" s="2021">
        <v>0</v>
      </c>
    </row>
    <row r="556" spans="1:193">
      <c r="A556" s="2016"/>
      <c r="B556" s="2">
        <v>16</v>
      </c>
      <c r="C556" s="2" t="str">
        <f>CONCATENATE($U$8," ",EI$10)</f>
        <v xml:space="preserve">Proportion de fenêtres </v>
      </c>
      <c r="D556" s="1998">
        <f>IF(Construction!$F$31=Construction!$R$22,Oeko!BQ556,Oeko!ED556)</f>
        <v>0</v>
      </c>
      <c r="E556" s="1998">
        <f>IF(Construction!$F$31=Construction!$R$22,Oeko!BR556,Oeko!EE556)</f>
        <v>0</v>
      </c>
      <c r="F556" s="1998">
        <f>IF(Construction!$F$31=Construction!$R$22,Oeko!BS556,Oeko!EF556)</f>
        <v>0</v>
      </c>
      <c r="G556" s="1998">
        <f>IF(Construction!$F$31=Construction!$R$22,Oeko!BT556,Oeko!EG556)</f>
        <v>0</v>
      </c>
      <c r="H556" s="1998">
        <f>IF(Construction!$F$31=Construction!$R$22,Oeko!BU556,Oeko!EH556)</f>
        <v>0</v>
      </c>
      <c r="I556" s="1979">
        <f>IF(Construction!$F$31=Construction!$R$22,Oeko!BV556,Oeko!EI556)</f>
        <v>0</v>
      </c>
      <c r="J556" s="1979">
        <f>IF(Construction!$F$31=Construction!$R$22,Oeko!BW556,Oeko!EJ556)</f>
        <v>0</v>
      </c>
      <c r="K556" s="1979">
        <f>IF(Construction!$F$31=Construction!$R$22,Oeko!BX556,Oeko!EK556)</f>
        <v>0</v>
      </c>
      <c r="L556" s="1979">
        <f>IF(Construction!$F$31=Construction!$R$22,Oeko!BY556,Oeko!EL556)</f>
        <v>0</v>
      </c>
      <c r="M556" s="1979">
        <f>IF(Construction!$F$31=Construction!$R$22,Oeko!BZ556,Oeko!EM556)</f>
        <v>0</v>
      </c>
      <c r="N556" s="1998">
        <f>IF(Construction!$F$31=Construction!$R$22,Oeko!CA556,Oeko!EN556)</f>
        <v>0</v>
      </c>
      <c r="O556" s="1998">
        <f>IF(Construction!$F$31=Construction!$R$22,Oeko!CB556,Oeko!EO556)</f>
        <v>0</v>
      </c>
      <c r="P556" s="1998">
        <f>IF(Construction!$F$31=Construction!$R$22,Oeko!CC556,Oeko!EP556)</f>
        <v>0</v>
      </c>
      <c r="Q556" s="1998">
        <f>IF(Construction!$F$31=Construction!$R$22,Oeko!CD556,Oeko!EQ556)</f>
        <v>0</v>
      </c>
      <c r="R556" s="1998">
        <f>IF(Construction!$F$31=Construction!$R$22,Oeko!CE556,Oeko!ER556)</f>
        <v>0</v>
      </c>
      <c r="S556" s="1979">
        <f>IF(Construction!$F$31=Construction!$R$22,Oeko!CF556,Oeko!ES556)</f>
        <v>1</v>
      </c>
      <c r="T556" s="1979">
        <f>IF(Construction!$F$31=Construction!$R$22,Oeko!CG556,Oeko!ET556)</f>
        <v>1</v>
      </c>
      <c r="U556" s="1979">
        <f>IF(Construction!$F$31=Construction!$R$22,Oeko!CH556,Oeko!EU556)</f>
        <v>1</v>
      </c>
      <c r="V556" s="1979">
        <f>IF(Construction!$F$31=Construction!$R$22,Oeko!CI556,Oeko!EV556)</f>
        <v>1</v>
      </c>
      <c r="W556" s="1979">
        <f>IF(Construction!$F$31=Construction!$R$22,Oeko!CJ556,Oeko!EW556)</f>
        <v>1</v>
      </c>
      <c r="X556" s="1998">
        <f>IF(Construction!$F$31=Construction!$R$22,Oeko!CK556,Oeko!EX556)</f>
        <v>0</v>
      </c>
      <c r="Y556" s="1998">
        <f>IF(Construction!$F$31=Construction!$R$22,Oeko!CL556,Oeko!EY556)</f>
        <v>0</v>
      </c>
      <c r="Z556" s="1998">
        <f>IF(Construction!$F$31=Construction!$R$22,Oeko!CM556,Oeko!EZ556)</f>
        <v>0</v>
      </c>
      <c r="AA556" s="1998">
        <f>IF(Construction!$F$31=Construction!$R$22,Oeko!CN556,Oeko!FA556)</f>
        <v>0</v>
      </c>
      <c r="AB556" s="1998">
        <f>IF(Construction!$F$31=Construction!$R$22,Oeko!CO556,Oeko!FB556)</f>
        <v>0</v>
      </c>
      <c r="AC556" s="1979">
        <f>IF(Construction!$F$31=Construction!$R$22,Oeko!CP556,Oeko!FC556)</f>
        <v>0</v>
      </c>
      <c r="AD556" s="1979">
        <f>IF(Construction!$F$31=Construction!$R$22,Oeko!CQ556,Oeko!FD556)</f>
        <v>0</v>
      </c>
      <c r="AE556" s="1979">
        <f>IF(Construction!$F$31=Construction!$R$22,Oeko!CR556,Oeko!FE556)</f>
        <v>0</v>
      </c>
      <c r="AF556" s="1979">
        <f>IF(Construction!$F$31=Construction!$R$22,Oeko!CS556,Oeko!FF556)</f>
        <v>0</v>
      </c>
      <c r="AG556" s="1979">
        <f>IF(Construction!$F$31=Construction!$R$22,Oeko!CT556,Oeko!FG556)</f>
        <v>0</v>
      </c>
      <c r="AH556" s="1998">
        <f>IF(Construction!$F$31=Construction!$R$22,Oeko!CU556,Oeko!FH556)</f>
        <v>0</v>
      </c>
      <c r="AI556" s="1998">
        <f>IF(Construction!$F$31=Construction!$R$22,Oeko!CV556,Oeko!FI556)</f>
        <v>0</v>
      </c>
      <c r="AJ556" s="1998">
        <f>IF(Construction!$F$31=Construction!$R$22,Oeko!CW556,Oeko!FJ556)</f>
        <v>0</v>
      </c>
      <c r="AK556" s="1998">
        <f>IF(Construction!$F$31=Construction!$R$22,Oeko!CX556,Oeko!FK556)</f>
        <v>0</v>
      </c>
      <c r="AL556" s="1998">
        <f>IF(Construction!$F$31=Construction!$R$22,Oeko!CY556,Oeko!FL556)</f>
        <v>0</v>
      </c>
      <c r="AM556" s="1979">
        <f>IF(Construction!$F$31=Construction!$R$22,Oeko!CZ556,Oeko!FM556)</f>
        <v>0</v>
      </c>
      <c r="AN556" s="1979">
        <f>IF(Construction!$F$31=Construction!$R$22,Oeko!DA556,Oeko!FN556)</f>
        <v>0</v>
      </c>
      <c r="AO556" s="1979">
        <f>IF(Construction!$F$31=Construction!$R$22,Oeko!DB556,Oeko!FO556)</f>
        <v>0</v>
      </c>
      <c r="AP556" s="1979">
        <f>IF(Construction!$F$31=Construction!$R$22,Oeko!DC556,Oeko!FP556)</f>
        <v>0</v>
      </c>
      <c r="AQ556" s="1979">
        <f>IF(Construction!$F$31=Construction!$R$22,Oeko!DD556,Oeko!FQ556)</f>
        <v>0</v>
      </c>
      <c r="AR556" s="1998">
        <f>IF(Construction!$F$31=Construction!$R$22,Oeko!DE556,Oeko!FR556)</f>
        <v>0</v>
      </c>
      <c r="AS556" s="1998">
        <f>IF(Construction!$F$31=Construction!$R$22,Oeko!DF556,Oeko!FS556)</f>
        <v>0</v>
      </c>
      <c r="AT556" s="1998">
        <f>IF(Construction!$F$31=Construction!$R$22,Oeko!DG556,Oeko!FT556)</f>
        <v>0</v>
      </c>
      <c r="AU556" s="1998">
        <f>IF(Construction!$F$31=Construction!$R$22,Oeko!DH556,Oeko!FU556)</f>
        <v>0</v>
      </c>
      <c r="AV556" s="1998">
        <f>IF(Construction!$F$31=Construction!$R$22,Oeko!DI556,Oeko!FV556)</f>
        <v>0</v>
      </c>
      <c r="AW556" s="1979">
        <f>IF(Construction!$F$31=Construction!$R$22,Oeko!DJ556,Oeko!FW556)</f>
        <v>0</v>
      </c>
      <c r="AX556" s="1979">
        <f>IF(Construction!$F$31=Construction!$R$22,Oeko!DK556,Oeko!FX556)</f>
        <v>0</v>
      </c>
      <c r="AY556" s="1979">
        <f>IF(Construction!$F$31=Construction!$R$22,Oeko!DL556,Oeko!FY556)</f>
        <v>0</v>
      </c>
      <c r="AZ556" s="1979">
        <f>IF(Construction!$F$31=Construction!$R$22,Oeko!DM556,Oeko!FZ556)</f>
        <v>0</v>
      </c>
      <c r="BA556" s="1979">
        <f>IF(Construction!$F$31=Construction!$R$22,Oeko!DN556,Oeko!GA556)</f>
        <v>0</v>
      </c>
      <c r="BB556" s="1998">
        <f>IF(Construction!$F$31=Construction!$R$22,Oeko!DO556,Oeko!GB556)</f>
        <v>0</v>
      </c>
      <c r="BC556" s="1998">
        <f>IF(Construction!$F$31=Construction!$R$22,Oeko!DP556,Oeko!GC556)</f>
        <v>0</v>
      </c>
      <c r="BD556" s="1998">
        <f>IF(Construction!$F$31=Construction!$R$22,Oeko!DQ556,Oeko!GD556)</f>
        <v>0</v>
      </c>
      <c r="BE556" s="1998">
        <f>IF(Construction!$F$31=Construction!$R$22,Oeko!DR556,Oeko!GE556)</f>
        <v>0</v>
      </c>
      <c r="BF556" s="1998">
        <f>IF(Construction!$F$31=Construction!$R$22,Oeko!DS556,Oeko!GF556)</f>
        <v>0</v>
      </c>
      <c r="BG556" s="1979">
        <f>IF(Construction!$F$31=Construction!$R$22,Oeko!DT556,Oeko!GG556)</f>
        <v>0</v>
      </c>
      <c r="BH556" s="1979">
        <f>IF(Construction!$F$31=Construction!$R$22,Oeko!DU556,Oeko!GH556)</f>
        <v>0</v>
      </c>
      <c r="BI556" s="1979">
        <f>IF(Construction!$F$31=Construction!$R$22,Oeko!DV556,Oeko!GI556)</f>
        <v>0</v>
      </c>
      <c r="BJ556" s="1979">
        <f>IF(Construction!$F$31=Construction!$R$22,Oeko!DW556,Oeko!GJ556)</f>
        <v>0</v>
      </c>
      <c r="BK556" s="2021">
        <f>IF(Construction!$F$31=Construction!$R$22,Oeko!DX556,Oeko!GK556)</f>
        <v>0</v>
      </c>
      <c r="BN556" s="2018"/>
      <c r="BO556" s="2">
        <v>16</v>
      </c>
      <c r="BP556" s="2" t="str">
        <f>CONCATENATE($U$8," ",GV$10)</f>
        <v xml:space="preserve">Proportion de fenêtres </v>
      </c>
      <c r="BQ556" s="1998">
        <v>0</v>
      </c>
      <c r="BR556" s="1998">
        <v>0</v>
      </c>
      <c r="BS556" s="1998">
        <v>0</v>
      </c>
      <c r="BT556" s="1998">
        <v>0</v>
      </c>
      <c r="BU556" s="1998">
        <v>0</v>
      </c>
      <c r="BV556" s="1979">
        <v>0</v>
      </c>
      <c r="BW556" s="1979">
        <v>0</v>
      </c>
      <c r="BX556" s="1979">
        <v>0</v>
      </c>
      <c r="BY556" s="1979">
        <v>0</v>
      </c>
      <c r="BZ556" s="1979">
        <v>0</v>
      </c>
      <c r="CA556" s="1998">
        <v>0</v>
      </c>
      <c r="CB556" s="1998">
        <v>0</v>
      </c>
      <c r="CC556" s="1998">
        <v>0</v>
      </c>
      <c r="CD556" s="1998">
        <v>0</v>
      </c>
      <c r="CE556" s="1998">
        <v>0</v>
      </c>
      <c r="CF556" s="1979">
        <v>1</v>
      </c>
      <c r="CG556" s="1979">
        <v>1</v>
      </c>
      <c r="CH556" s="1979">
        <v>1</v>
      </c>
      <c r="CI556" s="1979">
        <v>1</v>
      </c>
      <c r="CJ556" s="1979">
        <v>1</v>
      </c>
      <c r="CK556" s="1998">
        <v>0</v>
      </c>
      <c r="CL556" s="1998">
        <v>0</v>
      </c>
      <c r="CM556" s="1998">
        <v>0</v>
      </c>
      <c r="CN556" s="1998">
        <v>0</v>
      </c>
      <c r="CO556" s="1998">
        <v>0</v>
      </c>
      <c r="CP556" s="1979">
        <v>0</v>
      </c>
      <c r="CQ556" s="1979">
        <v>0</v>
      </c>
      <c r="CR556" s="1979">
        <v>0</v>
      </c>
      <c r="CS556" s="1979">
        <v>0</v>
      </c>
      <c r="CT556" s="1979">
        <v>0</v>
      </c>
      <c r="CU556" s="1998">
        <v>0</v>
      </c>
      <c r="CV556" s="1998">
        <v>0</v>
      </c>
      <c r="CW556" s="1998">
        <v>0</v>
      </c>
      <c r="CX556" s="1998">
        <v>0</v>
      </c>
      <c r="CY556" s="1998">
        <v>0</v>
      </c>
      <c r="CZ556" s="1979">
        <v>0</v>
      </c>
      <c r="DA556" s="1979">
        <v>0</v>
      </c>
      <c r="DB556" s="1979">
        <v>0</v>
      </c>
      <c r="DC556" s="1979">
        <v>0</v>
      </c>
      <c r="DD556" s="1979">
        <v>0</v>
      </c>
      <c r="DE556" s="1998">
        <v>0</v>
      </c>
      <c r="DF556" s="1998">
        <v>0</v>
      </c>
      <c r="DG556" s="1998">
        <v>0</v>
      </c>
      <c r="DH556" s="1998">
        <v>0</v>
      </c>
      <c r="DI556" s="1998">
        <v>0</v>
      </c>
      <c r="DJ556" s="1979">
        <v>0</v>
      </c>
      <c r="DK556" s="1979">
        <v>0</v>
      </c>
      <c r="DL556" s="1979">
        <v>0</v>
      </c>
      <c r="DM556" s="1979">
        <v>0</v>
      </c>
      <c r="DN556" s="1979">
        <v>0</v>
      </c>
      <c r="DO556" s="1998">
        <v>0</v>
      </c>
      <c r="DP556" s="1998">
        <v>0</v>
      </c>
      <c r="DQ556" s="1998">
        <v>0</v>
      </c>
      <c r="DR556" s="1998">
        <v>0</v>
      </c>
      <c r="DS556" s="1998">
        <v>0</v>
      </c>
      <c r="DT556" s="1979">
        <v>0</v>
      </c>
      <c r="DU556" s="1979">
        <v>0</v>
      </c>
      <c r="DV556" s="1979">
        <v>0</v>
      </c>
      <c r="DW556" s="1979">
        <v>0</v>
      </c>
      <c r="DX556" s="2021">
        <v>0</v>
      </c>
      <c r="EA556" s="2018"/>
      <c r="EB556" s="2">
        <v>16</v>
      </c>
      <c r="EC556" s="2" t="str">
        <f>CONCATENATE($U$8," ",JI$10)</f>
        <v xml:space="preserve">Proportion de fenêtres </v>
      </c>
      <c r="ED556" s="1998">
        <v>0</v>
      </c>
      <c r="EE556" s="1998">
        <v>0</v>
      </c>
      <c r="EF556" s="1998">
        <v>0</v>
      </c>
      <c r="EG556" s="1998">
        <v>0</v>
      </c>
      <c r="EH556" s="1998">
        <v>0</v>
      </c>
      <c r="EI556" s="1979">
        <v>0</v>
      </c>
      <c r="EJ556" s="1979">
        <v>0</v>
      </c>
      <c r="EK556" s="1979">
        <v>0</v>
      </c>
      <c r="EL556" s="1979">
        <v>0</v>
      </c>
      <c r="EM556" s="1979">
        <v>0</v>
      </c>
      <c r="EN556" s="1998">
        <v>0</v>
      </c>
      <c r="EO556" s="1998">
        <v>0</v>
      </c>
      <c r="EP556" s="1998">
        <v>0</v>
      </c>
      <c r="EQ556" s="1998">
        <v>0</v>
      </c>
      <c r="ER556" s="1998">
        <v>0</v>
      </c>
      <c r="ES556" s="1979">
        <v>1.7711091583252017</v>
      </c>
      <c r="ET556" s="1979">
        <v>1.7993872846905539</v>
      </c>
      <c r="EU556" s="1979">
        <v>1.8064568162818917</v>
      </c>
      <c r="EV556" s="1979">
        <v>1.8135263478732302</v>
      </c>
      <c r="EW556" s="1979">
        <v>1.820595879464568</v>
      </c>
      <c r="EX556" s="1998">
        <v>0</v>
      </c>
      <c r="EY556" s="1998">
        <v>0</v>
      </c>
      <c r="EZ556" s="1998">
        <v>0</v>
      </c>
      <c r="FA556" s="1998">
        <v>0</v>
      </c>
      <c r="FB556" s="1998">
        <v>0</v>
      </c>
      <c r="FC556" s="1979">
        <v>0</v>
      </c>
      <c r="FD556" s="1979">
        <v>0</v>
      </c>
      <c r="FE556" s="1979">
        <v>0</v>
      </c>
      <c r="FF556" s="1979">
        <v>0</v>
      </c>
      <c r="FG556" s="1979">
        <v>0</v>
      </c>
      <c r="FH556" s="1998">
        <v>0</v>
      </c>
      <c r="FI556" s="1998">
        <v>0</v>
      </c>
      <c r="FJ556" s="1998">
        <v>0</v>
      </c>
      <c r="FK556" s="1998">
        <v>0</v>
      </c>
      <c r="FL556" s="1998">
        <v>0</v>
      </c>
      <c r="FM556" s="1979">
        <v>0</v>
      </c>
      <c r="FN556" s="1979">
        <v>0</v>
      </c>
      <c r="FO556" s="1979">
        <v>0</v>
      </c>
      <c r="FP556" s="1979">
        <v>0</v>
      </c>
      <c r="FQ556" s="1979">
        <v>0</v>
      </c>
      <c r="FR556" s="1998">
        <v>0</v>
      </c>
      <c r="FS556" s="1998">
        <v>0</v>
      </c>
      <c r="FT556" s="1998">
        <v>0</v>
      </c>
      <c r="FU556" s="1998">
        <v>0</v>
      </c>
      <c r="FV556" s="1998">
        <v>0</v>
      </c>
      <c r="FW556" s="1979">
        <v>0</v>
      </c>
      <c r="FX556" s="1979">
        <v>0</v>
      </c>
      <c r="FY556" s="1979">
        <v>0</v>
      </c>
      <c r="FZ556" s="1979">
        <v>0</v>
      </c>
      <c r="GA556" s="1979">
        <v>0</v>
      </c>
      <c r="GB556" s="1998">
        <v>0</v>
      </c>
      <c r="GC556" s="1998">
        <v>0</v>
      </c>
      <c r="GD556" s="1998">
        <v>0</v>
      </c>
      <c r="GE556" s="1998">
        <v>0</v>
      </c>
      <c r="GF556" s="1998">
        <v>0</v>
      </c>
      <c r="GG556" s="1979">
        <v>0</v>
      </c>
      <c r="GH556" s="1979">
        <v>0</v>
      </c>
      <c r="GI556" s="1979">
        <v>0</v>
      </c>
      <c r="GJ556" s="1979">
        <v>0</v>
      </c>
      <c r="GK556" s="2021">
        <v>0</v>
      </c>
    </row>
    <row r="557" spans="1:193">
      <c r="A557" s="2016"/>
      <c r="B557" s="2">
        <v>17</v>
      </c>
      <c r="C557" s="2" t="str">
        <f>CONCATENATE($U$8," ",EI$11)</f>
        <v xml:space="preserve">Proportion de fenêtres </v>
      </c>
      <c r="D557" s="1998">
        <f>IF(Construction!$F$31=Construction!$R$22,Oeko!BQ557,Oeko!ED557)</f>
        <v>0</v>
      </c>
      <c r="E557" s="1998">
        <f>IF(Construction!$F$31=Construction!$R$22,Oeko!BR557,Oeko!EE557)</f>
        <v>0</v>
      </c>
      <c r="F557" s="1998">
        <f>IF(Construction!$F$31=Construction!$R$22,Oeko!BS557,Oeko!EF557)</f>
        <v>0</v>
      </c>
      <c r="G557" s="1998">
        <f>IF(Construction!$F$31=Construction!$R$22,Oeko!BT557,Oeko!EG557)</f>
        <v>0</v>
      </c>
      <c r="H557" s="1998">
        <f>IF(Construction!$F$31=Construction!$R$22,Oeko!BU557,Oeko!EH557)</f>
        <v>0</v>
      </c>
      <c r="I557" s="1979">
        <f>IF(Construction!$F$31=Construction!$R$22,Oeko!BV557,Oeko!EI557)</f>
        <v>0</v>
      </c>
      <c r="J557" s="1979">
        <f>IF(Construction!$F$31=Construction!$R$22,Oeko!BW557,Oeko!EJ557)</f>
        <v>0</v>
      </c>
      <c r="K557" s="1979">
        <f>IF(Construction!$F$31=Construction!$R$22,Oeko!BX557,Oeko!EK557)</f>
        <v>0</v>
      </c>
      <c r="L557" s="1979">
        <f>IF(Construction!$F$31=Construction!$R$22,Oeko!BY557,Oeko!EL557)</f>
        <v>0</v>
      </c>
      <c r="M557" s="1979">
        <f>IF(Construction!$F$31=Construction!$R$22,Oeko!BZ557,Oeko!EM557)</f>
        <v>0</v>
      </c>
      <c r="N557" s="1998">
        <f>IF(Construction!$F$31=Construction!$R$22,Oeko!CA557,Oeko!EN557)</f>
        <v>0</v>
      </c>
      <c r="O557" s="1998">
        <f>IF(Construction!$F$31=Construction!$R$22,Oeko!CB557,Oeko!EO557)</f>
        <v>0</v>
      </c>
      <c r="P557" s="1998">
        <f>IF(Construction!$F$31=Construction!$R$22,Oeko!CC557,Oeko!EP557)</f>
        <v>0</v>
      </c>
      <c r="Q557" s="1998">
        <f>IF(Construction!$F$31=Construction!$R$22,Oeko!CD557,Oeko!EQ557)</f>
        <v>0</v>
      </c>
      <c r="R557" s="1998">
        <f>IF(Construction!$F$31=Construction!$R$22,Oeko!CE557,Oeko!ER557)</f>
        <v>0</v>
      </c>
      <c r="S557" s="1979">
        <f>IF(Construction!$F$31=Construction!$R$22,Oeko!CF557,Oeko!ES557)</f>
        <v>1</v>
      </c>
      <c r="T557" s="1979">
        <f>IF(Construction!$F$31=Construction!$R$22,Oeko!CG557,Oeko!ET557)</f>
        <v>1</v>
      </c>
      <c r="U557" s="1979">
        <f>IF(Construction!$F$31=Construction!$R$22,Oeko!CH557,Oeko!EU557)</f>
        <v>1</v>
      </c>
      <c r="V557" s="1979">
        <f>IF(Construction!$F$31=Construction!$R$22,Oeko!CI557,Oeko!EV557)</f>
        <v>1</v>
      </c>
      <c r="W557" s="1979">
        <f>IF(Construction!$F$31=Construction!$R$22,Oeko!CJ557,Oeko!EW557)</f>
        <v>1</v>
      </c>
      <c r="X557" s="1998">
        <f>IF(Construction!$F$31=Construction!$R$22,Oeko!CK557,Oeko!EX557)</f>
        <v>0</v>
      </c>
      <c r="Y557" s="1998">
        <f>IF(Construction!$F$31=Construction!$R$22,Oeko!CL557,Oeko!EY557)</f>
        <v>0</v>
      </c>
      <c r="Z557" s="1998">
        <f>IF(Construction!$F$31=Construction!$R$22,Oeko!CM557,Oeko!EZ557)</f>
        <v>0</v>
      </c>
      <c r="AA557" s="1998">
        <f>IF(Construction!$F$31=Construction!$R$22,Oeko!CN557,Oeko!FA557)</f>
        <v>0</v>
      </c>
      <c r="AB557" s="1998">
        <f>IF(Construction!$F$31=Construction!$R$22,Oeko!CO557,Oeko!FB557)</f>
        <v>0</v>
      </c>
      <c r="AC557" s="1979">
        <f>IF(Construction!$F$31=Construction!$R$22,Oeko!CP557,Oeko!FC557)</f>
        <v>0</v>
      </c>
      <c r="AD557" s="1979">
        <f>IF(Construction!$F$31=Construction!$R$22,Oeko!CQ557,Oeko!FD557)</f>
        <v>0</v>
      </c>
      <c r="AE557" s="1979">
        <f>IF(Construction!$F$31=Construction!$R$22,Oeko!CR557,Oeko!FE557)</f>
        <v>0</v>
      </c>
      <c r="AF557" s="1979">
        <f>IF(Construction!$F$31=Construction!$R$22,Oeko!CS557,Oeko!FF557)</f>
        <v>0</v>
      </c>
      <c r="AG557" s="1979">
        <f>IF(Construction!$F$31=Construction!$R$22,Oeko!CT557,Oeko!FG557)</f>
        <v>0</v>
      </c>
      <c r="AH557" s="1998">
        <f>IF(Construction!$F$31=Construction!$R$22,Oeko!CU557,Oeko!FH557)</f>
        <v>0</v>
      </c>
      <c r="AI557" s="1998">
        <f>IF(Construction!$F$31=Construction!$R$22,Oeko!CV557,Oeko!FI557)</f>
        <v>0</v>
      </c>
      <c r="AJ557" s="1998">
        <f>IF(Construction!$F$31=Construction!$R$22,Oeko!CW557,Oeko!FJ557)</f>
        <v>0</v>
      </c>
      <c r="AK557" s="1998">
        <f>IF(Construction!$F$31=Construction!$R$22,Oeko!CX557,Oeko!FK557)</f>
        <v>0</v>
      </c>
      <c r="AL557" s="1998">
        <f>IF(Construction!$F$31=Construction!$R$22,Oeko!CY557,Oeko!FL557)</f>
        <v>0</v>
      </c>
      <c r="AM557" s="1979">
        <f>IF(Construction!$F$31=Construction!$R$22,Oeko!CZ557,Oeko!FM557)</f>
        <v>0</v>
      </c>
      <c r="AN557" s="1979">
        <f>IF(Construction!$F$31=Construction!$R$22,Oeko!DA557,Oeko!FN557)</f>
        <v>0</v>
      </c>
      <c r="AO557" s="1979">
        <f>IF(Construction!$F$31=Construction!$R$22,Oeko!DB557,Oeko!FO557)</f>
        <v>0</v>
      </c>
      <c r="AP557" s="1979">
        <f>IF(Construction!$F$31=Construction!$R$22,Oeko!DC557,Oeko!FP557)</f>
        <v>0</v>
      </c>
      <c r="AQ557" s="1979">
        <f>IF(Construction!$F$31=Construction!$R$22,Oeko!DD557,Oeko!FQ557)</f>
        <v>0</v>
      </c>
      <c r="AR557" s="1998">
        <f>IF(Construction!$F$31=Construction!$R$22,Oeko!DE557,Oeko!FR557)</f>
        <v>0</v>
      </c>
      <c r="AS557" s="1998">
        <f>IF(Construction!$F$31=Construction!$R$22,Oeko!DF557,Oeko!FS557)</f>
        <v>0</v>
      </c>
      <c r="AT557" s="1998">
        <f>IF(Construction!$F$31=Construction!$R$22,Oeko!DG557,Oeko!FT557)</f>
        <v>0</v>
      </c>
      <c r="AU557" s="1998">
        <f>IF(Construction!$F$31=Construction!$R$22,Oeko!DH557,Oeko!FU557)</f>
        <v>0</v>
      </c>
      <c r="AV557" s="1998">
        <f>IF(Construction!$F$31=Construction!$R$22,Oeko!DI557,Oeko!FV557)</f>
        <v>0</v>
      </c>
      <c r="AW557" s="1979">
        <f>IF(Construction!$F$31=Construction!$R$22,Oeko!DJ557,Oeko!FW557)</f>
        <v>0</v>
      </c>
      <c r="AX557" s="1979">
        <f>IF(Construction!$F$31=Construction!$R$22,Oeko!DK557,Oeko!FX557)</f>
        <v>0</v>
      </c>
      <c r="AY557" s="1979">
        <f>IF(Construction!$F$31=Construction!$R$22,Oeko!DL557,Oeko!FY557)</f>
        <v>0</v>
      </c>
      <c r="AZ557" s="1979">
        <f>IF(Construction!$F$31=Construction!$R$22,Oeko!DM557,Oeko!FZ557)</f>
        <v>0</v>
      </c>
      <c r="BA557" s="1979">
        <f>IF(Construction!$F$31=Construction!$R$22,Oeko!DN557,Oeko!GA557)</f>
        <v>0</v>
      </c>
      <c r="BB557" s="1998">
        <f>IF(Construction!$F$31=Construction!$R$22,Oeko!DO557,Oeko!GB557)</f>
        <v>0</v>
      </c>
      <c r="BC557" s="1998">
        <f>IF(Construction!$F$31=Construction!$R$22,Oeko!DP557,Oeko!GC557)</f>
        <v>0</v>
      </c>
      <c r="BD557" s="1998">
        <f>IF(Construction!$F$31=Construction!$R$22,Oeko!DQ557,Oeko!GD557)</f>
        <v>0</v>
      </c>
      <c r="BE557" s="1998">
        <f>IF(Construction!$F$31=Construction!$R$22,Oeko!DR557,Oeko!GE557)</f>
        <v>0</v>
      </c>
      <c r="BF557" s="1998">
        <f>IF(Construction!$F$31=Construction!$R$22,Oeko!DS557,Oeko!GF557)</f>
        <v>0</v>
      </c>
      <c r="BG557" s="1979">
        <f>IF(Construction!$F$31=Construction!$R$22,Oeko!DT557,Oeko!GG557)</f>
        <v>0</v>
      </c>
      <c r="BH557" s="1979">
        <f>IF(Construction!$F$31=Construction!$R$22,Oeko!DU557,Oeko!GH557)</f>
        <v>0</v>
      </c>
      <c r="BI557" s="1979">
        <f>IF(Construction!$F$31=Construction!$R$22,Oeko!DV557,Oeko!GI557)</f>
        <v>0</v>
      </c>
      <c r="BJ557" s="1979">
        <f>IF(Construction!$F$31=Construction!$R$22,Oeko!DW557,Oeko!GJ557)</f>
        <v>0</v>
      </c>
      <c r="BK557" s="2021">
        <f>IF(Construction!$F$31=Construction!$R$22,Oeko!DX557,Oeko!GK557)</f>
        <v>0</v>
      </c>
      <c r="BN557" s="2018"/>
      <c r="BO557" s="2">
        <v>17</v>
      </c>
      <c r="BP557" s="2" t="str">
        <f>CONCATENATE($U$8," ",GV$11)</f>
        <v xml:space="preserve">Proportion de fenêtres </v>
      </c>
      <c r="BQ557" s="1998">
        <v>0</v>
      </c>
      <c r="BR557" s="1998">
        <v>0</v>
      </c>
      <c r="BS557" s="1998">
        <v>0</v>
      </c>
      <c r="BT557" s="1998">
        <v>0</v>
      </c>
      <c r="BU557" s="1998">
        <v>0</v>
      </c>
      <c r="BV557" s="1979">
        <v>0</v>
      </c>
      <c r="BW557" s="1979">
        <v>0</v>
      </c>
      <c r="BX557" s="1979">
        <v>0</v>
      </c>
      <c r="BY557" s="1979">
        <v>0</v>
      </c>
      <c r="BZ557" s="1979">
        <v>0</v>
      </c>
      <c r="CA557" s="1998">
        <v>0</v>
      </c>
      <c r="CB557" s="1998">
        <v>0</v>
      </c>
      <c r="CC557" s="1998">
        <v>0</v>
      </c>
      <c r="CD557" s="1998">
        <v>0</v>
      </c>
      <c r="CE557" s="1998">
        <v>0</v>
      </c>
      <c r="CF557" s="1979">
        <v>1</v>
      </c>
      <c r="CG557" s="1979">
        <v>1</v>
      </c>
      <c r="CH557" s="1979">
        <v>1</v>
      </c>
      <c r="CI557" s="1979">
        <v>1</v>
      </c>
      <c r="CJ557" s="1979">
        <v>1</v>
      </c>
      <c r="CK557" s="1998">
        <v>0</v>
      </c>
      <c r="CL557" s="1998">
        <v>0</v>
      </c>
      <c r="CM557" s="1998">
        <v>0</v>
      </c>
      <c r="CN557" s="1998">
        <v>0</v>
      </c>
      <c r="CO557" s="1998">
        <v>0</v>
      </c>
      <c r="CP557" s="1979">
        <v>0</v>
      </c>
      <c r="CQ557" s="1979">
        <v>0</v>
      </c>
      <c r="CR557" s="1979">
        <v>0</v>
      </c>
      <c r="CS557" s="1979">
        <v>0</v>
      </c>
      <c r="CT557" s="1979">
        <v>0</v>
      </c>
      <c r="CU557" s="1998">
        <v>0</v>
      </c>
      <c r="CV557" s="1998">
        <v>0</v>
      </c>
      <c r="CW557" s="1998">
        <v>0</v>
      </c>
      <c r="CX557" s="1998">
        <v>0</v>
      </c>
      <c r="CY557" s="1998">
        <v>0</v>
      </c>
      <c r="CZ557" s="1979">
        <v>0</v>
      </c>
      <c r="DA557" s="1979">
        <v>0</v>
      </c>
      <c r="DB557" s="1979">
        <v>0</v>
      </c>
      <c r="DC557" s="1979">
        <v>0</v>
      </c>
      <c r="DD557" s="1979">
        <v>0</v>
      </c>
      <c r="DE557" s="1998">
        <v>0</v>
      </c>
      <c r="DF557" s="1998">
        <v>0</v>
      </c>
      <c r="DG557" s="1998">
        <v>0</v>
      </c>
      <c r="DH557" s="1998">
        <v>0</v>
      </c>
      <c r="DI557" s="1998">
        <v>0</v>
      </c>
      <c r="DJ557" s="1979">
        <v>0</v>
      </c>
      <c r="DK557" s="1979">
        <v>0</v>
      </c>
      <c r="DL557" s="1979">
        <v>0</v>
      </c>
      <c r="DM557" s="1979">
        <v>0</v>
      </c>
      <c r="DN557" s="1979">
        <v>0</v>
      </c>
      <c r="DO557" s="1998">
        <v>0</v>
      </c>
      <c r="DP557" s="1998">
        <v>0</v>
      </c>
      <c r="DQ557" s="1998">
        <v>0</v>
      </c>
      <c r="DR557" s="1998">
        <v>0</v>
      </c>
      <c r="DS557" s="1998">
        <v>0</v>
      </c>
      <c r="DT557" s="1979">
        <v>0</v>
      </c>
      <c r="DU557" s="1979">
        <v>0</v>
      </c>
      <c r="DV557" s="1979">
        <v>0</v>
      </c>
      <c r="DW557" s="1979">
        <v>0</v>
      </c>
      <c r="DX557" s="2021">
        <v>0</v>
      </c>
      <c r="EA557" s="2018"/>
      <c r="EB557" s="2">
        <v>17</v>
      </c>
      <c r="EC557" s="2" t="str">
        <f>CONCATENATE($U$8," ",JI$11)</f>
        <v xml:space="preserve">Proportion de fenêtres </v>
      </c>
      <c r="ED557" s="1998">
        <v>0</v>
      </c>
      <c r="EE557" s="1998">
        <v>0</v>
      </c>
      <c r="EF557" s="1998">
        <v>0</v>
      </c>
      <c r="EG557" s="1998">
        <v>0</v>
      </c>
      <c r="EH557" s="1998">
        <v>0</v>
      </c>
      <c r="EI557" s="1979">
        <v>0</v>
      </c>
      <c r="EJ557" s="1979">
        <v>0</v>
      </c>
      <c r="EK557" s="1979">
        <v>0</v>
      </c>
      <c r="EL557" s="1979">
        <v>0</v>
      </c>
      <c r="EM557" s="1979">
        <v>0</v>
      </c>
      <c r="EN557" s="1998">
        <v>0</v>
      </c>
      <c r="EO557" s="1998">
        <v>0</v>
      </c>
      <c r="EP557" s="1998">
        <v>0</v>
      </c>
      <c r="EQ557" s="1998">
        <v>0</v>
      </c>
      <c r="ER557" s="1998">
        <v>0</v>
      </c>
      <c r="ES557" s="1979">
        <v>1.7711091583252017</v>
      </c>
      <c r="ET557" s="1979">
        <v>1.7993872846905539</v>
      </c>
      <c r="EU557" s="1979">
        <v>1.8064568162818917</v>
      </c>
      <c r="EV557" s="1979">
        <v>1.8135263478732302</v>
      </c>
      <c r="EW557" s="1979">
        <v>1.820595879464568</v>
      </c>
      <c r="EX557" s="1998">
        <v>0</v>
      </c>
      <c r="EY557" s="1998">
        <v>0</v>
      </c>
      <c r="EZ557" s="1998">
        <v>0</v>
      </c>
      <c r="FA557" s="1998">
        <v>0</v>
      </c>
      <c r="FB557" s="1998">
        <v>0</v>
      </c>
      <c r="FC557" s="1979">
        <v>0</v>
      </c>
      <c r="FD557" s="1979">
        <v>0</v>
      </c>
      <c r="FE557" s="1979">
        <v>0</v>
      </c>
      <c r="FF557" s="1979">
        <v>0</v>
      </c>
      <c r="FG557" s="1979">
        <v>0</v>
      </c>
      <c r="FH557" s="1998">
        <v>0</v>
      </c>
      <c r="FI557" s="1998">
        <v>0</v>
      </c>
      <c r="FJ557" s="1998">
        <v>0</v>
      </c>
      <c r="FK557" s="1998">
        <v>0</v>
      </c>
      <c r="FL557" s="1998">
        <v>0</v>
      </c>
      <c r="FM557" s="1979">
        <v>0</v>
      </c>
      <c r="FN557" s="1979">
        <v>0</v>
      </c>
      <c r="FO557" s="1979">
        <v>0</v>
      </c>
      <c r="FP557" s="1979">
        <v>0</v>
      </c>
      <c r="FQ557" s="1979">
        <v>0</v>
      </c>
      <c r="FR557" s="1998">
        <v>0</v>
      </c>
      <c r="FS557" s="1998">
        <v>0</v>
      </c>
      <c r="FT557" s="1998">
        <v>0</v>
      </c>
      <c r="FU557" s="1998">
        <v>0</v>
      </c>
      <c r="FV557" s="1998">
        <v>0</v>
      </c>
      <c r="FW557" s="1979">
        <v>0</v>
      </c>
      <c r="FX557" s="1979">
        <v>0</v>
      </c>
      <c r="FY557" s="1979">
        <v>0</v>
      </c>
      <c r="FZ557" s="1979">
        <v>0</v>
      </c>
      <c r="GA557" s="1979">
        <v>0</v>
      </c>
      <c r="GB557" s="1998">
        <v>0</v>
      </c>
      <c r="GC557" s="1998">
        <v>0</v>
      </c>
      <c r="GD557" s="1998">
        <v>0</v>
      </c>
      <c r="GE557" s="1998">
        <v>0</v>
      </c>
      <c r="GF557" s="1998">
        <v>0</v>
      </c>
      <c r="GG557" s="1979">
        <v>0</v>
      </c>
      <c r="GH557" s="1979">
        <v>0</v>
      </c>
      <c r="GI557" s="1979">
        <v>0</v>
      </c>
      <c r="GJ557" s="1979">
        <v>0</v>
      </c>
      <c r="GK557" s="2021">
        <v>0</v>
      </c>
    </row>
    <row r="558" spans="1:193">
      <c r="A558" s="2016"/>
      <c r="B558" s="2">
        <v>18</v>
      </c>
      <c r="C558" s="2" t="str">
        <f>CONCATENATE($U$8," ",EI$12)</f>
        <v xml:space="preserve">Proportion de fenêtres </v>
      </c>
      <c r="D558" s="1998">
        <f>IF(Construction!$F$31=Construction!$R$22,Oeko!BQ558,Oeko!ED558)</f>
        <v>0</v>
      </c>
      <c r="E558" s="1998">
        <f>IF(Construction!$F$31=Construction!$R$22,Oeko!BR558,Oeko!EE558)</f>
        <v>0</v>
      </c>
      <c r="F558" s="1998">
        <f>IF(Construction!$F$31=Construction!$R$22,Oeko!BS558,Oeko!EF558)</f>
        <v>0</v>
      </c>
      <c r="G558" s="1998">
        <f>IF(Construction!$F$31=Construction!$R$22,Oeko!BT558,Oeko!EG558)</f>
        <v>0</v>
      </c>
      <c r="H558" s="1998">
        <f>IF(Construction!$F$31=Construction!$R$22,Oeko!BU558,Oeko!EH558)</f>
        <v>0</v>
      </c>
      <c r="I558" s="1979">
        <f>IF(Construction!$F$31=Construction!$R$22,Oeko!BV558,Oeko!EI558)</f>
        <v>0</v>
      </c>
      <c r="J558" s="1979">
        <f>IF(Construction!$F$31=Construction!$R$22,Oeko!BW558,Oeko!EJ558)</f>
        <v>0</v>
      </c>
      <c r="K558" s="1979">
        <f>IF(Construction!$F$31=Construction!$R$22,Oeko!BX558,Oeko!EK558)</f>
        <v>0</v>
      </c>
      <c r="L558" s="1979">
        <f>IF(Construction!$F$31=Construction!$R$22,Oeko!BY558,Oeko!EL558)</f>
        <v>0</v>
      </c>
      <c r="M558" s="1979">
        <f>IF(Construction!$F$31=Construction!$R$22,Oeko!BZ558,Oeko!EM558)</f>
        <v>0</v>
      </c>
      <c r="N558" s="1998">
        <f>IF(Construction!$F$31=Construction!$R$22,Oeko!CA558,Oeko!EN558)</f>
        <v>0</v>
      </c>
      <c r="O558" s="1998">
        <f>IF(Construction!$F$31=Construction!$R$22,Oeko!CB558,Oeko!EO558)</f>
        <v>0</v>
      </c>
      <c r="P558" s="1998">
        <f>IF(Construction!$F$31=Construction!$R$22,Oeko!CC558,Oeko!EP558)</f>
        <v>0</v>
      </c>
      <c r="Q558" s="1998">
        <f>IF(Construction!$F$31=Construction!$R$22,Oeko!CD558,Oeko!EQ558)</f>
        <v>0</v>
      </c>
      <c r="R558" s="1998">
        <f>IF(Construction!$F$31=Construction!$R$22,Oeko!CE558,Oeko!ER558)</f>
        <v>0</v>
      </c>
      <c r="S558" s="1979">
        <f>IF(Construction!$F$31=Construction!$R$22,Oeko!CF558,Oeko!ES558)</f>
        <v>1</v>
      </c>
      <c r="T558" s="1979">
        <f>IF(Construction!$F$31=Construction!$R$22,Oeko!CG558,Oeko!ET558)</f>
        <v>1</v>
      </c>
      <c r="U558" s="1979">
        <f>IF(Construction!$F$31=Construction!$R$22,Oeko!CH558,Oeko!EU558)</f>
        <v>1</v>
      </c>
      <c r="V558" s="1979">
        <f>IF(Construction!$F$31=Construction!$R$22,Oeko!CI558,Oeko!EV558)</f>
        <v>1</v>
      </c>
      <c r="W558" s="1979">
        <f>IF(Construction!$F$31=Construction!$R$22,Oeko!CJ558,Oeko!EW558)</f>
        <v>1</v>
      </c>
      <c r="X558" s="1998">
        <f>IF(Construction!$F$31=Construction!$R$22,Oeko!CK558,Oeko!EX558)</f>
        <v>0</v>
      </c>
      <c r="Y558" s="1998">
        <f>IF(Construction!$F$31=Construction!$R$22,Oeko!CL558,Oeko!EY558)</f>
        <v>0</v>
      </c>
      <c r="Z558" s="1998">
        <f>IF(Construction!$F$31=Construction!$R$22,Oeko!CM558,Oeko!EZ558)</f>
        <v>0</v>
      </c>
      <c r="AA558" s="1998">
        <f>IF(Construction!$F$31=Construction!$R$22,Oeko!CN558,Oeko!FA558)</f>
        <v>0</v>
      </c>
      <c r="AB558" s="1998">
        <f>IF(Construction!$F$31=Construction!$R$22,Oeko!CO558,Oeko!FB558)</f>
        <v>0</v>
      </c>
      <c r="AC558" s="1979">
        <f>IF(Construction!$F$31=Construction!$R$22,Oeko!CP558,Oeko!FC558)</f>
        <v>0</v>
      </c>
      <c r="AD558" s="1979">
        <f>IF(Construction!$F$31=Construction!$R$22,Oeko!CQ558,Oeko!FD558)</f>
        <v>0</v>
      </c>
      <c r="AE558" s="1979">
        <f>IF(Construction!$F$31=Construction!$R$22,Oeko!CR558,Oeko!FE558)</f>
        <v>0</v>
      </c>
      <c r="AF558" s="1979">
        <f>IF(Construction!$F$31=Construction!$R$22,Oeko!CS558,Oeko!FF558)</f>
        <v>0</v>
      </c>
      <c r="AG558" s="1979">
        <f>IF(Construction!$F$31=Construction!$R$22,Oeko!CT558,Oeko!FG558)</f>
        <v>0</v>
      </c>
      <c r="AH558" s="1998">
        <f>IF(Construction!$F$31=Construction!$R$22,Oeko!CU558,Oeko!FH558)</f>
        <v>0</v>
      </c>
      <c r="AI558" s="1998">
        <f>IF(Construction!$F$31=Construction!$R$22,Oeko!CV558,Oeko!FI558)</f>
        <v>0</v>
      </c>
      <c r="AJ558" s="1998">
        <f>IF(Construction!$F$31=Construction!$R$22,Oeko!CW558,Oeko!FJ558)</f>
        <v>0</v>
      </c>
      <c r="AK558" s="1998">
        <f>IF(Construction!$F$31=Construction!$R$22,Oeko!CX558,Oeko!FK558)</f>
        <v>0</v>
      </c>
      <c r="AL558" s="1998">
        <f>IF(Construction!$F$31=Construction!$R$22,Oeko!CY558,Oeko!FL558)</f>
        <v>0</v>
      </c>
      <c r="AM558" s="1979">
        <f>IF(Construction!$F$31=Construction!$R$22,Oeko!CZ558,Oeko!FM558)</f>
        <v>0</v>
      </c>
      <c r="AN558" s="1979">
        <f>IF(Construction!$F$31=Construction!$R$22,Oeko!DA558,Oeko!FN558)</f>
        <v>0</v>
      </c>
      <c r="AO558" s="1979">
        <f>IF(Construction!$F$31=Construction!$R$22,Oeko!DB558,Oeko!FO558)</f>
        <v>0</v>
      </c>
      <c r="AP558" s="1979">
        <f>IF(Construction!$F$31=Construction!$R$22,Oeko!DC558,Oeko!FP558)</f>
        <v>0</v>
      </c>
      <c r="AQ558" s="1979">
        <f>IF(Construction!$F$31=Construction!$R$22,Oeko!DD558,Oeko!FQ558)</f>
        <v>0</v>
      </c>
      <c r="AR558" s="1998">
        <f>IF(Construction!$F$31=Construction!$R$22,Oeko!DE558,Oeko!FR558)</f>
        <v>0</v>
      </c>
      <c r="AS558" s="1998">
        <f>IF(Construction!$F$31=Construction!$R$22,Oeko!DF558,Oeko!FS558)</f>
        <v>0</v>
      </c>
      <c r="AT558" s="1998">
        <f>IF(Construction!$F$31=Construction!$R$22,Oeko!DG558,Oeko!FT558)</f>
        <v>0</v>
      </c>
      <c r="AU558" s="1998">
        <f>IF(Construction!$F$31=Construction!$R$22,Oeko!DH558,Oeko!FU558)</f>
        <v>0</v>
      </c>
      <c r="AV558" s="1998">
        <f>IF(Construction!$F$31=Construction!$R$22,Oeko!DI558,Oeko!FV558)</f>
        <v>0</v>
      </c>
      <c r="AW558" s="1979">
        <f>IF(Construction!$F$31=Construction!$R$22,Oeko!DJ558,Oeko!FW558)</f>
        <v>0</v>
      </c>
      <c r="AX558" s="1979">
        <f>IF(Construction!$F$31=Construction!$R$22,Oeko!DK558,Oeko!FX558)</f>
        <v>0</v>
      </c>
      <c r="AY558" s="1979">
        <f>IF(Construction!$F$31=Construction!$R$22,Oeko!DL558,Oeko!FY558)</f>
        <v>0</v>
      </c>
      <c r="AZ558" s="1979">
        <f>IF(Construction!$F$31=Construction!$R$22,Oeko!DM558,Oeko!FZ558)</f>
        <v>0</v>
      </c>
      <c r="BA558" s="1979">
        <f>IF(Construction!$F$31=Construction!$R$22,Oeko!DN558,Oeko!GA558)</f>
        <v>0</v>
      </c>
      <c r="BB558" s="1998">
        <f>IF(Construction!$F$31=Construction!$R$22,Oeko!DO558,Oeko!GB558)</f>
        <v>0</v>
      </c>
      <c r="BC558" s="1998">
        <f>IF(Construction!$F$31=Construction!$R$22,Oeko!DP558,Oeko!GC558)</f>
        <v>0</v>
      </c>
      <c r="BD558" s="1998">
        <f>IF(Construction!$F$31=Construction!$R$22,Oeko!DQ558,Oeko!GD558)</f>
        <v>0</v>
      </c>
      <c r="BE558" s="1998">
        <f>IF(Construction!$F$31=Construction!$R$22,Oeko!DR558,Oeko!GE558)</f>
        <v>0</v>
      </c>
      <c r="BF558" s="1998">
        <f>IF(Construction!$F$31=Construction!$R$22,Oeko!DS558,Oeko!GF558)</f>
        <v>0</v>
      </c>
      <c r="BG558" s="1979">
        <f>IF(Construction!$F$31=Construction!$R$22,Oeko!DT558,Oeko!GG558)</f>
        <v>0</v>
      </c>
      <c r="BH558" s="1979">
        <f>IF(Construction!$F$31=Construction!$R$22,Oeko!DU558,Oeko!GH558)</f>
        <v>0</v>
      </c>
      <c r="BI558" s="1979">
        <f>IF(Construction!$F$31=Construction!$R$22,Oeko!DV558,Oeko!GI558)</f>
        <v>0</v>
      </c>
      <c r="BJ558" s="1979">
        <f>IF(Construction!$F$31=Construction!$R$22,Oeko!DW558,Oeko!GJ558)</f>
        <v>0</v>
      </c>
      <c r="BK558" s="2021">
        <f>IF(Construction!$F$31=Construction!$R$22,Oeko!DX558,Oeko!GK558)</f>
        <v>0</v>
      </c>
      <c r="BN558" s="2018"/>
      <c r="BO558" s="2">
        <v>18</v>
      </c>
      <c r="BP558" s="2" t="str">
        <f>CONCATENATE($U$8," ",GV$12)</f>
        <v xml:space="preserve">Proportion de fenêtres </v>
      </c>
      <c r="BQ558" s="1998">
        <v>0</v>
      </c>
      <c r="BR558" s="1998">
        <v>0</v>
      </c>
      <c r="BS558" s="1998">
        <v>0</v>
      </c>
      <c r="BT558" s="1998">
        <v>0</v>
      </c>
      <c r="BU558" s="1998">
        <v>0</v>
      </c>
      <c r="BV558" s="1979">
        <v>0</v>
      </c>
      <c r="BW558" s="1979">
        <v>0</v>
      </c>
      <c r="BX558" s="1979">
        <v>0</v>
      </c>
      <c r="BY558" s="1979">
        <v>0</v>
      </c>
      <c r="BZ558" s="1979">
        <v>0</v>
      </c>
      <c r="CA558" s="1998">
        <v>0</v>
      </c>
      <c r="CB558" s="1998">
        <v>0</v>
      </c>
      <c r="CC558" s="1998">
        <v>0</v>
      </c>
      <c r="CD558" s="1998">
        <v>0</v>
      </c>
      <c r="CE558" s="1998">
        <v>0</v>
      </c>
      <c r="CF558" s="1979">
        <v>1</v>
      </c>
      <c r="CG558" s="1979">
        <v>1</v>
      </c>
      <c r="CH558" s="1979">
        <v>1</v>
      </c>
      <c r="CI558" s="1979">
        <v>1</v>
      </c>
      <c r="CJ558" s="1979">
        <v>1</v>
      </c>
      <c r="CK558" s="1998">
        <v>0</v>
      </c>
      <c r="CL558" s="1998">
        <v>0</v>
      </c>
      <c r="CM558" s="1998">
        <v>0</v>
      </c>
      <c r="CN558" s="1998">
        <v>0</v>
      </c>
      <c r="CO558" s="1998">
        <v>0</v>
      </c>
      <c r="CP558" s="1979">
        <v>0</v>
      </c>
      <c r="CQ558" s="1979">
        <v>0</v>
      </c>
      <c r="CR558" s="1979">
        <v>0</v>
      </c>
      <c r="CS558" s="1979">
        <v>0</v>
      </c>
      <c r="CT558" s="1979">
        <v>0</v>
      </c>
      <c r="CU558" s="1998">
        <v>0</v>
      </c>
      <c r="CV558" s="1998">
        <v>0</v>
      </c>
      <c r="CW558" s="1998">
        <v>0</v>
      </c>
      <c r="CX558" s="1998">
        <v>0</v>
      </c>
      <c r="CY558" s="1998">
        <v>0</v>
      </c>
      <c r="CZ558" s="1979">
        <v>0</v>
      </c>
      <c r="DA558" s="1979">
        <v>0</v>
      </c>
      <c r="DB558" s="1979">
        <v>0</v>
      </c>
      <c r="DC558" s="1979">
        <v>0</v>
      </c>
      <c r="DD558" s="1979">
        <v>0</v>
      </c>
      <c r="DE558" s="1998">
        <v>0</v>
      </c>
      <c r="DF558" s="1998">
        <v>0</v>
      </c>
      <c r="DG558" s="1998">
        <v>0</v>
      </c>
      <c r="DH558" s="1998">
        <v>0</v>
      </c>
      <c r="DI558" s="1998">
        <v>0</v>
      </c>
      <c r="DJ558" s="1979">
        <v>0</v>
      </c>
      <c r="DK558" s="1979">
        <v>0</v>
      </c>
      <c r="DL558" s="1979">
        <v>0</v>
      </c>
      <c r="DM558" s="1979">
        <v>0</v>
      </c>
      <c r="DN558" s="1979">
        <v>0</v>
      </c>
      <c r="DO558" s="1998">
        <v>0</v>
      </c>
      <c r="DP558" s="1998">
        <v>0</v>
      </c>
      <c r="DQ558" s="1998">
        <v>0</v>
      </c>
      <c r="DR558" s="1998">
        <v>0</v>
      </c>
      <c r="DS558" s="1998">
        <v>0</v>
      </c>
      <c r="DT558" s="1979">
        <v>0</v>
      </c>
      <c r="DU558" s="1979">
        <v>0</v>
      </c>
      <c r="DV558" s="1979">
        <v>0</v>
      </c>
      <c r="DW558" s="1979">
        <v>0</v>
      </c>
      <c r="DX558" s="2021">
        <v>0</v>
      </c>
      <c r="EA558" s="2018"/>
      <c r="EB558" s="2">
        <v>18</v>
      </c>
      <c r="EC558" s="2" t="str">
        <f>CONCATENATE($U$8," ",JI$12)</f>
        <v xml:space="preserve">Proportion de fenêtres </v>
      </c>
      <c r="ED558" s="1998">
        <v>0</v>
      </c>
      <c r="EE558" s="1998">
        <v>0</v>
      </c>
      <c r="EF558" s="1998">
        <v>0</v>
      </c>
      <c r="EG558" s="1998">
        <v>0</v>
      </c>
      <c r="EH558" s="1998">
        <v>0</v>
      </c>
      <c r="EI558" s="1979">
        <v>0</v>
      </c>
      <c r="EJ558" s="1979">
        <v>0</v>
      </c>
      <c r="EK558" s="1979">
        <v>0</v>
      </c>
      <c r="EL558" s="1979">
        <v>0</v>
      </c>
      <c r="EM558" s="1979">
        <v>0</v>
      </c>
      <c r="EN558" s="1998">
        <v>0</v>
      </c>
      <c r="EO558" s="1998">
        <v>0</v>
      </c>
      <c r="EP558" s="1998">
        <v>0</v>
      </c>
      <c r="EQ558" s="1998">
        <v>0</v>
      </c>
      <c r="ER558" s="1998">
        <v>0</v>
      </c>
      <c r="ES558" s="1979">
        <v>1.7711091583252017</v>
      </c>
      <c r="ET558" s="1979">
        <v>1.7993872846905539</v>
      </c>
      <c r="EU558" s="1979">
        <v>1.8064568162818917</v>
      </c>
      <c r="EV558" s="1979">
        <v>1.8135263478732302</v>
      </c>
      <c r="EW558" s="1979">
        <v>1.820595879464568</v>
      </c>
      <c r="EX558" s="1998">
        <v>0</v>
      </c>
      <c r="EY558" s="1998">
        <v>0</v>
      </c>
      <c r="EZ558" s="1998">
        <v>0</v>
      </c>
      <c r="FA558" s="1998">
        <v>0</v>
      </c>
      <c r="FB558" s="1998">
        <v>0</v>
      </c>
      <c r="FC558" s="1979">
        <v>0</v>
      </c>
      <c r="FD558" s="1979">
        <v>0</v>
      </c>
      <c r="FE558" s="1979">
        <v>0</v>
      </c>
      <c r="FF558" s="1979">
        <v>0</v>
      </c>
      <c r="FG558" s="1979">
        <v>0</v>
      </c>
      <c r="FH558" s="1998">
        <v>0</v>
      </c>
      <c r="FI558" s="1998">
        <v>0</v>
      </c>
      <c r="FJ558" s="1998">
        <v>0</v>
      </c>
      <c r="FK558" s="1998">
        <v>0</v>
      </c>
      <c r="FL558" s="1998">
        <v>0</v>
      </c>
      <c r="FM558" s="1979">
        <v>0</v>
      </c>
      <c r="FN558" s="1979">
        <v>0</v>
      </c>
      <c r="FO558" s="1979">
        <v>0</v>
      </c>
      <c r="FP558" s="1979">
        <v>0</v>
      </c>
      <c r="FQ558" s="1979">
        <v>0</v>
      </c>
      <c r="FR558" s="1998">
        <v>0</v>
      </c>
      <c r="FS558" s="1998">
        <v>0</v>
      </c>
      <c r="FT558" s="1998">
        <v>0</v>
      </c>
      <c r="FU558" s="1998">
        <v>0</v>
      </c>
      <c r="FV558" s="1998">
        <v>0</v>
      </c>
      <c r="FW558" s="1979">
        <v>0</v>
      </c>
      <c r="FX558" s="1979">
        <v>0</v>
      </c>
      <c r="FY558" s="1979">
        <v>0</v>
      </c>
      <c r="FZ558" s="1979">
        <v>0</v>
      </c>
      <c r="GA558" s="1979">
        <v>0</v>
      </c>
      <c r="GB558" s="1998">
        <v>0</v>
      </c>
      <c r="GC558" s="1998">
        <v>0</v>
      </c>
      <c r="GD558" s="1998">
        <v>0</v>
      </c>
      <c r="GE558" s="1998">
        <v>0</v>
      </c>
      <c r="GF558" s="1998">
        <v>0</v>
      </c>
      <c r="GG558" s="1979">
        <v>0</v>
      </c>
      <c r="GH558" s="1979">
        <v>0</v>
      </c>
      <c r="GI558" s="1979">
        <v>0</v>
      </c>
      <c r="GJ558" s="1979">
        <v>0</v>
      </c>
      <c r="GK558" s="2021">
        <v>0</v>
      </c>
    </row>
    <row r="559" spans="1:193">
      <c r="A559" s="2016"/>
      <c r="B559" s="2">
        <v>19</v>
      </c>
      <c r="C559" s="2" t="str">
        <f>CONCATENATE($U$8," ",EI$13)</f>
        <v xml:space="preserve">Proportion de fenêtres </v>
      </c>
      <c r="D559" s="1998">
        <f>IF(Construction!$F$31=Construction!$R$22,Oeko!BQ559,Oeko!ED559)</f>
        <v>0</v>
      </c>
      <c r="E559" s="1998">
        <f>IF(Construction!$F$31=Construction!$R$22,Oeko!BR559,Oeko!EE559)</f>
        <v>0</v>
      </c>
      <c r="F559" s="1998">
        <f>IF(Construction!$F$31=Construction!$R$22,Oeko!BS559,Oeko!EF559)</f>
        <v>0</v>
      </c>
      <c r="G559" s="1998">
        <f>IF(Construction!$F$31=Construction!$R$22,Oeko!BT559,Oeko!EG559)</f>
        <v>0</v>
      </c>
      <c r="H559" s="1998">
        <f>IF(Construction!$F$31=Construction!$R$22,Oeko!BU559,Oeko!EH559)</f>
        <v>0</v>
      </c>
      <c r="I559" s="1979">
        <f>IF(Construction!$F$31=Construction!$R$22,Oeko!BV559,Oeko!EI559)</f>
        <v>0</v>
      </c>
      <c r="J559" s="1979">
        <f>IF(Construction!$F$31=Construction!$R$22,Oeko!BW559,Oeko!EJ559)</f>
        <v>0</v>
      </c>
      <c r="K559" s="1979">
        <f>IF(Construction!$F$31=Construction!$R$22,Oeko!BX559,Oeko!EK559)</f>
        <v>0</v>
      </c>
      <c r="L559" s="1979">
        <f>IF(Construction!$F$31=Construction!$R$22,Oeko!BY559,Oeko!EL559)</f>
        <v>0</v>
      </c>
      <c r="M559" s="1979">
        <f>IF(Construction!$F$31=Construction!$R$22,Oeko!BZ559,Oeko!EM559)</f>
        <v>0</v>
      </c>
      <c r="N559" s="1998">
        <f>IF(Construction!$F$31=Construction!$R$22,Oeko!CA559,Oeko!EN559)</f>
        <v>0</v>
      </c>
      <c r="O559" s="1998">
        <f>IF(Construction!$F$31=Construction!$R$22,Oeko!CB559,Oeko!EO559)</f>
        <v>0</v>
      </c>
      <c r="P559" s="1998">
        <f>IF(Construction!$F$31=Construction!$R$22,Oeko!CC559,Oeko!EP559)</f>
        <v>0</v>
      </c>
      <c r="Q559" s="1998">
        <f>IF(Construction!$F$31=Construction!$R$22,Oeko!CD559,Oeko!EQ559)</f>
        <v>0</v>
      </c>
      <c r="R559" s="1998">
        <f>IF(Construction!$F$31=Construction!$R$22,Oeko!CE559,Oeko!ER559)</f>
        <v>0</v>
      </c>
      <c r="S559" s="1979">
        <f>IF(Construction!$F$31=Construction!$R$22,Oeko!CF559,Oeko!ES559)</f>
        <v>1</v>
      </c>
      <c r="T559" s="1979">
        <f>IF(Construction!$F$31=Construction!$R$22,Oeko!CG559,Oeko!ET559)</f>
        <v>1</v>
      </c>
      <c r="U559" s="1979">
        <f>IF(Construction!$F$31=Construction!$R$22,Oeko!CH559,Oeko!EU559)</f>
        <v>1</v>
      </c>
      <c r="V559" s="1979">
        <f>IF(Construction!$F$31=Construction!$R$22,Oeko!CI559,Oeko!EV559)</f>
        <v>1</v>
      </c>
      <c r="W559" s="1979">
        <f>IF(Construction!$F$31=Construction!$R$22,Oeko!CJ559,Oeko!EW559)</f>
        <v>1</v>
      </c>
      <c r="X559" s="1998">
        <f>IF(Construction!$F$31=Construction!$R$22,Oeko!CK559,Oeko!EX559)</f>
        <v>0</v>
      </c>
      <c r="Y559" s="1998">
        <f>IF(Construction!$F$31=Construction!$R$22,Oeko!CL559,Oeko!EY559)</f>
        <v>0</v>
      </c>
      <c r="Z559" s="1998">
        <f>IF(Construction!$F$31=Construction!$R$22,Oeko!CM559,Oeko!EZ559)</f>
        <v>0</v>
      </c>
      <c r="AA559" s="1998">
        <f>IF(Construction!$F$31=Construction!$R$22,Oeko!CN559,Oeko!FA559)</f>
        <v>0</v>
      </c>
      <c r="AB559" s="1998">
        <f>IF(Construction!$F$31=Construction!$R$22,Oeko!CO559,Oeko!FB559)</f>
        <v>0</v>
      </c>
      <c r="AC559" s="1979">
        <f>IF(Construction!$F$31=Construction!$R$22,Oeko!CP559,Oeko!FC559)</f>
        <v>0</v>
      </c>
      <c r="AD559" s="1979">
        <f>IF(Construction!$F$31=Construction!$R$22,Oeko!CQ559,Oeko!FD559)</f>
        <v>0</v>
      </c>
      <c r="AE559" s="1979">
        <f>IF(Construction!$F$31=Construction!$R$22,Oeko!CR559,Oeko!FE559)</f>
        <v>0</v>
      </c>
      <c r="AF559" s="1979">
        <f>IF(Construction!$F$31=Construction!$R$22,Oeko!CS559,Oeko!FF559)</f>
        <v>0</v>
      </c>
      <c r="AG559" s="1979">
        <f>IF(Construction!$F$31=Construction!$R$22,Oeko!CT559,Oeko!FG559)</f>
        <v>0</v>
      </c>
      <c r="AH559" s="1998">
        <f>IF(Construction!$F$31=Construction!$R$22,Oeko!CU559,Oeko!FH559)</f>
        <v>0</v>
      </c>
      <c r="AI559" s="1998">
        <f>IF(Construction!$F$31=Construction!$R$22,Oeko!CV559,Oeko!FI559)</f>
        <v>0</v>
      </c>
      <c r="AJ559" s="1998">
        <f>IF(Construction!$F$31=Construction!$R$22,Oeko!CW559,Oeko!FJ559)</f>
        <v>0</v>
      </c>
      <c r="AK559" s="1998">
        <f>IF(Construction!$F$31=Construction!$R$22,Oeko!CX559,Oeko!FK559)</f>
        <v>0</v>
      </c>
      <c r="AL559" s="1998">
        <f>IF(Construction!$F$31=Construction!$R$22,Oeko!CY559,Oeko!FL559)</f>
        <v>0</v>
      </c>
      <c r="AM559" s="1979">
        <f>IF(Construction!$F$31=Construction!$R$22,Oeko!CZ559,Oeko!FM559)</f>
        <v>0</v>
      </c>
      <c r="AN559" s="1979">
        <f>IF(Construction!$F$31=Construction!$R$22,Oeko!DA559,Oeko!FN559)</f>
        <v>0</v>
      </c>
      <c r="AO559" s="1979">
        <f>IF(Construction!$F$31=Construction!$R$22,Oeko!DB559,Oeko!FO559)</f>
        <v>0</v>
      </c>
      <c r="AP559" s="1979">
        <f>IF(Construction!$F$31=Construction!$R$22,Oeko!DC559,Oeko!FP559)</f>
        <v>0</v>
      </c>
      <c r="AQ559" s="1979">
        <f>IF(Construction!$F$31=Construction!$R$22,Oeko!DD559,Oeko!FQ559)</f>
        <v>0</v>
      </c>
      <c r="AR559" s="1998">
        <f>IF(Construction!$F$31=Construction!$R$22,Oeko!DE559,Oeko!FR559)</f>
        <v>0</v>
      </c>
      <c r="AS559" s="1998">
        <f>IF(Construction!$F$31=Construction!$R$22,Oeko!DF559,Oeko!FS559)</f>
        <v>0</v>
      </c>
      <c r="AT559" s="1998">
        <f>IF(Construction!$F$31=Construction!$R$22,Oeko!DG559,Oeko!FT559)</f>
        <v>0</v>
      </c>
      <c r="AU559" s="1998">
        <f>IF(Construction!$F$31=Construction!$R$22,Oeko!DH559,Oeko!FU559)</f>
        <v>0</v>
      </c>
      <c r="AV559" s="1998">
        <f>IF(Construction!$F$31=Construction!$R$22,Oeko!DI559,Oeko!FV559)</f>
        <v>0</v>
      </c>
      <c r="AW559" s="1979">
        <f>IF(Construction!$F$31=Construction!$R$22,Oeko!DJ559,Oeko!FW559)</f>
        <v>0</v>
      </c>
      <c r="AX559" s="1979">
        <f>IF(Construction!$F$31=Construction!$R$22,Oeko!DK559,Oeko!FX559)</f>
        <v>0</v>
      </c>
      <c r="AY559" s="1979">
        <f>IF(Construction!$F$31=Construction!$R$22,Oeko!DL559,Oeko!FY559)</f>
        <v>0</v>
      </c>
      <c r="AZ559" s="1979">
        <f>IF(Construction!$F$31=Construction!$R$22,Oeko!DM559,Oeko!FZ559)</f>
        <v>0</v>
      </c>
      <c r="BA559" s="1979">
        <f>IF(Construction!$F$31=Construction!$R$22,Oeko!DN559,Oeko!GA559)</f>
        <v>0</v>
      </c>
      <c r="BB559" s="1998">
        <f>IF(Construction!$F$31=Construction!$R$22,Oeko!DO559,Oeko!GB559)</f>
        <v>0</v>
      </c>
      <c r="BC559" s="1998">
        <f>IF(Construction!$F$31=Construction!$R$22,Oeko!DP559,Oeko!GC559)</f>
        <v>0</v>
      </c>
      <c r="BD559" s="1998">
        <f>IF(Construction!$F$31=Construction!$R$22,Oeko!DQ559,Oeko!GD559)</f>
        <v>0</v>
      </c>
      <c r="BE559" s="1998">
        <f>IF(Construction!$F$31=Construction!$R$22,Oeko!DR559,Oeko!GE559)</f>
        <v>0</v>
      </c>
      <c r="BF559" s="1998">
        <f>IF(Construction!$F$31=Construction!$R$22,Oeko!DS559,Oeko!GF559)</f>
        <v>0</v>
      </c>
      <c r="BG559" s="1979">
        <f>IF(Construction!$F$31=Construction!$R$22,Oeko!DT559,Oeko!GG559)</f>
        <v>0</v>
      </c>
      <c r="BH559" s="1979">
        <f>IF(Construction!$F$31=Construction!$R$22,Oeko!DU559,Oeko!GH559)</f>
        <v>0</v>
      </c>
      <c r="BI559" s="1979">
        <f>IF(Construction!$F$31=Construction!$R$22,Oeko!DV559,Oeko!GI559)</f>
        <v>0</v>
      </c>
      <c r="BJ559" s="1979">
        <f>IF(Construction!$F$31=Construction!$R$22,Oeko!DW559,Oeko!GJ559)</f>
        <v>0</v>
      </c>
      <c r="BK559" s="2021">
        <f>IF(Construction!$F$31=Construction!$R$22,Oeko!DX559,Oeko!GK559)</f>
        <v>0</v>
      </c>
      <c r="BN559" s="2018"/>
      <c r="BO559" s="2">
        <v>19</v>
      </c>
      <c r="BP559" s="2" t="str">
        <f>CONCATENATE($U$8," ",GV$13)</f>
        <v xml:space="preserve">Proportion de fenêtres </v>
      </c>
      <c r="BQ559" s="1998">
        <v>0</v>
      </c>
      <c r="BR559" s="1998">
        <v>0</v>
      </c>
      <c r="BS559" s="1998">
        <v>0</v>
      </c>
      <c r="BT559" s="1998">
        <v>0</v>
      </c>
      <c r="BU559" s="1998">
        <v>0</v>
      </c>
      <c r="BV559" s="1979">
        <v>0</v>
      </c>
      <c r="BW559" s="1979">
        <v>0</v>
      </c>
      <c r="BX559" s="1979">
        <v>0</v>
      </c>
      <c r="BY559" s="1979">
        <v>0</v>
      </c>
      <c r="BZ559" s="1979">
        <v>0</v>
      </c>
      <c r="CA559" s="1998">
        <v>0</v>
      </c>
      <c r="CB559" s="1998">
        <v>0</v>
      </c>
      <c r="CC559" s="1998">
        <v>0</v>
      </c>
      <c r="CD559" s="1998">
        <v>0</v>
      </c>
      <c r="CE559" s="1998">
        <v>0</v>
      </c>
      <c r="CF559" s="1979">
        <v>1</v>
      </c>
      <c r="CG559" s="1979">
        <v>1</v>
      </c>
      <c r="CH559" s="1979">
        <v>1</v>
      </c>
      <c r="CI559" s="1979">
        <v>1</v>
      </c>
      <c r="CJ559" s="1979">
        <v>1</v>
      </c>
      <c r="CK559" s="1998">
        <v>0</v>
      </c>
      <c r="CL559" s="1998">
        <v>0</v>
      </c>
      <c r="CM559" s="1998">
        <v>0</v>
      </c>
      <c r="CN559" s="1998">
        <v>0</v>
      </c>
      <c r="CO559" s="1998">
        <v>0</v>
      </c>
      <c r="CP559" s="1979">
        <v>0</v>
      </c>
      <c r="CQ559" s="1979">
        <v>0</v>
      </c>
      <c r="CR559" s="1979">
        <v>0</v>
      </c>
      <c r="CS559" s="1979">
        <v>0</v>
      </c>
      <c r="CT559" s="1979">
        <v>0</v>
      </c>
      <c r="CU559" s="1998">
        <v>0</v>
      </c>
      <c r="CV559" s="1998">
        <v>0</v>
      </c>
      <c r="CW559" s="1998">
        <v>0</v>
      </c>
      <c r="CX559" s="1998">
        <v>0</v>
      </c>
      <c r="CY559" s="1998">
        <v>0</v>
      </c>
      <c r="CZ559" s="1979">
        <v>0</v>
      </c>
      <c r="DA559" s="1979">
        <v>0</v>
      </c>
      <c r="DB559" s="1979">
        <v>0</v>
      </c>
      <c r="DC559" s="1979">
        <v>0</v>
      </c>
      <c r="DD559" s="1979">
        <v>0</v>
      </c>
      <c r="DE559" s="1998">
        <v>0</v>
      </c>
      <c r="DF559" s="1998">
        <v>0</v>
      </c>
      <c r="DG559" s="1998">
        <v>0</v>
      </c>
      <c r="DH559" s="1998">
        <v>0</v>
      </c>
      <c r="DI559" s="1998">
        <v>0</v>
      </c>
      <c r="DJ559" s="1979">
        <v>0</v>
      </c>
      <c r="DK559" s="1979">
        <v>0</v>
      </c>
      <c r="DL559" s="1979">
        <v>0</v>
      </c>
      <c r="DM559" s="1979">
        <v>0</v>
      </c>
      <c r="DN559" s="1979">
        <v>0</v>
      </c>
      <c r="DO559" s="1998">
        <v>0</v>
      </c>
      <c r="DP559" s="1998">
        <v>0</v>
      </c>
      <c r="DQ559" s="1998">
        <v>0</v>
      </c>
      <c r="DR559" s="1998">
        <v>0</v>
      </c>
      <c r="DS559" s="1998">
        <v>0</v>
      </c>
      <c r="DT559" s="1979">
        <v>0</v>
      </c>
      <c r="DU559" s="1979">
        <v>0</v>
      </c>
      <c r="DV559" s="1979">
        <v>0</v>
      </c>
      <c r="DW559" s="1979">
        <v>0</v>
      </c>
      <c r="DX559" s="2021">
        <v>0</v>
      </c>
      <c r="EA559" s="2018"/>
      <c r="EB559" s="2">
        <v>19</v>
      </c>
      <c r="EC559" s="2" t="str">
        <f>CONCATENATE($U$8," ",JI$13)</f>
        <v xml:space="preserve">Proportion de fenêtres </v>
      </c>
      <c r="ED559" s="1998">
        <v>0</v>
      </c>
      <c r="EE559" s="1998">
        <v>0</v>
      </c>
      <c r="EF559" s="1998">
        <v>0</v>
      </c>
      <c r="EG559" s="1998">
        <v>0</v>
      </c>
      <c r="EH559" s="1998">
        <v>0</v>
      </c>
      <c r="EI559" s="1979">
        <v>0</v>
      </c>
      <c r="EJ559" s="1979">
        <v>0</v>
      </c>
      <c r="EK559" s="1979">
        <v>0</v>
      </c>
      <c r="EL559" s="1979">
        <v>0</v>
      </c>
      <c r="EM559" s="1979">
        <v>0</v>
      </c>
      <c r="EN559" s="1998">
        <v>0</v>
      </c>
      <c r="EO559" s="1998">
        <v>0</v>
      </c>
      <c r="EP559" s="1998">
        <v>0</v>
      </c>
      <c r="EQ559" s="1998">
        <v>0</v>
      </c>
      <c r="ER559" s="1998">
        <v>0</v>
      </c>
      <c r="ES559" s="1979">
        <v>1.7711091583252017</v>
      </c>
      <c r="ET559" s="1979">
        <v>1.7993872846905539</v>
      </c>
      <c r="EU559" s="1979">
        <v>1.8064568162818917</v>
      </c>
      <c r="EV559" s="1979">
        <v>1.8135263478732302</v>
      </c>
      <c r="EW559" s="1979">
        <v>1.820595879464568</v>
      </c>
      <c r="EX559" s="1998">
        <v>0</v>
      </c>
      <c r="EY559" s="1998">
        <v>0</v>
      </c>
      <c r="EZ559" s="1998">
        <v>0</v>
      </c>
      <c r="FA559" s="1998">
        <v>0</v>
      </c>
      <c r="FB559" s="1998">
        <v>0</v>
      </c>
      <c r="FC559" s="1979">
        <v>0</v>
      </c>
      <c r="FD559" s="1979">
        <v>0</v>
      </c>
      <c r="FE559" s="1979">
        <v>0</v>
      </c>
      <c r="FF559" s="1979">
        <v>0</v>
      </c>
      <c r="FG559" s="1979">
        <v>0</v>
      </c>
      <c r="FH559" s="1998">
        <v>0</v>
      </c>
      <c r="FI559" s="1998">
        <v>0</v>
      </c>
      <c r="FJ559" s="1998">
        <v>0</v>
      </c>
      <c r="FK559" s="1998">
        <v>0</v>
      </c>
      <c r="FL559" s="1998">
        <v>0</v>
      </c>
      <c r="FM559" s="1979">
        <v>0</v>
      </c>
      <c r="FN559" s="1979">
        <v>0</v>
      </c>
      <c r="FO559" s="1979">
        <v>0</v>
      </c>
      <c r="FP559" s="1979">
        <v>0</v>
      </c>
      <c r="FQ559" s="1979">
        <v>0</v>
      </c>
      <c r="FR559" s="1998">
        <v>0</v>
      </c>
      <c r="FS559" s="1998">
        <v>0</v>
      </c>
      <c r="FT559" s="1998">
        <v>0</v>
      </c>
      <c r="FU559" s="1998">
        <v>0</v>
      </c>
      <c r="FV559" s="1998">
        <v>0</v>
      </c>
      <c r="FW559" s="1979">
        <v>0</v>
      </c>
      <c r="FX559" s="1979">
        <v>0</v>
      </c>
      <c r="FY559" s="1979">
        <v>0</v>
      </c>
      <c r="FZ559" s="1979">
        <v>0</v>
      </c>
      <c r="GA559" s="1979">
        <v>0</v>
      </c>
      <c r="GB559" s="1998">
        <v>0</v>
      </c>
      <c r="GC559" s="1998">
        <v>0</v>
      </c>
      <c r="GD559" s="1998">
        <v>0</v>
      </c>
      <c r="GE559" s="1998">
        <v>0</v>
      </c>
      <c r="GF559" s="1998">
        <v>0</v>
      </c>
      <c r="GG559" s="1979">
        <v>0</v>
      </c>
      <c r="GH559" s="1979">
        <v>0</v>
      </c>
      <c r="GI559" s="1979">
        <v>0</v>
      </c>
      <c r="GJ559" s="1979">
        <v>0</v>
      </c>
      <c r="GK559" s="2021">
        <v>0</v>
      </c>
    </row>
    <row r="560" spans="1:193">
      <c r="A560" s="2016"/>
      <c r="B560" s="2">
        <v>20</v>
      </c>
      <c r="C560" s="2" t="str">
        <f>CONCATENATE($U$8," ",EI$14)</f>
        <v xml:space="preserve">Proportion de fenêtres </v>
      </c>
      <c r="D560" s="1998">
        <f>IF(Construction!$F$31=Construction!$R$22,Oeko!BQ560,Oeko!ED560)</f>
        <v>0</v>
      </c>
      <c r="E560" s="1998">
        <f>IF(Construction!$F$31=Construction!$R$22,Oeko!BR560,Oeko!EE560)</f>
        <v>0</v>
      </c>
      <c r="F560" s="1998">
        <f>IF(Construction!$F$31=Construction!$R$22,Oeko!BS560,Oeko!EF560)</f>
        <v>0</v>
      </c>
      <c r="G560" s="1998">
        <f>IF(Construction!$F$31=Construction!$R$22,Oeko!BT560,Oeko!EG560)</f>
        <v>0</v>
      </c>
      <c r="H560" s="1998">
        <f>IF(Construction!$F$31=Construction!$R$22,Oeko!BU560,Oeko!EH560)</f>
        <v>0</v>
      </c>
      <c r="I560" s="1979">
        <f>IF(Construction!$F$31=Construction!$R$22,Oeko!BV560,Oeko!EI560)</f>
        <v>0</v>
      </c>
      <c r="J560" s="1979">
        <f>IF(Construction!$F$31=Construction!$R$22,Oeko!BW560,Oeko!EJ560)</f>
        <v>0</v>
      </c>
      <c r="K560" s="1979">
        <f>IF(Construction!$F$31=Construction!$R$22,Oeko!BX560,Oeko!EK560)</f>
        <v>0</v>
      </c>
      <c r="L560" s="1979">
        <f>IF(Construction!$F$31=Construction!$R$22,Oeko!BY560,Oeko!EL560)</f>
        <v>0</v>
      </c>
      <c r="M560" s="1979">
        <f>IF(Construction!$F$31=Construction!$R$22,Oeko!BZ560,Oeko!EM560)</f>
        <v>0</v>
      </c>
      <c r="N560" s="1998">
        <f>IF(Construction!$F$31=Construction!$R$22,Oeko!CA560,Oeko!EN560)</f>
        <v>0</v>
      </c>
      <c r="O560" s="1998">
        <f>IF(Construction!$F$31=Construction!$R$22,Oeko!CB560,Oeko!EO560)</f>
        <v>0</v>
      </c>
      <c r="P560" s="1998">
        <f>IF(Construction!$F$31=Construction!$R$22,Oeko!CC560,Oeko!EP560)</f>
        <v>0</v>
      </c>
      <c r="Q560" s="1998">
        <f>IF(Construction!$F$31=Construction!$R$22,Oeko!CD560,Oeko!EQ560)</f>
        <v>0</v>
      </c>
      <c r="R560" s="1998">
        <f>IF(Construction!$F$31=Construction!$R$22,Oeko!CE560,Oeko!ER560)</f>
        <v>0</v>
      </c>
      <c r="S560" s="1979">
        <f>IF(Construction!$F$31=Construction!$R$22,Oeko!CF560,Oeko!ES560)</f>
        <v>1</v>
      </c>
      <c r="T560" s="1979">
        <f>IF(Construction!$F$31=Construction!$R$22,Oeko!CG560,Oeko!ET560)</f>
        <v>1</v>
      </c>
      <c r="U560" s="1979">
        <f>IF(Construction!$F$31=Construction!$R$22,Oeko!CH560,Oeko!EU560)</f>
        <v>1</v>
      </c>
      <c r="V560" s="1979">
        <f>IF(Construction!$F$31=Construction!$R$22,Oeko!CI560,Oeko!EV560)</f>
        <v>1</v>
      </c>
      <c r="W560" s="1979">
        <f>IF(Construction!$F$31=Construction!$R$22,Oeko!CJ560,Oeko!EW560)</f>
        <v>1</v>
      </c>
      <c r="X560" s="1998">
        <f>IF(Construction!$F$31=Construction!$R$22,Oeko!CK560,Oeko!EX560)</f>
        <v>0</v>
      </c>
      <c r="Y560" s="1998">
        <f>IF(Construction!$F$31=Construction!$R$22,Oeko!CL560,Oeko!EY560)</f>
        <v>0</v>
      </c>
      <c r="Z560" s="1998">
        <f>IF(Construction!$F$31=Construction!$R$22,Oeko!CM560,Oeko!EZ560)</f>
        <v>0</v>
      </c>
      <c r="AA560" s="1998">
        <f>IF(Construction!$F$31=Construction!$R$22,Oeko!CN560,Oeko!FA560)</f>
        <v>0</v>
      </c>
      <c r="AB560" s="1998">
        <f>IF(Construction!$F$31=Construction!$R$22,Oeko!CO560,Oeko!FB560)</f>
        <v>0</v>
      </c>
      <c r="AC560" s="1979">
        <f>IF(Construction!$F$31=Construction!$R$22,Oeko!CP560,Oeko!FC560)</f>
        <v>0</v>
      </c>
      <c r="AD560" s="1979">
        <f>IF(Construction!$F$31=Construction!$R$22,Oeko!CQ560,Oeko!FD560)</f>
        <v>0</v>
      </c>
      <c r="AE560" s="1979">
        <f>IF(Construction!$F$31=Construction!$R$22,Oeko!CR560,Oeko!FE560)</f>
        <v>0</v>
      </c>
      <c r="AF560" s="1979">
        <f>IF(Construction!$F$31=Construction!$R$22,Oeko!CS560,Oeko!FF560)</f>
        <v>0</v>
      </c>
      <c r="AG560" s="1979">
        <f>IF(Construction!$F$31=Construction!$R$22,Oeko!CT560,Oeko!FG560)</f>
        <v>0</v>
      </c>
      <c r="AH560" s="1998">
        <f>IF(Construction!$F$31=Construction!$R$22,Oeko!CU560,Oeko!FH560)</f>
        <v>0</v>
      </c>
      <c r="AI560" s="1998">
        <f>IF(Construction!$F$31=Construction!$R$22,Oeko!CV560,Oeko!FI560)</f>
        <v>0</v>
      </c>
      <c r="AJ560" s="1998">
        <f>IF(Construction!$F$31=Construction!$R$22,Oeko!CW560,Oeko!FJ560)</f>
        <v>0</v>
      </c>
      <c r="AK560" s="1998">
        <f>IF(Construction!$F$31=Construction!$R$22,Oeko!CX560,Oeko!FK560)</f>
        <v>0</v>
      </c>
      <c r="AL560" s="1998">
        <f>IF(Construction!$F$31=Construction!$R$22,Oeko!CY560,Oeko!FL560)</f>
        <v>0</v>
      </c>
      <c r="AM560" s="1979">
        <f>IF(Construction!$F$31=Construction!$R$22,Oeko!CZ560,Oeko!FM560)</f>
        <v>0</v>
      </c>
      <c r="AN560" s="1979">
        <f>IF(Construction!$F$31=Construction!$R$22,Oeko!DA560,Oeko!FN560)</f>
        <v>0</v>
      </c>
      <c r="AO560" s="1979">
        <f>IF(Construction!$F$31=Construction!$R$22,Oeko!DB560,Oeko!FO560)</f>
        <v>0</v>
      </c>
      <c r="AP560" s="1979">
        <f>IF(Construction!$F$31=Construction!$R$22,Oeko!DC560,Oeko!FP560)</f>
        <v>0</v>
      </c>
      <c r="AQ560" s="1979">
        <f>IF(Construction!$F$31=Construction!$R$22,Oeko!DD560,Oeko!FQ560)</f>
        <v>0</v>
      </c>
      <c r="AR560" s="1998">
        <f>IF(Construction!$F$31=Construction!$R$22,Oeko!DE560,Oeko!FR560)</f>
        <v>0</v>
      </c>
      <c r="AS560" s="1998">
        <f>IF(Construction!$F$31=Construction!$R$22,Oeko!DF560,Oeko!FS560)</f>
        <v>0</v>
      </c>
      <c r="AT560" s="1998">
        <f>IF(Construction!$F$31=Construction!$R$22,Oeko!DG560,Oeko!FT560)</f>
        <v>0</v>
      </c>
      <c r="AU560" s="1998">
        <f>IF(Construction!$F$31=Construction!$R$22,Oeko!DH560,Oeko!FU560)</f>
        <v>0</v>
      </c>
      <c r="AV560" s="1998">
        <f>IF(Construction!$F$31=Construction!$R$22,Oeko!DI560,Oeko!FV560)</f>
        <v>0</v>
      </c>
      <c r="AW560" s="1979">
        <f>IF(Construction!$F$31=Construction!$R$22,Oeko!DJ560,Oeko!FW560)</f>
        <v>0</v>
      </c>
      <c r="AX560" s="1979">
        <f>IF(Construction!$F$31=Construction!$R$22,Oeko!DK560,Oeko!FX560)</f>
        <v>0</v>
      </c>
      <c r="AY560" s="1979">
        <f>IF(Construction!$F$31=Construction!$R$22,Oeko!DL560,Oeko!FY560)</f>
        <v>0</v>
      </c>
      <c r="AZ560" s="1979">
        <f>IF(Construction!$F$31=Construction!$R$22,Oeko!DM560,Oeko!FZ560)</f>
        <v>0</v>
      </c>
      <c r="BA560" s="1979">
        <f>IF(Construction!$F$31=Construction!$R$22,Oeko!DN560,Oeko!GA560)</f>
        <v>0</v>
      </c>
      <c r="BB560" s="1998">
        <f>IF(Construction!$F$31=Construction!$R$22,Oeko!DO560,Oeko!GB560)</f>
        <v>0</v>
      </c>
      <c r="BC560" s="1998">
        <f>IF(Construction!$F$31=Construction!$R$22,Oeko!DP560,Oeko!GC560)</f>
        <v>0</v>
      </c>
      <c r="BD560" s="1998">
        <f>IF(Construction!$F$31=Construction!$R$22,Oeko!DQ560,Oeko!GD560)</f>
        <v>0</v>
      </c>
      <c r="BE560" s="1998">
        <f>IF(Construction!$F$31=Construction!$R$22,Oeko!DR560,Oeko!GE560)</f>
        <v>0</v>
      </c>
      <c r="BF560" s="1998">
        <f>IF(Construction!$F$31=Construction!$R$22,Oeko!DS560,Oeko!GF560)</f>
        <v>0</v>
      </c>
      <c r="BG560" s="1979">
        <f>IF(Construction!$F$31=Construction!$R$22,Oeko!DT560,Oeko!GG560)</f>
        <v>0</v>
      </c>
      <c r="BH560" s="1979">
        <f>IF(Construction!$F$31=Construction!$R$22,Oeko!DU560,Oeko!GH560)</f>
        <v>0</v>
      </c>
      <c r="BI560" s="1979">
        <f>IF(Construction!$F$31=Construction!$R$22,Oeko!DV560,Oeko!GI560)</f>
        <v>0</v>
      </c>
      <c r="BJ560" s="1979">
        <f>IF(Construction!$F$31=Construction!$R$22,Oeko!DW560,Oeko!GJ560)</f>
        <v>0</v>
      </c>
      <c r="BK560" s="2021">
        <f>IF(Construction!$F$31=Construction!$R$22,Oeko!DX560,Oeko!GK560)</f>
        <v>0</v>
      </c>
      <c r="BN560" s="2018"/>
      <c r="BO560" s="2">
        <v>20</v>
      </c>
      <c r="BP560" s="2" t="str">
        <f>CONCATENATE($U$8," ",GV$14)</f>
        <v xml:space="preserve">Proportion de fenêtres </v>
      </c>
      <c r="BQ560" s="1998">
        <v>0</v>
      </c>
      <c r="BR560" s="1998">
        <v>0</v>
      </c>
      <c r="BS560" s="1998">
        <v>0</v>
      </c>
      <c r="BT560" s="1998">
        <v>0</v>
      </c>
      <c r="BU560" s="1998">
        <v>0</v>
      </c>
      <c r="BV560" s="1979">
        <v>0</v>
      </c>
      <c r="BW560" s="1979">
        <v>0</v>
      </c>
      <c r="BX560" s="1979">
        <v>0</v>
      </c>
      <c r="BY560" s="1979">
        <v>0</v>
      </c>
      <c r="BZ560" s="1979">
        <v>0</v>
      </c>
      <c r="CA560" s="1998">
        <v>0</v>
      </c>
      <c r="CB560" s="1998">
        <v>0</v>
      </c>
      <c r="CC560" s="1998">
        <v>0</v>
      </c>
      <c r="CD560" s="1998">
        <v>0</v>
      </c>
      <c r="CE560" s="1998">
        <v>0</v>
      </c>
      <c r="CF560" s="1979">
        <v>1</v>
      </c>
      <c r="CG560" s="1979">
        <v>1</v>
      </c>
      <c r="CH560" s="1979">
        <v>1</v>
      </c>
      <c r="CI560" s="1979">
        <v>1</v>
      </c>
      <c r="CJ560" s="1979">
        <v>1</v>
      </c>
      <c r="CK560" s="1998">
        <v>0</v>
      </c>
      <c r="CL560" s="1998">
        <v>0</v>
      </c>
      <c r="CM560" s="1998">
        <v>0</v>
      </c>
      <c r="CN560" s="1998">
        <v>0</v>
      </c>
      <c r="CO560" s="1998">
        <v>0</v>
      </c>
      <c r="CP560" s="1979">
        <v>0</v>
      </c>
      <c r="CQ560" s="1979">
        <v>0</v>
      </c>
      <c r="CR560" s="1979">
        <v>0</v>
      </c>
      <c r="CS560" s="1979">
        <v>0</v>
      </c>
      <c r="CT560" s="1979">
        <v>0</v>
      </c>
      <c r="CU560" s="1998">
        <v>0</v>
      </c>
      <c r="CV560" s="1998">
        <v>0</v>
      </c>
      <c r="CW560" s="1998">
        <v>0</v>
      </c>
      <c r="CX560" s="1998">
        <v>0</v>
      </c>
      <c r="CY560" s="1998">
        <v>0</v>
      </c>
      <c r="CZ560" s="1979">
        <v>0</v>
      </c>
      <c r="DA560" s="1979">
        <v>0</v>
      </c>
      <c r="DB560" s="1979">
        <v>0</v>
      </c>
      <c r="DC560" s="1979">
        <v>0</v>
      </c>
      <c r="DD560" s="1979">
        <v>0</v>
      </c>
      <c r="DE560" s="1998">
        <v>0</v>
      </c>
      <c r="DF560" s="1998">
        <v>0</v>
      </c>
      <c r="DG560" s="1998">
        <v>0</v>
      </c>
      <c r="DH560" s="1998">
        <v>0</v>
      </c>
      <c r="DI560" s="1998">
        <v>0</v>
      </c>
      <c r="DJ560" s="1979">
        <v>0</v>
      </c>
      <c r="DK560" s="1979">
        <v>0</v>
      </c>
      <c r="DL560" s="1979">
        <v>0</v>
      </c>
      <c r="DM560" s="1979">
        <v>0</v>
      </c>
      <c r="DN560" s="1979">
        <v>0</v>
      </c>
      <c r="DO560" s="1998">
        <v>0</v>
      </c>
      <c r="DP560" s="1998">
        <v>0</v>
      </c>
      <c r="DQ560" s="1998">
        <v>0</v>
      </c>
      <c r="DR560" s="1998">
        <v>0</v>
      </c>
      <c r="DS560" s="1998">
        <v>0</v>
      </c>
      <c r="DT560" s="1979">
        <v>0</v>
      </c>
      <c r="DU560" s="1979">
        <v>0</v>
      </c>
      <c r="DV560" s="1979">
        <v>0</v>
      </c>
      <c r="DW560" s="1979">
        <v>0</v>
      </c>
      <c r="DX560" s="2021">
        <v>0</v>
      </c>
      <c r="EA560" s="2018"/>
      <c r="EB560" s="2">
        <v>20</v>
      </c>
      <c r="EC560" s="2" t="str">
        <f>CONCATENATE($U$8," ",JI$14)</f>
        <v xml:space="preserve">Proportion de fenêtres </v>
      </c>
      <c r="ED560" s="1998">
        <v>0</v>
      </c>
      <c r="EE560" s="1998">
        <v>0</v>
      </c>
      <c r="EF560" s="1998">
        <v>0</v>
      </c>
      <c r="EG560" s="1998">
        <v>0</v>
      </c>
      <c r="EH560" s="1998">
        <v>0</v>
      </c>
      <c r="EI560" s="1979">
        <v>0</v>
      </c>
      <c r="EJ560" s="1979">
        <v>0</v>
      </c>
      <c r="EK560" s="1979">
        <v>0</v>
      </c>
      <c r="EL560" s="1979">
        <v>0</v>
      </c>
      <c r="EM560" s="1979">
        <v>0</v>
      </c>
      <c r="EN560" s="1998">
        <v>0</v>
      </c>
      <c r="EO560" s="1998">
        <v>0</v>
      </c>
      <c r="EP560" s="1998">
        <v>0</v>
      </c>
      <c r="EQ560" s="1998">
        <v>0</v>
      </c>
      <c r="ER560" s="1998">
        <v>0</v>
      </c>
      <c r="ES560" s="1979">
        <v>1.7711091583252017</v>
      </c>
      <c r="ET560" s="1979">
        <v>1.7993872846905539</v>
      </c>
      <c r="EU560" s="1979">
        <v>1.8064568162818917</v>
      </c>
      <c r="EV560" s="1979">
        <v>1.8135263478732302</v>
      </c>
      <c r="EW560" s="1979">
        <v>1.820595879464568</v>
      </c>
      <c r="EX560" s="1998">
        <v>0</v>
      </c>
      <c r="EY560" s="1998">
        <v>0</v>
      </c>
      <c r="EZ560" s="1998">
        <v>0</v>
      </c>
      <c r="FA560" s="1998">
        <v>0</v>
      </c>
      <c r="FB560" s="1998">
        <v>0</v>
      </c>
      <c r="FC560" s="1979">
        <v>0</v>
      </c>
      <c r="FD560" s="1979">
        <v>0</v>
      </c>
      <c r="FE560" s="1979">
        <v>0</v>
      </c>
      <c r="FF560" s="1979">
        <v>0</v>
      </c>
      <c r="FG560" s="1979">
        <v>0</v>
      </c>
      <c r="FH560" s="1998">
        <v>0</v>
      </c>
      <c r="FI560" s="1998">
        <v>0</v>
      </c>
      <c r="FJ560" s="1998">
        <v>0</v>
      </c>
      <c r="FK560" s="1998">
        <v>0</v>
      </c>
      <c r="FL560" s="1998">
        <v>0</v>
      </c>
      <c r="FM560" s="1979">
        <v>0</v>
      </c>
      <c r="FN560" s="1979">
        <v>0</v>
      </c>
      <c r="FO560" s="1979">
        <v>0</v>
      </c>
      <c r="FP560" s="1979">
        <v>0</v>
      </c>
      <c r="FQ560" s="1979">
        <v>0</v>
      </c>
      <c r="FR560" s="1998">
        <v>0</v>
      </c>
      <c r="FS560" s="1998">
        <v>0</v>
      </c>
      <c r="FT560" s="1998">
        <v>0</v>
      </c>
      <c r="FU560" s="1998">
        <v>0</v>
      </c>
      <c r="FV560" s="1998">
        <v>0</v>
      </c>
      <c r="FW560" s="1979">
        <v>0</v>
      </c>
      <c r="FX560" s="1979">
        <v>0</v>
      </c>
      <c r="FY560" s="1979">
        <v>0</v>
      </c>
      <c r="FZ560" s="1979">
        <v>0</v>
      </c>
      <c r="GA560" s="1979">
        <v>0</v>
      </c>
      <c r="GB560" s="1998">
        <v>0</v>
      </c>
      <c r="GC560" s="1998">
        <v>0</v>
      </c>
      <c r="GD560" s="1998">
        <v>0</v>
      </c>
      <c r="GE560" s="1998">
        <v>0</v>
      </c>
      <c r="GF560" s="1998">
        <v>0</v>
      </c>
      <c r="GG560" s="1979">
        <v>0</v>
      </c>
      <c r="GH560" s="1979">
        <v>0</v>
      </c>
      <c r="GI560" s="1979">
        <v>0</v>
      </c>
      <c r="GJ560" s="1979">
        <v>0</v>
      </c>
      <c r="GK560" s="2021">
        <v>0</v>
      </c>
    </row>
    <row r="561" spans="1:193">
      <c r="A561" s="2016"/>
      <c r="B561" s="2">
        <v>21</v>
      </c>
      <c r="C561" s="2" t="str">
        <f>CONCATENATE($U$8," ",EI$15)</f>
        <v xml:space="preserve">Proportion de fenêtres </v>
      </c>
      <c r="D561" s="1998">
        <f>IF(Construction!$F$31=Construction!$R$22,Oeko!BQ561,Oeko!ED561)</f>
        <v>0</v>
      </c>
      <c r="E561" s="1998">
        <f>IF(Construction!$F$31=Construction!$R$22,Oeko!BR561,Oeko!EE561)</f>
        <v>0</v>
      </c>
      <c r="F561" s="1998">
        <f>IF(Construction!$F$31=Construction!$R$22,Oeko!BS561,Oeko!EF561)</f>
        <v>0</v>
      </c>
      <c r="G561" s="1998">
        <f>IF(Construction!$F$31=Construction!$R$22,Oeko!BT561,Oeko!EG561)</f>
        <v>0</v>
      </c>
      <c r="H561" s="1998">
        <f>IF(Construction!$F$31=Construction!$R$22,Oeko!BU561,Oeko!EH561)</f>
        <v>0</v>
      </c>
      <c r="I561" s="1979">
        <f>IF(Construction!$F$31=Construction!$R$22,Oeko!BV561,Oeko!EI561)</f>
        <v>0</v>
      </c>
      <c r="J561" s="1979">
        <f>IF(Construction!$F$31=Construction!$R$22,Oeko!BW561,Oeko!EJ561)</f>
        <v>0</v>
      </c>
      <c r="K561" s="1979">
        <f>IF(Construction!$F$31=Construction!$R$22,Oeko!BX561,Oeko!EK561)</f>
        <v>0</v>
      </c>
      <c r="L561" s="1979">
        <f>IF(Construction!$F$31=Construction!$R$22,Oeko!BY561,Oeko!EL561)</f>
        <v>0</v>
      </c>
      <c r="M561" s="1979">
        <f>IF(Construction!$F$31=Construction!$R$22,Oeko!BZ561,Oeko!EM561)</f>
        <v>0</v>
      </c>
      <c r="N561" s="1998">
        <f>IF(Construction!$F$31=Construction!$R$22,Oeko!CA561,Oeko!EN561)</f>
        <v>0</v>
      </c>
      <c r="O561" s="1998">
        <f>IF(Construction!$F$31=Construction!$R$22,Oeko!CB561,Oeko!EO561)</f>
        <v>0</v>
      </c>
      <c r="P561" s="1998">
        <f>IF(Construction!$F$31=Construction!$R$22,Oeko!CC561,Oeko!EP561)</f>
        <v>0</v>
      </c>
      <c r="Q561" s="1998">
        <f>IF(Construction!$F$31=Construction!$R$22,Oeko!CD561,Oeko!EQ561)</f>
        <v>0</v>
      </c>
      <c r="R561" s="1998">
        <f>IF(Construction!$F$31=Construction!$R$22,Oeko!CE561,Oeko!ER561)</f>
        <v>0</v>
      </c>
      <c r="S561" s="1979">
        <f>IF(Construction!$F$31=Construction!$R$22,Oeko!CF561,Oeko!ES561)</f>
        <v>1</v>
      </c>
      <c r="T561" s="1979">
        <f>IF(Construction!$F$31=Construction!$R$22,Oeko!CG561,Oeko!ET561)</f>
        <v>1</v>
      </c>
      <c r="U561" s="1979">
        <f>IF(Construction!$F$31=Construction!$R$22,Oeko!CH561,Oeko!EU561)</f>
        <v>1</v>
      </c>
      <c r="V561" s="1979">
        <f>IF(Construction!$F$31=Construction!$R$22,Oeko!CI561,Oeko!EV561)</f>
        <v>1</v>
      </c>
      <c r="W561" s="1979">
        <f>IF(Construction!$F$31=Construction!$R$22,Oeko!CJ561,Oeko!EW561)</f>
        <v>1</v>
      </c>
      <c r="X561" s="1998">
        <f>IF(Construction!$F$31=Construction!$R$22,Oeko!CK561,Oeko!EX561)</f>
        <v>0</v>
      </c>
      <c r="Y561" s="1998">
        <f>IF(Construction!$F$31=Construction!$R$22,Oeko!CL561,Oeko!EY561)</f>
        <v>0</v>
      </c>
      <c r="Z561" s="1998">
        <f>IF(Construction!$F$31=Construction!$R$22,Oeko!CM561,Oeko!EZ561)</f>
        <v>0</v>
      </c>
      <c r="AA561" s="1998">
        <f>IF(Construction!$F$31=Construction!$R$22,Oeko!CN561,Oeko!FA561)</f>
        <v>0</v>
      </c>
      <c r="AB561" s="1998">
        <f>IF(Construction!$F$31=Construction!$R$22,Oeko!CO561,Oeko!FB561)</f>
        <v>0</v>
      </c>
      <c r="AC561" s="1979">
        <f>IF(Construction!$F$31=Construction!$R$22,Oeko!CP561,Oeko!FC561)</f>
        <v>0</v>
      </c>
      <c r="AD561" s="1979">
        <f>IF(Construction!$F$31=Construction!$R$22,Oeko!CQ561,Oeko!FD561)</f>
        <v>0</v>
      </c>
      <c r="AE561" s="1979">
        <f>IF(Construction!$F$31=Construction!$R$22,Oeko!CR561,Oeko!FE561)</f>
        <v>0</v>
      </c>
      <c r="AF561" s="1979">
        <f>IF(Construction!$F$31=Construction!$R$22,Oeko!CS561,Oeko!FF561)</f>
        <v>0</v>
      </c>
      <c r="AG561" s="1979">
        <f>IF(Construction!$F$31=Construction!$R$22,Oeko!CT561,Oeko!FG561)</f>
        <v>0</v>
      </c>
      <c r="AH561" s="1998">
        <f>IF(Construction!$F$31=Construction!$R$22,Oeko!CU561,Oeko!FH561)</f>
        <v>0</v>
      </c>
      <c r="AI561" s="1998">
        <f>IF(Construction!$F$31=Construction!$R$22,Oeko!CV561,Oeko!FI561)</f>
        <v>0</v>
      </c>
      <c r="AJ561" s="1998">
        <f>IF(Construction!$F$31=Construction!$R$22,Oeko!CW561,Oeko!FJ561)</f>
        <v>0</v>
      </c>
      <c r="AK561" s="1998">
        <f>IF(Construction!$F$31=Construction!$R$22,Oeko!CX561,Oeko!FK561)</f>
        <v>0</v>
      </c>
      <c r="AL561" s="1998">
        <f>IF(Construction!$F$31=Construction!$R$22,Oeko!CY561,Oeko!FL561)</f>
        <v>0</v>
      </c>
      <c r="AM561" s="1979">
        <f>IF(Construction!$F$31=Construction!$R$22,Oeko!CZ561,Oeko!FM561)</f>
        <v>0</v>
      </c>
      <c r="AN561" s="1979">
        <f>IF(Construction!$F$31=Construction!$R$22,Oeko!DA561,Oeko!FN561)</f>
        <v>0</v>
      </c>
      <c r="AO561" s="1979">
        <f>IF(Construction!$F$31=Construction!$R$22,Oeko!DB561,Oeko!FO561)</f>
        <v>0</v>
      </c>
      <c r="AP561" s="1979">
        <f>IF(Construction!$F$31=Construction!$R$22,Oeko!DC561,Oeko!FP561)</f>
        <v>0</v>
      </c>
      <c r="AQ561" s="1979">
        <f>IF(Construction!$F$31=Construction!$R$22,Oeko!DD561,Oeko!FQ561)</f>
        <v>0</v>
      </c>
      <c r="AR561" s="1998">
        <f>IF(Construction!$F$31=Construction!$R$22,Oeko!DE561,Oeko!FR561)</f>
        <v>0</v>
      </c>
      <c r="AS561" s="1998">
        <f>IF(Construction!$F$31=Construction!$R$22,Oeko!DF561,Oeko!FS561)</f>
        <v>0</v>
      </c>
      <c r="AT561" s="1998">
        <f>IF(Construction!$F$31=Construction!$R$22,Oeko!DG561,Oeko!FT561)</f>
        <v>0</v>
      </c>
      <c r="AU561" s="1998">
        <f>IF(Construction!$F$31=Construction!$R$22,Oeko!DH561,Oeko!FU561)</f>
        <v>0</v>
      </c>
      <c r="AV561" s="1998">
        <f>IF(Construction!$F$31=Construction!$R$22,Oeko!DI561,Oeko!FV561)</f>
        <v>0</v>
      </c>
      <c r="AW561" s="1979">
        <f>IF(Construction!$F$31=Construction!$R$22,Oeko!DJ561,Oeko!FW561)</f>
        <v>0</v>
      </c>
      <c r="AX561" s="1979">
        <f>IF(Construction!$F$31=Construction!$R$22,Oeko!DK561,Oeko!FX561)</f>
        <v>0</v>
      </c>
      <c r="AY561" s="1979">
        <f>IF(Construction!$F$31=Construction!$R$22,Oeko!DL561,Oeko!FY561)</f>
        <v>0</v>
      </c>
      <c r="AZ561" s="1979">
        <f>IF(Construction!$F$31=Construction!$R$22,Oeko!DM561,Oeko!FZ561)</f>
        <v>0</v>
      </c>
      <c r="BA561" s="1979">
        <f>IF(Construction!$F$31=Construction!$R$22,Oeko!DN561,Oeko!GA561)</f>
        <v>0</v>
      </c>
      <c r="BB561" s="1998">
        <f>IF(Construction!$F$31=Construction!$R$22,Oeko!DO561,Oeko!GB561)</f>
        <v>0</v>
      </c>
      <c r="BC561" s="1998">
        <f>IF(Construction!$F$31=Construction!$R$22,Oeko!DP561,Oeko!GC561)</f>
        <v>0</v>
      </c>
      <c r="BD561" s="1998">
        <f>IF(Construction!$F$31=Construction!$R$22,Oeko!DQ561,Oeko!GD561)</f>
        <v>0</v>
      </c>
      <c r="BE561" s="1998">
        <f>IF(Construction!$F$31=Construction!$R$22,Oeko!DR561,Oeko!GE561)</f>
        <v>0</v>
      </c>
      <c r="BF561" s="1998">
        <f>IF(Construction!$F$31=Construction!$R$22,Oeko!DS561,Oeko!GF561)</f>
        <v>0</v>
      </c>
      <c r="BG561" s="1979">
        <f>IF(Construction!$F$31=Construction!$R$22,Oeko!DT561,Oeko!GG561)</f>
        <v>0</v>
      </c>
      <c r="BH561" s="1979">
        <f>IF(Construction!$F$31=Construction!$R$22,Oeko!DU561,Oeko!GH561)</f>
        <v>0</v>
      </c>
      <c r="BI561" s="1979">
        <f>IF(Construction!$F$31=Construction!$R$22,Oeko!DV561,Oeko!GI561)</f>
        <v>0</v>
      </c>
      <c r="BJ561" s="1979">
        <f>IF(Construction!$F$31=Construction!$R$22,Oeko!DW561,Oeko!GJ561)</f>
        <v>0</v>
      </c>
      <c r="BK561" s="2021">
        <f>IF(Construction!$F$31=Construction!$R$22,Oeko!DX561,Oeko!GK561)</f>
        <v>0</v>
      </c>
      <c r="BN561" s="2018"/>
      <c r="BO561" s="2">
        <v>21</v>
      </c>
      <c r="BP561" s="2" t="str">
        <f>CONCATENATE($U$8," ",GV$15)</f>
        <v xml:space="preserve">Proportion de fenêtres </v>
      </c>
      <c r="BQ561" s="1998">
        <v>0</v>
      </c>
      <c r="BR561" s="1998">
        <v>0</v>
      </c>
      <c r="BS561" s="1998">
        <v>0</v>
      </c>
      <c r="BT561" s="1998">
        <v>0</v>
      </c>
      <c r="BU561" s="1998">
        <v>0</v>
      </c>
      <c r="BV561" s="1979">
        <v>0</v>
      </c>
      <c r="BW561" s="1979">
        <v>0</v>
      </c>
      <c r="BX561" s="1979">
        <v>0</v>
      </c>
      <c r="BY561" s="1979">
        <v>0</v>
      </c>
      <c r="BZ561" s="1979">
        <v>0</v>
      </c>
      <c r="CA561" s="1998">
        <v>0</v>
      </c>
      <c r="CB561" s="1998">
        <v>0</v>
      </c>
      <c r="CC561" s="1998">
        <v>0</v>
      </c>
      <c r="CD561" s="1998">
        <v>0</v>
      </c>
      <c r="CE561" s="1998">
        <v>0</v>
      </c>
      <c r="CF561" s="1979">
        <v>1</v>
      </c>
      <c r="CG561" s="1979">
        <v>1</v>
      </c>
      <c r="CH561" s="1979">
        <v>1</v>
      </c>
      <c r="CI561" s="1979">
        <v>1</v>
      </c>
      <c r="CJ561" s="1979">
        <v>1</v>
      </c>
      <c r="CK561" s="1998">
        <v>0</v>
      </c>
      <c r="CL561" s="1998">
        <v>0</v>
      </c>
      <c r="CM561" s="1998">
        <v>0</v>
      </c>
      <c r="CN561" s="1998">
        <v>0</v>
      </c>
      <c r="CO561" s="1998">
        <v>0</v>
      </c>
      <c r="CP561" s="1979">
        <v>0</v>
      </c>
      <c r="CQ561" s="1979">
        <v>0</v>
      </c>
      <c r="CR561" s="1979">
        <v>0</v>
      </c>
      <c r="CS561" s="1979">
        <v>0</v>
      </c>
      <c r="CT561" s="1979">
        <v>0</v>
      </c>
      <c r="CU561" s="1998">
        <v>0</v>
      </c>
      <c r="CV561" s="1998">
        <v>0</v>
      </c>
      <c r="CW561" s="1998">
        <v>0</v>
      </c>
      <c r="CX561" s="1998">
        <v>0</v>
      </c>
      <c r="CY561" s="1998">
        <v>0</v>
      </c>
      <c r="CZ561" s="1979">
        <v>0</v>
      </c>
      <c r="DA561" s="1979">
        <v>0</v>
      </c>
      <c r="DB561" s="1979">
        <v>0</v>
      </c>
      <c r="DC561" s="1979">
        <v>0</v>
      </c>
      <c r="DD561" s="1979">
        <v>0</v>
      </c>
      <c r="DE561" s="1998">
        <v>0</v>
      </c>
      <c r="DF561" s="1998">
        <v>0</v>
      </c>
      <c r="DG561" s="1998">
        <v>0</v>
      </c>
      <c r="DH561" s="1998">
        <v>0</v>
      </c>
      <c r="DI561" s="1998">
        <v>0</v>
      </c>
      <c r="DJ561" s="1979">
        <v>0</v>
      </c>
      <c r="DK561" s="1979">
        <v>0</v>
      </c>
      <c r="DL561" s="1979">
        <v>0</v>
      </c>
      <c r="DM561" s="1979">
        <v>0</v>
      </c>
      <c r="DN561" s="1979">
        <v>0</v>
      </c>
      <c r="DO561" s="1998">
        <v>0</v>
      </c>
      <c r="DP561" s="1998">
        <v>0</v>
      </c>
      <c r="DQ561" s="1998">
        <v>0</v>
      </c>
      <c r="DR561" s="1998">
        <v>0</v>
      </c>
      <c r="DS561" s="1998">
        <v>0</v>
      </c>
      <c r="DT561" s="1979">
        <v>0</v>
      </c>
      <c r="DU561" s="1979">
        <v>0</v>
      </c>
      <c r="DV561" s="1979">
        <v>0</v>
      </c>
      <c r="DW561" s="1979">
        <v>0</v>
      </c>
      <c r="DX561" s="2021">
        <v>0</v>
      </c>
      <c r="EA561" s="2018"/>
      <c r="EB561" s="2">
        <v>21</v>
      </c>
      <c r="EC561" s="2" t="str">
        <f>CONCATENATE($U$8," ",JI$15)</f>
        <v xml:space="preserve">Proportion de fenêtres </v>
      </c>
      <c r="ED561" s="1998">
        <v>0</v>
      </c>
      <c r="EE561" s="1998">
        <v>0</v>
      </c>
      <c r="EF561" s="1998">
        <v>0</v>
      </c>
      <c r="EG561" s="1998">
        <v>0</v>
      </c>
      <c r="EH561" s="1998">
        <v>0</v>
      </c>
      <c r="EI561" s="1979">
        <v>0</v>
      </c>
      <c r="EJ561" s="1979">
        <v>0</v>
      </c>
      <c r="EK561" s="1979">
        <v>0</v>
      </c>
      <c r="EL561" s="1979">
        <v>0</v>
      </c>
      <c r="EM561" s="1979">
        <v>0</v>
      </c>
      <c r="EN561" s="1998">
        <v>0</v>
      </c>
      <c r="EO561" s="1998">
        <v>0</v>
      </c>
      <c r="EP561" s="1998">
        <v>0</v>
      </c>
      <c r="EQ561" s="1998">
        <v>0</v>
      </c>
      <c r="ER561" s="1998">
        <v>0</v>
      </c>
      <c r="ES561" s="1979">
        <v>1.7711091583252017</v>
      </c>
      <c r="ET561" s="1979">
        <v>1.7993872846905539</v>
      </c>
      <c r="EU561" s="1979">
        <v>1.8064568162818917</v>
      </c>
      <c r="EV561" s="1979">
        <v>1.8135263478732302</v>
      </c>
      <c r="EW561" s="1979">
        <v>1.820595879464568</v>
      </c>
      <c r="EX561" s="1998">
        <v>0</v>
      </c>
      <c r="EY561" s="1998">
        <v>0</v>
      </c>
      <c r="EZ561" s="1998">
        <v>0</v>
      </c>
      <c r="FA561" s="1998">
        <v>0</v>
      </c>
      <c r="FB561" s="1998">
        <v>0</v>
      </c>
      <c r="FC561" s="1979">
        <v>0</v>
      </c>
      <c r="FD561" s="1979">
        <v>0</v>
      </c>
      <c r="FE561" s="1979">
        <v>0</v>
      </c>
      <c r="FF561" s="1979">
        <v>0</v>
      </c>
      <c r="FG561" s="1979">
        <v>0</v>
      </c>
      <c r="FH561" s="1998">
        <v>0</v>
      </c>
      <c r="FI561" s="1998">
        <v>0</v>
      </c>
      <c r="FJ561" s="1998">
        <v>0</v>
      </c>
      <c r="FK561" s="1998">
        <v>0</v>
      </c>
      <c r="FL561" s="1998">
        <v>0</v>
      </c>
      <c r="FM561" s="1979">
        <v>0</v>
      </c>
      <c r="FN561" s="1979">
        <v>0</v>
      </c>
      <c r="FO561" s="1979">
        <v>0</v>
      </c>
      <c r="FP561" s="1979">
        <v>0</v>
      </c>
      <c r="FQ561" s="1979">
        <v>0</v>
      </c>
      <c r="FR561" s="1998">
        <v>0</v>
      </c>
      <c r="FS561" s="1998">
        <v>0</v>
      </c>
      <c r="FT561" s="1998">
        <v>0</v>
      </c>
      <c r="FU561" s="1998">
        <v>0</v>
      </c>
      <c r="FV561" s="1998">
        <v>0</v>
      </c>
      <c r="FW561" s="1979">
        <v>0</v>
      </c>
      <c r="FX561" s="1979">
        <v>0</v>
      </c>
      <c r="FY561" s="1979">
        <v>0</v>
      </c>
      <c r="FZ561" s="1979">
        <v>0</v>
      </c>
      <c r="GA561" s="1979">
        <v>0</v>
      </c>
      <c r="GB561" s="1998">
        <v>0</v>
      </c>
      <c r="GC561" s="1998">
        <v>0</v>
      </c>
      <c r="GD561" s="1998">
        <v>0</v>
      </c>
      <c r="GE561" s="1998">
        <v>0</v>
      </c>
      <c r="GF561" s="1998">
        <v>0</v>
      </c>
      <c r="GG561" s="1979">
        <v>0</v>
      </c>
      <c r="GH561" s="1979">
        <v>0</v>
      </c>
      <c r="GI561" s="1979">
        <v>0</v>
      </c>
      <c r="GJ561" s="1979">
        <v>0</v>
      </c>
      <c r="GK561" s="2021">
        <v>0</v>
      </c>
    </row>
    <row r="562" spans="1:193">
      <c r="A562" s="2016"/>
      <c r="B562" s="2">
        <v>22</v>
      </c>
      <c r="C562" s="2" t="str">
        <f>CONCATENATE($U$8," ",EI$16)</f>
        <v xml:space="preserve">Proportion de fenêtres </v>
      </c>
      <c r="D562" s="1998">
        <f>IF(Construction!$F$31=Construction!$R$22,Oeko!BQ562,Oeko!ED562)</f>
        <v>0</v>
      </c>
      <c r="E562" s="1998">
        <f>IF(Construction!$F$31=Construction!$R$22,Oeko!BR562,Oeko!EE562)</f>
        <v>0</v>
      </c>
      <c r="F562" s="1998">
        <f>IF(Construction!$F$31=Construction!$R$22,Oeko!BS562,Oeko!EF562)</f>
        <v>0</v>
      </c>
      <c r="G562" s="1998">
        <f>IF(Construction!$F$31=Construction!$R$22,Oeko!BT562,Oeko!EG562)</f>
        <v>0</v>
      </c>
      <c r="H562" s="1998">
        <f>IF(Construction!$F$31=Construction!$R$22,Oeko!BU562,Oeko!EH562)</f>
        <v>0</v>
      </c>
      <c r="I562" s="1979">
        <f>IF(Construction!$F$31=Construction!$R$22,Oeko!BV562,Oeko!EI562)</f>
        <v>0</v>
      </c>
      <c r="J562" s="1979">
        <f>IF(Construction!$F$31=Construction!$R$22,Oeko!BW562,Oeko!EJ562)</f>
        <v>0</v>
      </c>
      <c r="K562" s="1979">
        <f>IF(Construction!$F$31=Construction!$R$22,Oeko!BX562,Oeko!EK562)</f>
        <v>0</v>
      </c>
      <c r="L562" s="1979">
        <f>IF(Construction!$F$31=Construction!$R$22,Oeko!BY562,Oeko!EL562)</f>
        <v>0</v>
      </c>
      <c r="M562" s="1979">
        <f>IF(Construction!$F$31=Construction!$R$22,Oeko!BZ562,Oeko!EM562)</f>
        <v>0</v>
      </c>
      <c r="N562" s="1998">
        <f>IF(Construction!$F$31=Construction!$R$22,Oeko!CA562,Oeko!EN562)</f>
        <v>0</v>
      </c>
      <c r="O562" s="1998">
        <f>IF(Construction!$F$31=Construction!$R$22,Oeko!CB562,Oeko!EO562)</f>
        <v>0</v>
      </c>
      <c r="P562" s="1998">
        <f>IF(Construction!$F$31=Construction!$R$22,Oeko!CC562,Oeko!EP562)</f>
        <v>0</v>
      </c>
      <c r="Q562" s="1998">
        <f>IF(Construction!$F$31=Construction!$R$22,Oeko!CD562,Oeko!EQ562)</f>
        <v>0</v>
      </c>
      <c r="R562" s="1998">
        <f>IF(Construction!$F$31=Construction!$R$22,Oeko!CE562,Oeko!ER562)</f>
        <v>0</v>
      </c>
      <c r="S562" s="1979">
        <f>IF(Construction!$F$31=Construction!$R$22,Oeko!CF562,Oeko!ES562)</f>
        <v>1</v>
      </c>
      <c r="T562" s="1979">
        <f>IF(Construction!$F$31=Construction!$R$22,Oeko!CG562,Oeko!ET562)</f>
        <v>1</v>
      </c>
      <c r="U562" s="1979">
        <f>IF(Construction!$F$31=Construction!$R$22,Oeko!CH562,Oeko!EU562)</f>
        <v>1</v>
      </c>
      <c r="V562" s="1979">
        <f>IF(Construction!$F$31=Construction!$R$22,Oeko!CI562,Oeko!EV562)</f>
        <v>1</v>
      </c>
      <c r="W562" s="1979">
        <f>IF(Construction!$F$31=Construction!$R$22,Oeko!CJ562,Oeko!EW562)</f>
        <v>1</v>
      </c>
      <c r="X562" s="1998">
        <f>IF(Construction!$F$31=Construction!$R$22,Oeko!CK562,Oeko!EX562)</f>
        <v>0</v>
      </c>
      <c r="Y562" s="1998">
        <f>IF(Construction!$F$31=Construction!$R$22,Oeko!CL562,Oeko!EY562)</f>
        <v>0</v>
      </c>
      <c r="Z562" s="1998">
        <f>IF(Construction!$F$31=Construction!$R$22,Oeko!CM562,Oeko!EZ562)</f>
        <v>0</v>
      </c>
      <c r="AA562" s="1998">
        <f>IF(Construction!$F$31=Construction!$R$22,Oeko!CN562,Oeko!FA562)</f>
        <v>0</v>
      </c>
      <c r="AB562" s="1998">
        <f>IF(Construction!$F$31=Construction!$R$22,Oeko!CO562,Oeko!FB562)</f>
        <v>0</v>
      </c>
      <c r="AC562" s="1979">
        <f>IF(Construction!$F$31=Construction!$R$22,Oeko!CP562,Oeko!FC562)</f>
        <v>0</v>
      </c>
      <c r="AD562" s="1979">
        <f>IF(Construction!$F$31=Construction!$R$22,Oeko!CQ562,Oeko!FD562)</f>
        <v>0</v>
      </c>
      <c r="AE562" s="1979">
        <f>IF(Construction!$F$31=Construction!$R$22,Oeko!CR562,Oeko!FE562)</f>
        <v>0</v>
      </c>
      <c r="AF562" s="1979">
        <f>IF(Construction!$F$31=Construction!$R$22,Oeko!CS562,Oeko!FF562)</f>
        <v>0</v>
      </c>
      <c r="AG562" s="1979">
        <f>IF(Construction!$F$31=Construction!$R$22,Oeko!CT562,Oeko!FG562)</f>
        <v>0</v>
      </c>
      <c r="AH562" s="1998">
        <f>IF(Construction!$F$31=Construction!$R$22,Oeko!CU562,Oeko!FH562)</f>
        <v>0</v>
      </c>
      <c r="AI562" s="1998">
        <f>IF(Construction!$F$31=Construction!$R$22,Oeko!CV562,Oeko!FI562)</f>
        <v>0</v>
      </c>
      <c r="AJ562" s="1998">
        <f>IF(Construction!$F$31=Construction!$R$22,Oeko!CW562,Oeko!FJ562)</f>
        <v>0</v>
      </c>
      <c r="AK562" s="1998">
        <f>IF(Construction!$F$31=Construction!$R$22,Oeko!CX562,Oeko!FK562)</f>
        <v>0</v>
      </c>
      <c r="AL562" s="1998">
        <f>IF(Construction!$F$31=Construction!$R$22,Oeko!CY562,Oeko!FL562)</f>
        <v>0</v>
      </c>
      <c r="AM562" s="1979">
        <f>IF(Construction!$F$31=Construction!$R$22,Oeko!CZ562,Oeko!FM562)</f>
        <v>0</v>
      </c>
      <c r="AN562" s="1979">
        <f>IF(Construction!$F$31=Construction!$R$22,Oeko!DA562,Oeko!FN562)</f>
        <v>0</v>
      </c>
      <c r="AO562" s="1979">
        <f>IF(Construction!$F$31=Construction!$R$22,Oeko!DB562,Oeko!FO562)</f>
        <v>0</v>
      </c>
      <c r="AP562" s="1979">
        <f>IF(Construction!$F$31=Construction!$R$22,Oeko!DC562,Oeko!FP562)</f>
        <v>0</v>
      </c>
      <c r="AQ562" s="1979">
        <f>IF(Construction!$F$31=Construction!$R$22,Oeko!DD562,Oeko!FQ562)</f>
        <v>0</v>
      </c>
      <c r="AR562" s="1998">
        <f>IF(Construction!$F$31=Construction!$R$22,Oeko!DE562,Oeko!FR562)</f>
        <v>0</v>
      </c>
      <c r="AS562" s="1998">
        <f>IF(Construction!$F$31=Construction!$R$22,Oeko!DF562,Oeko!FS562)</f>
        <v>0</v>
      </c>
      <c r="AT562" s="1998">
        <f>IF(Construction!$F$31=Construction!$R$22,Oeko!DG562,Oeko!FT562)</f>
        <v>0</v>
      </c>
      <c r="AU562" s="1998">
        <f>IF(Construction!$F$31=Construction!$R$22,Oeko!DH562,Oeko!FU562)</f>
        <v>0</v>
      </c>
      <c r="AV562" s="1998">
        <f>IF(Construction!$F$31=Construction!$R$22,Oeko!DI562,Oeko!FV562)</f>
        <v>0</v>
      </c>
      <c r="AW562" s="1979">
        <f>IF(Construction!$F$31=Construction!$R$22,Oeko!DJ562,Oeko!FW562)</f>
        <v>0</v>
      </c>
      <c r="AX562" s="1979">
        <f>IF(Construction!$F$31=Construction!$R$22,Oeko!DK562,Oeko!FX562)</f>
        <v>0</v>
      </c>
      <c r="AY562" s="1979">
        <f>IF(Construction!$F$31=Construction!$R$22,Oeko!DL562,Oeko!FY562)</f>
        <v>0</v>
      </c>
      <c r="AZ562" s="1979">
        <f>IF(Construction!$F$31=Construction!$R$22,Oeko!DM562,Oeko!FZ562)</f>
        <v>0</v>
      </c>
      <c r="BA562" s="1979">
        <f>IF(Construction!$F$31=Construction!$R$22,Oeko!DN562,Oeko!GA562)</f>
        <v>0</v>
      </c>
      <c r="BB562" s="1998">
        <f>IF(Construction!$F$31=Construction!$R$22,Oeko!DO562,Oeko!GB562)</f>
        <v>0</v>
      </c>
      <c r="BC562" s="1998">
        <f>IF(Construction!$F$31=Construction!$R$22,Oeko!DP562,Oeko!GC562)</f>
        <v>0</v>
      </c>
      <c r="BD562" s="1998">
        <f>IF(Construction!$F$31=Construction!$R$22,Oeko!DQ562,Oeko!GD562)</f>
        <v>0</v>
      </c>
      <c r="BE562" s="1998">
        <f>IF(Construction!$F$31=Construction!$R$22,Oeko!DR562,Oeko!GE562)</f>
        <v>0</v>
      </c>
      <c r="BF562" s="1998">
        <f>IF(Construction!$F$31=Construction!$R$22,Oeko!DS562,Oeko!GF562)</f>
        <v>0</v>
      </c>
      <c r="BG562" s="1979">
        <f>IF(Construction!$F$31=Construction!$R$22,Oeko!DT562,Oeko!GG562)</f>
        <v>0</v>
      </c>
      <c r="BH562" s="1979">
        <f>IF(Construction!$F$31=Construction!$R$22,Oeko!DU562,Oeko!GH562)</f>
        <v>0</v>
      </c>
      <c r="BI562" s="1979">
        <f>IF(Construction!$F$31=Construction!$R$22,Oeko!DV562,Oeko!GI562)</f>
        <v>0</v>
      </c>
      <c r="BJ562" s="1979">
        <f>IF(Construction!$F$31=Construction!$R$22,Oeko!DW562,Oeko!GJ562)</f>
        <v>0</v>
      </c>
      <c r="BK562" s="2021">
        <f>IF(Construction!$F$31=Construction!$R$22,Oeko!DX562,Oeko!GK562)</f>
        <v>0</v>
      </c>
      <c r="BN562" s="2018"/>
      <c r="BO562" s="2">
        <v>22</v>
      </c>
      <c r="BP562" s="2" t="str">
        <f>CONCATENATE($U$8," ",GV$16)</f>
        <v xml:space="preserve">Proportion de fenêtres </v>
      </c>
      <c r="BQ562" s="1998">
        <v>0</v>
      </c>
      <c r="BR562" s="1998">
        <v>0</v>
      </c>
      <c r="BS562" s="1998">
        <v>0</v>
      </c>
      <c r="BT562" s="1998">
        <v>0</v>
      </c>
      <c r="BU562" s="1998">
        <v>0</v>
      </c>
      <c r="BV562" s="1979">
        <v>0</v>
      </c>
      <c r="BW562" s="1979">
        <v>0</v>
      </c>
      <c r="BX562" s="1979">
        <v>0</v>
      </c>
      <c r="BY562" s="1979">
        <v>0</v>
      </c>
      <c r="BZ562" s="1979">
        <v>0</v>
      </c>
      <c r="CA562" s="1998">
        <v>0</v>
      </c>
      <c r="CB562" s="1998">
        <v>0</v>
      </c>
      <c r="CC562" s="1998">
        <v>0</v>
      </c>
      <c r="CD562" s="1998">
        <v>0</v>
      </c>
      <c r="CE562" s="1998">
        <v>0</v>
      </c>
      <c r="CF562" s="1979">
        <v>1</v>
      </c>
      <c r="CG562" s="1979">
        <v>1</v>
      </c>
      <c r="CH562" s="1979">
        <v>1</v>
      </c>
      <c r="CI562" s="1979">
        <v>1</v>
      </c>
      <c r="CJ562" s="1979">
        <v>1</v>
      </c>
      <c r="CK562" s="1998">
        <v>0</v>
      </c>
      <c r="CL562" s="1998">
        <v>0</v>
      </c>
      <c r="CM562" s="1998">
        <v>0</v>
      </c>
      <c r="CN562" s="1998">
        <v>0</v>
      </c>
      <c r="CO562" s="1998">
        <v>0</v>
      </c>
      <c r="CP562" s="1979">
        <v>0</v>
      </c>
      <c r="CQ562" s="1979">
        <v>0</v>
      </c>
      <c r="CR562" s="1979">
        <v>0</v>
      </c>
      <c r="CS562" s="1979">
        <v>0</v>
      </c>
      <c r="CT562" s="1979">
        <v>0</v>
      </c>
      <c r="CU562" s="1998">
        <v>0</v>
      </c>
      <c r="CV562" s="1998">
        <v>0</v>
      </c>
      <c r="CW562" s="1998">
        <v>0</v>
      </c>
      <c r="CX562" s="1998">
        <v>0</v>
      </c>
      <c r="CY562" s="1998">
        <v>0</v>
      </c>
      <c r="CZ562" s="1979">
        <v>0</v>
      </c>
      <c r="DA562" s="1979">
        <v>0</v>
      </c>
      <c r="DB562" s="1979">
        <v>0</v>
      </c>
      <c r="DC562" s="1979">
        <v>0</v>
      </c>
      <c r="DD562" s="1979">
        <v>0</v>
      </c>
      <c r="DE562" s="1998">
        <v>0</v>
      </c>
      <c r="DF562" s="1998">
        <v>0</v>
      </c>
      <c r="DG562" s="1998">
        <v>0</v>
      </c>
      <c r="DH562" s="1998">
        <v>0</v>
      </c>
      <c r="DI562" s="1998">
        <v>0</v>
      </c>
      <c r="DJ562" s="1979">
        <v>0</v>
      </c>
      <c r="DK562" s="1979">
        <v>0</v>
      </c>
      <c r="DL562" s="1979">
        <v>0</v>
      </c>
      <c r="DM562" s="1979">
        <v>0</v>
      </c>
      <c r="DN562" s="1979">
        <v>0</v>
      </c>
      <c r="DO562" s="1998">
        <v>0</v>
      </c>
      <c r="DP562" s="1998">
        <v>0</v>
      </c>
      <c r="DQ562" s="1998">
        <v>0</v>
      </c>
      <c r="DR562" s="1998">
        <v>0</v>
      </c>
      <c r="DS562" s="1998">
        <v>0</v>
      </c>
      <c r="DT562" s="1979">
        <v>0</v>
      </c>
      <c r="DU562" s="1979">
        <v>0</v>
      </c>
      <c r="DV562" s="1979">
        <v>0</v>
      </c>
      <c r="DW562" s="1979">
        <v>0</v>
      </c>
      <c r="DX562" s="2021">
        <v>0</v>
      </c>
      <c r="EA562" s="2018"/>
      <c r="EB562" s="2">
        <v>22</v>
      </c>
      <c r="EC562" s="2" t="str">
        <f>CONCATENATE($U$8," ",JI$16)</f>
        <v xml:space="preserve">Proportion de fenêtres </v>
      </c>
      <c r="ED562" s="1998">
        <v>0</v>
      </c>
      <c r="EE562" s="1998">
        <v>0</v>
      </c>
      <c r="EF562" s="1998">
        <v>0</v>
      </c>
      <c r="EG562" s="1998">
        <v>0</v>
      </c>
      <c r="EH562" s="1998">
        <v>0</v>
      </c>
      <c r="EI562" s="1979">
        <v>0</v>
      </c>
      <c r="EJ562" s="1979">
        <v>0</v>
      </c>
      <c r="EK562" s="1979">
        <v>0</v>
      </c>
      <c r="EL562" s="1979">
        <v>0</v>
      </c>
      <c r="EM562" s="1979">
        <v>0</v>
      </c>
      <c r="EN562" s="1998">
        <v>0</v>
      </c>
      <c r="EO562" s="1998">
        <v>0</v>
      </c>
      <c r="EP562" s="1998">
        <v>0</v>
      </c>
      <c r="EQ562" s="1998">
        <v>0</v>
      </c>
      <c r="ER562" s="1998">
        <v>0</v>
      </c>
      <c r="ES562" s="1979">
        <v>1.7711091583252017</v>
      </c>
      <c r="ET562" s="1979">
        <v>1.7993872846905539</v>
      </c>
      <c r="EU562" s="1979">
        <v>1.8064568162818917</v>
      </c>
      <c r="EV562" s="1979">
        <v>1.8135263478732302</v>
      </c>
      <c r="EW562" s="1979">
        <v>1.820595879464568</v>
      </c>
      <c r="EX562" s="1998">
        <v>0</v>
      </c>
      <c r="EY562" s="1998">
        <v>0</v>
      </c>
      <c r="EZ562" s="1998">
        <v>0</v>
      </c>
      <c r="FA562" s="1998">
        <v>0</v>
      </c>
      <c r="FB562" s="1998">
        <v>0</v>
      </c>
      <c r="FC562" s="1979">
        <v>0</v>
      </c>
      <c r="FD562" s="1979">
        <v>0</v>
      </c>
      <c r="FE562" s="1979">
        <v>0</v>
      </c>
      <c r="FF562" s="1979">
        <v>0</v>
      </c>
      <c r="FG562" s="1979">
        <v>0</v>
      </c>
      <c r="FH562" s="1998">
        <v>0</v>
      </c>
      <c r="FI562" s="1998">
        <v>0</v>
      </c>
      <c r="FJ562" s="1998">
        <v>0</v>
      </c>
      <c r="FK562" s="1998">
        <v>0</v>
      </c>
      <c r="FL562" s="1998">
        <v>0</v>
      </c>
      <c r="FM562" s="1979">
        <v>0</v>
      </c>
      <c r="FN562" s="1979">
        <v>0</v>
      </c>
      <c r="FO562" s="1979">
        <v>0</v>
      </c>
      <c r="FP562" s="1979">
        <v>0</v>
      </c>
      <c r="FQ562" s="1979">
        <v>0</v>
      </c>
      <c r="FR562" s="1998">
        <v>0</v>
      </c>
      <c r="FS562" s="1998">
        <v>0</v>
      </c>
      <c r="FT562" s="1998">
        <v>0</v>
      </c>
      <c r="FU562" s="1998">
        <v>0</v>
      </c>
      <c r="FV562" s="1998">
        <v>0</v>
      </c>
      <c r="FW562" s="1979">
        <v>0</v>
      </c>
      <c r="FX562" s="1979">
        <v>0</v>
      </c>
      <c r="FY562" s="1979">
        <v>0</v>
      </c>
      <c r="FZ562" s="1979">
        <v>0</v>
      </c>
      <c r="GA562" s="1979">
        <v>0</v>
      </c>
      <c r="GB562" s="1998">
        <v>0</v>
      </c>
      <c r="GC562" s="1998">
        <v>0</v>
      </c>
      <c r="GD562" s="1998">
        <v>0</v>
      </c>
      <c r="GE562" s="1998">
        <v>0</v>
      </c>
      <c r="GF562" s="1998">
        <v>0</v>
      </c>
      <c r="GG562" s="1979">
        <v>0</v>
      </c>
      <c r="GH562" s="1979">
        <v>0</v>
      </c>
      <c r="GI562" s="1979">
        <v>0</v>
      </c>
      <c r="GJ562" s="1979">
        <v>0</v>
      </c>
      <c r="GK562" s="2021">
        <v>0</v>
      </c>
    </row>
    <row r="563" spans="1:193">
      <c r="A563" s="2016"/>
      <c r="B563" s="2">
        <v>23</v>
      </c>
      <c r="C563" s="2" t="str">
        <f>CONCATENATE($U$8," ",EI$17)</f>
        <v xml:space="preserve">Proportion de fenêtres </v>
      </c>
      <c r="D563" s="1998">
        <f>IF(Construction!$F$31=Construction!$R$22,Oeko!BQ563,Oeko!ED563)</f>
        <v>0</v>
      </c>
      <c r="E563" s="1998">
        <f>IF(Construction!$F$31=Construction!$R$22,Oeko!BR563,Oeko!EE563)</f>
        <v>0</v>
      </c>
      <c r="F563" s="1998">
        <f>IF(Construction!$F$31=Construction!$R$22,Oeko!BS563,Oeko!EF563)</f>
        <v>0</v>
      </c>
      <c r="G563" s="1998">
        <f>IF(Construction!$F$31=Construction!$R$22,Oeko!BT563,Oeko!EG563)</f>
        <v>0</v>
      </c>
      <c r="H563" s="1998">
        <f>IF(Construction!$F$31=Construction!$R$22,Oeko!BU563,Oeko!EH563)</f>
        <v>0</v>
      </c>
      <c r="I563" s="1979">
        <f>IF(Construction!$F$31=Construction!$R$22,Oeko!BV563,Oeko!EI563)</f>
        <v>0</v>
      </c>
      <c r="J563" s="1979">
        <f>IF(Construction!$F$31=Construction!$R$22,Oeko!BW563,Oeko!EJ563)</f>
        <v>0</v>
      </c>
      <c r="K563" s="1979">
        <f>IF(Construction!$F$31=Construction!$R$22,Oeko!BX563,Oeko!EK563)</f>
        <v>0</v>
      </c>
      <c r="L563" s="1979">
        <f>IF(Construction!$F$31=Construction!$R$22,Oeko!BY563,Oeko!EL563)</f>
        <v>0</v>
      </c>
      <c r="M563" s="1979">
        <f>IF(Construction!$F$31=Construction!$R$22,Oeko!BZ563,Oeko!EM563)</f>
        <v>0</v>
      </c>
      <c r="N563" s="1998">
        <f>IF(Construction!$F$31=Construction!$R$22,Oeko!CA563,Oeko!EN563)</f>
        <v>0</v>
      </c>
      <c r="O563" s="1998">
        <f>IF(Construction!$F$31=Construction!$R$22,Oeko!CB563,Oeko!EO563)</f>
        <v>0</v>
      </c>
      <c r="P563" s="1998">
        <f>IF(Construction!$F$31=Construction!$R$22,Oeko!CC563,Oeko!EP563)</f>
        <v>0</v>
      </c>
      <c r="Q563" s="1998">
        <f>IF(Construction!$F$31=Construction!$R$22,Oeko!CD563,Oeko!EQ563)</f>
        <v>0</v>
      </c>
      <c r="R563" s="1998">
        <f>IF(Construction!$F$31=Construction!$R$22,Oeko!CE563,Oeko!ER563)</f>
        <v>0</v>
      </c>
      <c r="S563" s="1979">
        <f>IF(Construction!$F$31=Construction!$R$22,Oeko!CF563,Oeko!ES563)</f>
        <v>1</v>
      </c>
      <c r="T563" s="1979">
        <f>IF(Construction!$F$31=Construction!$R$22,Oeko!CG563,Oeko!ET563)</f>
        <v>1</v>
      </c>
      <c r="U563" s="1979">
        <f>IF(Construction!$F$31=Construction!$R$22,Oeko!CH563,Oeko!EU563)</f>
        <v>1</v>
      </c>
      <c r="V563" s="1979">
        <f>IF(Construction!$F$31=Construction!$R$22,Oeko!CI563,Oeko!EV563)</f>
        <v>1</v>
      </c>
      <c r="W563" s="1979">
        <f>IF(Construction!$F$31=Construction!$R$22,Oeko!CJ563,Oeko!EW563)</f>
        <v>1</v>
      </c>
      <c r="X563" s="1998">
        <f>IF(Construction!$F$31=Construction!$R$22,Oeko!CK563,Oeko!EX563)</f>
        <v>0</v>
      </c>
      <c r="Y563" s="1998">
        <f>IF(Construction!$F$31=Construction!$R$22,Oeko!CL563,Oeko!EY563)</f>
        <v>0</v>
      </c>
      <c r="Z563" s="1998">
        <f>IF(Construction!$F$31=Construction!$R$22,Oeko!CM563,Oeko!EZ563)</f>
        <v>0</v>
      </c>
      <c r="AA563" s="1998">
        <f>IF(Construction!$F$31=Construction!$R$22,Oeko!CN563,Oeko!FA563)</f>
        <v>0</v>
      </c>
      <c r="AB563" s="1998">
        <f>IF(Construction!$F$31=Construction!$R$22,Oeko!CO563,Oeko!FB563)</f>
        <v>0</v>
      </c>
      <c r="AC563" s="1979">
        <f>IF(Construction!$F$31=Construction!$R$22,Oeko!CP563,Oeko!FC563)</f>
        <v>0</v>
      </c>
      <c r="AD563" s="1979">
        <f>IF(Construction!$F$31=Construction!$R$22,Oeko!CQ563,Oeko!FD563)</f>
        <v>0</v>
      </c>
      <c r="AE563" s="1979">
        <f>IF(Construction!$F$31=Construction!$R$22,Oeko!CR563,Oeko!FE563)</f>
        <v>0</v>
      </c>
      <c r="AF563" s="1979">
        <f>IF(Construction!$F$31=Construction!$R$22,Oeko!CS563,Oeko!FF563)</f>
        <v>0</v>
      </c>
      <c r="AG563" s="1979">
        <f>IF(Construction!$F$31=Construction!$R$22,Oeko!CT563,Oeko!FG563)</f>
        <v>0</v>
      </c>
      <c r="AH563" s="1998">
        <f>IF(Construction!$F$31=Construction!$R$22,Oeko!CU563,Oeko!FH563)</f>
        <v>0</v>
      </c>
      <c r="AI563" s="1998">
        <f>IF(Construction!$F$31=Construction!$R$22,Oeko!CV563,Oeko!FI563)</f>
        <v>0</v>
      </c>
      <c r="AJ563" s="1998">
        <f>IF(Construction!$F$31=Construction!$R$22,Oeko!CW563,Oeko!FJ563)</f>
        <v>0</v>
      </c>
      <c r="AK563" s="1998">
        <f>IF(Construction!$F$31=Construction!$R$22,Oeko!CX563,Oeko!FK563)</f>
        <v>0</v>
      </c>
      <c r="AL563" s="1998">
        <f>IF(Construction!$F$31=Construction!$R$22,Oeko!CY563,Oeko!FL563)</f>
        <v>0</v>
      </c>
      <c r="AM563" s="1979">
        <f>IF(Construction!$F$31=Construction!$R$22,Oeko!CZ563,Oeko!FM563)</f>
        <v>0</v>
      </c>
      <c r="AN563" s="1979">
        <f>IF(Construction!$F$31=Construction!$R$22,Oeko!DA563,Oeko!FN563)</f>
        <v>0</v>
      </c>
      <c r="AO563" s="1979">
        <f>IF(Construction!$F$31=Construction!$R$22,Oeko!DB563,Oeko!FO563)</f>
        <v>0</v>
      </c>
      <c r="AP563" s="1979">
        <f>IF(Construction!$F$31=Construction!$R$22,Oeko!DC563,Oeko!FP563)</f>
        <v>0</v>
      </c>
      <c r="AQ563" s="1979">
        <f>IF(Construction!$F$31=Construction!$R$22,Oeko!DD563,Oeko!FQ563)</f>
        <v>0</v>
      </c>
      <c r="AR563" s="1998">
        <f>IF(Construction!$F$31=Construction!$R$22,Oeko!DE563,Oeko!FR563)</f>
        <v>0</v>
      </c>
      <c r="AS563" s="1998">
        <f>IF(Construction!$F$31=Construction!$R$22,Oeko!DF563,Oeko!FS563)</f>
        <v>0</v>
      </c>
      <c r="AT563" s="1998">
        <f>IF(Construction!$F$31=Construction!$R$22,Oeko!DG563,Oeko!FT563)</f>
        <v>0</v>
      </c>
      <c r="AU563" s="1998">
        <f>IF(Construction!$F$31=Construction!$R$22,Oeko!DH563,Oeko!FU563)</f>
        <v>0</v>
      </c>
      <c r="AV563" s="1998">
        <f>IF(Construction!$F$31=Construction!$R$22,Oeko!DI563,Oeko!FV563)</f>
        <v>0</v>
      </c>
      <c r="AW563" s="1979">
        <f>IF(Construction!$F$31=Construction!$R$22,Oeko!DJ563,Oeko!FW563)</f>
        <v>0</v>
      </c>
      <c r="AX563" s="1979">
        <f>IF(Construction!$F$31=Construction!$R$22,Oeko!DK563,Oeko!FX563)</f>
        <v>0</v>
      </c>
      <c r="AY563" s="1979">
        <f>IF(Construction!$F$31=Construction!$R$22,Oeko!DL563,Oeko!FY563)</f>
        <v>0</v>
      </c>
      <c r="AZ563" s="1979">
        <f>IF(Construction!$F$31=Construction!$R$22,Oeko!DM563,Oeko!FZ563)</f>
        <v>0</v>
      </c>
      <c r="BA563" s="1979">
        <f>IF(Construction!$F$31=Construction!$R$22,Oeko!DN563,Oeko!GA563)</f>
        <v>0</v>
      </c>
      <c r="BB563" s="1998">
        <f>IF(Construction!$F$31=Construction!$R$22,Oeko!DO563,Oeko!GB563)</f>
        <v>0</v>
      </c>
      <c r="BC563" s="1998">
        <f>IF(Construction!$F$31=Construction!$R$22,Oeko!DP563,Oeko!GC563)</f>
        <v>0</v>
      </c>
      <c r="BD563" s="1998">
        <f>IF(Construction!$F$31=Construction!$R$22,Oeko!DQ563,Oeko!GD563)</f>
        <v>0</v>
      </c>
      <c r="BE563" s="1998">
        <f>IF(Construction!$F$31=Construction!$R$22,Oeko!DR563,Oeko!GE563)</f>
        <v>0</v>
      </c>
      <c r="BF563" s="1998">
        <f>IF(Construction!$F$31=Construction!$R$22,Oeko!DS563,Oeko!GF563)</f>
        <v>0</v>
      </c>
      <c r="BG563" s="1979">
        <f>IF(Construction!$F$31=Construction!$R$22,Oeko!DT563,Oeko!GG563)</f>
        <v>0</v>
      </c>
      <c r="BH563" s="1979">
        <f>IF(Construction!$F$31=Construction!$R$22,Oeko!DU563,Oeko!GH563)</f>
        <v>0</v>
      </c>
      <c r="BI563" s="1979">
        <f>IF(Construction!$F$31=Construction!$R$22,Oeko!DV563,Oeko!GI563)</f>
        <v>0</v>
      </c>
      <c r="BJ563" s="1979">
        <f>IF(Construction!$F$31=Construction!$R$22,Oeko!DW563,Oeko!GJ563)</f>
        <v>0</v>
      </c>
      <c r="BK563" s="2021">
        <f>IF(Construction!$F$31=Construction!$R$22,Oeko!DX563,Oeko!GK563)</f>
        <v>0</v>
      </c>
      <c r="BN563" s="2018"/>
      <c r="BO563" s="2">
        <v>23</v>
      </c>
      <c r="BP563" s="2" t="str">
        <f>CONCATENATE($U$8," ",GV$17)</f>
        <v xml:space="preserve">Proportion de fenêtres </v>
      </c>
      <c r="BQ563" s="1998">
        <v>0</v>
      </c>
      <c r="BR563" s="1998">
        <v>0</v>
      </c>
      <c r="BS563" s="1998">
        <v>0</v>
      </c>
      <c r="BT563" s="1998">
        <v>0</v>
      </c>
      <c r="BU563" s="1998">
        <v>0</v>
      </c>
      <c r="BV563" s="1979">
        <v>0</v>
      </c>
      <c r="BW563" s="1979">
        <v>0</v>
      </c>
      <c r="BX563" s="1979">
        <v>0</v>
      </c>
      <c r="BY563" s="1979">
        <v>0</v>
      </c>
      <c r="BZ563" s="1979">
        <v>0</v>
      </c>
      <c r="CA563" s="1998">
        <v>0</v>
      </c>
      <c r="CB563" s="1998">
        <v>0</v>
      </c>
      <c r="CC563" s="1998">
        <v>0</v>
      </c>
      <c r="CD563" s="1998">
        <v>0</v>
      </c>
      <c r="CE563" s="1998">
        <v>0</v>
      </c>
      <c r="CF563" s="1979">
        <v>1</v>
      </c>
      <c r="CG563" s="1979">
        <v>1</v>
      </c>
      <c r="CH563" s="1979">
        <v>1</v>
      </c>
      <c r="CI563" s="1979">
        <v>1</v>
      </c>
      <c r="CJ563" s="1979">
        <v>1</v>
      </c>
      <c r="CK563" s="1998">
        <v>0</v>
      </c>
      <c r="CL563" s="1998">
        <v>0</v>
      </c>
      <c r="CM563" s="1998">
        <v>0</v>
      </c>
      <c r="CN563" s="1998">
        <v>0</v>
      </c>
      <c r="CO563" s="1998">
        <v>0</v>
      </c>
      <c r="CP563" s="1979">
        <v>0</v>
      </c>
      <c r="CQ563" s="1979">
        <v>0</v>
      </c>
      <c r="CR563" s="1979">
        <v>0</v>
      </c>
      <c r="CS563" s="1979">
        <v>0</v>
      </c>
      <c r="CT563" s="1979">
        <v>0</v>
      </c>
      <c r="CU563" s="1998">
        <v>0</v>
      </c>
      <c r="CV563" s="1998">
        <v>0</v>
      </c>
      <c r="CW563" s="1998">
        <v>0</v>
      </c>
      <c r="CX563" s="1998">
        <v>0</v>
      </c>
      <c r="CY563" s="1998">
        <v>0</v>
      </c>
      <c r="CZ563" s="1979">
        <v>0</v>
      </c>
      <c r="DA563" s="1979">
        <v>0</v>
      </c>
      <c r="DB563" s="1979">
        <v>0</v>
      </c>
      <c r="DC563" s="1979">
        <v>0</v>
      </c>
      <c r="DD563" s="1979">
        <v>0</v>
      </c>
      <c r="DE563" s="1998">
        <v>0</v>
      </c>
      <c r="DF563" s="1998">
        <v>0</v>
      </c>
      <c r="DG563" s="1998">
        <v>0</v>
      </c>
      <c r="DH563" s="1998">
        <v>0</v>
      </c>
      <c r="DI563" s="1998">
        <v>0</v>
      </c>
      <c r="DJ563" s="1979">
        <v>0</v>
      </c>
      <c r="DK563" s="1979">
        <v>0</v>
      </c>
      <c r="DL563" s="1979">
        <v>0</v>
      </c>
      <c r="DM563" s="1979">
        <v>0</v>
      </c>
      <c r="DN563" s="1979">
        <v>0</v>
      </c>
      <c r="DO563" s="1998">
        <v>0</v>
      </c>
      <c r="DP563" s="1998">
        <v>0</v>
      </c>
      <c r="DQ563" s="1998">
        <v>0</v>
      </c>
      <c r="DR563" s="1998">
        <v>0</v>
      </c>
      <c r="DS563" s="1998">
        <v>0</v>
      </c>
      <c r="DT563" s="1979">
        <v>0</v>
      </c>
      <c r="DU563" s="1979">
        <v>0</v>
      </c>
      <c r="DV563" s="1979">
        <v>0</v>
      </c>
      <c r="DW563" s="1979">
        <v>0</v>
      </c>
      <c r="DX563" s="2021">
        <v>0</v>
      </c>
      <c r="EA563" s="2018"/>
      <c r="EB563" s="2">
        <v>23</v>
      </c>
      <c r="EC563" s="2" t="str">
        <f>CONCATENATE($U$8," ",JI$17)</f>
        <v xml:space="preserve">Proportion de fenêtres </v>
      </c>
      <c r="ED563" s="1998">
        <v>0</v>
      </c>
      <c r="EE563" s="1998">
        <v>0</v>
      </c>
      <c r="EF563" s="1998">
        <v>0</v>
      </c>
      <c r="EG563" s="1998">
        <v>0</v>
      </c>
      <c r="EH563" s="1998">
        <v>0</v>
      </c>
      <c r="EI563" s="1979">
        <v>0</v>
      </c>
      <c r="EJ563" s="1979">
        <v>0</v>
      </c>
      <c r="EK563" s="1979">
        <v>0</v>
      </c>
      <c r="EL563" s="1979">
        <v>0</v>
      </c>
      <c r="EM563" s="1979">
        <v>0</v>
      </c>
      <c r="EN563" s="1998">
        <v>0</v>
      </c>
      <c r="EO563" s="1998">
        <v>0</v>
      </c>
      <c r="EP563" s="1998">
        <v>0</v>
      </c>
      <c r="EQ563" s="1998">
        <v>0</v>
      </c>
      <c r="ER563" s="1998">
        <v>0</v>
      </c>
      <c r="ES563" s="1979">
        <v>1.7711091583252017</v>
      </c>
      <c r="ET563" s="1979">
        <v>1.7993872846905539</v>
      </c>
      <c r="EU563" s="1979">
        <v>1.8064568162818917</v>
      </c>
      <c r="EV563" s="1979">
        <v>1.8135263478732302</v>
      </c>
      <c r="EW563" s="1979">
        <v>1.820595879464568</v>
      </c>
      <c r="EX563" s="1998">
        <v>0</v>
      </c>
      <c r="EY563" s="1998">
        <v>0</v>
      </c>
      <c r="EZ563" s="1998">
        <v>0</v>
      </c>
      <c r="FA563" s="1998">
        <v>0</v>
      </c>
      <c r="FB563" s="1998">
        <v>0</v>
      </c>
      <c r="FC563" s="1979">
        <v>0</v>
      </c>
      <c r="FD563" s="1979">
        <v>0</v>
      </c>
      <c r="FE563" s="1979">
        <v>0</v>
      </c>
      <c r="FF563" s="1979">
        <v>0</v>
      </c>
      <c r="FG563" s="1979">
        <v>0</v>
      </c>
      <c r="FH563" s="1998">
        <v>0</v>
      </c>
      <c r="FI563" s="1998">
        <v>0</v>
      </c>
      <c r="FJ563" s="1998">
        <v>0</v>
      </c>
      <c r="FK563" s="1998">
        <v>0</v>
      </c>
      <c r="FL563" s="1998">
        <v>0</v>
      </c>
      <c r="FM563" s="1979">
        <v>0</v>
      </c>
      <c r="FN563" s="1979">
        <v>0</v>
      </c>
      <c r="FO563" s="1979">
        <v>0</v>
      </c>
      <c r="FP563" s="1979">
        <v>0</v>
      </c>
      <c r="FQ563" s="1979">
        <v>0</v>
      </c>
      <c r="FR563" s="1998">
        <v>0</v>
      </c>
      <c r="FS563" s="1998">
        <v>0</v>
      </c>
      <c r="FT563" s="1998">
        <v>0</v>
      </c>
      <c r="FU563" s="1998">
        <v>0</v>
      </c>
      <c r="FV563" s="1998">
        <v>0</v>
      </c>
      <c r="FW563" s="1979">
        <v>0</v>
      </c>
      <c r="FX563" s="1979">
        <v>0</v>
      </c>
      <c r="FY563" s="1979">
        <v>0</v>
      </c>
      <c r="FZ563" s="1979">
        <v>0</v>
      </c>
      <c r="GA563" s="1979">
        <v>0</v>
      </c>
      <c r="GB563" s="1998">
        <v>0</v>
      </c>
      <c r="GC563" s="1998">
        <v>0</v>
      </c>
      <c r="GD563" s="1998">
        <v>0</v>
      </c>
      <c r="GE563" s="1998">
        <v>0</v>
      </c>
      <c r="GF563" s="1998">
        <v>0</v>
      </c>
      <c r="GG563" s="1979">
        <v>0</v>
      </c>
      <c r="GH563" s="1979">
        <v>0</v>
      </c>
      <c r="GI563" s="1979">
        <v>0</v>
      </c>
      <c r="GJ563" s="1979">
        <v>0</v>
      </c>
      <c r="GK563" s="2021">
        <v>0</v>
      </c>
    </row>
    <row r="564" spans="1:193">
      <c r="A564" s="2016"/>
      <c r="B564" s="2">
        <v>24</v>
      </c>
      <c r="C564" s="2" t="s">
        <v>4211</v>
      </c>
      <c r="D564" s="1998">
        <f>IF(Construction!$F$31=Construction!$R$22,Oeko!BQ564,Oeko!ED564)</f>
        <v>1</v>
      </c>
      <c r="E564" s="1998">
        <f>IF(Construction!$F$31=Construction!$R$22,Oeko!BR564,Oeko!EE564)</f>
        <v>1</v>
      </c>
      <c r="F564" s="1998">
        <f>IF(Construction!$F$31=Construction!$R$22,Oeko!BS564,Oeko!EF564)</f>
        <v>1</v>
      </c>
      <c r="G564" s="1998">
        <f>IF(Construction!$F$31=Construction!$R$22,Oeko!BT564,Oeko!EG564)</f>
        <v>1</v>
      </c>
      <c r="H564" s="1998">
        <f>IF(Construction!$F$31=Construction!$R$22,Oeko!BU564,Oeko!EH564)</f>
        <v>1</v>
      </c>
      <c r="I564" s="1979">
        <f>IF(Construction!$F$31=Construction!$R$22,Oeko!BV564,Oeko!EI564)</f>
        <v>1</v>
      </c>
      <c r="J564" s="1979">
        <f>IF(Construction!$F$31=Construction!$R$22,Oeko!BW564,Oeko!EJ564)</f>
        <v>1</v>
      </c>
      <c r="K564" s="1979">
        <f>IF(Construction!$F$31=Construction!$R$22,Oeko!BX564,Oeko!EK564)</f>
        <v>1</v>
      </c>
      <c r="L564" s="1979">
        <f>IF(Construction!$F$31=Construction!$R$22,Oeko!BY564,Oeko!EL564)</f>
        <v>1</v>
      </c>
      <c r="M564" s="1979">
        <f>IF(Construction!$F$31=Construction!$R$22,Oeko!BZ564,Oeko!EM564)</f>
        <v>1</v>
      </c>
      <c r="N564" s="1998">
        <f>IF(Construction!$F$31=Construction!$R$22,Oeko!CA564,Oeko!EN564)</f>
        <v>1.0000000000000002</v>
      </c>
      <c r="O564" s="1998">
        <f>IF(Construction!$F$31=Construction!$R$22,Oeko!CB564,Oeko!EO564)</f>
        <v>1.0000000000000002</v>
      </c>
      <c r="P564" s="1998">
        <f>IF(Construction!$F$31=Construction!$R$22,Oeko!CC564,Oeko!EP564)</f>
        <v>1.0000000000000002</v>
      </c>
      <c r="Q564" s="1998">
        <f>IF(Construction!$F$31=Construction!$R$22,Oeko!CD564,Oeko!EQ564)</f>
        <v>1.0000000000000002</v>
      </c>
      <c r="R564" s="1998">
        <f>IF(Construction!$F$31=Construction!$R$22,Oeko!CE564,Oeko!ER564)</f>
        <v>1.0000000000000002</v>
      </c>
      <c r="S564" s="1979">
        <f>IF(Construction!$F$31=Construction!$R$22,Oeko!CF564,Oeko!ES564)</f>
        <v>1</v>
      </c>
      <c r="T564" s="1979">
        <f>IF(Construction!$F$31=Construction!$R$22,Oeko!CG564,Oeko!ET564)</f>
        <v>1</v>
      </c>
      <c r="U564" s="1979">
        <f>IF(Construction!$F$31=Construction!$R$22,Oeko!CH564,Oeko!EU564)</f>
        <v>1</v>
      </c>
      <c r="V564" s="1979">
        <f>IF(Construction!$F$31=Construction!$R$22,Oeko!CI564,Oeko!EV564)</f>
        <v>1</v>
      </c>
      <c r="W564" s="1979">
        <f>IF(Construction!$F$31=Construction!$R$22,Oeko!CJ564,Oeko!EW564)</f>
        <v>1</v>
      </c>
      <c r="X564" s="1998">
        <f>IF(Construction!$F$31=Construction!$R$22,Oeko!CK564,Oeko!EX564)</f>
        <v>1</v>
      </c>
      <c r="Y564" s="1998">
        <f>IF(Construction!$F$31=Construction!$R$22,Oeko!CL564,Oeko!EY564)</f>
        <v>1</v>
      </c>
      <c r="Z564" s="1998">
        <f>IF(Construction!$F$31=Construction!$R$22,Oeko!CM564,Oeko!EZ564)</f>
        <v>1</v>
      </c>
      <c r="AA564" s="1998">
        <f>IF(Construction!$F$31=Construction!$R$22,Oeko!CN564,Oeko!FA564)</f>
        <v>1</v>
      </c>
      <c r="AB564" s="1998">
        <f>IF(Construction!$F$31=Construction!$R$22,Oeko!CO564,Oeko!FB564)</f>
        <v>1</v>
      </c>
      <c r="AC564" s="1979">
        <f>IF(Construction!$F$31=Construction!$R$22,Oeko!CP564,Oeko!FC564)</f>
        <v>1</v>
      </c>
      <c r="AD564" s="1979">
        <f>IF(Construction!$F$31=Construction!$R$22,Oeko!CQ564,Oeko!FD564)</f>
        <v>1</v>
      </c>
      <c r="AE564" s="1979">
        <f>IF(Construction!$F$31=Construction!$R$22,Oeko!CR564,Oeko!FE564)</f>
        <v>1</v>
      </c>
      <c r="AF564" s="1979">
        <f>IF(Construction!$F$31=Construction!$R$22,Oeko!CS564,Oeko!FF564)</f>
        <v>1</v>
      </c>
      <c r="AG564" s="1979">
        <f>IF(Construction!$F$31=Construction!$R$22,Oeko!CT564,Oeko!FG564)</f>
        <v>1</v>
      </c>
      <c r="AH564" s="1998">
        <f>IF(Construction!$F$31=Construction!$R$22,Oeko!CU564,Oeko!FH564)</f>
        <v>1</v>
      </c>
      <c r="AI564" s="1998">
        <f>IF(Construction!$F$31=Construction!$R$22,Oeko!CV564,Oeko!FI564)</f>
        <v>1</v>
      </c>
      <c r="AJ564" s="1998">
        <f>IF(Construction!$F$31=Construction!$R$22,Oeko!CW564,Oeko!FJ564)</f>
        <v>1</v>
      </c>
      <c r="AK564" s="1998">
        <f>IF(Construction!$F$31=Construction!$R$22,Oeko!CX564,Oeko!FK564)</f>
        <v>1</v>
      </c>
      <c r="AL564" s="1998">
        <f>IF(Construction!$F$31=Construction!$R$22,Oeko!CY564,Oeko!FL564)</f>
        <v>1</v>
      </c>
      <c r="AM564" s="1979">
        <f>IF(Construction!$F$31=Construction!$R$22,Oeko!CZ564,Oeko!FM564)</f>
        <v>0.66666666666666663</v>
      </c>
      <c r="AN564" s="1979">
        <f>IF(Construction!$F$31=Construction!$R$22,Oeko!DA564,Oeko!FN564)</f>
        <v>0.66666666666666663</v>
      </c>
      <c r="AO564" s="1979">
        <f>IF(Construction!$F$31=Construction!$R$22,Oeko!DB564,Oeko!FO564)</f>
        <v>0.66666666666666663</v>
      </c>
      <c r="AP564" s="1979">
        <f>IF(Construction!$F$31=Construction!$R$22,Oeko!DC564,Oeko!FP564)</f>
        <v>0.66666666666666663</v>
      </c>
      <c r="AQ564" s="1979">
        <f>IF(Construction!$F$31=Construction!$R$22,Oeko!DD564,Oeko!FQ564)</f>
        <v>0.66666666666666663</v>
      </c>
      <c r="AR564" s="1998">
        <f>IF(Construction!$F$31=Construction!$R$22,Oeko!DE564,Oeko!FR564)</f>
        <v>8.1914540462959007</v>
      </c>
      <c r="AS564" s="1998">
        <f>IF(Construction!$F$31=Construction!$R$22,Oeko!DF564,Oeko!FS564)</f>
        <v>8.1914540462959007</v>
      </c>
      <c r="AT564" s="1998">
        <f>IF(Construction!$F$31=Construction!$R$22,Oeko!DG564,Oeko!FT564)</f>
        <v>8.1914540462959007</v>
      </c>
      <c r="AU564" s="1998">
        <f>IF(Construction!$F$31=Construction!$R$22,Oeko!DH564,Oeko!FU564)</f>
        <v>8.1914540462959007</v>
      </c>
      <c r="AV564" s="1998">
        <f>IF(Construction!$F$31=Construction!$R$22,Oeko!DI564,Oeko!FV564)</f>
        <v>8.1914540462959007</v>
      </c>
      <c r="AW564" s="1979">
        <f>IF(Construction!$F$31=Construction!$R$22,Oeko!DJ564,Oeko!FW564)</f>
        <v>8.1771999062029916</v>
      </c>
      <c r="AX564" s="1979">
        <f>IF(Construction!$F$31=Construction!$R$22,Oeko!DK564,Oeko!FX564)</f>
        <v>8.1771999062029916</v>
      </c>
      <c r="AY564" s="1979">
        <f>IF(Construction!$F$31=Construction!$R$22,Oeko!DL564,Oeko!FY564)</f>
        <v>8.1771999062029916</v>
      </c>
      <c r="AZ564" s="1979">
        <f>IF(Construction!$F$31=Construction!$R$22,Oeko!DM564,Oeko!FZ564)</f>
        <v>8.1771999062029916</v>
      </c>
      <c r="BA564" s="1979">
        <f>IF(Construction!$F$31=Construction!$R$22,Oeko!DN564,Oeko!GA564)</f>
        <v>8.1771999062029916</v>
      </c>
      <c r="BB564" s="1998">
        <f>IF(Construction!$F$31=Construction!$R$22,Oeko!DO564,Oeko!GB564)</f>
        <v>1</v>
      </c>
      <c r="BC564" s="1998">
        <f>IF(Construction!$F$31=Construction!$R$22,Oeko!DP564,Oeko!GC564)</f>
        <v>1</v>
      </c>
      <c r="BD564" s="1998">
        <f>IF(Construction!$F$31=Construction!$R$22,Oeko!DQ564,Oeko!GD564)</f>
        <v>1</v>
      </c>
      <c r="BE564" s="1998">
        <f>IF(Construction!$F$31=Construction!$R$22,Oeko!DR564,Oeko!GE564)</f>
        <v>1</v>
      </c>
      <c r="BF564" s="1998">
        <f>IF(Construction!$F$31=Construction!$R$22,Oeko!DS564,Oeko!GF564)</f>
        <v>1</v>
      </c>
      <c r="BG564" s="1979">
        <f>IF(Construction!$F$31=Construction!$R$22,Oeko!DT564,Oeko!GG564)</f>
        <v>1</v>
      </c>
      <c r="BH564" s="1979">
        <f>IF(Construction!$F$31=Construction!$R$22,Oeko!DU564,Oeko!GH564)</f>
        <v>1</v>
      </c>
      <c r="BI564" s="1979">
        <f>IF(Construction!$F$31=Construction!$R$22,Oeko!DV564,Oeko!GI564)</f>
        <v>1</v>
      </c>
      <c r="BJ564" s="1979">
        <f>IF(Construction!$F$31=Construction!$R$22,Oeko!DW564,Oeko!GJ564)</f>
        <v>1</v>
      </c>
      <c r="BK564" s="2021">
        <f>IF(Construction!$F$31=Construction!$R$22,Oeko!DX564,Oeko!GK564)</f>
        <v>1</v>
      </c>
      <c r="BN564" s="2018"/>
      <c r="BO564" s="2">
        <v>24</v>
      </c>
      <c r="BP564" s="2" t="s">
        <v>4211</v>
      </c>
      <c r="BQ564" s="1998">
        <v>1</v>
      </c>
      <c r="BR564" s="1998">
        <v>1</v>
      </c>
      <c r="BS564" s="1998">
        <v>1</v>
      </c>
      <c r="BT564" s="1998">
        <v>1</v>
      </c>
      <c r="BU564" s="1998">
        <v>1</v>
      </c>
      <c r="BV564" s="1979">
        <v>1</v>
      </c>
      <c r="BW564" s="1979">
        <v>1</v>
      </c>
      <c r="BX564" s="1979">
        <v>1</v>
      </c>
      <c r="BY564" s="1979">
        <v>1</v>
      </c>
      <c r="BZ564" s="1979">
        <v>1</v>
      </c>
      <c r="CA564" s="1998">
        <v>1.0000000000000002</v>
      </c>
      <c r="CB564" s="1998">
        <v>1.0000000000000002</v>
      </c>
      <c r="CC564" s="1998">
        <v>1.0000000000000002</v>
      </c>
      <c r="CD564" s="1998">
        <v>1.0000000000000002</v>
      </c>
      <c r="CE564" s="1998">
        <v>1.0000000000000002</v>
      </c>
      <c r="CF564" s="1979">
        <v>1</v>
      </c>
      <c r="CG564" s="1979">
        <v>1</v>
      </c>
      <c r="CH564" s="1979">
        <v>1</v>
      </c>
      <c r="CI564" s="1979">
        <v>1</v>
      </c>
      <c r="CJ564" s="1979">
        <v>1</v>
      </c>
      <c r="CK564" s="1998">
        <v>1</v>
      </c>
      <c r="CL564" s="1998">
        <v>1</v>
      </c>
      <c r="CM564" s="1998">
        <v>1</v>
      </c>
      <c r="CN564" s="1998">
        <v>1</v>
      </c>
      <c r="CO564" s="1998">
        <v>1</v>
      </c>
      <c r="CP564" s="1979">
        <v>1</v>
      </c>
      <c r="CQ564" s="1979">
        <v>1</v>
      </c>
      <c r="CR564" s="1979">
        <v>1</v>
      </c>
      <c r="CS564" s="1979">
        <v>1</v>
      </c>
      <c r="CT564" s="1979">
        <v>1</v>
      </c>
      <c r="CU564" s="1998">
        <v>1</v>
      </c>
      <c r="CV564" s="1998">
        <v>1</v>
      </c>
      <c r="CW564" s="1998">
        <v>1</v>
      </c>
      <c r="CX564" s="1998">
        <v>1</v>
      </c>
      <c r="CY564" s="1998">
        <v>1</v>
      </c>
      <c r="CZ564" s="1979">
        <v>0.66666666666666663</v>
      </c>
      <c r="DA564" s="1979">
        <v>0.66666666666666663</v>
      </c>
      <c r="DB564" s="1979">
        <v>0.66666666666666663</v>
      </c>
      <c r="DC564" s="1979">
        <v>0.66666666666666663</v>
      </c>
      <c r="DD564" s="1979">
        <v>0.66666666666666663</v>
      </c>
      <c r="DE564" s="1998">
        <v>8.1914540462959007</v>
      </c>
      <c r="DF564" s="1998">
        <v>8.1914540462959007</v>
      </c>
      <c r="DG564" s="1998">
        <v>8.1914540462959007</v>
      </c>
      <c r="DH564" s="1998">
        <v>8.1914540462959007</v>
      </c>
      <c r="DI564" s="1998">
        <v>8.1914540462959007</v>
      </c>
      <c r="DJ564" s="1979">
        <v>8.1771999062029916</v>
      </c>
      <c r="DK564" s="1979">
        <v>8.1771999062029916</v>
      </c>
      <c r="DL564" s="1979">
        <v>8.1771999062029916</v>
      </c>
      <c r="DM564" s="1979">
        <v>8.1771999062029916</v>
      </c>
      <c r="DN564" s="1979">
        <v>8.1771999062029916</v>
      </c>
      <c r="DO564" s="1998">
        <v>1</v>
      </c>
      <c r="DP564" s="1998">
        <v>1</v>
      </c>
      <c r="DQ564" s="1998">
        <v>1</v>
      </c>
      <c r="DR564" s="1998">
        <v>1</v>
      </c>
      <c r="DS564" s="1998">
        <v>1</v>
      </c>
      <c r="DT564" s="1979">
        <v>1</v>
      </c>
      <c r="DU564" s="1979">
        <v>1</v>
      </c>
      <c r="DV564" s="1979">
        <v>1</v>
      </c>
      <c r="DW564" s="1979">
        <v>1</v>
      </c>
      <c r="DX564" s="2021">
        <v>1</v>
      </c>
      <c r="EA564" s="2018"/>
      <c r="EB564" s="2">
        <v>24</v>
      </c>
      <c r="EC564" s="2" t="s">
        <v>4211</v>
      </c>
      <c r="ED564" s="1998">
        <v>1.2868815919764993</v>
      </c>
      <c r="EE564" s="1998">
        <v>1.2868815919764993</v>
      </c>
      <c r="EF564" s="1998">
        <v>1.2868815919764993</v>
      </c>
      <c r="EG564" s="1998">
        <v>1.2868815919764993</v>
      </c>
      <c r="EH564" s="1998">
        <v>1.2868815919764993</v>
      </c>
      <c r="EI564" s="1979">
        <v>1.5980823726272015</v>
      </c>
      <c r="EJ564" s="1979">
        <v>1.5980823726272015</v>
      </c>
      <c r="EK564" s="1979">
        <v>1.5980823726272015</v>
      </c>
      <c r="EL564" s="1979">
        <v>1.5980823726272015</v>
      </c>
      <c r="EM564" s="1979">
        <v>1.5980823726272015</v>
      </c>
      <c r="EN564" s="1998">
        <v>1.3606673031283796</v>
      </c>
      <c r="EO564" s="1998">
        <v>1.3606673031283796</v>
      </c>
      <c r="EP564" s="1998">
        <v>1.3606673031283796</v>
      </c>
      <c r="EQ564" s="1998">
        <v>1.3606673031283796</v>
      </c>
      <c r="ER564" s="1998">
        <v>1.3606673031283796</v>
      </c>
      <c r="ES564" s="1979">
        <v>1.5330426819868914</v>
      </c>
      <c r="ET564" s="1979">
        <v>1.5330426819868914</v>
      </c>
      <c r="EU564" s="1979">
        <v>1.5330426819868914</v>
      </c>
      <c r="EV564" s="1979">
        <v>1.5330426819868914</v>
      </c>
      <c r="EW564" s="1979">
        <v>1.5330426819868914</v>
      </c>
      <c r="EX564" s="1998">
        <v>1.3807649715094688</v>
      </c>
      <c r="EY564" s="1998">
        <v>1.3807649715094688</v>
      </c>
      <c r="EZ564" s="1998">
        <v>1.3807649715094688</v>
      </c>
      <c r="FA564" s="1998">
        <v>1.3807649715094688</v>
      </c>
      <c r="FB564" s="1998">
        <v>1.3807649715094688</v>
      </c>
      <c r="FC564" s="1979">
        <v>1.6277744053108218</v>
      </c>
      <c r="FD564" s="1979">
        <v>1.6277744053108218</v>
      </c>
      <c r="FE564" s="1979">
        <v>1.6277744053108218</v>
      </c>
      <c r="FF564" s="1979">
        <v>1.6277744053108218</v>
      </c>
      <c r="FG564" s="1979">
        <v>1.6277744053108218</v>
      </c>
      <c r="FH564" s="1998">
        <v>1.9137369581804469</v>
      </c>
      <c r="FI564" s="1998">
        <v>1.9137369581804469</v>
      </c>
      <c r="FJ564" s="1998">
        <v>1.9137369581804469</v>
      </c>
      <c r="FK564" s="1998">
        <v>1.9137369581804469</v>
      </c>
      <c r="FL564" s="1998">
        <v>1.9137369581804469</v>
      </c>
      <c r="FM564" s="1979">
        <v>0.95312408674768578</v>
      </c>
      <c r="FN564" s="1979">
        <v>0.95312408674768578</v>
      </c>
      <c r="FO564" s="1979">
        <v>0.95312408674768578</v>
      </c>
      <c r="FP564" s="1979">
        <v>0.95312408674768578</v>
      </c>
      <c r="FQ564" s="1979">
        <v>0.95312408674768578</v>
      </c>
      <c r="FR564" s="1998">
        <v>13.156124613273878</v>
      </c>
      <c r="FS564" s="1998">
        <v>13.156124613273878</v>
      </c>
      <c r="FT564" s="1998">
        <v>13.156124613273878</v>
      </c>
      <c r="FU564" s="1998">
        <v>13.156124613273878</v>
      </c>
      <c r="FV564" s="1998">
        <v>13.156124613273878</v>
      </c>
      <c r="FW564" s="1979">
        <v>13.515354994373412</v>
      </c>
      <c r="FX564" s="1979">
        <v>13.515354994373412</v>
      </c>
      <c r="FY564" s="1979">
        <v>13.515354994373412</v>
      </c>
      <c r="FZ564" s="1979">
        <v>13.515354994373412</v>
      </c>
      <c r="GA564" s="1979">
        <v>13.515354994373412</v>
      </c>
      <c r="GB564" s="1998">
        <v>1.3861479372000356</v>
      </c>
      <c r="GC564" s="1998">
        <v>1.3861479372000356</v>
      </c>
      <c r="GD564" s="1998">
        <v>1.3861479372000356</v>
      </c>
      <c r="GE564" s="1998">
        <v>1.3861479372000356</v>
      </c>
      <c r="GF564" s="1998">
        <v>1.3861479372000356</v>
      </c>
      <c r="GG564" s="1979">
        <v>1.4313071575784038</v>
      </c>
      <c r="GH564" s="1979">
        <v>1.4313071575784038</v>
      </c>
      <c r="GI564" s="1979">
        <v>1.4313071575784038</v>
      </c>
      <c r="GJ564" s="1979">
        <v>1.4313071575784038</v>
      </c>
      <c r="GK564" s="2021">
        <v>1.4313071575784038</v>
      </c>
    </row>
    <row r="565" spans="1:193">
      <c r="A565" s="2016"/>
      <c r="B565" s="2">
        <v>25</v>
      </c>
      <c r="C565" s="2" t="s">
        <v>4229</v>
      </c>
      <c r="D565" s="1998">
        <f>IF(Construction!$F$31=Construction!$R$22,Oeko!BQ565,Oeko!ED565)</f>
        <v>1</v>
      </c>
      <c r="E565" s="1998">
        <f>IF(Construction!$F$31=Construction!$R$22,Oeko!BR565,Oeko!EE565)</f>
        <v>1</v>
      </c>
      <c r="F565" s="1998">
        <f>IF(Construction!$F$31=Construction!$R$22,Oeko!BS565,Oeko!EF565)</f>
        <v>1</v>
      </c>
      <c r="G565" s="1998">
        <f>IF(Construction!$F$31=Construction!$R$22,Oeko!BT565,Oeko!EG565)</f>
        <v>1</v>
      </c>
      <c r="H565" s="1998">
        <f>IF(Construction!$F$31=Construction!$R$22,Oeko!BU565,Oeko!EH565)</f>
        <v>1</v>
      </c>
      <c r="I565" s="1979">
        <f>IF(Construction!$F$31=Construction!$R$22,Oeko!BV565,Oeko!EI565)</f>
        <v>1</v>
      </c>
      <c r="J565" s="1979">
        <f>IF(Construction!$F$31=Construction!$R$22,Oeko!BW565,Oeko!EJ565)</f>
        <v>1</v>
      </c>
      <c r="K565" s="1979">
        <f>IF(Construction!$F$31=Construction!$R$22,Oeko!BX565,Oeko!EK565)</f>
        <v>1</v>
      </c>
      <c r="L565" s="1979">
        <f>IF(Construction!$F$31=Construction!$R$22,Oeko!BY565,Oeko!EL565)</f>
        <v>1</v>
      </c>
      <c r="M565" s="1979">
        <f>IF(Construction!$F$31=Construction!$R$22,Oeko!BZ565,Oeko!EM565)</f>
        <v>1</v>
      </c>
      <c r="N565" s="1998">
        <f>IF(Construction!$F$31=Construction!$R$22,Oeko!CA565,Oeko!EN565)</f>
        <v>1</v>
      </c>
      <c r="O565" s="1998">
        <f>IF(Construction!$F$31=Construction!$R$22,Oeko!CB565,Oeko!EO565)</f>
        <v>1</v>
      </c>
      <c r="P565" s="1998">
        <f>IF(Construction!$F$31=Construction!$R$22,Oeko!CC565,Oeko!EP565)</f>
        <v>1</v>
      </c>
      <c r="Q565" s="1998">
        <f>IF(Construction!$F$31=Construction!$R$22,Oeko!CD565,Oeko!EQ565)</f>
        <v>1</v>
      </c>
      <c r="R565" s="1998">
        <f>IF(Construction!$F$31=Construction!$R$22,Oeko!CE565,Oeko!ER565)</f>
        <v>1</v>
      </c>
      <c r="S565" s="1979">
        <f>IF(Construction!$F$31=Construction!$R$22,Oeko!CF565,Oeko!ES565)</f>
        <v>1.0000000000000002</v>
      </c>
      <c r="T565" s="1979">
        <f>IF(Construction!$F$31=Construction!$R$22,Oeko!CG565,Oeko!ET565)</f>
        <v>1.0000000000000002</v>
      </c>
      <c r="U565" s="1979">
        <f>IF(Construction!$F$31=Construction!$R$22,Oeko!CH565,Oeko!EU565)</f>
        <v>1.0000000000000002</v>
      </c>
      <c r="V565" s="1979">
        <f>IF(Construction!$F$31=Construction!$R$22,Oeko!CI565,Oeko!EV565)</f>
        <v>1.0000000000000002</v>
      </c>
      <c r="W565" s="1979">
        <f>IF(Construction!$F$31=Construction!$R$22,Oeko!CJ565,Oeko!EW565)</f>
        <v>1.0000000000000002</v>
      </c>
      <c r="X565" s="1998">
        <f>IF(Construction!$F$31=Construction!$R$22,Oeko!CK565,Oeko!EX565)</f>
        <v>1</v>
      </c>
      <c r="Y565" s="1998">
        <f>IF(Construction!$F$31=Construction!$R$22,Oeko!CL565,Oeko!EY565)</f>
        <v>1</v>
      </c>
      <c r="Z565" s="1998">
        <f>IF(Construction!$F$31=Construction!$R$22,Oeko!CM565,Oeko!EZ565)</f>
        <v>1</v>
      </c>
      <c r="AA565" s="1998">
        <f>IF(Construction!$F$31=Construction!$R$22,Oeko!CN565,Oeko!FA565)</f>
        <v>1</v>
      </c>
      <c r="AB565" s="1998">
        <f>IF(Construction!$F$31=Construction!$R$22,Oeko!CO565,Oeko!FB565)</f>
        <v>1</v>
      </c>
      <c r="AC565" s="1979">
        <f>IF(Construction!$F$31=Construction!$R$22,Oeko!CP565,Oeko!FC565)</f>
        <v>1</v>
      </c>
      <c r="AD565" s="1979">
        <f>IF(Construction!$F$31=Construction!$R$22,Oeko!CQ565,Oeko!FD565)</f>
        <v>1</v>
      </c>
      <c r="AE565" s="1979">
        <f>IF(Construction!$F$31=Construction!$R$22,Oeko!CR565,Oeko!FE565)</f>
        <v>1</v>
      </c>
      <c r="AF565" s="1979">
        <f>IF(Construction!$F$31=Construction!$R$22,Oeko!CS565,Oeko!FF565)</f>
        <v>1</v>
      </c>
      <c r="AG565" s="1979">
        <f>IF(Construction!$F$31=Construction!$R$22,Oeko!CT565,Oeko!FG565)</f>
        <v>1</v>
      </c>
      <c r="AH565" s="1998">
        <f>IF(Construction!$F$31=Construction!$R$22,Oeko!CU565,Oeko!FH565)</f>
        <v>1</v>
      </c>
      <c r="AI565" s="1998">
        <f>IF(Construction!$F$31=Construction!$R$22,Oeko!CV565,Oeko!FI565)</f>
        <v>1</v>
      </c>
      <c r="AJ565" s="1998">
        <f>IF(Construction!$F$31=Construction!$R$22,Oeko!CW565,Oeko!FJ565)</f>
        <v>1</v>
      </c>
      <c r="AK565" s="1998">
        <f>IF(Construction!$F$31=Construction!$R$22,Oeko!CX565,Oeko!FK565)</f>
        <v>1</v>
      </c>
      <c r="AL565" s="1998">
        <f>IF(Construction!$F$31=Construction!$R$22,Oeko!CY565,Oeko!FL565)</f>
        <v>1</v>
      </c>
      <c r="AM565" s="1979">
        <f>IF(Construction!$F$31=Construction!$R$22,Oeko!CZ565,Oeko!FM565)</f>
        <v>0.66666666666666663</v>
      </c>
      <c r="AN565" s="1979">
        <f>IF(Construction!$F$31=Construction!$R$22,Oeko!DA565,Oeko!FN565)</f>
        <v>0.66666666666666663</v>
      </c>
      <c r="AO565" s="1979">
        <f>IF(Construction!$F$31=Construction!$R$22,Oeko!DB565,Oeko!FO565)</f>
        <v>0.66666666666666663</v>
      </c>
      <c r="AP565" s="1979">
        <f>IF(Construction!$F$31=Construction!$R$22,Oeko!DC565,Oeko!FP565)</f>
        <v>0.66666666666666663</v>
      </c>
      <c r="AQ565" s="1979">
        <f>IF(Construction!$F$31=Construction!$R$22,Oeko!DD565,Oeko!FQ565)</f>
        <v>0.66666666666666663</v>
      </c>
      <c r="AR565" s="1998">
        <f>IF(Construction!$F$31=Construction!$R$22,Oeko!DE565,Oeko!FR565)</f>
        <v>6.393590534721926</v>
      </c>
      <c r="AS565" s="1998">
        <f>IF(Construction!$F$31=Construction!$R$22,Oeko!DF565,Oeko!FS565)</f>
        <v>6.393590534721926</v>
      </c>
      <c r="AT565" s="1998">
        <f>IF(Construction!$F$31=Construction!$R$22,Oeko!DG565,Oeko!FT565)</f>
        <v>6.393590534721926</v>
      </c>
      <c r="AU565" s="1998">
        <f>IF(Construction!$F$31=Construction!$R$22,Oeko!DH565,Oeko!FU565)</f>
        <v>6.393590534721926</v>
      </c>
      <c r="AV565" s="1998">
        <f>IF(Construction!$F$31=Construction!$R$22,Oeko!DI565,Oeko!FV565)</f>
        <v>6.393590534721926</v>
      </c>
      <c r="AW565" s="1979">
        <f>IF(Construction!$F$31=Construction!$R$22,Oeko!DJ565,Oeko!FW565)</f>
        <v>6.3828999296522442</v>
      </c>
      <c r="AX565" s="1979">
        <f>IF(Construction!$F$31=Construction!$R$22,Oeko!DK565,Oeko!FX565)</f>
        <v>6.3828999296522442</v>
      </c>
      <c r="AY565" s="1979">
        <f>IF(Construction!$F$31=Construction!$R$22,Oeko!DL565,Oeko!FY565)</f>
        <v>6.3828999296522442</v>
      </c>
      <c r="AZ565" s="1979">
        <f>IF(Construction!$F$31=Construction!$R$22,Oeko!DM565,Oeko!FZ565)</f>
        <v>6.3828999296522442</v>
      </c>
      <c r="BA565" s="1979">
        <f>IF(Construction!$F$31=Construction!$R$22,Oeko!DN565,Oeko!GA565)</f>
        <v>6.3828999296522442</v>
      </c>
      <c r="BB565" s="1998">
        <f>IF(Construction!$F$31=Construction!$R$22,Oeko!DO565,Oeko!GB565)</f>
        <v>0.78115301620803501</v>
      </c>
      <c r="BC565" s="1998">
        <f>IF(Construction!$F$31=Construction!$R$22,Oeko!DP565,Oeko!GC565)</f>
        <v>0.78115301620803501</v>
      </c>
      <c r="BD565" s="1998">
        <f>IF(Construction!$F$31=Construction!$R$22,Oeko!DQ565,Oeko!GD565)</f>
        <v>0.78115301620803501</v>
      </c>
      <c r="BE565" s="1998">
        <f>IF(Construction!$F$31=Construction!$R$22,Oeko!DR565,Oeko!GE565)</f>
        <v>0.78115301620803501</v>
      </c>
      <c r="BF565" s="1998">
        <f>IF(Construction!$F$31=Construction!$R$22,Oeko!DS565,Oeko!GF565)</f>
        <v>0.78115301620803501</v>
      </c>
      <c r="BG565" s="1979">
        <f>IF(Construction!$F$31=Construction!$R$22,Oeko!DT565,Oeko!GG565)</f>
        <v>0.78195889917775152</v>
      </c>
      <c r="BH565" s="1979">
        <f>IF(Construction!$F$31=Construction!$R$22,Oeko!DU565,Oeko!GH565)</f>
        <v>0.78195889917775152</v>
      </c>
      <c r="BI565" s="1979">
        <f>IF(Construction!$F$31=Construction!$R$22,Oeko!DV565,Oeko!GI565)</f>
        <v>0.78195889917775152</v>
      </c>
      <c r="BJ565" s="1979">
        <f>IF(Construction!$F$31=Construction!$R$22,Oeko!DW565,Oeko!GJ565)</f>
        <v>0.78195889917775152</v>
      </c>
      <c r="BK565" s="2021">
        <f>IF(Construction!$F$31=Construction!$R$22,Oeko!DX565,Oeko!GK565)</f>
        <v>0.78195889917775152</v>
      </c>
      <c r="BN565" s="2018"/>
      <c r="BO565" s="2">
        <v>25</v>
      </c>
      <c r="BP565" s="2" t="s">
        <v>4229</v>
      </c>
      <c r="BQ565" s="1998">
        <v>1</v>
      </c>
      <c r="BR565" s="1998">
        <v>1</v>
      </c>
      <c r="BS565" s="1998">
        <v>1</v>
      </c>
      <c r="BT565" s="1998">
        <v>1</v>
      </c>
      <c r="BU565" s="1998">
        <v>1</v>
      </c>
      <c r="BV565" s="1979">
        <v>1</v>
      </c>
      <c r="BW565" s="1979">
        <v>1</v>
      </c>
      <c r="BX565" s="1979">
        <v>1</v>
      </c>
      <c r="BY565" s="1979">
        <v>1</v>
      </c>
      <c r="BZ565" s="1979">
        <v>1</v>
      </c>
      <c r="CA565" s="1998">
        <v>1</v>
      </c>
      <c r="CB565" s="1998">
        <v>1</v>
      </c>
      <c r="CC565" s="1998">
        <v>1</v>
      </c>
      <c r="CD565" s="1998">
        <v>1</v>
      </c>
      <c r="CE565" s="1998">
        <v>1</v>
      </c>
      <c r="CF565" s="1979">
        <v>1.0000000000000002</v>
      </c>
      <c r="CG565" s="1979">
        <v>1.0000000000000002</v>
      </c>
      <c r="CH565" s="1979">
        <v>1.0000000000000002</v>
      </c>
      <c r="CI565" s="1979">
        <v>1.0000000000000002</v>
      </c>
      <c r="CJ565" s="1979">
        <v>1.0000000000000002</v>
      </c>
      <c r="CK565" s="1998">
        <v>1</v>
      </c>
      <c r="CL565" s="1998">
        <v>1</v>
      </c>
      <c r="CM565" s="1998">
        <v>1</v>
      </c>
      <c r="CN565" s="1998">
        <v>1</v>
      </c>
      <c r="CO565" s="1998">
        <v>1</v>
      </c>
      <c r="CP565" s="1979">
        <v>1</v>
      </c>
      <c r="CQ565" s="1979">
        <v>1</v>
      </c>
      <c r="CR565" s="1979">
        <v>1</v>
      </c>
      <c r="CS565" s="1979">
        <v>1</v>
      </c>
      <c r="CT565" s="1979">
        <v>1</v>
      </c>
      <c r="CU565" s="1998">
        <v>1</v>
      </c>
      <c r="CV565" s="1998">
        <v>1</v>
      </c>
      <c r="CW565" s="1998">
        <v>1</v>
      </c>
      <c r="CX565" s="1998">
        <v>1</v>
      </c>
      <c r="CY565" s="1998">
        <v>1</v>
      </c>
      <c r="CZ565" s="1979">
        <v>0.66666666666666663</v>
      </c>
      <c r="DA565" s="1979">
        <v>0.66666666666666663</v>
      </c>
      <c r="DB565" s="1979">
        <v>0.66666666666666663</v>
      </c>
      <c r="DC565" s="1979">
        <v>0.66666666666666663</v>
      </c>
      <c r="DD565" s="1979">
        <v>0.66666666666666663</v>
      </c>
      <c r="DE565" s="1998">
        <v>6.393590534721926</v>
      </c>
      <c r="DF565" s="1998">
        <v>6.393590534721926</v>
      </c>
      <c r="DG565" s="1998">
        <v>6.393590534721926</v>
      </c>
      <c r="DH565" s="1998">
        <v>6.393590534721926</v>
      </c>
      <c r="DI565" s="1998">
        <v>6.393590534721926</v>
      </c>
      <c r="DJ565" s="1979">
        <v>6.3828999296522442</v>
      </c>
      <c r="DK565" s="1979">
        <v>6.3828999296522442</v>
      </c>
      <c r="DL565" s="1979">
        <v>6.3828999296522442</v>
      </c>
      <c r="DM565" s="1979">
        <v>6.3828999296522442</v>
      </c>
      <c r="DN565" s="1979">
        <v>6.3828999296522442</v>
      </c>
      <c r="DO565" s="1998">
        <v>0.78115301620803501</v>
      </c>
      <c r="DP565" s="1998">
        <v>0.78115301620803501</v>
      </c>
      <c r="DQ565" s="1998">
        <v>0.78115301620803501</v>
      </c>
      <c r="DR565" s="1998">
        <v>0.78115301620803501</v>
      </c>
      <c r="DS565" s="1998">
        <v>0.78115301620803501</v>
      </c>
      <c r="DT565" s="1979">
        <v>0.78195889917775152</v>
      </c>
      <c r="DU565" s="1979">
        <v>0.78195889917775152</v>
      </c>
      <c r="DV565" s="1979">
        <v>0.78195889917775152</v>
      </c>
      <c r="DW565" s="1979">
        <v>0.78195889917775152</v>
      </c>
      <c r="DX565" s="2021">
        <v>0.78195889917775152</v>
      </c>
      <c r="EA565" s="2018"/>
      <c r="EB565" s="2">
        <v>25</v>
      </c>
      <c r="EC565" s="2" t="s">
        <v>4229</v>
      </c>
      <c r="ED565" s="1998">
        <v>1.3137061099439951</v>
      </c>
      <c r="EE565" s="1998">
        <v>1.3137061099439951</v>
      </c>
      <c r="EF565" s="1998">
        <v>1.3137061099439951</v>
      </c>
      <c r="EG565" s="1998">
        <v>1.3137061099439951</v>
      </c>
      <c r="EH565" s="1998">
        <v>1.3137061099439951</v>
      </c>
      <c r="EI565" s="1979">
        <v>1.7872841547940841</v>
      </c>
      <c r="EJ565" s="1979">
        <v>1.7872841547940841</v>
      </c>
      <c r="EK565" s="1979">
        <v>1.7872841547940841</v>
      </c>
      <c r="EL565" s="1979">
        <v>1.7872841547940841</v>
      </c>
      <c r="EM565" s="1979">
        <v>1.7872841547940841</v>
      </c>
      <c r="EN565" s="1998">
        <v>1.4053027385583838</v>
      </c>
      <c r="EO565" s="1998">
        <v>1.4053027385583838</v>
      </c>
      <c r="EP565" s="1998">
        <v>1.4053027385583838</v>
      </c>
      <c r="EQ565" s="1998">
        <v>1.4053027385583838</v>
      </c>
      <c r="ER565" s="1998">
        <v>1.4053027385583838</v>
      </c>
      <c r="ES565" s="1979">
        <v>1.7252455721263957</v>
      </c>
      <c r="ET565" s="1979">
        <v>1.7252455721263957</v>
      </c>
      <c r="EU565" s="1979">
        <v>1.7252455721263957</v>
      </c>
      <c r="EV565" s="1979">
        <v>1.7252455721263957</v>
      </c>
      <c r="EW565" s="1979">
        <v>1.7252455721263957</v>
      </c>
      <c r="EX565" s="1998">
        <v>1.4298477194150447</v>
      </c>
      <c r="EY565" s="1998">
        <v>1.4298477194150447</v>
      </c>
      <c r="EZ565" s="1998">
        <v>1.4298477194150447</v>
      </c>
      <c r="FA565" s="1998">
        <v>1.4298477194150447</v>
      </c>
      <c r="FB565" s="1998">
        <v>1.4298477194150447</v>
      </c>
      <c r="FC565" s="1979">
        <v>1.8981839886795036</v>
      </c>
      <c r="FD565" s="1979">
        <v>1.8981839886795036</v>
      </c>
      <c r="FE565" s="1979">
        <v>1.8981839886795036</v>
      </c>
      <c r="FF565" s="1979">
        <v>1.8981839886795036</v>
      </c>
      <c r="FG565" s="1979">
        <v>1.8981839886795036</v>
      </c>
      <c r="FH565" s="1998">
        <v>2.1927309727671824</v>
      </c>
      <c r="FI565" s="1998">
        <v>2.1927309727671824</v>
      </c>
      <c r="FJ565" s="1998">
        <v>2.1927309727671824</v>
      </c>
      <c r="FK565" s="1998">
        <v>2.1927309727671824</v>
      </c>
      <c r="FL565" s="1998">
        <v>2.1927309727671824</v>
      </c>
      <c r="FM565" s="1979">
        <v>1.0285324237219586</v>
      </c>
      <c r="FN565" s="1979">
        <v>1.0285324237219586</v>
      </c>
      <c r="FO565" s="1979">
        <v>1.0285324237219586</v>
      </c>
      <c r="FP565" s="1979">
        <v>1.0285324237219586</v>
      </c>
      <c r="FQ565" s="1979">
        <v>1.0285324237219586</v>
      </c>
      <c r="FR565" s="1998">
        <v>12.009073933904036</v>
      </c>
      <c r="FS565" s="1998">
        <v>12.009073933904036</v>
      </c>
      <c r="FT565" s="1998">
        <v>12.009073933904036</v>
      </c>
      <c r="FU565" s="1998">
        <v>12.009073933904036</v>
      </c>
      <c r="FV565" s="1998">
        <v>12.009073933904036</v>
      </c>
      <c r="FW565" s="1979">
        <v>12.366014485162406</v>
      </c>
      <c r="FX565" s="1979">
        <v>12.366014485162406</v>
      </c>
      <c r="FY565" s="1979">
        <v>12.366014485162406</v>
      </c>
      <c r="FZ565" s="1979">
        <v>12.366014485162406</v>
      </c>
      <c r="GA565" s="1979">
        <v>12.366014485162406</v>
      </c>
      <c r="GB565" s="1998">
        <v>1.2468215875951767</v>
      </c>
      <c r="GC565" s="1998">
        <v>1.2468215875951767</v>
      </c>
      <c r="GD565" s="1998">
        <v>1.2468215875951767</v>
      </c>
      <c r="GE565" s="1998">
        <v>1.2468215875951767</v>
      </c>
      <c r="GF565" s="1998">
        <v>1.2468215875951767</v>
      </c>
      <c r="GG565" s="1979">
        <v>1.3027314842995616</v>
      </c>
      <c r="GH565" s="1979">
        <v>1.3027314842995616</v>
      </c>
      <c r="GI565" s="1979">
        <v>1.3027314842995616</v>
      </c>
      <c r="GJ565" s="1979">
        <v>1.3027314842995616</v>
      </c>
      <c r="GK565" s="2021">
        <v>1.3027314842995616</v>
      </c>
    </row>
    <row r="566" spans="1:193">
      <c r="A566" s="2016"/>
      <c r="B566" s="2">
        <v>26</v>
      </c>
      <c r="C566" s="2" t="s">
        <v>4244</v>
      </c>
      <c r="D566" s="1998">
        <f>IF(Construction!$F$31=Construction!$R$22,Oeko!BQ566,Oeko!ED566)</f>
        <v>1</v>
      </c>
      <c r="E566" s="1998">
        <f>IF(Construction!$F$31=Construction!$R$22,Oeko!BR566,Oeko!EE566)</f>
        <v>1</v>
      </c>
      <c r="F566" s="1998">
        <f>IF(Construction!$F$31=Construction!$R$22,Oeko!BS566,Oeko!EF566)</f>
        <v>1</v>
      </c>
      <c r="G566" s="1998">
        <f>IF(Construction!$F$31=Construction!$R$22,Oeko!BT566,Oeko!EG566)</f>
        <v>1</v>
      </c>
      <c r="H566" s="1998">
        <f>IF(Construction!$F$31=Construction!$R$22,Oeko!BU566,Oeko!EH566)</f>
        <v>1</v>
      </c>
      <c r="I566" s="1979">
        <f>IF(Construction!$F$31=Construction!$R$22,Oeko!BV566,Oeko!EI566)</f>
        <v>1</v>
      </c>
      <c r="J566" s="1979">
        <f>IF(Construction!$F$31=Construction!$R$22,Oeko!BW566,Oeko!EJ566)</f>
        <v>1</v>
      </c>
      <c r="K566" s="1979">
        <f>IF(Construction!$F$31=Construction!$R$22,Oeko!BX566,Oeko!EK566)</f>
        <v>1</v>
      </c>
      <c r="L566" s="1979">
        <f>IF(Construction!$F$31=Construction!$R$22,Oeko!BY566,Oeko!EL566)</f>
        <v>1</v>
      </c>
      <c r="M566" s="1979">
        <f>IF(Construction!$F$31=Construction!$R$22,Oeko!BZ566,Oeko!EM566)</f>
        <v>1</v>
      </c>
      <c r="N566" s="1998">
        <f>IF(Construction!$F$31=Construction!$R$22,Oeko!CA566,Oeko!EN566)</f>
        <v>1</v>
      </c>
      <c r="O566" s="1998">
        <f>IF(Construction!$F$31=Construction!$R$22,Oeko!CB566,Oeko!EO566)</f>
        <v>1</v>
      </c>
      <c r="P566" s="1998">
        <f>IF(Construction!$F$31=Construction!$R$22,Oeko!CC566,Oeko!EP566)</f>
        <v>1</v>
      </c>
      <c r="Q566" s="1998">
        <f>IF(Construction!$F$31=Construction!$R$22,Oeko!CD566,Oeko!EQ566)</f>
        <v>1</v>
      </c>
      <c r="R566" s="1998">
        <f>IF(Construction!$F$31=Construction!$R$22,Oeko!CE566,Oeko!ER566)</f>
        <v>1</v>
      </c>
      <c r="S566" s="1979">
        <f>IF(Construction!$F$31=Construction!$R$22,Oeko!CF566,Oeko!ES566)</f>
        <v>1</v>
      </c>
      <c r="T566" s="1979">
        <f>IF(Construction!$F$31=Construction!$R$22,Oeko!CG566,Oeko!ET566)</f>
        <v>1</v>
      </c>
      <c r="U566" s="1979">
        <f>IF(Construction!$F$31=Construction!$R$22,Oeko!CH566,Oeko!EU566)</f>
        <v>1</v>
      </c>
      <c r="V566" s="1979">
        <f>IF(Construction!$F$31=Construction!$R$22,Oeko!CI566,Oeko!EV566)</f>
        <v>1</v>
      </c>
      <c r="W566" s="1979">
        <f>IF(Construction!$F$31=Construction!$R$22,Oeko!CJ566,Oeko!EW566)</f>
        <v>1</v>
      </c>
      <c r="X566" s="1998">
        <f>IF(Construction!$F$31=Construction!$R$22,Oeko!CK566,Oeko!EX566)</f>
        <v>1</v>
      </c>
      <c r="Y566" s="1998">
        <f>IF(Construction!$F$31=Construction!$R$22,Oeko!CL566,Oeko!EY566)</f>
        <v>1</v>
      </c>
      <c r="Z566" s="1998">
        <f>IF(Construction!$F$31=Construction!$R$22,Oeko!CM566,Oeko!EZ566)</f>
        <v>1</v>
      </c>
      <c r="AA566" s="1998">
        <f>IF(Construction!$F$31=Construction!$R$22,Oeko!CN566,Oeko!FA566)</f>
        <v>1</v>
      </c>
      <c r="AB566" s="1998">
        <f>IF(Construction!$F$31=Construction!$R$22,Oeko!CO566,Oeko!FB566)</f>
        <v>1</v>
      </c>
      <c r="AC566" s="1979">
        <f>IF(Construction!$F$31=Construction!$R$22,Oeko!CP566,Oeko!FC566)</f>
        <v>1</v>
      </c>
      <c r="AD566" s="1979">
        <f>IF(Construction!$F$31=Construction!$R$22,Oeko!CQ566,Oeko!FD566)</f>
        <v>1</v>
      </c>
      <c r="AE566" s="1979">
        <f>IF(Construction!$F$31=Construction!$R$22,Oeko!CR566,Oeko!FE566)</f>
        <v>1</v>
      </c>
      <c r="AF566" s="1979">
        <f>IF(Construction!$F$31=Construction!$R$22,Oeko!CS566,Oeko!FF566)</f>
        <v>1</v>
      </c>
      <c r="AG566" s="1979">
        <f>IF(Construction!$F$31=Construction!$R$22,Oeko!CT566,Oeko!FG566)</f>
        <v>1</v>
      </c>
      <c r="AH566" s="1998">
        <f>IF(Construction!$F$31=Construction!$R$22,Oeko!CU566,Oeko!FH566)</f>
        <v>1</v>
      </c>
      <c r="AI566" s="1998">
        <f>IF(Construction!$F$31=Construction!$R$22,Oeko!CV566,Oeko!FI566)</f>
        <v>1</v>
      </c>
      <c r="AJ566" s="1998">
        <f>IF(Construction!$F$31=Construction!$R$22,Oeko!CW566,Oeko!FJ566)</f>
        <v>1</v>
      </c>
      <c r="AK566" s="1998">
        <f>IF(Construction!$F$31=Construction!$R$22,Oeko!CX566,Oeko!FK566)</f>
        <v>1</v>
      </c>
      <c r="AL566" s="1998">
        <f>IF(Construction!$F$31=Construction!$R$22,Oeko!CY566,Oeko!FL566)</f>
        <v>1</v>
      </c>
      <c r="AM566" s="1979">
        <f>IF(Construction!$F$31=Construction!$R$22,Oeko!CZ566,Oeko!FM566)</f>
        <v>1</v>
      </c>
      <c r="AN566" s="1979">
        <f>IF(Construction!$F$31=Construction!$R$22,Oeko!DA566,Oeko!FN566)</f>
        <v>1</v>
      </c>
      <c r="AO566" s="1979">
        <f>IF(Construction!$F$31=Construction!$R$22,Oeko!DB566,Oeko!FO566)</f>
        <v>1</v>
      </c>
      <c r="AP566" s="1979">
        <f>IF(Construction!$F$31=Construction!$R$22,Oeko!DC566,Oeko!FP566)</f>
        <v>1</v>
      </c>
      <c r="AQ566" s="1979">
        <f>IF(Construction!$F$31=Construction!$R$22,Oeko!DD566,Oeko!FQ566)</f>
        <v>1</v>
      </c>
      <c r="AR566" s="1998">
        <f>IF(Construction!$F$31=Construction!$R$22,Oeko!DE566,Oeko!FR566)</f>
        <v>1</v>
      </c>
      <c r="AS566" s="1998">
        <f>IF(Construction!$F$31=Construction!$R$22,Oeko!DF566,Oeko!FS566)</f>
        <v>1</v>
      </c>
      <c r="AT566" s="1998">
        <f>IF(Construction!$F$31=Construction!$R$22,Oeko!DG566,Oeko!FT566)</f>
        <v>1</v>
      </c>
      <c r="AU566" s="1998">
        <f>IF(Construction!$F$31=Construction!$R$22,Oeko!DH566,Oeko!FU566)</f>
        <v>1</v>
      </c>
      <c r="AV566" s="1998">
        <f>IF(Construction!$F$31=Construction!$R$22,Oeko!DI566,Oeko!FV566)</f>
        <v>1</v>
      </c>
      <c r="AW566" s="1979">
        <f>IF(Construction!$F$31=Construction!$R$22,Oeko!DJ566,Oeko!FW566)</f>
        <v>1</v>
      </c>
      <c r="AX566" s="1979">
        <f>IF(Construction!$F$31=Construction!$R$22,Oeko!DK566,Oeko!FX566)</f>
        <v>1</v>
      </c>
      <c r="AY566" s="1979">
        <f>IF(Construction!$F$31=Construction!$R$22,Oeko!DL566,Oeko!FY566)</f>
        <v>1</v>
      </c>
      <c r="AZ566" s="1979">
        <f>IF(Construction!$F$31=Construction!$R$22,Oeko!DM566,Oeko!FZ566)</f>
        <v>1</v>
      </c>
      <c r="BA566" s="1979">
        <f>IF(Construction!$F$31=Construction!$R$22,Oeko!DN566,Oeko!GA566)</f>
        <v>1</v>
      </c>
      <c r="BB566" s="1998">
        <f>IF(Construction!$F$31=Construction!$R$22,Oeko!DO566,Oeko!GB566)</f>
        <v>0.12461206483213953</v>
      </c>
      <c r="BC566" s="1998">
        <f>IF(Construction!$F$31=Construction!$R$22,Oeko!DP566,Oeko!GC566)</f>
        <v>0.12461206483213953</v>
      </c>
      <c r="BD566" s="1998">
        <f>IF(Construction!$F$31=Construction!$R$22,Oeko!DQ566,Oeko!GD566)</f>
        <v>0.12461206483213953</v>
      </c>
      <c r="BE566" s="1998">
        <f>IF(Construction!$F$31=Construction!$R$22,Oeko!DR566,Oeko!GE566)</f>
        <v>0.12461206483213953</v>
      </c>
      <c r="BF566" s="1998">
        <f>IF(Construction!$F$31=Construction!$R$22,Oeko!DS566,Oeko!GF566)</f>
        <v>0.12461206483213953</v>
      </c>
      <c r="BG566" s="1979">
        <f>IF(Construction!$F$31=Construction!$R$22,Oeko!DT566,Oeko!GG566)</f>
        <v>0.12783559671100567</v>
      </c>
      <c r="BH566" s="1979">
        <f>IF(Construction!$F$31=Construction!$R$22,Oeko!DU566,Oeko!GH566)</f>
        <v>0.12783559671100567</v>
      </c>
      <c r="BI566" s="1979">
        <f>IF(Construction!$F$31=Construction!$R$22,Oeko!DV566,Oeko!GI566)</f>
        <v>0.12783559671100567</v>
      </c>
      <c r="BJ566" s="1979">
        <f>IF(Construction!$F$31=Construction!$R$22,Oeko!DW566,Oeko!GJ566)</f>
        <v>0.12783559671100567</v>
      </c>
      <c r="BK566" s="2021">
        <f>IF(Construction!$F$31=Construction!$R$22,Oeko!DX566,Oeko!GK566)</f>
        <v>0.12783559671100567</v>
      </c>
      <c r="BN566" s="2018"/>
      <c r="BO566" s="2">
        <v>26</v>
      </c>
      <c r="BP566" s="2" t="s">
        <v>4244</v>
      </c>
      <c r="BQ566" s="1998">
        <v>1</v>
      </c>
      <c r="BR566" s="1998">
        <v>1</v>
      </c>
      <c r="BS566" s="1998">
        <v>1</v>
      </c>
      <c r="BT566" s="1998">
        <v>1</v>
      </c>
      <c r="BU566" s="1998">
        <v>1</v>
      </c>
      <c r="BV566" s="1979">
        <v>1</v>
      </c>
      <c r="BW566" s="1979">
        <v>1</v>
      </c>
      <c r="BX566" s="1979">
        <v>1</v>
      </c>
      <c r="BY566" s="1979">
        <v>1</v>
      </c>
      <c r="BZ566" s="1979">
        <v>1</v>
      </c>
      <c r="CA566" s="1998">
        <v>1</v>
      </c>
      <c r="CB566" s="1998">
        <v>1</v>
      </c>
      <c r="CC566" s="1998">
        <v>1</v>
      </c>
      <c r="CD566" s="1998">
        <v>1</v>
      </c>
      <c r="CE566" s="1998">
        <v>1</v>
      </c>
      <c r="CF566" s="1979">
        <v>1</v>
      </c>
      <c r="CG566" s="1979">
        <v>1</v>
      </c>
      <c r="CH566" s="1979">
        <v>1</v>
      </c>
      <c r="CI566" s="1979">
        <v>1</v>
      </c>
      <c r="CJ566" s="1979">
        <v>1</v>
      </c>
      <c r="CK566" s="1998">
        <v>1</v>
      </c>
      <c r="CL566" s="1998">
        <v>1</v>
      </c>
      <c r="CM566" s="1998">
        <v>1</v>
      </c>
      <c r="CN566" s="1998">
        <v>1</v>
      </c>
      <c r="CO566" s="1998">
        <v>1</v>
      </c>
      <c r="CP566" s="1979">
        <v>1</v>
      </c>
      <c r="CQ566" s="1979">
        <v>1</v>
      </c>
      <c r="CR566" s="1979">
        <v>1</v>
      </c>
      <c r="CS566" s="1979">
        <v>1</v>
      </c>
      <c r="CT566" s="1979">
        <v>1</v>
      </c>
      <c r="CU566" s="1998">
        <v>1</v>
      </c>
      <c r="CV566" s="1998">
        <v>1</v>
      </c>
      <c r="CW566" s="1998">
        <v>1</v>
      </c>
      <c r="CX566" s="1998">
        <v>1</v>
      </c>
      <c r="CY566" s="1998">
        <v>1</v>
      </c>
      <c r="CZ566" s="1979">
        <v>1</v>
      </c>
      <c r="DA566" s="1979">
        <v>1</v>
      </c>
      <c r="DB566" s="1979">
        <v>1</v>
      </c>
      <c r="DC566" s="1979">
        <v>1</v>
      </c>
      <c r="DD566" s="1979">
        <v>1</v>
      </c>
      <c r="DE566" s="1998">
        <v>1</v>
      </c>
      <c r="DF566" s="1998">
        <v>1</v>
      </c>
      <c r="DG566" s="1998">
        <v>1</v>
      </c>
      <c r="DH566" s="1998">
        <v>1</v>
      </c>
      <c r="DI566" s="1998">
        <v>1</v>
      </c>
      <c r="DJ566" s="1979">
        <v>1</v>
      </c>
      <c r="DK566" s="1979">
        <v>1</v>
      </c>
      <c r="DL566" s="1979">
        <v>1</v>
      </c>
      <c r="DM566" s="1979">
        <v>1</v>
      </c>
      <c r="DN566" s="1979">
        <v>1</v>
      </c>
      <c r="DO566" s="1998">
        <v>0.12461206483213953</v>
      </c>
      <c r="DP566" s="1998">
        <v>0.12461206483213953</v>
      </c>
      <c r="DQ566" s="1998">
        <v>0.12461206483213953</v>
      </c>
      <c r="DR566" s="1998">
        <v>0.12461206483213953</v>
      </c>
      <c r="DS566" s="1998">
        <v>0.12461206483213953</v>
      </c>
      <c r="DT566" s="1979">
        <v>0.12783559671100567</v>
      </c>
      <c r="DU566" s="1979">
        <v>0.12783559671100567</v>
      </c>
      <c r="DV566" s="1979">
        <v>0.12783559671100567</v>
      </c>
      <c r="DW566" s="1979">
        <v>0.12783559671100567</v>
      </c>
      <c r="DX566" s="2021">
        <v>0.12783559671100567</v>
      </c>
      <c r="EA566" s="2018"/>
      <c r="EB566" s="2">
        <v>26</v>
      </c>
      <c r="EC566" s="2" t="s">
        <v>4244</v>
      </c>
      <c r="ED566" s="1998">
        <v>1.3605609674202821</v>
      </c>
      <c r="EE566" s="1998">
        <v>1.3605609674202821</v>
      </c>
      <c r="EF566" s="1998">
        <v>1.3605609674202821</v>
      </c>
      <c r="EG566" s="1998">
        <v>1.3605609674202821</v>
      </c>
      <c r="EH566" s="1998">
        <v>1.3605609674202821</v>
      </c>
      <c r="EI566" s="1979">
        <v>2.0966679740137137</v>
      </c>
      <c r="EJ566" s="1979">
        <v>2.0966679740137137</v>
      </c>
      <c r="EK566" s="1979">
        <v>2.0966679740137137</v>
      </c>
      <c r="EL566" s="1979">
        <v>2.0966679740137137</v>
      </c>
      <c r="EM566" s="1979">
        <v>2.0966679740137137</v>
      </c>
      <c r="EN566" s="1998">
        <v>1.4337071065592959</v>
      </c>
      <c r="EO566" s="1998">
        <v>1.4337071065592959</v>
      </c>
      <c r="EP566" s="1998">
        <v>1.4337071065592959</v>
      </c>
      <c r="EQ566" s="1998">
        <v>1.4337071065592959</v>
      </c>
      <c r="ER566" s="1998">
        <v>1.4337071065592959</v>
      </c>
      <c r="ES566" s="1979">
        <v>1.8379162318633464</v>
      </c>
      <c r="ET566" s="1979">
        <v>1.8379162318633464</v>
      </c>
      <c r="EU566" s="1979">
        <v>1.8379162318633464</v>
      </c>
      <c r="EV566" s="1979">
        <v>1.8379162318633464</v>
      </c>
      <c r="EW566" s="1979">
        <v>1.8379162318633464</v>
      </c>
      <c r="EX566" s="1998">
        <v>1.4662053104562123</v>
      </c>
      <c r="EY566" s="1998">
        <v>1.4662053104562123</v>
      </c>
      <c r="EZ566" s="1998">
        <v>1.4662053104562123</v>
      </c>
      <c r="FA566" s="1998">
        <v>1.4662053104562123</v>
      </c>
      <c r="FB566" s="1998">
        <v>1.4662053104562123</v>
      </c>
      <c r="FC566" s="1979">
        <v>2.0890613416456318</v>
      </c>
      <c r="FD566" s="1979">
        <v>2.0890613416456318</v>
      </c>
      <c r="FE566" s="1979">
        <v>2.0890613416456318</v>
      </c>
      <c r="FF566" s="1979">
        <v>2.0890613416456318</v>
      </c>
      <c r="FG566" s="1979">
        <v>2.0890613416456318</v>
      </c>
      <c r="FH566" s="1998">
        <v>2.3921927569513635</v>
      </c>
      <c r="FI566" s="1998">
        <v>2.3921927569513635</v>
      </c>
      <c r="FJ566" s="1998">
        <v>2.3921927569513635</v>
      </c>
      <c r="FK566" s="1998">
        <v>2.3921927569513635</v>
      </c>
      <c r="FL566" s="1998">
        <v>2.3921927569513635</v>
      </c>
      <c r="FM566" s="1979">
        <v>1.5115041757386145</v>
      </c>
      <c r="FN566" s="1979">
        <v>1.5115041757386145</v>
      </c>
      <c r="FO566" s="1979">
        <v>1.5115041757386145</v>
      </c>
      <c r="FP566" s="1979">
        <v>1.5115041757386145</v>
      </c>
      <c r="FQ566" s="1979">
        <v>1.5115041757386145</v>
      </c>
      <c r="FR566" s="1998">
        <v>8.1198212572277306</v>
      </c>
      <c r="FS566" s="1998">
        <v>8.1198212572277306</v>
      </c>
      <c r="FT566" s="1998">
        <v>8.1198212572277306</v>
      </c>
      <c r="FU566" s="1998">
        <v>8.1198212572277306</v>
      </c>
      <c r="FV566" s="1998">
        <v>8.1198212572277306</v>
      </c>
      <c r="FW566" s="1979">
        <v>8.4799072816005001</v>
      </c>
      <c r="FX566" s="1979">
        <v>8.4799072816005001</v>
      </c>
      <c r="FY566" s="1979">
        <v>8.4799072816005001</v>
      </c>
      <c r="FZ566" s="1979">
        <v>8.4799072816005001</v>
      </c>
      <c r="GA566" s="1979">
        <v>8.4799072816005001</v>
      </c>
      <c r="GB566" s="1998">
        <v>0.7736975763794911</v>
      </c>
      <c r="GC566" s="1998">
        <v>0.7736975763794911</v>
      </c>
      <c r="GD566" s="1998">
        <v>0.7736975763794911</v>
      </c>
      <c r="GE566" s="1998">
        <v>0.7736975763794911</v>
      </c>
      <c r="GF566" s="1998">
        <v>0.7736975763794911</v>
      </c>
      <c r="GG566" s="1979">
        <v>0.84158732719503859</v>
      </c>
      <c r="GH566" s="1979">
        <v>0.84158732719503859</v>
      </c>
      <c r="GI566" s="1979">
        <v>0.84158732719503859</v>
      </c>
      <c r="GJ566" s="1979">
        <v>0.84158732719503859</v>
      </c>
      <c r="GK566" s="2021">
        <v>0.84158732719503859</v>
      </c>
    </row>
    <row r="567" spans="1:193">
      <c r="A567" s="2016"/>
      <c r="B567" s="2">
        <v>27</v>
      </c>
      <c r="C567" s="2" t="s">
        <v>4259</v>
      </c>
      <c r="D567" s="1998">
        <f>IF(Construction!$F$31=Construction!$R$22,Oeko!BQ567,Oeko!ED567)</f>
        <v>1</v>
      </c>
      <c r="E567" s="1998">
        <f>IF(Construction!$F$31=Construction!$R$22,Oeko!BR567,Oeko!EE567)</f>
        <v>1</v>
      </c>
      <c r="F567" s="1998">
        <f>IF(Construction!$F$31=Construction!$R$22,Oeko!BS567,Oeko!EF567)</f>
        <v>1</v>
      </c>
      <c r="G567" s="1998">
        <f>IF(Construction!$F$31=Construction!$R$22,Oeko!BT567,Oeko!EG567)</f>
        <v>1</v>
      </c>
      <c r="H567" s="1998">
        <f>IF(Construction!$F$31=Construction!$R$22,Oeko!BU567,Oeko!EH567)</f>
        <v>1</v>
      </c>
      <c r="I567" s="1979">
        <f>IF(Construction!$F$31=Construction!$R$22,Oeko!BV567,Oeko!EI567)</f>
        <v>1</v>
      </c>
      <c r="J567" s="1979">
        <f>IF(Construction!$F$31=Construction!$R$22,Oeko!BW567,Oeko!EJ567)</f>
        <v>1</v>
      </c>
      <c r="K567" s="1979">
        <f>IF(Construction!$F$31=Construction!$R$22,Oeko!BX567,Oeko!EK567)</f>
        <v>1</v>
      </c>
      <c r="L567" s="1979">
        <f>IF(Construction!$F$31=Construction!$R$22,Oeko!BY567,Oeko!EL567)</f>
        <v>1</v>
      </c>
      <c r="M567" s="1979">
        <f>IF(Construction!$F$31=Construction!$R$22,Oeko!BZ567,Oeko!EM567)</f>
        <v>1</v>
      </c>
      <c r="N567" s="1998">
        <f>IF(Construction!$F$31=Construction!$R$22,Oeko!CA567,Oeko!EN567)</f>
        <v>1</v>
      </c>
      <c r="O567" s="1998">
        <f>IF(Construction!$F$31=Construction!$R$22,Oeko!CB567,Oeko!EO567)</f>
        <v>1</v>
      </c>
      <c r="P567" s="1998">
        <f>IF(Construction!$F$31=Construction!$R$22,Oeko!CC567,Oeko!EP567)</f>
        <v>1</v>
      </c>
      <c r="Q567" s="1998">
        <f>IF(Construction!$F$31=Construction!$R$22,Oeko!CD567,Oeko!EQ567)</f>
        <v>1</v>
      </c>
      <c r="R567" s="1998">
        <f>IF(Construction!$F$31=Construction!$R$22,Oeko!CE567,Oeko!ER567)</f>
        <v>1</v>
      </c>
      <c r="S567" s="1979">
        <f>IF(Construction!$F$31=Construction!$R$22,Oeko!CF567,Oeko!ES567)</f>
        <v>1</v>
      </c>
      <c r="T567" s="1979">
        <f>IF(Construction!$F$31=Construction!$R$22,Oeko!CG567,Oeko!ET567)</f>
        <v>1</v>
      </c>
      <c r="U567" s="1979">
        <f>IF(Construction!$F$31=Construction!$R$22,Oeko!CH567,Oeko!EU567)</f>
        <v>1</v>
      </c>
      <c r="V567" s="1979">
        <f>IF(Construction!$F$31=Construction!$R$22,Oeko!CI567,Oeko!EV567)</f>
        <v>1</v>
      </c>
      <c r="W567" s="1979">
        <f>IF(Construction!$F$31=Construction!$R$22,Oeko!CJ567,Oeko!EW567)</f>
        <v>1</v>
      </c>
      <c r="X567" s="1998">
        <f>IF(Construction!$F$31=Construction!$R$22,Oeko!CK567,Oeko!EX567)</f>
        <v>1</v>
      </c>
      <c r="Y567" s="1998">
        <f>IF(Construction!$F$31=Construction!$R$22,Oeko!CL567,Oeko!EY567)</f>
        <v>1</v>
      </c>
      <c r="Z567" s="1998">
        <f>IF(Construction!$F$31=Construction!$R$22,Oeko!CM567,Oeko!EZ567)</f>
        <v>1</v>
      </c>
      <c r="AA567" s="1998">
        <f>IF(Construction!$F$31=Construction!$R$22,Oeko!CN567,Oeko!FA567)</f>
        <v>1</v>
      </c>
      <c r="AB567" s="1998">
        <f>IF(Construction!$F$31=Construction!$R$22,Oeko!CO567,Oeko!FB567)</f>
        <v>1</v>
      </c>
      <c r="AC567" s="1979">
        <f>IF(Construction!$F$31=Construction!$R$22,Oeko!CP567,Oeko!FC567)</f>
        <v>1</v>
      </c>
      <c r="AD567" s="1979">
        <f>IF(Construction!$F$31=Construction!$R$22,Oeko!CQ567,Oeko!FD567)</f>
        <v>1</v>
      </c>
      <c r="AE567" s="1979">
        <f>IF(Construction!$F$31=Construction!$R$22,Oeko!CR567,Oeko!FE567)</f>
        <v>1</v>
      </c>
      <c r="AF567" s="1979">
        <f>IF(Construction!$F$31=Construction!$R$22,Oeko!CS567,Oeko!FF567)</f>
        <v>1</v>
      </c>
      <c r="AG567" s="1979">
        <f>IF(Construction!$F$31=Construction!$R$22,Oeko!CT567,Oeko!FG567)</f>
        <v>1</v>
      </c>
      <c r="AH567" s="1998">
        <f>IF(Construction!$F$31=Construction!$R$22,Oeko!CU567,Oeko!FH567)</f>
        <v>1</v>
      </c>
      <c r="AI567" s="1998">
        <f>IF(Construction!$F$31=Construction!$R$22,Oeko!CV567,Oeko!FI567)</f>
        <v>1</v>
      </c>
      <c r="AJ567" s="1998">
        <f>IF(Construction!$F$31=Construction!$R$22,Oeko!CW567,Oeko!FJ567)</f>
        <v>1</v>
      </c>
      <c r="AK567" s="1998">
        <f>IF(Construction!$F$31=Construction!$R$22,Oeko!CX567,Oeko!FK567)</f>
        <v>1</v>
      </c>
      <c r="AL567" s="1998">
        <f>IF(Construction!$F$31=Construction!$R$22,Oeko!CY567,Oeko!FL567)</f>
        <v>1</v>
      </c>
      <c r="AM567" s="1979">
        <f>IF(Construction!$F$31=Construction!$R$22,Oeko!CZ567,Oeko!FM567)</f>
        <v>1.1666666666666665</v>
      </c>
      <c r="AN567" s="1979">
        <f>IF(Construction!$F$31=Construction!$R$22,Oeko!DA567,Oeko!FN567)</f>
        <v>1.1666666666666665</v>
      </c>
      <c r="AO567" s="1979">
        <f>IF(Construction!$F$31=Construction!$R$22,Oeko!DB567,Oeko!FO567)</f>
        <v>1.1666666666666665</v>
      </c>
      <c r="AP567" s="1979">
        <f>IF(Construction!$F$31=Construction!$R$22,Oeko!DC567,Oeko!FP567)</f>
        <v>1.1666666666666665</v>
      </c>
      <c r="AQ567" s="1979">
        <f>IF(Construction!$F$31=Construction!$R$22,Oeko!DD567,Oeko!FQ567)</f>
        <v>1.1666666666666665</v>
      </c>
      <c r="AR567" s="1998">
        <f>IF(Construction!$F$31=Construction!$R$22,Oeko!DE567,Oeko!FR567)</f>
        <v>1</v>
      </c>
      <c r="AS567" s="1998">
        <f>IF(Construction!$F$31=Construction!$R$22,Oeko!DF567,Oeko!FS567)</f>
        <v>1</v>
      </c>
      <c r="AT567" s="1998">
        <f>IF(Construction!$F$31=Construction!$R$22,Oeko!DG567,Oeko!FT567)</f>
        <v>1</v>
      </c>
      <c r="AU567" s="1998">
        <f>IF(Construction!$F$31=Construction!$R$22,Oeko!DH567,Oeko!FU567)</f>
        <v>1</v>
      </c>
      <c r="AV567" s="1998">
        <f>IF(Construction!$F$31=Construction!$R$22,Oeko!DI567,Oeko!FV567)</f>
        <v>1</v>
      </c>
      <c r="AW567" s="1979">
        <f>IF(Construction!$F$31=Construction!$R$22,Oeko!DJ567,Oeko!FW567)</f>
        <v>1</v>
      </c>
      <c r="AX567" s="1979">
        <f>IF(Construction!$F$31=Construction!$R$22,Oeko!DK567,Oeko!FX567)</f>
        <v>1</v>
      </c>
      <c r="AY567" s="1979">
        <f>IF(Construction!$F$31=Construction!$R$22,Oeko!DL567,Oeko!FY567)</f>
        <v>1</v>
      </c>
      <c r="AZ567" s="1979">
        <f>IF(Construction!$F$31=Construction!$R$22,Oeko!DM567,Oeko!FZ567)</f>
        <v>1</v>
      </c>
      <c r="BA567" s="1979">
        <f>IF(Construction!$F$31=Construction!$R$22,Oeko!DN567,Oeko!GA567)</f>
        <v>1</v>
      </c>
      <c r="BB567" s="1998">
        <f>IF(Construction!$F$31=Construction!$R$22,Oeko!DO567,Oeko!GB567)</f>
        <v>0.12461206483213953</v>
      </c>
      <c r="BC567" s="1998">
        <f>IF(Construction!$F$31=Construction!$R$22,Oeko!DP567,Oeko!GC567)</f>
        <v>0.12461206483213953</v>
      </c>
      <c r="BD567" s="1998">
        <f>IF(Construction!$F$31=Construction!$R$22,Oeko!DQ567,Oeko!GD567)</f>
        <v>0.12461206483213953</v>
      </c>
      <c r="BE567" s="1998">
        <f>IF(Construction!$F$31=Construction!$R$22,Oeko!DR567,Oeko!GE567)</f>
        <v>0.12461206483213953</v>
      </c>
      <c r="BF567" s="1998">
        <f>IF(Construction!$F$31=Construction!$R$22,Oeko!DS567,Oeko!GF567)</f>
        <v>0.12461206483213953</v>
      </c>
      <c r="BG567" s="1979">
        <f>IF(Construction!$F$31=Construction!$R$22,Oeko!DT567,Oeko!GG567)</f>
        <v>0.12783559671100567</v>
      </c>
      <c r="BH567" s="1979">
        <f>IF(Construction!$F$31=Construction!$R$22,Oeko!DU567,Oeko!GH567)</f>
        <v>0.12783559671100567</v>
      </c>
      <c r="BI567" s="1979">
        <f>IF(Construction!$F$31=Construction!$R$22,Oeko!DV567,Oeko!GI567)</f>
        <v>0.12783559671100567</v>
      </c>
      <c r="BJ567" s="1979">
        <f>IF(Construction!$F$31=Construction!$R$22,Oeko!DW567,Oeko!GJ567)</f>
        <v>0.12783559671100567</v>
      </c>
      <c r="BK567" s="2021">
        <f>IF(Construction!$F$31=Construction!$R$22,Oeko!DX567,Oeko!GK567)</f>
        <v>0.12783559671100567</v>
      </c>
      <c r="BN567" s="2018"/>
      <c r="BO567" s="2">
        <v>27</v>
      </c>
      <c r="BP567" s="2" t="s">
        <v>4259</v>
      </c>
      <c r="BQ567" s="1998">
        <v>1</v>
      </c>
      <c r="BR567" s="1998">
        <v>1</v>
      </c>
      <c r="BS567" s="1998">
        <v>1</v>
      </c>
      <c r="BT567" s="1998">
        <v>1</v>
      </c>
      <c r="BU567" s="1998">
        <v>1</v>
      </c>
      <c r="BV567" s="1979">
        <v>1</v>
      </c>
      <c r="BW567" s="1979">
        <v>1</v>
      </c>
      <c r="BX567" s="1979">
        <v>1</v>
      </c>
      <c r="BY567" s="1979">
        <v>1</v>
      </c>
      <c r="BZ567" s="1979">
        <v>1</v>
      </c>
      <c r="CA567" s="1998">
        <v>1</v>
      </c>
      <c r="CB567" s="1998">
        <v>1</v>
      </c>
      <c r="CC567" s="1998">
        <v>1</v>
      </c>
      <c r="CD567" s="1998">
        <v>1</v>
      </c>
      <c r="CE567" s="1998">
        <v>1</v>
      </c>
      <c r="CF567" s="1979">
        <v>1</v>
      </c>
      <c r="CG567" s="1979">
        <v>1</v>
      </c>
      <c r="CH567" s="1979">
        <v>1</v>
      </c>
      <c r="CI567" s="1979">
        <v>1</v>
      </c>
      <c r="CJ567" s="1979">
        <v>1</v>
      </c>
      <c r="CK567" s="1998">
        <v>1</v>
      </c>
      <c r="CL567" s="1998">
        <v>1</v>
      </c>
      <c r="CM567" s="1998">
        <v>1</v>
      </c>
      <c r="CN567" s="1998">
        <v>1</v>
      </c>
      <c r="CO567" s="1998">
        <v>1</v>
      </c>
      <c r="CP567" s="1979">
        <v>1</v>
      </c>
      <c r="CQ567" s="1979">
        <v>1</v>
      </c>
      <c r="CR567" s="1979">
        <v>1</v>
      </c>
      <c r="CS567" s="1979">
        <v>1</v>
      </c>
      <c r="CT567" s="1979">
        <v>1</v>
      </c>
      <c r="CU567" s="1998">
        <v>1</v>
      </c>
      <c r="CV567" s="1998">
        <v>1</v>
      </c>
      <c r="CW567" s="1998">
        <v>1</v>
      </c>
      <c r="CX567" s="1998">
        <v>1</v>
      </c>
      <c r="CY567" s="1998">
        <v>1</v>
      </c>
      <c r="CZ567" s="1979">
        <v>1.1666666666666665</v>
      </c>
      <c r="DA567" s="1979">
        <v>1.1666666666666665</v>
      </c>
      <c r="DB567" s="1979">
        <v>1.1666666666666665</v>
      </c>
      <c r="DC567" s="1979">
        <v>1.1666666666666665</v>
      </c>
      <c r="DD567" s="1979">
        <v>1.1666666666666665</v>
      </c>
      <c r="DE567" s="1998">
        <v>1</v>
      </c>
      <c r="DF567" s="1998">
        <v>1</v>
      </c>
      <c r="DG567" s="1998">
        <v>1</v>
      </c>
      <c r="DH567" s="1998">
        <v>1</v>
      </c>
      <c r="DI567" s="1998">
        <v>1</v>
      </c>
      <c r="DJ567" s="1979">
        <v>1</v>
      </c>
      <c r="DK567" s="1979">
        <v>1</v>
      </c>
      <c r="DL567" s="1979">
        <v>1</v>
      </c>
      <c r="DM567" s="1979">
        <v>1</v>
      </c>
      <c r="DN567" s="1979">
        <v>1</v>
      </c>
      <c r="DO567" s="1998">
        <v>0.12461206483213953</v>
      </c>
      <c r="DP567" s="1998">
        <v>0.12461206483213953</v>
      </c>
      <c r="DQ567" s="1998">
        <v>0.12461206483213953</v>
      </c>
      <c r="DR567" s="1998">
        <v>0.12461206483213953</v>
      </c>
      <c r="DS567" s="1998">
        <v>0.12461206483213953</v>
      </c>
      <c r="DT567" s="1979">
        <v>0.12783559671100567</v>
      </c>
      <c r="DU567" s="1979">
        <v>0.12783559671100567</v>
      </c>
      <c r="DV567" s="1979">
        <v>0.12783559671100567</v>
      </c>
      <c r="DW567" s="1979">
        <v>0.12783559671100567</v>
      </c>
      <c r="DX567" s="2021">
        <v>0.12783559671100567</v>
      </c>
      <c r="EA567" s="2018"/>
      <c r="EB567" s="2">
        <v>27</v>
      </c>
      <c r="EC567" s="2" t="s">
        <v>4259</v>
      </c>
      <c r="ED567" s="1998">
        <v>1.419345659456952</v>
      </c>
      <c r="EE567" s="1998">
        <v>1.419345659456952</v>
      </c>
      <c r="EF567" s="1998">
        <v>1.419345659456952</v>
      </c>
      <c r="EG567" s="1998">
        <v>1.419345659456952</v>
      </c>
      <c r="EH567" s="1998">
        <v>1.419345659456952</v>
      </c>
      <c r="EI567" s="1979">
        <v>2.4716056316257515</v>
      </c>
      <c r="EJ567" s="1979">
        <v>2.4716056316257515</v>
      </c>
      <c r="EK567" s="1979">
        <v>2.4716056316257515</v>
      </c>
      <c r="EL567" s="1979">
        <v>2.4716056316257515</v>
      </c>
      <c r="EM567" s="1979">
        <v>2.4716056316257515</v>
      </c>
      <c r="EN567" s="1998">
        <v>1.4848349689609373</v>
      </c>
      <c r="EO567" s="1998">
        <v>1.4848349689609373</v>
      </c>
      <c r="EP567" s="1998">
        <v>1.4848349689609373</v>
      </c>
      <c r="EQ567" s="1998">
        <v>1.4848349689609373</v>
      </c>
      <c r="ER567" s="1998">
        <v>1.4848349689609373</v>
      </c>
      <c r="ES567" s="1979">
        <v>2.0301191220028505</v>
      </c>
      <c r="ET567" s="1979">
        <v>2.0301191220028505</v>
      </c>
      <c r="EU567" s="1979">
        <v>2.0301191220028505</v>
      </c>
      <c r="EV567" s="1979">
        <v>2.0301191220028505</v>
      </c>
      <c r="EW567" s="1979">
        <v>2.0301191220028505</v>
      </c>
      <c r="EX567" s="1998">
        <v>1.5343757936584008</v>
      </c>
      <c r="EY567" s="1998">
        <v>1.5343757936584008</v>
      </c>
      <c r="EZ567" s="1998">
        <v>1.5343757936584008</v>
      </c>
      <c r="FA567" s="1998">
        <v>1.5343757936584008</v>
      </c>
      <c r="FB567" s="1998">
        <v>1.5343757936584008</v>
      </c>
      <c r="FC567" s="1979">
        <v>2.4390031554168674</v>
      </c>
      <c r="FD567" s="1979">
        <v>2.4390031554168674</v>
      </c>
      <c r="FE567" s="1979">
        <v>2.4390031554168674</v>
      </c>
      <c r="FF567" s="1979">
        <v>2.4390031554168674</v>
      </c>
      <c r="FG567" s="1979">
        <v>2.4390031554168674</v>
      </c>
      <c r="FH567" s="1998">
        <v>2.7330451729623064</v>
      </c>
      <c r="FI567" s="1998">
        <v>2.7330451729623064</v>
      </c>
      <c r="FJ567" s="1998">
        <v>2.7330451729623064</v>
      </c>
      <c r="FK567" s="1998">
        <v>2.7330451729623064</v>
      </c>
      <c r="FL567" s="1998">
        <v>2.7330451729623064</v>
      </c>
      <c r="FM567" s="1979">
        <v>1.8301657716190503</v>
      </c>
      <c r="FN567" s="1979">
        <v>1.8301657716190503</v>
      </c>
      <c r="FO567" s="1979">
        <v>1.8301657716190503</v>
      </c>
      <c r="FP567" s="1979">
        <v>1.8301657716190503</v>
      </c>
      <c r="FQ567" s="1979">
        <v>1.8301657716190503</v>
      </c>
      <c r="FR567" s="1998">
        <v>10.7444107116903</v>
      </c>
      <c r="FS567" s="1998">
        <v>10.7444107116903</v>
      </c>
      <c r="FT567" s="1998">
        <v>10.7444107116903</v>
      </c>
      <c r="FU567" s="1998">
        <v>10.7444107116903</v>
      </c>
      <c r="FV567" s="1998">
        <v>10.7444107116903</v>
      </c>
      <c r="FW567" s="1979">
        <v>11.126674907004146</v>
      </c>
      <c r="FX567" s="1979">
        <v>11.126674907004146</v>
      </c>
      <c r="FY567" s="1979">
        <v>11.126674907004146</v>
      </c>
      <c r="FZ567" s="1979">
        <v>11.126674907004146</v>
      </c>
      <c r="GA567" s="1979">
        <v>11.126674907004146</v>
      </c>
      <c r="GB567" s="1998">
        <v>1.0973745296033908</v>
      </c>
      <c r="GC567" s="1998">
        <v>1.0973745296033908</v>
      </c>
      <c r="GD567" s="1998">
        <v>1.0973745296033908</v>
      </c>
      <c r="GE567" s="1998">
        <v>1.0973745296033908</v>
      </c>
      <c r="GF567" s="1998">
        <v>1.0973745296033908</v>
      </c>
      <c r="GG567" s="1979">
        <v>1.1676555383243121</v>
      </c>
      <c r="GH567" s="1979">
        <v>1.1676555383243121</v>
      </c>
      <c r="GI567" s="1979">
        <v>1.1676555383243121</v>
      </c>
      <c r="GJ567" s="1979">
        <v>1.1676555383243121</v>
      </c>
      <c r="GK567" s="2021">
        <v>1.1676555383243121</v>
      </c>
    </row>
    <row r="568" spans="1:193">
      <c r="A568" s="2016"/>
      <c r="B568" s="2">
        <v>28</v>
      </c>
      <c r="C568" s="2" t="s">
        <v>4274</v>
      </c>
      <c r="D568" s="1998">
        <f>IF(Construction!$F$31=Construction!$R$22,Oeko!BQ568,Oeko!ED568)</f>
        <v>1.3333333333333333</v>
      </c>
      <c r="E568" s="1998">
        <f>IF(Construction!$F$31=Construction!$R$22,Oeko!BR568,Oeko!EE568)</f>
        <v>1.3333333333333333</v>
      </c>
      <c r="F568" s="1998">
        <f>IF(Construction!$F$31=Construction!$R$22,Oeko!BS568,Oeko!EF568)</f>
        <v>1.3333333333333333</v>
      </c>
      <c r="G568" s="1998">
        <f>IF(Construction!$F$31=Construction!$R$22,Oeko!BT568,Oeko!EG568)</f>
        <v>1.3333333333333333</v>
      </c>
      <c r="H568" s="1998">
        <f>IF(Construction!$F$31=Construction!$R$22,Oeko!BU568,Oeko!EH568)</f>
        <v>1.3333333333333333</v>
      </c>
      <c r="I568" s="1979">
        <f>IF(Construction!$F$31=Construction!$R$22,Oeko!BV568,Oeko!EI568)</f>
        <v>1</v>
      </c>
      <c r="J568" s="1979">
        <f>IF(Construction!$F$31=Construction!$R$22,Oeko!BW568,Oeko!EJ568)</f>
        <v>1</v>
      </c>
      <c r="K568" s="1979">
        <f>IF(Construction!$F$31=Construction!$R$22,Oeko!BX568,Oeko!EK568)</f>
        <v>1</v>
      </c>
      <c r="L568" s="1979">
        <f>IF(Construction!$F$31=Construction!$R$22,Oeko!BY568,Oeko!EL568)</f>
        <v>1</v>
      </c>
      <c r="M568" s="1979">
        <f>IF(Construction!$F$31=Construction!$R$22,Oeko!BZ568,Oeko!EM568)</f>
        <v>1</v>
      </c>
      <c r="N568" s="1998">
        <f>IF(Construction!$F$31=Construction!$R$22,Oeko!CA568,Oeko!EN568)</f>
        <v>1</v>
      </c>
      <c r="O568" s="1998">
        <f>IF(Construction!$F$31=Construction!$R$22,Oeko!CB568,Oeko!EO568)</f>
        <v>1</v>
      </c>
      <c r="P568" s="1998">
        <f>IF(Construction!$F$31=Construction!$R$22,Oeko!CC568,Oeko!EP568)</f>
        <v>1</v>
      </c>
      <c r="Q568" s="1998">
        <f>IF(Construction!$F$31=Construction!$R$22,Oeko!CD568,Oeko!EQ568)</f>
        <v>1</v>
      </c>
      <c r="R568" s="1998">
        <f>IF(Construction!$F$31=Construction!$R$22,Oeko!CE568,Oeko!ER568)</f>
        <v>1</v>
      </c>
      <c r="S568" s="1979">
        <f>IF(Construction!$F$31=Construction!$R$22,Oeko!CF568,Oeko!ES568)</f>
        <v>1</v>
      </c>
      <c r="T568" s="1979">
        <f>IF(Construction!$F$31=Construction!$R$22,Oeko!CG568,Oeko!ET568)</f>
        <v>1</v>
      </c>
      <c r="U568" s="1979">
        <f>IF(Construction!$F$31=Construction!$R$22,Oeko!CH568,Oeko!EU568)</f>
        <v>1</v>
      </c>
      <c r="V568" s="1979">
        <f>IF(Construction!$F$31=Construction!$R$22,Oeko!CI568,Oeko!EV568)</f>
        <v>1</v>
      </c>
      <c r="W568" s="1979">
        <f>IF(Construction!$F$31=Construction!$R$22,Oeko!CJ568,Oeko!EW568)</f>
        <v>1</v>
      </c>
      <c r="X568" s="1998">
        <f>IF(Construction!$F$31=Construction!$R$22,Oeko!CK568,Oeko!EX568)</f>
        <v>1</v>
      </c>
      <c r="Y568" s="1998">
        <f>IF(Construction!$F$31=Construction!$R$22,Oeko!CL568,Oeko!EY568)</f>
        <v>1</v>
      </c>
      <c r="Z568" s="1998">
        <f>IF(Construction!$F$31=Construction!$R$22,Oeko!CM568,Oeko!EZ568)</f>
        <v>1</v>
      </c>
      <c r="AA568" s="1998">
        <f>IF(Construction!$F$31=Construction!$R$22,Oeko!CN568,Oeko!FA568)</f>
        <v>1</v>
      </c>
      <c r="AB568" s="1998">
        <f>IF(Construction!$F$31=Construction!$R$22,Oeko!CO568,Oeko!FB568)</f>
        <v>1</v>
      </c>
      <c r="AC568" s="1979">
        <f>IF(Construction!$F$31=Construction!$R$22,Oeko!CP568,Oeko!FC568)</f>
        <v>1</v>
      </c>
      <c r="AD568" s="1979">
        <f>IF(Construction!$F$31=Construction!$R$22,Oeko!CQ568,Oeko!FD568)</f>
        <v>1</v>
      </c>
      <c r="AE568" s="1979">
        <f>IF(Construction!$F$31=Construction!$R$22,Oeko!CR568,Oeko!FE568)</f>
        <v>1</v>
      </c>
      <c r="AF568" s="1979">
        <f>IF(Construction!$F$31=Construction!$R$22,Oeko!CS568,Oeko!FF568)</f>
        <v>1</v>
      </c>
      <c r="AG568" s="1979">
        <f>IF(Construction!$F$31=Construction!$R$22,Oeko!CT568,Oeko!FG568)</f>
        <v>1</v>
      </c>
      <c r="AH568" s="1998">
        <f>IF(Construction!$F$31=Construction!$R$22,Oeko!CU568,Oeko!FH568)</f>
        <v>1</v>
      </c>
      <c r="AI568" s="1998">
        <f>IF(Construction!$F$31=Construction!$R$22,Oeko!CV568,Oeko!FI568)</f>
        <v>1</v>
      </c>
      <c r="AJ568" s="1998">
        <f>IF(Construction!$F$31=Construction!$R$22,Oeko!CW568,Oeko!FJ568)</f>
        <v>1</v>
      </c>
      <c r="AK568" s="1998">
        <f>IF(Construction!$F$31=Construction!$R$22,Oeko!CX568,Oeko!FK568)</f>
        <v>1</v>
      </c>
      <c r="AL568" s="1998">
        <f>IF(Construction!$F$31=Construction!$R$22,Oeko!CY568,Oeko!FL568)</f>
        <v>1</v>
      </c>
      <c r="AM568" s="1979">
        <f>IF(Construction!$F$31=Construction!$R$22,Oeko!CZ568,Oeko!FM568)</f>
        <v>1.3333333333333333</v>
      </c>
      <c r="AN568" s="1979">
        <f>IF(Construction!$F$31=Construction!$R$22,Oeko!DA568,Oeko!FN568)</f>
        <v>1.3333333333333333</v>
      </c>
      <c r="AO568" s="1979">
        <f>IF(Construction!$F$31=Construction!$R$22,Oeko!DB568,Oeko!FO568)</f>
        <v>1.3333333333333333</v>
      </c>
      <c r="AP568" s="1979">
        <f>IF(Construction!$F$31=Construction!$R$22,Oeko!DC568,Oeko!FP568)</f>
        <v>1.3333333333333333</v>
      </c>
      <c r="AQ568" s="1979">
        <f>IF(Construction!$F$31=Construction!$R$22,Oeko!DD568,Oeko!FQ568)</f>
        <v>1.3333333333333333</v>
      </c>
      <c r="AR568" s="1998">
        <f>IF(Construction!$F$31=Construction!$R$22,Oeko!DE568,Oeko!FR568)</f>
        <v>1</v>
      </c>
      <c r="AS568" s="1998">
        <f>IF(Construction!$F$31=Construction!$R$22,Oeko!DF568,Oeko!FS568)</f>
        <v>1</v>
      </c>
      <c r="AT568" s="1998">
        <f>IF(Construction!$F$31=Construction!$R$22,Oeko!DG568,Oeko!FT568)</f>
        <v>1</v>
      </c>
      <c r="AU568" s="1998">
        <f>IF(Construction!$F$31=Construction!$R$22,Oeko!DH568,Oeko!FU568)</f>
        <v>1</v>
      </c>
      <c r="AV568" s="1998">
        <f>IF(Construction!$F$31=Construction!$R$22,Oeko!DI568,Oeko!FV568)</f>
        <v>1</v>
      </c>
      <c r="AW568" s="1979">
        <f>IF(Construction!$F$31=Construction!$R$22,Oeko!DJ568,Oeko!FW568)</f>
        <v>1</v>
      </c>
      <c r="AX568" s="1979">
        <f>IF(Construction!$F$31=Construction!$R$22,Oeko!DK568,Oeko!FX568)</f>
        <v>1</v>
      </c>
      <c r="AY568" s="1979">
        <f>IF(Construction!$F$31=Construction!$R$22,Oeko!DL568,Oeko!FY568)</f>
        <v>1</v>
      </c>
      <c r="AZ568" s="1979">
        <f>IF(Construction!$F$31=Construction!$R$22,Oeko!DM568,Oeko!FZ568)</f>
        <v>1</v>
      </c>
      <c r="BA568" s="1979">
        <f>IF(Construction!$F$31=Construction!$R$22,Oeko!DN568,Oeko!GA568)</f>
        <v>1</v>
      </c>
      <c r="BB568" s="1998">
        <f>IF(Construction!$F$31=Construction!$R$22,Oeko!DO568,Oeko!GB568)</f>
        <v>0.12461206483213953</v>
      </c>
      <c r="BC568" s="1998">
        <f>IF(Construction!$F$31=Construction!$R$22,Oeko!DP568,Oeko!GC568)</f>
        <v>0.12461206483213953</v>
      </c>
      <c r="BD568" s="1998">
        <f>IF(Construction!$F$31=Construction!$R$22,Oeko!DQ568,Oeko!GD568)</f>
        <v>0.12461206483213953</v>
      </c>
      <c r="BE568" s="1998">
        <f>IF(Construction!$F$31=Construction!$R$22,Oeko!DR568,Oeko!GE568)</f>
        <v>0.12461206483213953</v>
      </c>
      <c r="BF568" s="1998">
        <f>IF(Construction!$F$31=Construction!$R$22,Oeko!DS568,Oeko!GF568)</f>
        <v>0.12461206483213953</v>
      </c>
      <c r="BG568" s="1979">
        <f>IF(Construction!$F$31=Construction!$R$22,Oeko!DT568,Oeko!GG568)</f>
        <v>0.12783559671100567</v>
      </c>
      <c r="BH568" s="1979">
        <f>IF(Construction!$F$31=Construction!$R$22,Oeko!DU568,Oeko!GH568)</f>
        <v>0.12783559671100567</v>
      </c>
      <c r="BI568" s="1979">
        <f>IF(Construction!$F$31=Construction!$R$22,Oeko!DV568,Oeko!GI568)</f>
        <v>0.12783559671100567</v>
      </c>
      <c r="BJ568" s="1979">
        <f>IF(Construction!$F$31=Construction!$R$22,Oeko!DW568,Oeko!GJ568)</f>
        <v>0.12783559671100567</v>
      </c>
      <c r="BK568" s="2021">
        <f>IF(Construction!$F$31=Construction!$R$22,Oeko!DX568,Oeko!GK568)</f>
        <v>0.12783559671100567</v>
      </c>
      <c r="BN568" s="2018"/>
      <c r="BO568" s="2">
        <v>28</v>
      </c>
      <c r="BP568" s="2" t="s">
        <v>4274</v>
      </c>
      <c r="BQ568" s="1998">
        <v>1.3333333333333333</v>
      </c>
      <c r="BR568" s="1998">
        <v>1.3333333333333333</v>
      </c>
      <c r="BS568" s="1998">
        <v>1.3333333333333333</v>
      </c>
      <c r="BT568" s="1998">
        <v>1.3333333333333333</v>
      </c>
      <c r="BU568" s="1998">
        <v>1.3333333333333333</v>
      </c>
      <c r="BV568" s="1979">
        <v>1</v>
      </c>
      <c r="BW568" s="1979">
        <v>1</v>
      </c>
      <c r="BX568" s="1979">
        <v>1</v>
      </c>
      <c r="BY568" s="1979">
        <v>1</v>
      </c>
      <c r="BZ568" s="1979">
        <v>1</v>
      </c>
      <c r="CA568" s="1998">
        <v>1</v>
      </c>
      <c r="CB568" s="1998">
        <v>1</v>
      </c>
      <c r="CC568" s="1998">
        <v>1</v>
      </c>
      <c r="CD568" s="1998">
        <v>1</v>
      </c>
      <c r="CE568" s="1998">
        <v>1</v>
      </c>
      <c r="CF568" s="1979">
        <v>1</v>
      </c>
      <c r="CG568" s="1979">
        <v>1</v>
      </c>
      <c r="CH568" s="1979">
        <v>1</v>
      </c>
      <c r="CI568" s="1979">
        <v>1</v>
      </c>
      <c r="CJ568" s="1979">
        <v>1</v>
      </c>
      <c r="CK568" s="1998">
        <v>1</v>
      </c>
      <c r="CL568" s="1998">
        <v>1</v>
      </c>
      <c r="CM568" s="1998">
        <v>1</v>
      </c>
      <c r="CN568" s="1998">
        <v>1</v>
      </c>
      <c r="CO568" s="1998">
        <v>1</v>
      </c>
      <c r="CP568" s="1979">
        <v>1</v>
      </c>
      <c r="CQ568" s="1979">
        <v>1</v>
      </c>
      <c r="CR568" s="1979">
        <v>1</v>
      </c>
      <c r="CS568" s="1979">
        <v>1</v>
      </c>
      <c r="CT568" s="1979">
        <v>1</v>
      </c>
      <c r="CU568" s="1998">
        <v>1</v>
      </c>
      <c r="CV568" s="1998">
        <v>1</v>
      </c>
      <c r="CW568" s="1998">
        <v>1</v>
      </c>
      <c r="CX568" s="1998">
        <v>1</v>
      </c>
      <c r="CY568" s="1998">
        <v>1</v>
      </c>
      <c r="CZ568" s="1979">
        <v>1.3333333333333333</v>
      </c>
      <c r="DA568" s="1979">
        <v>1.3333333333333333</v>
      </c>
      <c r="DB568" s="1979">
        <v>1.3333333333333333</v>
      </c>
      <c r="DC568" s="1979">
        <v>1.3333333333333333</v>
      </c>
      <c r="DD568" s="1979">
        <v>1.3333333333333333</v>
      </c>
      <c r="DE568" s="1998">
        <v>1</v>
      </c>
      <c r="DF568" s="1998">
        <v>1</v>
      </c>
      <c r="DG568" s="1998">
        <v>1</v>
      </c>
      <c r="DH568" s="1998">
        <v>1</v>
      </c>
      <c r="DI568" s="1998">
        <v>1</v>
      </c>
      <c r="DJ568" s="1979">
        <v>1</v>
      </c>
      <c r="DK568" s="1979">
        <v>1</v>
      </c>
      <c r="DL568" s="1979">
        <v>1</v>
      </c>
      <c r="DM568" s="1979">
        <v>1</v>
      </c>
      <c r="DN568" s="1979">
        <v>1</v>
      </c>
      <c r="DO568" s="1998">
        <v>0.12461206483213953</v>
      </c>
      <c r="DP568" s="1998">
        <v>0.12461206483213953</v>
      </c>
      <c r="DQ568" s="1998">
        <v>0.12461206483213953</v>
      </c>
      <c r="DR568" s="1998">
        <v>0.12461206483213953</v>
      </c>
      <c r="DS568" s="1998">
        <v>0.12461206483213953</v>
      </c>
      <c r="DT568" s="1979">
        <v>0.12783559671100567</v>
      </c>
      <c r="DU568" s="1979">
        <v>0.12783559671100567</v>
      </c>
      <c r="DV568" s="1979">
        <v>0.12783559671100567</v>
      </c>
      <c r="DW568" s="1979">
        <v>0.12783559671100567</v>
      </c>
      <c r="DX568" s="2021">
        <v>0.12783559671100567</v>
      </c>
      <c r="EA568" s="2018"/>
      <c r="EB568" s="2">
        <v>28</v>
      </c>
      <c r="EC568" s="2" t="s">
        <v>4274</v>
      </c>
      <c r="ED568" s="1998">
        <v>1.9131650441871284</v>
      </c>
      <c r="EE568" s="1998">
        <v>1.9131650441871284</v>
      </c>
      <c r="EF568" s="1998">
        <v>1.9131650441871284</v>
      </c>
      <c r="EG568" s="1998">
        <v>1.9131650441871284</v>
      </c>
      <c r="EH568" s="1998">
        <v>1.9131650441871284</v>
      </c>
      <c r="EI568" s="1979">
        <v>2.8465432892377889</v>
      </c>
      <c r="EJ568" s="1979">
        <v>2.8465432892377889</v>
      </c>
      <c r="EK568" s="1979">
        <v>2.8465432892377889</v>
      </c>
      <c r="EL568" s="1979">
        <v>2.8465432892377889</v>
      </c>
      <c r="EM568" s="1979">
        <v>2.8465432892377889</v>
      </c>
      <c r="EN568" s="1998">
        <v>1.5359628313625786</v>
      </c>
      <c r="EO568" s="1998">
        <v>1.5359628313625786</v>
      </c>
      <c r="EP568" s="1998">
        <v>1.5359628313625786</v>
      </c>
      <c r="EQ568" s="1998">
        <v>1.5359628313625786</v>
      </c>
      <c r="ER568" s="1998">
        <v>1.5359628313625786</v>
      </c>
      <c r="ES568" s="1979">
        <v>2.2223220121423544</v>
      </c>
      <c r="ET568" s="1979">
        <v>2.2223220121423544</v>
      </c>
      <c r="EU568" s="1979">
        <v>2.2223220121423544</v>
      </c>
      <c r="EV568" s="1979">
        <v>2.2223220121423544</v>
      </c>
      <c r="EW568" s="1979">
        <v>2.2223220121423544</v>
      </c>
      <c r="EX568" s="1998">
        <v>1.6025462768605891</v>
      </c>
      <c r="EY568" s="1998">
        <v>1.6025462768605891</v>
      </c>
      <c r="EZ568" s="1998">
        <v>1.6025462768605891</v>
      </c>
      <c r="FA568" s="1998">
        <v>1.6025462768605891</v>
      </c>
      <c r="FB568" s="1998">
        <v>1.6025462768605891</v>
      </c>
      <c r="FC568" s="1979">
        <v>2.7889449691881021</v>
      </c>
      <c r="FD568" s="1979">
        <v>2.7889449691881021</v>
      </c>
      <c r="FE568" s="1979">
        <v>2.7889449691881021</v>
      </c>
      <c r="FF568" s="1979">
        <v>2.7889449691881021</v>
      </c>
      <c r="FG568" s="1979">
        <v>2.7889449691881021</v>
      </c>
      <c r="FH568" s="1998">
        <v>3.0738975889732503</v>
      </c>
      <c r="FI568" s="1998">
        <v>3.0738975889732503</v>
      </c>
      <c r="FJ568" s="1998">
        <v>3.0738975889732503</v>
      </c>
      <c r="FK568" s="1998">
        <v>3.0738975889732503</v>
      </c>
      <c r="FL568" s="1998">
        <v>3.0738975889732503</v>
      </c>
      <c r="FM568" s="1979">
        <v>2.1488273674994858</v>
      </c>
      <c r="FN568" s="1979">
        <v>2.1488273674994858</v>
      </c>
      <c r="FO568" s="1979">
        <v>2.1488273674994858</v>
      </c>
      <c r="FP568" s="1979">
        <v>2.1488273674994858</v>
      </c>
      <c r="FQ568" s="1979">
        <v>2.1488273674994858</v>
      </c>
      <c r="FR568" s="1998">
        <v>13.369000166152871</v>
      </c>
      <c r="FS568" s="1998">
        <v>13.369000166152871</v>
      </c>
      <c r="FT568" s="1998">
        <v>13.369000166152871</v>
      </c>
      <c r="FU568" s="1998">
        <v>13.369000166152871</v>
      </c>
      <c r="FV568" s="1998">
        <v>13.369000166152871</v>
      </c>
      <c r="FW568" s="1979">
        <v>13.773442532407794</v>
      </c>
      <c r="FX568" s="1979">
        <v>13.773442532407794</v>
      </c>
      <c r="FY568" s="1979">
        <v>13.773442532407794</v>
      </c>
      <c r="FZ568" s="1979">
        <v>13.773442532407794</v>
      </c>
      <c r="GA568" s="1979">
        <v>13.773442532407794</v>
      </c>
      <c r="GB568" s="1998">
        <v>1.4210514828272911</v>
      </c>
      <c r="GC568" s="1998">
        <v>1.4210514828272911</v>
      </c>
      <c r="GD568" s="1998">
        <v>1.4210514828272911</v>
      </c>
      <c r="GE568" s="1998">
        <v>1.4210514828272911</v>
      </c>
      <c r="GF568" s="1998">
        <v>1.4210514828272911</v>
      </c>
      <c r="GG568" s="1979">
        <v>1.4937237494535853</v>
      </c>
      <c r="GH568" s="1979">
        <v>1.4937237494535853</v>
      </c>
      <c r="GI568" s="1979">
        <v>1.4937237494535853</v>
      </c>
      <c r="GJ568" s="1979">
        <v>1.4937237494535853</v>
      </c>
      <c r="GK568" s="2021">
        <v>1.4937237494535853</v>
      </c>
    </row>
    <row r="569" spans="1:193">
      <c r="A569" s="2016"/>
      <c r="B569" s="2">
        <v>29</v>
      </c>
      <c r="C569" s="2" t="str">
        <f>$AD$13</f>
        <v>Fondation superficielle</v>
      </c>
      <c r="D569" s="1998">
        <f>IF(Construction!$F$31=Construction!$R$22,Oeko!BQ569,Oeko!ED569)</f>
        <v>1</v>
      </c>
      <c r="E569" s="1998">
        <f>IF(Construction!$F$31=Construction!$R$22,Oeko!BR569,Oeko!EE569)</f>
        <v>1</v>
      </c>
      <c r="F569" s="1998">
        <f>IF(Construction!$F$31=Construction!$R$22,Oeko!BS569,Oeko!EF569)</f>
        <v>1</v>
      </c>
      <c r="G569" s="1998">
        <f>IF(Construction!$F$31=Construction!$R$22,Oeko!BT569,Oeko!EG569)</f>
        <v>1</v>
      </c>
      <c r="H569" s="1998">
        <f>IF(Construction!$F$31=Construction!$R$22,Oeko!BU569,Oeko!EH569)</f>
        <v>1</v>
      </c>
      <c r="I569" s="1979">
        <f>IF(Construction!$F$31=Construction!$R$22,Oeko!BV569,Oeko!EI569)</f>
        <v>1</v>
      </c>
      <c r="J569" s="1979">
        <f>IF(Construction!$F$31=Construction!$R$22,Oeko!BW569,Oeko!EJ569)</f>
        <v>1</v>
      </c>
      <c r="K569" s="1979">
        <f>IF(Construction!$F$31=Construction!$R$22,Oeko!BX569,Oeko!EK569)</f>
        <v>1</v>
      </c>
      <c r="L569" s="1979">
        <f>IF(Construction!$F$31=Construction!$R$22,Oeko!BY569,Oeko!EL569)</f>
        <v>1</v>
      </c>
      <c r="M569" s="1979">
        <f>IF(Construction!$F$31=Construction!$R$22,Oeko!BZ569,Oeko!EM569)</f>
        <v>1</v>
      </c>
      <c r="N569" s="1998">
        <f>IF(Construction!$F$31=Construction!$R$22,Oeko!CA569,Oeko!EN569)</f>
        <v>1</v>
      </c>
      <c r="O569" s="1998">
        <f>IF(Construction!$F$31=Construction!$R$22,Oeko!CB569,Oeko!EO569)</f>
        <v>1</v>
      </c>
      <c r="P569" s="1998">
        <f>IF(Construction!$F$31=Construction!$R$22,Oeko!CC569,Oeko!EP569)</f>
        <v>1</v>
      </c>
      <c r="Q569" s="1998">
        <f>IF(Construction!$F$31=Construction!$R$22,Oeko!CD569,Oeko!EQ569)</f>
        <v>1</v>
      </c>
      <c r="R569" s="1998">
        <f>IF(Construction!$F$31=Construction!$R$22,Oeko!CE569,Oeko!ER569)</f>
        <v>1</v>
      </c>
      <c r="S569" s="1979">
        <f>IF(Construction!$F$31=Construction!$R$22,Oeko!CF569,Oeko!ES569)</f>
        <v>1</v>
      </c>
      <c r="T569" s="1979">
        <f>IF(Construction!$F$31=Construction!$R$22,Oeko!CG569,Oeko!ET569)</f>
        <v>1</v>
      </c>
      <c r="U569" s="1979">
        <f>IF(Construction!$F$31=Construction!$R$22,Oeko!CH569,Oeko!EU569)</f>
        <v>1</v>
      </c>
      <c r="V569" s="1979">
        <f>IF(Construction!$F$31=Construction!$R$22,Oeko!CI569,Oeko!EV569)</f>
        <v>1</v>
      </c>
      <c r="W569" s="1979">
        <f>IF(Construction!$F$31=Construction!$R$22,Oeko!CJ569,Oeko!EW569)</f>
        <v>1</v>
      </c>
      <c r="X569" s="1998">
        <f>IF(Construction!$F$31=Construction!$R$22,Oeko!CK569,Oeko!EX569)</f>
        <v>1</v>
      </c>
      <c r="Y569" s="1998">
        <f>IF(Construction!$F$31=Construction!$R$22,Oeko!CL569,Oeko!EY569)</f>
        <v>1</v>
      </c>
      <c r="Z569" s="1998">
        <f>IF(Construction!$F$31=Construction!$R$22,Oeko!CM569,Oeko!EZ569)</f>
        <v>1</v>
      </c>
      <c r="AA569" s="1998">
        <f>IF(Construction!$F$31=Construction!$R$22,Oeko!CN569,Oeko!FA569)</f>
        <v>1</v>
      </c>
      <c r="AB569" s="1998">
        <f>IF(Construction!$F$31=Construction!$R$22,Oeko!CO569,Oeko!FB569)</f>
        <v>1</v>
      </c>
      <c r="AC569" s="1979">
        <f>IF(Construction!$F$31=Construction!$R$22,Oeko!CP569,Oeko!FC569)</f>
        <v>1</v>
      </c>
      <c r="AD569" s="1979">
        <f>IF(Construction!$F$31=Construction!$R$22,Oeko!CQ569,Oeko!FD569)</f>
        <v>1</v>
      </c>
      <c r="AE569" s="1979">
        <f>IF(Construction!$F$31=Construction!$R$22,Oeko!CR569,Oeko!FE569)</f>
        <v>1</v>
      </c>
      <c r="AF569" s="1979">
        <f>IF(Construction!$F$31=Construction!$R$22,Oeko!CS569,Oeko!FF569)</f>
        <v>1</v>
      </c>
      <c r="AG569" s="1979">
        <f>IF(Construction!$F$31=Construction!$R$22,Oeko!CT569,Oeko!FG569)</f>
        <v>1</v>
      </c>
      <c r="AH569" s="1998">
        <f>IF(Construction!$F$31=Construction!$R$22,Oeko!CU569,Oeko!FH569)</f>
        <v>1</v>
      </c>
      <c r="AI569" s="1998">
        <f>IF(Construction!$F$31=Construction!$R$22,Oeko!CV569,Oeko!FI569)</f>
        <v>1</v>
      </c>
      <c r="AJ569" s="1998">
        <f>IF(Construction!$F$31=Construction!$R$22,Oeko!CW569,Oeko!FJ569)</f>
        <v>1</v>
      </c>
      <c r="AK569" s="1998">
        <f>IF(Construction!$F$31=Construction!$R$22,Oeko!CX569,Oeko!FK569)</f>
        <v>1</v>
      </c>
      <c r="AL569" s="1998">
        <f>IF(Construction!$F$31=Construction!$R$22,Oeko!CY569,Oeko!FL569)</f>
        <v>1</v>
      </c>
      <c r="AM569" s="1979">
        <f>IF(Construction!$F$31=Construction!$R$22,Oeko!CZ569,Oeko!FM569)</f>
        <v>1</v>
      </c>
      <c r="AN569" s="1979">
        <f>IF(Construction!$F$31=Construction!$R$22,Oeko!DA569,Oeko!FN569)</f>
        <v>1</v>
      </c>
      <c r="AO569" s="1979">
        <f>IF(Construction!$F$31=Construction!$R$22,Oeko!DB569,Oeko!FO569)</f>
        <v>1</v>
      </c>
      <c r="AP569" s="1979">
        <f>IF(Construction!$F$31=Construction!$R$22,Oeko!DC569,Oeko!FP569)</f>
        <v>1</v>
      </c>
      <c r="AQ569" s="1979">
        <f>IF(Construction!$F$31=Construction!$R$22,Oeko!DD569,Oeko!FQ569)</f>
        <v>1</v>
      </c>
      <c r="AR569" s="1998">
        <f>IF(Construction!$F$31=Construction!$R$22,Oeko!DE569,Oeko!FR569)</f>
        <v>1</v>
      </c>
      <c r="AS569" s="1998">
        <f>IF(Construction!$F$31=Construction!$R$22,Oeko!DF569,Oeko!FS569)</f>
        <v>1</v>
      </c>
      <c r="AT569" s="1998">
        <f>IF(Construction!$F$31=Construction!$R$22,Oeko!DG569,Oeko!FT569)</f>
        <v>1</v>
      </c>
      <c r="AU569" s="1998">
        <f>IF(Construction!$F$31=Construction!$R$22,Oeko!DH569,Oeko!FU569)</f>
        <v>1</v>
      </c>
      <c r="AV569" s="1998">
        <f>IF(Construction!$F$31=Construction!$R$22,Oeko!DI569,Oeko!FV569)</f>
        <v>1</v>
      </c>
      <c r="AW569" s="1979">
        <f>IF(Construction!$F$31=Construction!$R$22,Oeko!DJ569,Oeko!FW569)</f>
        <v>1</v>
      </c>
      <c r="AX569" s="1979">
        <f>IF(Construction!$F$31=Construction!$R$22,Oeko!DK569,Oeko!FX569)</f>
        <v>1</v>
      </c>
      <c r="AY569" s="1979">
        <f>IF(Construction!$F$31=Construction!$R$22,Oeko!DL569,Oeko!FY569)</f>
        <v>1</v>
      </c>
      <c r="AZ569" s="1979">
        <f>IF(Construction!$F$31=Construction!$R$22,Oeko!DM569,Oeko!FZ569)</f>
        <v>1</v>
      </c>
      <c r="BA569" s="1979">
        <f>IF(Construction!$F$31=Construction!$R$22,Oeko!DN569,Oeko!GA569)</f>
        <v>1</v>
      </c>
      <c r="BB569" s="1998">
        <f>IF(Construction!$F$31=Construction!$R$22,Oeko!DO569,Oeko!GB569)</f>
        <v>1</v>
      </c>
      <c r="BC569" s="1998">
        <f>IF(Construction!$F$31=Construction!$R$22,Oeko!DP569,Oeko!GC569)</f>
        <v>1</v>
      </c>
      <c r="BD569" s="1998">
        <f>IF(Construction!$F$31=Construction!$R$22,Oeko!DQ569,Oeko!GD569)</f>
        <v>1</v>
      </c>
      <c r="BE569" s="1998">
        <f>IF(Construction!$F$31=Construction!$R$22,Oeko!DR569,Oeko!GE569)</f>
        <v>1</v>
      </c>
      <c r="BF569" s="1998">
        <f>IF(Construction!$F$31=Construction!$R$22,Oeko!DS569,Oeko!GF569)</f>
        <v>1</v>
      </c>
      <c r="BG569" s="1979">
        <f>IF(Construction!$F$31=Construction!$R$22,Oeko!DT569,Oeko!GG569)</f>
        <v>1</v>
      </c>
      <c r="BH569" s="1979">
        <f>IF(Construction!$F$31=Construction!$R$22,Oeko!DU569,Oeko!GH569)</f>
        <v>1</v>
      </c>
      <c r="BI569" s="1979">
        <f>IF(Construction!$F$31=Construction!$R$22,Oeko!DV569,Oeko!GI569)</f>
        <v>1</v>
      </c>
      <c r="BJ569" s="1979">
        <f>IF(Construction!$F$31=Construction!$R$22,Oeko!DW569,Oeko!GJ569)</f>
        <v>1</v>
      </c>
      <c r="BK569" s="2021">
        <f>IF(Construction!$F$31=Construction!$R$22,Oeko!DX569,Oeko!GK569)</f>
        <v>1</v>
      </c>
      <c r="BN569" s="2018"/>
      <c r="BO569" s="2">
        <v>29</v>
      </c>
      <c r="BP569" s="2" t="str">
        <f>$AD$13</f>
        <v>Fondation superficielle</v>
      </c>
      <c r="BQ569" s="1998">
        <v>1</v>
      </c>
      <c r="BR569" s="1998">
        <v>1</v>
      </c>
      <c r="BS569" s="1998">
        <v>1</v>
      </c>
      <c r="BT569" s="1998">
        <v>1</v>
      </c>
      <c r="BU569" s="1998">
        <v>1</v>
      </c>
      <c r="BV569" s="1979">
        <v>1</v>
      </c>
      <c r="BW569" s="1979">
        <v>1</v>
      </c>
      <c r="BX569" s="1979">
        <v>1</v>
      </c>
      <c r="BY569" s="1979">
        <v>1</v>
      </c>
      <c r="BZ569" s="1979">
        <v>1</v>
      </c>
      <c r="CA569" s="1998">
        <v>1</v>
      </c>
      <c r="CB569" s="1998">
        <v>1</v>
      </c>
      <c r="CC569" s="1998">
        <v>1</v>
      </c>
      <c r="CD569" s="1998">
        <v>1</v>
      </c>
      <c r="CE569" s="1998">
        <v>1</v>
      </c>
      <c r="CF569" s="1979">
        <v>1</v>
      </c>
      <c r="CG569" s="1979">
        <v>1</v>
      </c>
      <c r="CH569" s="1979">
        <v>1</v>
      </c>
      <c r="CI569" s="1979">
        <v>1</v>
      </c>
      <c r="CJ569" s="1979">
        <v>1</v>
      </c>
      <c r="CK569" s="1998">
        <v>1</v>
      </c>
      <c r="CL569" s="1998">
        <v>1</v>
      </c>
      <c r="CM569" s="1998">
        <v>1</v>
      </c>
      <c r="CN569" s="1998">
        <v>1</v>
      </c>
      <c r="CO569" s="1998">
        <v>1</v>
      </c>
      <c r="CP569" s="1979">
        <v>1</v>
      </c>
      <c r="CQ569" s="1979">
        <v>1</v>
      </c>
      <c r="CR569" s="1979">
        <v>1</v>
      </c>
      <c r="CS569" s="1979">
        <v>1</v>
      </c>
      <c r="CT569" s="1979">
        <v>1</v>
      </c>
      <c r="CU569" s="1998">
        <v>1</v>
      </c>
      <c r="CV569" s="1998">
        <v>1</v>
      </c>
      <c r="CW569" s="1998">
        <v>1</v>
      </c>
      <c r="CX569" s="1998">
        <v>1</v>
      </c>
      <c r="CY569" s="1998">
        <v>1</v>
      </c>
      <c r="CZ569" s="1979">
        <v>1</v>
      </c>
      <c r="DA569" s="1979">
        <v>1</v>
      </c>
      <c r="DB569" s="1979">
        <v>1</v>
      </c>
      <c r="DC569" s="1979">
        <v>1</v>
      </c>
      <c r="DD569" s="1979">
        <v>1</v>
      </c>
      <c r="DE569" s="1998">
        <v>1</v>
      </c>
      <c r="DF569" s="1998">
        <v>1</v>
      </c>
      <c r="DG569" s="1998">
        <v>1</v>
      </c>
      <c r="DH569" s="1998">
        <v>1</v>
      </c>
      <c r="DI569" s="1998">
        <v>1</v>
      </c>
      <c r="DJ569" s="1979">
        <v>1</v>
      </c>
      <c r="DK569" s="1979">
        <v>1</v>
      </c>
      <c r="DL569" s="1979">
        <v>1</v>
      </c>
      <c r="DM569" s="1979">
        <v>1</v>
      </c>
      <c r="DN569" s="1979">
        <v>1</v>
      </c>
      <c r="DO569" s="1998">
        <v>1</v>
      </c>
      <c r="DP569" s="1998">
        <v>1</v>
      </c>
      <c r="DQ569" s="1998">
        <v>1</v>
      </c>
      <c r="DR569" s="1998">
        <v>1</v>
      </c>
      <c r="DS569" s="1998">
        <v>1</v>
      </c>
      <c r="DT569" s="1979">
        <v>1</v>
      </c>
      <c r="DU569" s="1979">
        <v>1</v>
      </c>
      <c r="DV569" s="1979">
        <v>1</v>
      </c>
      <c r="DW569" s="1979">
        <v>1</v>
      </c>
      <c r="DX569" s="2021">
        <v>1</v>
      </c>
      <c r="EA569" s="2018"/>
      <c r="EB569" s="2">
        <v>29</v>
      </c>
      <c r="EC569" s="2" t="str">
        <f>$AD$13</f>
        <v>Fondation superficielle</v>
      </c>
      <c r="ED569" s="1998">
        <v>1.3605609674202821</v>
      </c>
      <c r="EE569" s="1998">
        <v>1.3605609674202821</v>
      </c>
      <c r="EF569" s="1998">
        <v>1.3605609674202821</v>
      </c>
      <c r="EG569" s="1998">
        <v>1.3605609674202821</v>
      </c>
      <c r="EH569" s="1998">
        <v>1.3605609674202821</v>
      </c>
      <c r="EI569" s="1979">
        <v>2.0966679740137137</v>
      </c>
      <c r="EJ569" s="1979">
        <v>2.0966679740137137</v>
      </c>
      <c r="EK569" s="1979">
        <v>2.0966679740137137</v>
      </c>
      <c r="EL569" s="1979">
        <v>2.0966679740137137</v>
      </c>
      <c r="EM569" s="1979">
        <v>2.0966679740137137</v>
      </c>
      <c r="EN569" s="1998">
        <v>1.4337071065592959</v>
      </c>
      <c r="EO569" s="1998">
        <v>1.4337071065592959</v>
      </c>
      <c r="EP569" s="1998">
        <v>1.4337071065592959</v>
      </c>
      <c r="EQ569" s="1998">
        <v>1.4337071065592959</v>
      </c>
      <c r="ER569" s="1998">
        <v>1.4337071065592959</v>
      </c>
      <c r="ES569" s="1979">
        <v>1.8379162318633464</v>
      </c>
      <c r="ET569" s="1979">
        <v>1.8379162318633464</v>
      </c>
      <c r="EU569" s="1979">
        <v>1.8379162318633464</v>
      </c>
      <c r="EV569" s="1979">
        <v>1.8379162318633464</v>
      </c>
      <c r="EW569" s="1979">
        <v>1.8379162318633464</v>
      </c>
      <c r="EX569" s="1998">
        <v>1.4662053104562123</v>
      </c>
      <c r="EY569" s="1998">
        <v>1.4662053104562123</v>
      </c>
      <c r="EZ569" s="1998">
        <v>1.4662053104562123</v>
      </c>
      <c r="FA569" s="1998">
        <v>1.4662053104562123</v>
      </c>
      <c r="FB569" s="1998">
        <v>1.4662053104562123</v>
      </c>
      <c r="FC569" s="1979">
        <v>1.6277744053108218</v>
      </c>
      <c r="FD569" s="1979">
        <v>1.6277744053108218</v>
      </c>
      <c r="FE569" s="1979">
        <v>1.6277744053108218</v>
      </c>
      <c r="FF569" s="1979">
        <v>1.6277744053108218</v>
      </c>
      <c r="FG569" s="1979">
        <v>1.6277744053108218</v>
      </c>
      <c r="FH569" s="1998">
        <v>2.3921927569513635</v>
      </c>
      <c r="FI569" s="1998">
        <v>2.3921927569513635</v>
      </c>
      <c r="FJ569" s="1998">
        <v>2.3921927569513635</v>
      </c>
      <c r="FK569" s="1998">
        <v>2.3921927569513635</v>
      </c>
      <c r="FL569" s="1998">
        <v>2.3921927569513635</v>
      </c>
      <c r="FM569" s="1979">
        <v>1.5115041757386145</v>
      </c>
      <c r="FN569" s="1979">
        <v>1.5115041757386145</v>
      </c>
      <c r="FO569" s="1979">
        <v>1.5115041757386145</v>
      </c>
      <c r="FP569" s="1979">
        <v>1.5115041757386145</v>
      </c>
      <c r="FQ569" s="1979">
        <v>1.5115041757386145</v>
      </c>
      <c r="FR569" s="1998">
        <v>8.1198212572277306</v>
      </c>
      <c r="FS569" s="1998">
        <v>8.1198212572277306</v>
      </c>
      <c r="FT569" s="1998">
        <v>8.1198212572277306</v>
      </c>
      <c r="FU569" s="1998">
        <v>8.1198212572277306</v>
      </c>
      <c r="FV569" s="1998">
        <v>8.1198212572277306</v>
      </c>
      <c r="FW569" s="1979">
        <v>8.4799072816005001</v>
      </c>
      <c r="FX569" s="1979">
        <v>8.4799072816005001</v>
      </c>
      <c r="FY569" s="1979">
        <v>8.4799072816005001</v>
      </c>
      <c r="FZ569" s="1979">
        <v>8.4799072816005001</v>
      </c>
      <c r="GA569" s="1979">
        <v>8.4799072816005001</v>
      </c>
      <c r="GB569" s="1998">
        <v>1.3861479372000356</v>
      </c>
      <c r="GC569" s="1998">
        <v>1.3861479372000356</v>
      </c>
      <c r="GD569" s="1998">
        <v>1.3861479372000356</v>
      </c>
      <c r="GE569" s="1998">
        <v>1.3861479372000356</v>
      </c>
      <c r="GF569" s="1998">
        <v>1.3861479372000356</v>
      </c>
      <c r="GG569" s="1979">
        <v>1.4313071575784038</v>
      </c>
      <c r="GH569" s="1979">
        <v>1.4313071575784038</v>
      </c>
      <c r="GI569" s="1979">
        <v>1.4313071575784038</v>
      </c>
      <c r="GJ569" s="1979">
        <v>1.4313071575784038</v>
      </c>
      <c r="GK569" s="2021">
        <v>1.4313071575784038</v>
      </c>
    </row>
    <row r="570" spans="1:193">
      <c r="A570" s="2016"/>
      <c r="B570" s="2">
        <v>30</v>
      </c>
      <c r="C570" s="2" t="str">
        <f>$AD$14</f>
        <v>Micro-pieux</v>
      </c>
      <c r="D570" s="1998">
        <f>IF(Construction!$F$31=Construction!$R$22,Oeko!BQ570,Oeko!ED570)</f>
        <v>1</v>
      </c>
      <c r="E570" s="1998">
        <f>IF(Construction!$F$31=Construction!$R$22,Oeko!BR570,Oeko!EE570)</f>
        <v>1</v>
      </c>
      <c r="F570" s="1998">
        <f>IF(Construction!$F$31=Construction!$R$22,Oeko!BS570,Oeko!EF570)</f>
        <v>1</v>
      </c>
      <c r="G570" s="1998">
        <f>IF(Construction!$F$31=Construction!$R$22,Oeko!BT570,Oeko!EG570)</f>
        <v>1</v>
      </c>
      <c r="H570" s="1998">
        <f>IF(Construction!$F$31=Construction!$R$22,Oeko!BU570,Oeko!EH570)</f>
        <v>1</v>
      </c>
      <c r="I570" s="1979">
        <f>IF(Construction!$F$31=Construction!$R$22,Oeko!BV570,Oeko!EI570)</f>
        <v>1</v>
      </c>
      <c r="J570" s="1979">
        <f>IF(Construction!$F$31=Construction!$R$22,Oeko!BW570,Oeko!EJ570)</f>
        <v>1</v>
      </c>
      <c r="K570" s="1979">
        <f>IF(Construction!$F$31=Construction!$R$22,Oeko!BX570,Oeko!EK570)</f>
        <v>1</v>
      </c>
      <c r="L570" s="1979">
        <f>IF(Construction!$F$31=Construction!$R$22,Oeko!BY570,Oeko!EL570)</f>
        <v>1</v>
      </c>
      <c r="M570" s="1979">
        <f>IF(Construction!$F$31=Construction!$R$22,Oeko!BZ570,Oeko!EM570)</f>
        <v>1</v>
      </c>
      <c r="N570" s="1998">
        <f>IF(Construction!$F$31=Construction!$R$22,Oeko!CA570,Oeko!EN570)</f>
        <v>1</v>
      </c>
      <c r="O570" s="1998">
        <f>IF(Construction!$F$31=Construction!$R$22,Oeko!CB570,Oeko!EO570)</f>
        <v>1</v>
      </c>
      <c r="P570" s="1998">
        <f>IF(Construction!$F$31=Construction!$R$22,Oeko!CC570,Oeko!EP570)</f>
        <v>1</v>
      </c>
      <c r="Q570" s="1998">
        <f>IF(Construction!$F$31=Construction!$R$22,Oeko!CD570,Oeko!EQ570)</f>
        <v>1</v>
      </c>
      <c r="R570" s="1998">
        <f>IF(Construction!$F$31=Construction!$R$22,Oeko!CE570,Oeko!ER570)</f>
        <v>1</v>
      </c>
      <c r="S570" s="1979">
        <f>IF(Construction!$F$31=Construction!$R$22,Oeko!CF570,Oeko!ES570)</f>
        <v>1</v>
      </c>
      <c r="T570" s="1979">
        <f>IF(Construction!$F$31=Construction!$R$22,Oeko!CG570,Oeko!ET570)</f>
        <v>1</v>
      </c>
      <c r="U570" s="1979">
        <f>IF(Construction!$F$31=Construction!$R$22,Oeko!CH570,Oeko!EU570)</f>
        <v>1</v>
      </c>
      <c r="V570" s="1979">
        <f>IF(Construction!$F$31=Construction!$R$22,Oeko!CI570,Oeko!EV570)</f>
        <v>1</v>
      </c>
      <c r="W570" s="1979">
        <f>IF(Construction!$F$31=Construction!$R$22,Oeko!CJ570,Oeko!EW570)</f>
        <v>1</v>
      </c>
      <c r="X570" s="1998">
        <f>IF(Construction!$F$31=Construction!$R$22,Oeko!CK570,Oeko!EX570)</f>
        <v>1</v>
      </c>
      <c r="Y570" s="1998">
        <f>IF(Construction!$F$31=Construction!$R$22,Oeko!CL570,Oeko!EY570)</f>
        <v>1</v>
      </c>
      <c r="Z570" s="1998">
        <f>IF(Construction!$F$31=Construction!$R$22,Oeko!CM570,Oeko!EZ570)</f>
        <v>1</v>
      </c>
      <c r="AA570" s="1998">
        <f>IF(Construction!$F$31=Construction!$R$22,Oeko!CN570,Oeko!FA570)</f>
        <v>1</v>
      </c>
      <c r="AB570" s="1998">
        <f>IF(Construction!$F$31=Construction!$R$22,Oeko!CO570,Oeko!FB570)</f>
        <v>1</v>
      </c>
      <c r="AC570" s="1979">
        <f>IF(Construction!$F$31=Construction!$R$22,Oeko!CP570,Oeko!FC570)</f>
        <v>1</v>
      </c>
      <c r="AD570" s="1979">
        <f>IF(Construction!$F$31=Construction!$R$22,Oeko!CQ570,Oeko!FD570)</f>
        <v>1</v>
      </c>
      <c r="AE570" s="1979">
        <f>IF(Construction!$F$31=Construction!$R$22,Oeko!CR570,Oeko!FE570)</f>
        <v>1</v>
      </c>
      <c r="AF570" s="1979">
        <f>IF(Construction!$F$31=Construction!$R$22,Oeko!CS570,Oeko!FF570)</f>
        <v>1</v>
      </c>
      <c r="AG570" s="1979">
        <f>IF(Construction!$F$31=Construction!$R$22,Oeko!CT570,Oeko!FG570)</f>
        <v>1</v>
      </c>
      <c r="AH570" s="1998">
        <f>IF(Construction!$F$31=Construction!$R$22,Oeko!CU570,Oeko!FH570)</f>
        <v>1</v>
      </c>
      <c r="AI570" s="1998">
        <f>IF(Construction!$F$31=Construction!$R$22,Oeko!CV570,Oeko!FI570)</f>
        <v>1</v>
      </c>
      <c r="AJ570" s="1998">
        <f>IF(Construction!$F$31=Construction!$R$22,Oeko!CW570,Oeko!FJ570)</f>
        <v>1</v>
      </c>
      <c r="AK570" s="1998">
        <f>IF(Construction!$F$31=Construction!$R$22,Oeko!CX570,Oeko!FK570)</f>
        <v>1</v>
      </c>
      <c r="AL570" s="1998">
        <f>IF(Construction!$F$31=Construction!$R$22,Oeko!CY570,Oeko!FL570)</f>
        <v>1</v>
      </c>
      <c r="AM570" s="1979">
        <f>IF(Construction!$F$31=Construction!$R$22,Oeko!CZ570,Oeko!FM570)</f>
        <v>1</v>
      </c>
      <c r="AN570" s="1979">
        <f>IF(Construction!$F$31=Construction!$R$22,Oeko!DA570,Oeko!FN570)</f>
        <v>1</v>
      </c>
      <c r="AO570" s="1979">
        <f>IF(Construction!$F$31=Construction!$R$22,Oeko!DB570,Oeko!FO570)</f>
        <v>1</v>
      </c>
      <c r="AP570" s="1979">
        <f>IF(Construction!$F$31=Construction!$R$22,Oeko!DC570,Oeko!FP570)</f>
        <v>1</v>
      </c>
      <c r="AQ570" s="1979">
        <f>IF(Construction!$F$31=Construction!$R$22,Oeko!DD570,Oeko!FQ570)</f>
        <v>1</v>
      </c>
      <c r="AR570" s="1998">
        <f>IF(Construction!$F$31=Construction!$R$22,Oeko!DE570,Oeko!FR570)</f>
        <v>1</v>
      </c>
      <c r="AS570" s="1998">
        <f>IF(Construction!$F$31=Construction!$R$22,Oeko!DF570,Oeko!FS570)</f>
        <v>1</v>
      </c>
      <c r="AT570" s="1998">
        <f>IF(Construction!$F$31=Construction!$R$22,Oeko!DG570,Oeko!FT570)</f>
        <v>1</v>
      </c>
      <c r="AU570" s="1998">
        <f>IF(Construction!$F$31=Construction!$R$22,Oeko!DH570,Oeko!FU570)</f>
        <v>1</v>
      </c>
      <c r="AV570" s="1998">
        <f>IF(Construction!$F$31=Construction!$R$22,Oeko!DI570,Oeko!FV570)</f>
        <v>1</v>
      </c>
      <c r="AW570" s="1979">
        <f>IF(Construction!$F$31=Construction!$R$22,Oeko!DJ570,Oeko!FW570)</f>
        <v>1</v>
      </c>
      <c r="AX570" s="1979">
        <f>IF(Construction!$F$31=Construction!$R$22,Oeko!DK570,Oeko!FX570)</f>
        <v>1</v>
      </c>
      <c r="AY570" s="1979">
        <f>IF(Construction!$F$31=Construction!$R$22,Oeko!DL570,Oeko!FY570)</f>
        <v>1</v>
      </c>
      <c r="AZ570" s="1979">
        <f>IF(Construction!$F$31=Construction!$R$22,Oeko!DM570,Oeko!FZ570)</f>
        <v>1</v>
      </c>
      <c r="BA570" s="1979">
        <f>IF(Construction!$F$31=Construction!$R$22,Oeko!DN570,Oeko!GA570)</f>
        <v>1</v>
      </c>
      <c r="BB570" s="1998">
        <f>IF(Construction!$F$31=Construction!$R$22,Oeko!DO570,Oeko!GB570)</f>
        <v>1</v>
      </c>
      <c r="BC570" s="1998">
        <f>IF(Construction!$F$31=Construction!$R$22,Oeko!DP570,Oeko!GC570)</f>
        <v>1</v>
      </c>
      <c r="BD570" s="1998">
        <f>IF(Construction!$F$31=Construction!$R$22,Oeko!DQ570,Oeko!GD570)</f>
        <v>1</v>
      </c>
      <c r="BE570" s="1998">
        <f>IF(Construction!$F$31=Construction!$R$22,Oeko!DR570,Oeko!GE570)</f>
        <v>1</v>
      </c>
      <c r="BF570" s="1998">
        <f>IF(Construction!$F$31=Construction!$R$22,Oeko!DS570,Oeko!GF570)</f>
        <v>1</v>
      </c>
      <c r="BG570" s="1979">
        <f>IF(Construction!$F$31=Construction!$R$22,Oeko!DT570,Oeko!GG570)</f>
        <v>1</v>
      </c>
      <c r="BH570" s="1979">
        <f>IF(Construction!$F$31=Construction!$R$22,Oeko!DU570,Oeko!GH570)</f>
        <v>1</v>
      </c>
      <c r="BI570" s="1979">
        <f>IF(Construction!$F$31=Construction!$R$22,Oeko!DV570,Oeko!GI570)</f>
        <v>1</v>
      </c>
      <c r="BJ570" s="1979">
        <f>IF(Construction!$F$31=Construction!$R$22,Oeko!DW570,Oeko!GJ570)</f>
        <v>1</v>
      </c>
      <c r="BK570" s="2021">
        <f>IF(Construction!$F$31=Construction!$R$22,Oeko!DX570,Oeko!GK570)</f>
        <v>1</v>
      </c>
      <c r="BN570" s="2018"/>
      <c r="BO570" s="2">
        <v>30</v>
      </c>
      <c r="BP570" s="2" t="str">
        <f>$AD$14</f>
        <v>Micro-pieux</v>
      </c>
      <c r="BQ570" s="1998">
        <v>1</v>
      </c>
      <c r="BR570" s="1998">
        <v>1</v>
      </c>
      <c r="BS570" s="1998">
        <v>1</v>
      </c>
      <c r="BT570" s="1998">
        <v>1</v>
      </c>
      <c r="BU570" s="1998">
        <v>1</v>
      </c>
      <c r="BV570" s="1979">
        <v>1</v>
      </c>
      <c r="BW570" s="1979">
        <v>1</v>
      </c>
      <c r="BX570" s="1979">
        <v>1</v>
      </c>
      <c r="BY570" s="1979">
        <v>1</v>
      </c>
      <c r="BZ570" s="1979">
        <v>1</v>
      </c>
      <c r="CA570" s="1998">
        <v>1</v>
      </c>
      <c r="CB570" s="1998">
        <v>1</v>
      </c>
      <c r="CC570" s="1998">
        <v>1</v>
      </c>
      <c r="CD570" s="1998">
        <v>1</v>
      </c>
      <c r="CE570" s="1998">
        <v>1</v>
      </c>
      <c r="CF570" s="1979">
        <v>1</v>
      </c>
      <c r="CG570" s="1979">
        <v>1</v>
      </c>
      <c r="CH570" s="1979">
        <v>1</v>
      </c>
      <c r="CI570" s="1979">
        <v>1</v>
      </c>
      <c r="CJ570" s="1979">
        <v>1</v>
      </c>
      <c r="CK570" s="1998">
        <v>1</v>
      </c>
      <c r="CL570" s="1998">
        <v>1</v>
      </c>
      <c r="CM570" s="1998">
        <v>1</v>
      </c>
      <c r="CN570" s="1998">
        <v>1</v>
      </c>
      <c r="CO570" s="1998">
        <v>1</v>
      </c>
      <c r="CP570" s="1979">
        <v>1</v>
      </c>
      <c r="CQ570" s="1979">
        <v>1</v>
      </c>
      <c r="CR570" s="1979">
        <v>1</v>
      </c>
      <c r="CS570" s="1979">
        <v>1</v>
      </c>
      <c r="CT570" s="1979">
        <v>1</v>
      </c>
      <c r="CU570" s="1998">
        <v>1</v>
      </c>
      <c r="CV570" s="1998">
        <v>1</v>
      </c>
      <c r="CW570" s="1998">
        <v>1</v>
      </c>
      <c r="CX570" s="1998">
        <v>1</v>
      </c>
      <c r="CY570" s="1998">
        <v>1</v>
      </c>
      <c r="CZ570" s="1979">
        <v>1</v>
      </c>
      <c r="DA570" s="1979">
        <v>1</v>
      </c>
      <c r="DB570" s="1979">
        <v>1</v>
      </c>
      <c r="DC570" s="1979">
        <v>1</v>
      </c>
      <c r="DD570" s="1979">
        <v>1</v>
      </c>
      <c r="DE570" s="1998">
        <v>1</v>
      </c>
      <c r="DF570" s="1998">
        <v>1</v>
      </c>
      <c r="DG570" s="1998">
        <v>1</v>
      </c>
      <c r="DH570" s="1998">
        <v>1</v>
      </c>
      <c r="DI570" s="1998">
        <v>1</v>
      </c>
      <c r="DJ570" s="1979">
        <v>1</v>
      </c>
      <c r="DK570" s="1979">
        <v>1</v>
      </c>
      <c r="DL570" s="1979">
        <v>1</v>
      </c>
      <c r="DM570" s="1979">
        <v>1</v>
      </c>
      <c r="DN570" s="1979">
        <v>1</v>
      </c>
      <c r="DO570" s="1998">
        <v>1</v>
      </c>
      <c r="DP570" s="1998">
        <v>1</v>
      </c>
      <c r="DQ570" s="1998">
        <v>1</v>
      </c>
      <c r="DR570" s="1998">
        <v>1</v>
      </c>
      <c r="DS570" s="1998">
        <v>1</v>
      </c>
      <c r="DT570" s="1979">
        <v>1</v>
      </c>
      <c r="DU570" s="1979">
        <v>1</v>
      </c>
      <c r="DV570" s="1979">
        <v>1</v>
      </c>
      <c r="DW570" s="1979">
        <v>1</v>
      </c>
      <c r="DX570" s="2021">
        <v>1</v>
      </c>
      <c r="EA570" s="2018"/>
      <c r="EB570" s="2">
        <v>30</v>
      </c>
      <c r="EC570" s="2" t="str">
        <f>$AD$14</f>
        <v>Micro-pieux</v>
      </c>
      <c r="ED570" s="1998">
        <v>1.3605609674202821</v>
      </c>
      <c r="EE570" s="1998">
        <v>1.3605609674202821</v>
      </c>
      <c r="EF570" s="1998">
        <v>1.3605609674202821</v>
      </c>
      <c r="EG570" s="1998">
        <v>1.3605609674202821</v>
      </c>
      <c r="EH570" s="1998">
        <v>1.3605609674202821</v>
      </c>
      <c r="EI570" s="1979">
        <v>2.0966679740137137</v>
      </c>
      <c r="EJ570" s="1979">
        <v>2.0966679740137137</v>
      </c>
      <c r="EK570" s="1979">
        <v>2.0966679740137137</v>
      </c>
      <c r="EL570" s="1979">
        <v>2.0966679740137137</v>
      </c>
      <c r="EM570" s="1979">
        <v>2.0966679740137137</v>
      </c>
      <c r="EN570" s="1998">
        <v>1.4337071065592959</v>
      </c>
      <c r="EO570" s="1998">
        <v>1.4337071065592959</v>
      </c>
      <c r="EP570" s="1998">
        <v>1.4337071065592959</v>
      </c>
      <c r="EQ570" s="1998">
        <v>1.4337071065592959</v>
      </c>
      <c r="ER570" s="1998">
        <v>1.4337071065592959</v>
      </c>
      <c r="ES570" s="1979">
        <v>1.8379162318633464</v>
      </c>
      <c r="ET570" s="1979">
        <v>1.8379162318633464</v>
      </c>
      <c r="EU570" s="1979">
        <v>1.8379162318633464</v>
      </c>
      <c r="EV570" s="1979">
        <v>1.8379162318633464</v>
      </c>
      <c r="EW570" s="1979">
        <v>1.8379162318633464</v>
      </c>
      <c r="EX570" s="1998">
        <v>1.4662053104562123</v>
      </c>
      <c r="EY570" s="1998">
        <v>1.4662053104562123</v>
      </c>
      <c r="EZ570" s="1998">
        <v>1.4662053104562123</v>
      </c>
      <c r="FA570" s="1998">
        <v>1.4662053104562123</v>
      </c>
      <c r="FB570" s="1998">
        <v>1.4662053104562123</v>
      </c>
      <c r="FC570" s="1979">
        <v>1.6277744053108218</v>
      </c>
      <c r="FD570" s="1979">
        <v>1.6277744053108218</v>
      </c>
      <c r="FE570" s="1979">
        <v>1.6277744053108218</v>
      </c>
      <c r="FF570" s="1979">
        <v>1.6277744053108218</v>
      </c>
      <c r="FG570" s="1979">
        <v>1.6277744053108218</v>
      </c>
      <c r="FH570" s="1998">
        <v>2.3921927569513635</v>
      </c>
      <c r="FI570" s="1998">
        <v>2.3921927569513635</v>
      </c>
      <c r="FJ570" s="1998">
        <v>2.3921927569513635</v>
      </c>
      <c r="FK570" s="1998">
        <v>2.3921927569513635</v>
      </c>
      <c r="FL570" s="1998">
        <v>2.3921927569513635</v>
      </c>
      <c r="FM570" s="1979">
        <v>1.5115041757386145</v>
      </c>
      <c r="FN570" s="1979">
        <v>1.5115041757386145</v>
      </c>
      <c r="FO570" s="1979">
        <v>1.5115041757386145</v>
      </c>
      <c r="FP570" s="1979">
        <v>1.5115041757386145</v>
      </c>
      <c r="FQ570" s="1979">
        <v>1.5115041757386145</v>
      </c>
      <c r="FR570" s="1998">
        <v>8.1198212572277306</v>
      </c>
      <c r="FS570" s="1998">
        <v>8.1198212572277306</v>
      </c>
      <c r="FT570" s="1998">
        <v>8.1198212572277306</v>
      </c>
      <c r="FU570" s="1998">
        <v>8.1198212572277306</v>
      </c>
      <c r="FV570" s="1998">
        <v>8.1198212572277306</v>
      </c>
      <c r="FW570" s="1979">
        <v>8.4799072816005001</v>
      </c>
      <c r="FX570" s="1979">
        <v>8.4799072816005001</v>
      </c>
      <c r="FY570" s="1979">
        <v>8.4799072816005001</v>
      </c>
      <c r="FZ570" s="1979">
        <v>8.4799072816005001</v>
      </c>
      <c r="GA570" s="1979">
        <v>8.4799072816005001</v>
      </c>
      <c r="GB570" s="1998">
        <v>1.3861479372000356</v>
      </c>
      <c r="GC570" s="1998">
        <v>1.3861479372000356</v>
      </c>
      <c r="GD570" s="1998">
        <v>1.3861479372000356</v>
      </c>
      <c r="GE570" s="1998">
        <v>1.3861479372000356</v>
      </c>
      <c r="GF570" s="1998">
        <v>1.3861479372000356</v>
      </c>
      <c r="GG570" s="1979">
        <v>1.4313071575784038</v>
      </c>
      <c r="GH570" s="1979">
        <v>1.4313071575784038</v>
      </c>
      <c r="GI570" s="1979">
        <v>1.4313071575784038</v>
      </c>
      <c r="GJ570" s="1979">
        <v>1.4313071575784038</v>
      </c>
      <c r="GK570" s="2021">
        <v>1.4313071575784038</v>
      </c>
    </row>
    <row r="571" spans="1:193">
      <c r="A571" s="2016"/>
      <c r="B571" s="2">
        <v>31</v>
      </c>
      <c r="C571" s="2" t="str">
        <f>$AD$15</f>
        <v>Pieux en béton coulé sur place</v>
      </c>
      <c r="D571" s="1998">
        <f>IF(Construction!$F$31=Construction!$R$22,Oeko!BQ571,Oeko!ED571)</f>
        <v>1</v>
      </c>
      <c r="E571" s="1998">
        <f>IF(Construction!$F$31=Construction!$R$22,Oeko!BR571,Oeko!EE571)</f>
        <v>1</v>
      </c>
      <c r="F571" s="1998">
        <f>IF(Construction!$F$31=Construction!$R$22,Oeko!BS571,Oeko!EF571)</f>
        <v>1</v>
      </c>
      <c r="G571" s="1998">
        <f>IF(Construction!$F$31=Construction!$R$22,Oeko!BT571,Oeko!EG571)</f>
        <v>1</v>
      </c>
      <c r="H571" s="1998">
        <f>IF(Construction!$F$31=Construction!$R$22,Oeko!BU571,Oeko!EH571)</f>
        <v>1</v>
      </c>
      <c r="I571" s="1979">
        <f>IF(Construction!$F$31=Construction!$R$22,Oeko!BV571,Oeko!EI571)</f>
        <v>1</v>
      </c>
      <c r="J571" s="1979">
        <f>IF(Construction!$F$31=Construction!$R$22,Oeko!BW571,Oeko!EJ571)</f>
        <v>1</v>
      </c>
      <c r="K571" s="1979">
        <f>IF(Construction!$F$31=Construction!$R$22,Oeko!BX571,Oeko!EK571)</f>
        <v>1</v>
      </c>
      <c r="L571" s="1979">
        <f>IF(Construction!$F$31=Construction!$R$22,Oeko!BY571,Oeko!EL571)</f>
        <v>1</v>
      </c>
      <c r="M571" s="1979">
        <f>IF(Construction!$F$31=Construction!$R$22,Oeko!BZ571,Oeko!EM571)</f>
        <v>1</v>
      </c>
      <c r="N571" s="1998">
        <f>IF(Construction!$F$31=Construction!$R$22,Oeko!CA571,Oeko!EN571)</f>
        <v>1</v>
      </c>
      <c r="O571" s="1998">
        <f>IF(Construction!$F$31=Construction!$R$22,Oeko!CB571,Oeko!EO571)</f>
        <v>1</v>
      </c>
      <c r="P571" s="1998">
        <f>IF(Construction!$F$31=Construction!$R$22,Oeko!CC571,Oeko!EP571)</f>
        <v>1</v>
      </c>
      <c r="Q571" s="1998">
        <f>IF(Construction!$F$31=Construction!$R$22,Oeko!CD571,Oeko!EQ571)</f>
        <v>1</v>
      </c>
      <c r="R571" s="1998">
        <f>IF(Construction!$F$31=Construction!$R$22,Oeko!CE571,Oeko!ER571)</f>
        <v>1</v>
      </c>
      <c r="S571" s="1979">
        <f>IF(Construction!$F$31=Construction!$R$22,Oeko!CF571,Oeko!ES571)</f>
        <v>1</v>
      </c>
      <c r="T571" s="1979">
        <f>IF(Construction!$F$31=Construction!$R$22,Oeko!CG571,Oeko!ET571)</f>
        <v>1</v>
      </c>
      <c r="U571" s="1979">
        <f>IF(Construction!$F$31=Construction!$R$22,Oeko!CH571,Oeko!EU571)</f>
        <v>1</v>
      </c>
      <c r="V571" s="1979">
        <f>IF(Construction!$F$31=Construction!$R$22,Oeko!CI571,Oeko!EV571)</f>
        <v>1</v>
      </c>
      <c r="W571" s="1979">
        <f>IF(Construction!$F$31=Construction!$R$22,Oeko!CJ571,Oeko!EW571)</f>
        <v>1</v>
      </c>
      <c r="X571" s="1998">
        <f>IF(Construction!$F$31=Construction!$R$22,Oeko!CK571,Oeko!EX571)</f>
        <v>1</v>
      </c>
      <c r="Y571" s="1998">
        <f>IF(Construction!$F$31=Construction!$R$22,Oeko!CL571,Oeko!EY571)</f>
        <v>1</v>
      </c>
      <c r="Z571" s="1998">
        <f>IF(Construction!$F$31=Construction!$R$22,Oeko!CM571,Oeko!EZ571)</f>
        <v>1</v>
      </c>
      <c r="AA571" s="1998">
        <f>IF(Construction!$F$31=Construction!$R$22,Oeko!CN571,Oeko!FA571)</f>
        <v>1</v>
      </c>
      <c r="AB571" s="1998">
        <f>IF(Construction!$F$31=Construction!$R$22,Oeko!CO571,Oeko!FB571)</f>
        <v>1</v>
      </c>
      <c r="AC571" s="1979">
        <f>IF(Construction!$F$31=Construction!$R$22,Oeko!CP571,Oeko!FC571)</f>
        <v>1</v>
      </c>
      <c r="AD571" s="1979">
        <f>IF(Construction!$F$31=Construction!$R$22,Oeko!CQ571,Oeko!FD571)</f>
        <v>1</v>
      </c>
      <c r="AE571" s="1979">
        <f>IF(Construction!$F$31=Construction!$R$22,Oeko!CR571,Oeko!FE571)</f>
        <v>1</v>
      </c>
      <c r="AF571" s="1979">
        <f>IF(Construction!$F$31=Construction!$R$22,Oeko!CS571,Oeko!FF571)</f>
        <v>1</v>
      </c>
      <c r="AG571" s="1979">
        <f>IF(Construction!$F$31=Construction!$R$22,Oeko!CT571,Oeko!FG571)</f>
        <v>1</v>
      </c>
      <c r="AH571" s="1998">
        <f>IF(Construction!$F$31=Construction!$R$22,Oeko!CU571,Oeko!FH571)</f>
        <v>1</v>
      </c>
      <c r="AI571" s="1998">
        <f>IF(Construction!$F$31=Construction!$R$22,Oeko!CV571,Oeko!FI571)</f>
        <v>1</v>
      </c>
      <c r="AJ571" s="1998">
        <f>IF(Construction!$F$31=Construction!$R$22,Oeko!CW571,Oeko!FJ571)</f>
        <v>1</v>
      </c>
      <c r="AK571" s="1998">
        <f>IF(Construction!$F$31=Construction!$R$22,Oeko!CX571,Oeko!FK571)</f>
        <v>1</v>
      </c>
      <c r="AL571" s="1998">
        <f>IF(Construction!$F$31=Construction!$R$22,Oeko!CY571,Oeko!FL571)</f>
        <v>1</v>
      </c>
      <c r="AM571" s="1979">
        <f>IF(Construction!$F$31=Construction!$R$22,Oeko!CZ571,Oeko!FM571)</f>
        <v>1</v>
      </c>
      <c r="AN571" s="1979">
        <f>IF(Construction!$F$31=Construction!$R$22,Oeko!DA571,Oeko!FN571)</f>
        <v>1</v>
      </c>
      <c r="AO571" s="1979">
        <f>IF(Construction!$F$31=Construction!$R$22,Oeko!DB571,Oeko!FO571)</f>
        <v>1</v>
      </c>
      <c r="AP571" s="1979">
        <f>IF(Construction!$F$31=Construction!$R$22,Oeko!DC571,Oeko!FP571)</f>
        <v>1</v>
      </c>
      <c r="AQ571" s="1979">
        <f>IF(Construction!$F$31=Construction!$R$22,Oeko!DD571,Oeko!FQ571)</f>
        <v>1</v>
      </c>
      <c r="AR571" s="1998">
        <f>IF(Construction!$F$31=Construction!$R$22,Oeko!DE571,Oeko!FR571)</f>
        <v>1</v>
      </c>
      <c r="AS571" s="1998">
        <f>IF(Construction!$F$31=Construction!$R$22,Oeko!DF571,Oeko!FS571)</f>
        <v>1</v>
      </c>
      <c r="AT571" s="1998">
        <f>IF(Construction!$F$31=Construction!$R$22,Oeko!DG571,Oeko!FT571)</f>
        <v>1</v>
      </c>
      <c r="AU571" s="1998">
        <f>IF(Construction!$F$31=Construction!$R$22,Oeko!DH571,Oeko!FU571)</f>
        <v>1</v>
      </c>
      <c r="AV571" s="1998">
        <f>IF(Construction!$F$31=Construction!$R$22,Oeko!DI571,Oeko!FV571)</f>
        <v>1</v>
      </c>
      <c r="AW571" s="1979">
        <f>IF(Construction!$F$31=Construction!$R$22,Oeko!DJ571,Oeko!FW571)</f>
        <v>1</v>
      </c>
      <c r="AX571" s="1979">
        <f>IF(Construction!$F$31=Construction!$R$22,Oeko!DK571,Oeko!FX571)</f>
        <v>1</v>
      </c>
      <c r="AY571" s="1979">
        <f>IF(Construction!$F$31=Construction!$R$22,Oeko!DL571,Oeko!FY571)</f>
        <v>1</v>
      </c>
      <c r="AZ571" s="1979">
        <f>IF(Construction!$F$31=Construction!$R$22,Oeko!DM571,Oeko!FZ571)</f>
        <v>1</v>
      </c>
      <c r="BA571" s="1979">
        <f>IF(Construction!$F$31=Construction!$R$22,Oeko!DN571,Oeko!GA571)</f>
        <v>1</v>
      </c>
      <c r="BB571" s="1998">
        <f>IF(Construction!$F$31=Construction!$R$22,Oeko!DO571,Oeko!GB571)</f>
        <v>1</v>
      </c>
      <c r="BC571" s="1998">
        <f>IF(Construction!$F$31=Construction!$R$22,Oeko!DP571,Oeko!GC571)</f>
        <v>1</v>
      </c>
      <c r="BD571" s="1998">
        <f>IF(Construction!$F$31=Construction!$R$22,Oeko!DQ571,Oeko!GD571)</f>
        <v>1</v>
      </c>
      <c r="BE571" s="1998">
        <f>IF(Construction!$F$31=Construction!$R$22,Oeko!DR571,Oeko!GE571)</f>
        <v>1</v>
      </c>
      <c r="BF571" s="1998">
        <f>IF(Construction!$F$31=Construction!$R$22,Oeko!DS571,Oeko!GF571)</f>
        <v>1</v>
      </c>
      <c r="BG571" s="1979">
        <f>IF(Construction!$F$31=Construction!$R$22,Oeko!DT571,Oeko!GG571)</f>
        <v>1</v>
      </c>
      <c r="BH571" s="1979">
        <f>IF(Construction!$F$31=Construction!$R$22,Oeko!DU571,Oeko!GH571)</f>
        <v>1</v>
      </c>
      <c r="BI571" s="1979">
        <f>IF(Construction!$F$31=Construction!$R$22,Oeko!DV571,Oeko!GI571)</f>
        <v>1</v>
      </c>
      <c r="BJ571" s="1979">
        <f>IF(Construction!$F$31=Construction!$R$22,Oeko!DW571,Oeko!GJ571)</f>
        <v>1</v>
      </c>
      <c r="BK571" s="2021">
        <f>IF(Construction!$F$31=Construction!$R$22,Oeko!DX571,Oeko!GK571)</f>
        <v>1</v>
      </c>
      <c r="BN571" s="2018"/>
      <c r="BO571" s="2">
        <v>31</v>
      </c>
      <c r="BP571" s="2" t="str">
        <f>$AD$15</f>
        <v>Pieux en béton coulé sur place</v>
      </c>
      <c r="BQ571" s="1998">
        <v>1</v>
      </c>
      <c r="BR571" s="1998">
        <v>1</v>
      </c>
      <c r="BS571" s="1998">
        <v>1</v>
      </c>
      <c r="BT571" s="1998">
        <v>1</v>
      </c>
      <c r="BU571" s="1998">
        <v>1</v>
      </c>
      <c r="BV571" s="1979">
        <v>1</v>
      </c>
      <c r="BW571" s="1979">
        <v>1</v>
      </c>
      <c r="BX571" s="1979">
        <v>1</v>
      </c>
      <c r="BY571" s="1979">
        <v>1</v>
      </c>
      <c r="BZ571" s="1979">
        <v>1</v>
      </c>
      <c r="CA571" s="1998">
        <v>1</v>
      </c>
      <c r="CB571" s="1998">
        <v>1</v>
      </c>
      <c r="CC571" s="1998">
        <v>1</v>
      </c>
      <c r="CD571" s="1998">
        <v>1</v>
      </c>
      <c r="CE571" s="1998">
        <v>1</v>
      </c>
      <c r="CF571" s="1979">
        <v>1</v>
      </c>
      <c r="CG571" s="1979">
        <v>1</v>
      </c>
      <c r="CH571" s="1979">
        <v>1</v>
      </c>
      <c r="CI571" s="1979">
        <v>1</v>
      </c>
      <c r="CJ571" s="1979">
        <v>1</v>
      </c>
      <c r="CK571" s="1998">
        <v>1</v>
      </c>
      <c r="CL571" s="1998">
        <v>1</v>
      </c>
      <c r="CM571" s="1998">
        <v>1</v>
      </c>
      <c r="CN571" s="1998">
        <v>1</v>
      </c>
      <c r="CO571" s="1998">
        <v>1</v>
      </c>
      <c r="CP571" s="1979">
        <v>1</v>
      </c>
      <c r="CQ571" s="1979">
        <v>1</v>
      </c>
      <c r="CR571" s="1979">
        <v>1</v>
      </c>
      <c r="CS571" s="1979">
        <v>1</v>
      </c>
      <c r="CT571" s="1979">
        <v>1</v>
      </c>
      <c r="CU571" s="1998">
        <v>1</v>
      </c>
      <c r="CV571" s="1998">
        <v>1</v>
      </c>
      <c r="CW571" s="1998">
        <v>1</v>
      </c>
      <c r="CX571" s="1998">
        <v>1</v>
      </c>
      <c r="CY571" s="1998">
        <v>1</v>
      </c>
      <c r="CZ571" s="1979">
        <v>1</v>
      </c>
      <c r="DA571" s="1979">
        <v>1</v>
      </c>
      <c r="DB571" s="1979">
        <v>1</v>
      </c>
      <c r="DC571" s="1979">
        <v>1</v>
      </c>
      <c r="DD571" s="1979">
        <v>1</v>
      </c>
      <c r="DE571" s="1998">
        <v>1</v>
      </c>
      <c r="DF571" s="1998">
        <v>1</v>
      </c>
      <c r="DG571" s="1998">
        <v>1</v>
      </c>
      <c r="DH571" s="1998">
        <v>1</v>
      </c>
      <c r="DI571" s="1998">
        <v>1</v>
      </c>
      <c r="DJ571" s="1979">
        <v>1</v>
      </c>
      <c r="DK571" s="1979">
        <v>1</v>
      </c>
      <c r="DL571" s="1979">
        <v>1</v>
      </c>
      <c r="DM571" s="1979">
        <v>1</v>
      </c>
      <c r="DN571" s="1979">
        <v>1</v>
      </c>
      <c r="DO571" s="1998">
        <v>1</v>
      </c>
      <c r="DP571" s="1998">
        <v>1</v>
      </c>
      <c r="DQ571" s="1998">
        <v>1</v>
      </c>
      <c r="DR571" s="1998">
        <v>1</v>
      </c>
      <c r="DS571" s="1998">
        <v>1</v>
      </c>
      <c r="DT571" s="1979">
        <v>1</v>
      </c>
      <c r="DU571" s="1979">
        <v>1</v>
      </c>
      <c r="DV571" s="1979">
        <v>1</v>
      </c>
      <c r="DW571" s="1979">
        <v>1</v>
      </c>
      <c r="DX571" s="2021">
        <v>1</v>
      </c>
      <c r="EA571" s="2018"/>
      <c r="EB571" s="2">
        <v>31</v>
      </c>
      <c r="EC571" s="2" t="str">
        <f>$AD$15</f>
        <v>Pieux en béton coulé sur place</v>
      </c>
      <c r="ED571" s="1998">
        <v>1.3605609674202821</v>
      </c>
      <c r="EE571" s="1998">
        <v>1.3605609674202821</v>
      </c>
      <c r="EF571" s="1998">
        <v>1.3605609674202821</v>
      </c>
      <c r="EG571" s="1998">
        <v>1.3605609674202821</v>
      </c>
      <c r="EH571" s="1998">
        <v>1.3605609674202821</v>
      </c>
      <c r="EI571" s="1979">
        <v>2.0966679740137137</v>
      </c>
      <c r="EJ571" s="1979">
        <v>2.0966679740137137</v>
      </c>
      <c r="EK571" s="1979">
        <v>2.0966679740137137</v>
      </c>
      <c r="EL571" s="1979">
        <v>2.0966679740137137</v>
      </c>
      <c r="EM571" s="1979">
        <v>2.0966679740137137</v>
      </c>
      <c r="EN571" s="1998">
        <v>1.4337071065592959</v>
      </c>
      <c r="EO571" s="1998">
        <v>1.4337071065592959</v>
      </c>
      <c r="EP571" s="1998">
        <v>1.4337071065592959</v>
      </c>
      <c r="EQ571" s="1998">
        <v>1.4337071065592959</v>
      </c>
      <c r="ER571" s="1998">
        <v>1.4337071065592959</v>
      </c>
      <c r="ES571" s="1979">
        <v>1.8379162318633464</v>
      </c>
      <c r="ET571" s="1979">
        <v>1.8379162318633464</v>
      </c>
      <c r="EU571" s="1979">
        <v>1.8379162318633464</v>
      </c>
      <c r="EV571" s="1979">
        <v>1.8379162318633464</v>
      </c>
      <c r="EW571" s="1979">
        <v>1.8379162318633464</v>
      </c>
      <c r="EX571" s="1998">
        <v>1.4662053104562123</v>
      </c>
      <c r="EY571" s="1998">
        <v>1.4662053104562123</v>
      </c>
      <c r="EZ571" s="1998">
        <v>1.4662053104562123</v>
      </c>
      <c r="FA571" s="1998">
        <v>1.4662053104562123</v>
      </c>
      <c r="FB571" s="1998">
        <v>1.4662053104562123</v>
      </c>
      <c r="FC571" s="1979">
        <v>1.6277744053108218</v>
      </c>
      <c r="FD571" s="1979">
        <v>1.6277744053108218</v>
      </c>
      <c r="FE571" s="1979">
        <v>1.6277744053108218</v>
      </c>
      <c r="FF571" s="1979">
        <v>1.6277744053108218</v>
      </c>
      <c r="FG571" s="1979">
        <v>1.6277744053108218</v>
      </c>
      <c r="FH571" s="1998">
        <v>2.3921927569513635</v>
      </c>
      <c r="FI571" s="1998">
        <v>2.3921927569513635</v>
      </c>
      <c r="FJ571" s="1998">
        <v>2.3921927569513635</v>
      </c>
      <c r="FK571" s="1998">
        <v>2.3921927569513635</v>
      </c>
      <c r="FL571" s="1998">
        <v>2.3921927569513635</v>
      </c>
      <c r="FM571" s="1979">
        <v>1.5115041757386145</v>
      </c>
      <c r="FN571" s="1979">
        <v>1.5115041757386145</v>
      </c>
      <c r="FO571" s="1979">
        <v>1.5115041757386145</v>
      </c>
      <c r="FP571" s="1979">
        <v>1.5115041757386145</v>
      </c>
      <c r="FQ571" s="1979">
        <v>1.5115041757386145</v>
      </c>
      <c r="FR571" s="1998">
        <v>8.1198212572277306</v>
      </c>
      <c r="FS571" s="1998">
        <v>8.1198212572277306</v>
      </c>
      <c r="FT571" s="1998">
        <v>8.1198212572277306</v>
      </c>
      <c r="FU571" s="1998">
        <v>8.1198212572277306</v>
      </c>
      <c r="FV571" s="1998">
        <v>8.1198212572277306</v>
      </c>
      <c r="FW571" s="1979">
        <v>8.4799072816005001</v>
      </c>
      <c r="FX571" s="1979">
        <v>8.4799072816005001</v>
      </c>
      <c r="FY571" s="1979">
        <v>8.4799072816005001</v>
      </c>
      <c r="FZ571" s="1979">
        <v>8.4799072816005001</v>
      </c>
      <c r="GA571" s="1979">
        <v>8.4799072816005001</v>
      </c>
      <c r="GB571" s="1998">
        <v>1.3861479372000356</v>
      </c>
      <c r="GC571" s="1998">
        <v>1.3861479372000356</v>
      </c>
      <c r="GD571" s="1998">
        <v>1.3861479372000356</v>
      </c>
      <c r="GE571" s="1998">
        <v>1.3861479372000356</v>
      </c>
      <c r="GF571" s="1998">
        <v>1.3861479372000356</v>
      </c>
      <c r="GG571" s="1979">
        <v>1.4313071575784038</v>
      </c>
      <c r="GH571" s="1979">
        <v>1.4313071575784038</v>
      </c>
      <c r="GI571" s="1979">
        <v>1.4313071575784038</v>
      </c>
      <c r="GJ571" s="1979">
        <v>1.4313071575784038</v>
      </c>
      <c r="GK571" s="2021">
        <v>1.4313071575784038</v>
      </c>
    </row>
    <row r="572" spans="1:193">
      <c r="A572" s="2016"/>
      <c r="B572" s="2">
        <v>32</v>
      </c>
      <c r="C572" s="2" t="str">
        <f>$AD$16</f>
        <v>Colonnes ballastées</v>
      </c>
      <c r="D572" s="1998">
        <f>IF(Construction!$F$31=Construction!$R$22,Oeko!BQ572,Oeko!ED572)</f>
        <v>1</v>
      </c>
      <c r="E572" s="1998">
        <f>IF(Construction!$F$31=Construction!$R$22,Oeko!BR572,Oeko!EE572)</f>
        <v>1</v>
      </c>
      <c r="F572" s="1998">
        <f>IF(Construction!$F$31=Construction!$R$22,Oeko!BS572,Oeko!EF572)</f>
        <v>1</v>
      </c>
      <c r="G572" s="1998">
        <f>IF(Construction!$F$31=Construction!$R$22,Oeko!BT572,Oeko!EG572)</f>
        <v>1</v>
      </c>
      <c r="H572" s="1998">
        <f>IF(Construction!$F$31=Construction!$R$22,Oeko!BU572,Oeko!EH572)</f>
        <v>1</v>
      </c>
      <c r="I572" s="1979">
        <f>IF(Construction!$F$31=Construction!$R$22,Oeko!BV572,Oeko!EI572)</f>
        <v>1</v>
      </c>
      <c r="J572" s="1979">
        <f>IF(Construction!$F$31=Construction!$R$22,Oeko!BW572,Oeko!EJ572)</f>
        <v>1</v>
      </c>
      <c r="K572" s="1979">
        <f>IF(Construction!$F$31=Construction!$R$22,Oeko!BX572,Oeko!EK572)</f>
        <v>1</v>
      </c>
      <c r="L572" s="1979">
        <f>IF(Construction!$F$31=Construction!$R$22,Oeko!BY572,Oeko!EL572)</f>
        <v>1</v>
      </c>
      <c r="M572" s="1979">
        <f>IF(Construction!$F$31=Construction!$R$22,Oeko!BZ572,Oeko!EM572)</f>
        <v>1</v>
      </c>
      <c r="N572" s="1998">
        <f>IF(Construction!$F$31=Construction!$R$22,Oeko!CA572,Oeko!EN572)</f>
        <v>1</v>
      </c>
      <c r="O572" s="1998">
        <f>IF(Construction!$F$31=Construction!$R$22,Oeko!CB572,Oeko!EO572)</f>
        <v>1</v>
      </c>
      <c r="P572" s="1998">
        <f>IF(Construction!$F$31=Construction!$R$22,Oeko!CC572,Oeko!EP572)</f>
        <v>1</v>
      </c>
      <c r="Q572" s="1998">
        <f>IF(Construction!$F$31=Construction!$R$22,Oeko!CD572,Oeko!EQ572)</f>
        <v>1</v>
      </c>
      <c r="R572" s="1998">
        <f>IF(Construction!$F$31=Construction!$R$22,Oeko!CE572,Oeko!ER572)</f>
        <v>1</v>
      </c>
      <c r="S572" s="1979">
        <f>IF(Construction!$F$31=Construction!$R$22,Oeko!CF572,Oeko!ES572)</f>
        <v>1</v>
      </c>
      <c r="T572" s="1979">
        <f>IF(Construction!$F$31=Construction!$R$22,Oeko!CG572,Oeko!ET572)</f>
        <v>1</v>
      </c>
      <c r="U572" s="1979">
        <f>IF(Construction!$F$31=Construction!$R$22,Oeko!CH572,Oeko!EU572)</f>
        <v>1</v>
      </c>
      <c r="V572" s="1979">
        <f>IF(Construction!$F$31=Construction!$R$22,Oeko!CI572,Oeko!EV572)</f>
        <v>1</v>
      </c>
      <c r="W572" s="1979">
        <f>IF(Construction!$F$31=Construction!$R$22,Oeko!CJ572,Oeko!EW572)</f>
        <v>1</v>
      </c>
      <c r="X572" s="1998">
        <f>IF(Construction!$F$31=Construction!$R$22,Oeko!CK572,Oeko!EX572)</f>
        <v>1</v>
      </c>
      <c r="Y572" s="1998">
        <f>IF(Construction!$F$31=Construction!$R$22,Oeko!CL572,Oeko!EY572)</f>
        <v>1</v>
      </c>
      <c r="Z572" s="1998">
        <f>IF(Construction!$F$31=Construction!$R$22,Oeko!CM572,Oeko!EZ572)</f>
        <v>1</v>
      </c>
      <c r="AA572" s="1998">
        <f>IF(Construction!$F$31=Construction!$R$22,Oeko!CN572,Oeko!FA572)</f>
        <v>1</v>
      </c>
      <c r="AB572" s="1998">
        <f>IF(Construction!$F$31=Construction!$R$22,Oeko!CO572,Oeko!FB572)</f>
        <v>1</v>
      </c>
      <c r="AC572" s="1979">
        <f>IF(Construction!$F$31=Construction!$R$22,Oeko!CP572,Oeko!FC572)</f>
        <v>1</v>
      </c>
      <c r="AD572" s="1979">
        <f>IF(Construction!$F$31=Construction!$R$22,Oeko!CQ572,Oeko!FD572)</f>
        <v>1</v>
      </c>
      <c r="AE572" s="1979">
        <f>IF(Construction!$F$31=Construction!$R$22,Oeko!CR572,Oeko!FE572)</f>
        <v>1</v>
      </c>
      <c r="AF572" s="1979">
        <f>IF(Construction!$F$31=Construction!$R$22,Oeko!CS572,Oeko!FF572)</f>
        <v>1</v>
      </c>
      <c r="AG572" s="1979">
        <f>IF(Construction!$F$31=Construction!$R$22,Oeko!CT572,Oeko!FG572)</f>
        <v>1</v>
      </c>
      <c r="AH572" s="1998">
        <f>IF(Construction!$F$31=Construction!$R$22,Oeko!CU572,Oeko!FH572)</f>
        <v>1</v>
      </c>
      <c r="AI572" s="1998">
        <f>IF(Construction!$F$31=Construction!$R$22,Oeko!CV572,Oeko!FI572)</f>
        <v>1</v>
      </c>
      <c r="AJ572" s="1998">
        <f>IF(Construction!$F$31=Construction!$R$22,Oeko!CW572,Oeko!FJ572)</f>
        <v>1</v>
      </c>
      <c r="AK572" s="1998">
        <f>IF(Construction!$F$31=Construction!$R$22,Oeko!CX572,Oeko!FK572)</f>
        <v>1</v>
      </c>
      <c r="AL572" s="1998">
        <f>IF(Construction!$F$31=Construction!$R$22,Oeko!CY572,Oeko!FL572)</f>
        <v>1</v>
      </c>
      <c r="AM572" s="1979">
        <f>IF(Construction!$F$31=Construction!$R$22,Oeko!CZ572,Oeko!FM572)</f>
        <v>1</v>
      </c>
      <c r="AN572" s="1979">
        <f>IF(Construction!$F$31=Construction!$R$22,Oeko!DA572,Oeko!FN572)</f>
        <v>1</v>
      </c>
      <c r="AO572" s="1979">
        <f>IF(Construction!$F$31=Construction!$R$22,Oeko!DB572,Oeko!FO572)</f>
        <v>1</v>
      </c>
      <c r="AP572" s="1979">
        <f>IF(Construction!$F$31=Construction!$R$22,Oeko!DC572,Oeko!FP572)</f>
        <v>1</v>
      </c>
      <c r="AQ572" s="1979">
        <f>IF(Construction!$F$31=Construction!$R$22,Oeko!DD572,Oeko!FQ572)</f>
        <v>1</v>
      </c>
      <c r="AR572" s="1998">
        <f>IF(Construction!$F$31=Construction!$R$22,Oeko!DE572,Oeko!FR572)</f>
        <v>1</v>
      </c>
      <c r="AS572" s="1998">
        <f>IF(Construction!$F$31=Construction!$R$22,Oeko!DF572,Oeko!FS572)</f>
        <v>1</v>
      </c>
      <c r="AT572" s="1998">
        <f>IF(Construction!$F$31=Construction!$R$22,Oeko!DG572,Oeko!FT572)</f>
        <v>1</v>
      </c>
      <c r="AU572" s="1998">
        <f>IF(Construction!$F$31=Construction!$R$22,Oeko!DH572,Oeko!FU572)</f>
        <v>1</v>
      </c>
      <c r="AV572" s="1998">
        <f>IF(Construction!$F$31=Construction!$R$22,Oeko!DI572,Oeko!FV572)</f>
        <v>1</v>
      </c>
      <c r="AW572" s="1979">
        <f>IF(Construction!$F$31=Construction!$R$22,Oeko!DJ572,Oeko!FW572)</f>
        <v>1</v>
      </c>
      <c r="AX572" s="1979">
        <f>IF(Construction!$F$31=Construction!$R$22,Oeko!DK572,Oeko!FX572)</f>
        <v>1</v>
      </c>
      <c r="AY572" s="1979">
        <f>IF(Construction!$F$31=Construction!$R$22,Oeko!DL572,Oeko!FY572)</f>
        <v>1</v>
      </c>
      <c r="AZ572" s="1979">
        <f>IF(Construction!$F$31=Construction!$R$22,Oeko!DM572,Oeko!FZ572)</f>
        <v>1</v>
      </c>
      <c r="BA572" s="1979">
        <f>IF(Construction!$F$31=Construction!$R$22,Oeko!DN572,Oeko!GA572)</f>
        <v>1</v>
      </c>
      <c r="BB572" s="1998">
        <f>IF(Construction!$F$31=Construction!$R$22,Oeko!DO572,Oeko!GB572)</f>
        <v>1</v>
      </c>
      <c r="BC572" s="1998">
        <f>IF(Construction!$F$31=Construction!$R$22,Oeko!DP572,Oeko!GC572)</f>
        <v>1</v>
      </c>
      <c r="BD572" s="1998">
        <f>IF(Construction!$F$31=Construction!$R$22,Oeko!DQ572,Oeko!GD572)</f>
        <v>1</v>
      </c>
      <c r="BE572" s="1998">
        <f>IF(Construction!$F$31=Construction!$R$22,Oeko!DR572,Oeko!GE572)</f>
        <v>1</v>
      </c>
      <c r="BF572" s="1998">
        <f>IF(Construction!$F$31=Construction!$R$22,Oeko!DS572,Oeko!GF572)</f>
        <v>1</v>
      </c>
      <c r="BG572" s="1979">
        <f>IF(Construction!$F$31=Construction!$R$22,Oeko!DT572,Oeko!GG572)</f>
        <v>1</v>
      </c>
      <c r="BH572" s="1979">
        <f>IF(Construction!$F$31=Construction!$R$22,Oeko!DU572,Oeko!GH572)</f>
        <v>1</v>
      </c>
      <c r="BI572" s="1979">
        <f>IF(Construction!$F$31=Construction!$R$22,Oeko!DV572,Oeko!GI572)</f>
        <v>1</v>
      </c>
      <c r="BJ572" s="1979">
        <f>IF(Construction!$F$31=Construction!$R$22,Oeko!DW572,Oeko!GJ572)</f>
        <v>1</v>
      </c>
      <c r="BK572" s="2021">
        <f>IF(Construction!$F$31=Construction!$R$22,Oeko!DX572,Oeko!GK572)</f>
        <v>1</v>
      </c>
      <c r="BN572" s="2018"/>
      <c r="BO572" s="2">
        <v>32</v>
      </c>
      <c r="BP572" s="2" t="str">
        <f>$AD$16</f>
        <v>Colonnes ballastées</v>
      </c>
      <c r="BQ572" s="1998">
        <v>1</v>
      </c>
      <c r="BR572" s="1998">
        <v>1</v>
      </c>
      <c r="BS572" s="1998">
        <v>1</v>
      </c>
      <c r="BT572" s="1998">
        <v>1</v>
      </c>
      <c r="BU572" s="1998">
        <v>1</v>
      </c>
      <c r="BV572" s="1979">
        <v>1</v>
      </c>
      <c r="BW572" s="1979">
        <v>1</v>
      </c>
      <c r="BX572" s="1979">
        <v>1</v>
      </c>
      <c r="BY572" s="1979">
        <v>1</v>
      </c>
      <c r="BZ572" s="1979">
        <v>1</v>
      </c>
      <c r="CA572" s="1998">
        <v>1</v>
      </c>
      <c r="CB572" s="1998">
        <v>1</v>
      </c>
      <c r="CC572" s="1998">
        <v>1</v>
      </c>
      <c r="CD572" s="1998">
        <v>1</v>
      </c>
      <c r="CE572" s="1998">
        <v>1</v>
      </c>
      <c r="CF572" s="1979">
        <v>1</v>
      </c>
      <c r="CG572" s="1979">
        <v>1</v>
      </c>
      <c r="CH572" s="1979">
        <v>1</v>
      </c>
      <c r="CI572" s="1979">
        <v>1</v>
      </c>
      <c r="CJ572" s="1979">
        <v>1</v>
      </c>
      <c r="CK572" s="1998">
        <v>1</v>
      </c>
      <c r="CL572" s="1998">
        <v>1</v>
      </c>
      <c r="CM572" s="1998">
        <v>1</v>
      </c>
      <c r="CN572" s="1998">
        <v>1</v>
      </c>
      <c r="CO572" s="1998">
        <v>1</v>
      </c>
      <c r="CP572" s="1979">
        <v>1</v>
      </c>
      <c r="CQ572" s="1979">
        <v>1</v>
      </c>
      <c r="CR572" s="1979">
        <v>1</v>
      </c>
      <c r="CS572" s="1979">
        <v>1</v>
      </c>
      <c r="CT572" s="1979">
        <v>1</v>
      </c>
      <c r="CU572" s="1998">
        <v>1</v>
      </c>
      <c r="CV572" s="1998">
        <v>1</v>
      </c>
      <c r="CW572" s="1998">
        <v>1</v>
      </c>
      <c r="CX572" s="1998">
        <v>1</v>
      </c>
      <c r="CY572" s="1998">
        <v>1</v>
      </c>
      <c r="CZ572" s="1979">
        <v>1</v>
      </c>
      <c r="DA572" s="1979">
        <v>1</v>
      </c>
      <c r="DB572" s="1979">
        <v>1</v>
      </c>
      <c r="DC572" s="1979">
        <v>1</v>
      </c>
      <c r="DD572" s="1979">
        <v>1</v>
      </c>
      <c r="DE572" s="1998">
        <v>1</v>
      </c>
      <c r="DF572" s="1998">
        <v>1</v>
      </c>
      <c r="DG572" s="1998">
        <v>1</v>
      </c>
      <c r="DH572" s="1998">
        <v>1</v>
      </c>
      <c r="DI572" s="1998">
        <v>1</v>
      </c>
      <c r="DJ572" s="1979">
        <v>1</v>
      </c>
      <c r="DK572" s="1979">
        <v>1</v>
      </c>
      <c r="DL572" s="1979">
        <v>1</v>
      </c>
      <c r="DM572" s="1979">
        <v>1</v>
      </c>
      <c r="DN572" s="1979">
        <v>1</v>
      </c>
      <c r="DO572" s="1998">
        <v>1</v>
      </c>
      <c r="DP572" s="1998">
        <v>1</v>
      </c>
      <c r="DQ572" s="1998">
        <v>1</v>
      </c>
      <c r="DR572" s="1998">
        <v>1</v>
      </c>
      <c r="DS572" s="1998">
        <v>1</v>
      </c>
      <c r="DT572" s="1979">
        <v>1</v>
      </c>
      <c r="DU572" s="1979">
        <v>1</v>
      </c>
      <c r="DV572" s="1979">
        <v>1</v>
      </c>
      <c r="DW572" s="1979">
        <v>1</v>
      </c>
      <c r="DX572" s="2021">
        <v>1</v>
      </c>
      <c r="EA572" s="2018"/>
      <c r="EB572" s="2">
        <v>32</v>
      </c>
      <c r="EC572" s="2" t="str">
        <f>$AD$16</f>
        <v>Colonnes ballastées</v>
      </c>
      <c r="ED572" s="1998">
        <v>1.3605609674202821</v>
      </c>
      <c r="EE572" s="1998">
        <v>1.3605609674202821</v>
      </c>
      <c r="EF572" s="1998">
        <v>1.3605609674202821</v>
      </c>
      <c r="EG572" s="1998">
        <v>1.3605609674202821</v>
      </c>
      <c r="EH572" s="1998">
        <v>1.3605609674202821</v>
      </c>
      <c r="EI572" s="1979">
        <v>2.0966679740137137</v>
      </c>
      <c r="EJ572" s="1979">
        <v>2.0966679740137137</v>
      </c>
      <c r="EK572" s="1979">
        <v>2.0966679740137137</v>
      </c>
      <c r="EL572" s="1979">
        <v>2.0966679740137137</v>
      </c>
      <c r="EM572" s="1979">
        <v>2.0966679740137137</v>
      </c>
      <c r="EN572" s="1998">
        <v>1.4337071065592959</v>
      </c>
      <c r="EO572" s="1998">
        <v>1.4337071065592959</v>
      </c>
      <c r="EP572" s="1998">
        <v>1.4337071065592959</v>
      </c>
      <c r="EQ572" s="1998">
        <v>1.4337071065592959</v>
      </c>
      <c r="ER572" s="1998">
        <v>1.4337071065592959</v>
      </c>
      <c r="ES572" s="1979">
        <v>1.8379162318633464</v>
      </c>
      <c r="ET572" s="1979">
        <v>1.8379162318633464</v>
      </c>
      <c r="EU572" s="1979">
        <v>1.8379162318633464</v>
      </c>
      <c r="EV572" s="1979">
        <v>1.8379162318633464</v>
      </c>
      <c r="EW572" s="1979">
        <v>1.8379162318633464</v>
      </c>
      <c r="EX572" s="1998">
        <v>1.4662053104562123</v>
      </c>
      <c r="EY572" s="1998">
        <v>1.4662053104562123</v>
      </c>
      <c r="EZ572" s="1998">
        <v>1.4662053104562123</v>
      </c>
      <c r="FA572" s="1998">
        <v>1.4662053104562123</v>
      </c>
      <c r="FB572" s="1998">
        <v>1.4662053104562123</v>
      </c>
      <c r="FC572" s="1979">
        <v>1.6277744053108218</v>
      </c>
      <c r="FD572" s="1979">
        <v>1.6277744053108218</v>
      </c>
      <c r="FE572" s="1979">
        <v>1.6277744053108218</v>
      </c>
      <c r="FF572" s="1979">
        <v>1.6277744053108218</v>
      </c>
      <c r="FG572" s="1979">
        <v>1.6277744053108218</v>
      </c>
      <c r="FH572" s="1998">
        <v>2.3921927569513635</v>
      </c>
      <c r="FI572" s="1998">
        <v>2.3921927569513635</v>
      </c>
      <c r="FJ572" s="1998">
        <v>2.3921927569513635</v>
      </c>
      <c r="FK572" s="1998">
        <v>2.3921927569513635</v>
      </c>
      <c r="FL572" s="1998">
        <v>2.3921927569513635</v>
      </c>
      <c r="FM572" s="1979">
        <v>1.5115041757386145</v>
      </c>
      <c r="FN572" s="1979">
        <v>1.5115041757386145</v>
      </c>
      <c r="FO572" s="1979">
        <v>1.5115041757386145</v>
      </c>
      <c r="FP572" s="1979">
        <v>1.5115041757386145</v>
      </c>
      <c r="FQ572" s="1979">
        <v>1.5115041757386145</v>
      </c>
      <c r="FR572" s="1998">
        <v>8.1198212572277306</v>
      </c>
      <c r="FS572" s="1998">
        <v>8.1198212572277306</v>
      </c>
      <c r="FT572" s="1998">
        <v>8.1198212572277306</v>
      </c>
      <c r="FU572" s="1998">
        <v>8.1198212572277306</v>
      </c>
      <c r="FV572" s="1998">
        <v>8.1198212572277306</v>
      </c>
      <c r="FW572" s="1979">
        <v>8.4799072816005001</v>
      </c>
      <c r="FX572" s="1979">
        <v>8.4799072816005001</v>
      </c>
      <c r="FY572" s="1979">
        <v>8.4799072816005001</v>
      </c>
      <c r="FZ572" s="1979">
        <v>8.4799072816005001</v>
      </c>
      <c r="GA572" s="1979">
        <v>8.4799072816005001</v>
      </c>
      <c r="GB572" s="1998">
        <v>1.3861479372000356</v>
      </c>
      <c r="GC572" s="1998">
        <v>1.3861479372000356</v>
      </c>
      <c r="GD572" s="1998">
        <v>1.3861479372000356</v>
      </c>
      <c r="GE572" s="1998">
        <v>1.3861479372000356</v>
      </c>
      <c r="GF572" s="1998">
        <v>1.3861479372000356</v>
      </c>
      <c r="GG572" s="1979">
        <v>1.4313071575784038</v>
      </c>
      <c r="GH572" s="1979">
        <v>1.4313071575784038</v>
      </c>
      <c r="GI572" s="1979">
        <v>1.4313071575784038</v>
      </c>
      <c r="GJ572" s="1979">
        <v>1.4313071575784038</v>
      </c>
      <c r="GK572" s="2021">
        <v>1.4313071575784038</v>
      </c>
    </row>
    <row r="573" spans="1:193">
      <c r="A573" s="2016"/>
      <c r="B573" s="2">
        <v>33</v>
      </c>
      <c r="C573" s="2" t="str">
        <f>$AD$17</f>
        <v>Pieu en béton préfabriqué (battus)</v>
      </c>
      <c r="D573" s="1998">
        <f>IF(Construction!$F$31=Construction!$R$22,Oeko!BQ573,Oeko!ED573)</f>
        <v>1</v>
      </c>
      <c r="E573" s="1998">
        <f>IF(Construction!$F$31=Construction!$R$22,Oeko!BR573,Oeko!EE573)</f>
        <v>1</v>
      </c>
      <c r="F573" s="1998">
        <f>IF(Construction!$F$31=Construction!$R$22,Oeko!BS573,Oeko!EF573)</f>
        <v>1</v>
      </c>
      <c r="G573" s="1998">
        <f>IF(Construction!$F$31=Construction!$R$22,Oeko!BT573,Oeko!EG573)</f>
        <v>1</v>
      </c>
      <c r="H573" s="1998">
        <f>IF(Construction!$F$31=Construction!$R$22,Oeko!BU573,Oeko!EH573)</f>
        <v>1</v>
      </c>
      <c r="I573" s="1979">
        <f>IF(Construction!$F$31=Construction!$R$22,Oeko!BV573,Oeko!EI573)</f>
        <v>1</v>
      </c>
      <c r="J573" s="1979">
        <f>IF(Construction!$F$31=Construction!$R$22,Oeko!BW573,Oeko!EJ573)</f>
        <v>1</v>
      </c>
      <c r="K573" s="1979">
        <f>IF(Construction!$F$31=Construction!$R$22,Oeko!BX573,Oeko!EK573)</f>
        <v>1</v>
      </c>
      <c r="L573" s="1979">
        <f>IF(Construction!$F$31=Construction!$R$22,Oeko!BY573,Oeko!EL573)</f>
        <v>1</v>
      </c>
      <c r="M573" s="1979">
        <f>IF(Construction!$F$31=Construction!$R$22,Oeko!BZ573,Oeko!EM573)</f>
        <v>1</v>
      </c>
      <c r="N573" s="1998">
        <f>IF(Construction!$F$31=Construction!$R$22,Oeko!CA573,Oeko!EN573)</f>
        <v>1</v>
      </c>
      <c r="O573" s="1998">
        <f>IF(Construction!$F$31=Construction!$R$22,Oeko!CB573,Oeko!EO573)</f>
        <v>1</v>
      </c>
      <c r="P573" s="1998">
        <f>IF(Construction!$F$31=Construction!$R$22,Oeko!CC573,Oeko!EP573)</f>
        <v>1</v>
      </c>
      <c r="Q573" s="1998">
        <f>IF(Construction!$F$31=Construction!$R$22,Oeko!CD573,Oeko!EQ573)</f>
        <v>1</v>
      </c>
      <c r="R573" s="1998">
        <f>IF(Construction!$F$31=Construction!$R$22,Oeko!CE573,Oeko!ER573)</f>
        <v>1</v>
      </c>
      <c r="S573" s="1979">
        <f>IF(Construction!$F$31=Construction!$R$22,Oeko!CF573,Oeko!ES573)</f>
        <v>1</v>
      </c>
      <c r="T573" s="1979">
        <f>IF(Construction!$F$31=Construction!$R$22,Oeko!CG573,Oeko!ET573)</f>
        <v>1</v>
      </c>
      <c r="U573" s="1979">
        <f>IF(Construction!$F$31=Construction!$R$22,Oeko!CH573,Oeko!EU573)</f>
        <v>1</v>
      </c>
      <c r="V573" s="1979">
        <f>IF(Construction!$F$31=Construction!$R$22,Oeko!CI573,Oeko!EV573)</f>
        <v>1</v>
      </c>
      <c r="W573" s="1979">
        <f>IF(Construction!$F$31=Construction!$R$22,Oeko!CJ573,Oeko!EW573)</f>
        <v>1</v>
      </c>
      <c r="X573" s="1998">
        <f>IF(Construction!$F$31=Construction!$R$22,Oeko!CK573,Oeko!EX573)</f>
        <v>1</v>
      </c>
      <c r="Y573" s="1998">
        <f>IF(Construction!$F$31=Construction!$R$22,Oeko!CL573,Oeko!EY573)</f>
        <v>1</v>
      </c>
      <c r="Z573" s="1998">
        <f>IF(Construction!$F$31=Construction!$R$22,Oeko!CM573,Oeko!EZ573)</f>
        <v>1</v>
      </c>
      <c r="AA573" s="1998">
        <f>IF(Construction!$F$31=Construction!$R$22,Oeko!CN573,Oeko!FA573)</f>
        <v>1</v>
      </c>
      <c r="AB573" s="1998">
        <f>IF(Construction!$F$31=Construction!$R$22,Oeko!CO573,Oeko!FB573)</f>
        <v>1</v>
      </c>
      <c r="AC573" s="1979">
        <f>IF(Construction!$F$31=Construction!$R$22,Oeko!CP573,Oeko!FC573)</f>
        <v>1</v>
      </c>
      <c r="AD573" s="1979">
        <f>IF(Construction!$F$31=Construction!$R$22,Oeko!CQ573,Oeko!FD573)</f>
        <v>1</v>
      </c>
      <c r="AE573" s="1979">
        <f>IF(Construction!$F$31=Construction!$R$22,Oeko!CR573,Oeko!FE573)</f>
        <v>1</v>
      </c>
      <c r="AF573" s="1979">
        <f>IF(Construction!$F$31=Construction!$R$22,Oeko!CS573,Oeko!FF573)</f>
        <v>1</v>
      </c>
      <c r="AG573" s="1979">
        <f>IF(Construction!$F$31=Construction!$R$22,Oeko!CT573,Oeko!FG573)</f>
        <v>1</v>
      </c>
      <c r="AH573" s="1998">
        <f>IF(Construction!$F$31=Construction!$R$22,Oeko!CU573,Oeko!FH573)</f>
        <v>1</v>
      </c>
      <c r="AI573" s="1998">
        <f>IF(Construction!$F$31=Construction!$R$22,Oeko!CV573,Oeko!FI573)</f>
        <v>1</v>
      </c>
      <c r="AJ573" s="1998">
        <f>IF(Construction!$F$31=Construction!$R$22,Oeko!CW573,Oeko!FJ573)</f>
        <v>1</v>
      </c>
      <c r="AK573" s="1998">
        <f>IF(Construction!$F$31=Construction!$R$22,Oeko!CX573,Oeko!FK573)</f>
        <v>1</v>
      </c>
      <c r="AL573" s="1998">
        <f>IF(Construction!$F$31=Construction!$R$22,Oeko!CY573,Oeko!FL573)</f>
        <v>1</v>
      </c>
      <c r="AM573" s="1979">
        <f>IF(Construction!$F$31=Construction!$R$22,Oeko!CZ573,Oeko!FM573)</f>
        <v>1</v>
      </c>
      <c r="AN573" s="1979">
        <f>IF(Construction!$F$31=Construction!$R$22,Oeko!DA573,Oeko!FN573)</f>
        <v>1</v>
      </c>
      <c r="AO573" s="1979">
        <f>IF(Construction!$F$31=Construction!$R$22,Oeko!DB573,Oeko!FO573)</f>
        <v>1</v>
      </c>
      <c r="AP573" s="1979">
        <f>IF(Construction!$F$31=Construction!$R$22,Oeko!DC573,Oeko!FP573)</f>
        <v>1</v>
      </c>
      <c r="AQ573" s="1979">
        <f>IF(Construction!$F$31=Construction!$R$22,Oeko!DD573,Oeko!FQ573)</f>
        <v>1</v>
      </c>
      <c r="AR573" s="1998">
        <f>IF(Construction!$F$31=Construction!$R$22,Oeko!DE573,Oeko!FR573)</f>
        <v>1</v>
      </c>
      <c r="AS573" s="1998">
        <f>IF(Construction!$F$31=Construction!$R$22,Oeko!DF573,Oeko!FS573)</f>
        <v>1</v>
      </c>
      <c r="AT573" s="1998">
        <f>IF(Construction!$F$31=Construction!$R$22,Oeko!DG573,Oeko!FT573)</f>
        <v>1</v>
      </c>
      <c r="AU573" s="1998">
        <f>IF(Construction!$F$31=Construction!$R$22,Oeko!DH573,Oeko!FU573)</f>
        <v>1</v>
      </c>
      <c r="AV573" s="1998">
        <f>IF(Construction!$F$31=Construction!$R$22,Oeko!DI573,Oeko!FV573)</f>
        <v>1</v>
      </c>
      <c r="AW573" s="1979">
        <f>IF(Construction!$F$31=Construction!$R$22,Oeko!DJ573,Oeko!FW573)</f>
        <v>1</v>
      </c>
      <c r="AX573" s="1979">
        <f>IF(Construction!$F$31=Construction!$R$22,Oeko!DK573,Oeko!FX573)</f>
        <v>1</v>
      </c>
      <c r="AY573" s="1979">
        <f>IF(Construction!$F$31=Construction!$R$22,Oeko!DL573,Oeko!FY573)</f>
        <v>1</v>
      </c>
      <c r="AZ573" s="1979">
        <f>IF(Construction!$F$31=Construction!$R$22,Oeko!DM573,Oeko!FZ573)</f>
        <v>1</v>
      </c>
      <c r="BA573" s="1979">
        <f>IF(Construction!$F$31=Construction!$R$22,Oeko!DN573,Oeko!GA573)</f>
        <v>1</v>
      </c>
      <c r="BB573" s="1998">
        <f>IF(Construction!$F$31=Construction!$R$22,Oeko!DO573,Oeko!GB573)</f>
        <v>1</v>
      </c>
      <c r="BC573" s="1998">
        <f>IF(Construction!$F$31=Construction!$R$22,Oeko!DP573,Oeko!GC573)</f>
        <v>1</v>
      </c>
      <c r="BD573" s="1998">
        <f>IF(Construction!$F$31=Construction!$R$22,Oeko!DQ573,Oeko!GD573)</f>
        <v>1</v>
      </c>
      <c r="BE573" s="1998">
        <f>IF(Construction!$F$31=Construction!$R$22,Oeko!DR573,Oeko!GE573)</f>
        <v>1</v>
      </c>
      <c r="BF573" s="1998">
        <f>IF(Construction!$F$31=Construction!$R$22,Oeko!DS573,Oeko!GF573)</f>
        <v>1</v>
      </c>
      <c r="BG573" s="1979">
        <f>IF(Construction!$F$31=Construction!$R$22,Oeko!DT573,Oeko!GG573)</f>
        <v>1</v>
      </c>
      <c r="BH573" s="1979">
        <f>IF(Construction!$F$31=Construction!$R$22,Oeko!DU573,Oeko!GH573)</f>
        <v>1</v>
      </c>
      <c r="BI573" s="1979">
        <f>IF(Construction!$F$31=Construction!$R$22,Oeko!DV573,Oeko!GI573)</f>
        <v>1</v>
      </c>
      <c r="BJ573" s="1979">
        <f>IF(Construction!$F$31=Construction!$R$22,Oeko!DW573,Oeko!GJ573)</f>
        <v>1</v>
      </c>
      <c r="BK573" s="2021">
        <f>IF(Construction!$F$31=Construction!$R$22,Oeko!DX573,Oeko!GK573)</f>
        <v>1</v>
      </c>
      <c r="BN573" s="2018"/>
      <c r="BO573" s="2">
        <v>33</v>
      </c>
      <c r="BP573" s="2" t="str">
        <f>$AD$17</f>
        <v>Pieu en béton préfabriqué (battus)</v>
      </c>
      <c r="BQ573" s="1998">
        <v>1</v>
      </c>
      <c r="BR573" s="1998">
        <v>1</v>
      </c>
      <c r="BS573" s="1998">
        <v>1</v>
      </c>
      <c r="BT573" s="1998">
        <v>1</v>
      </c>
      <c r="BU573" s="1998">
        <v>1</v>
      </c>
      <c r="BV573" s="1979">
        <v>1</v>
      </c>
      <c r="BW573" s="1979">
        <v>1</v>
      </c>
      <c r="BX573" s="1979">
        <v>1</v>
      </c>
      <c r="BY573" s="1979">
        <v>1</v>
      </c>
      <c r="BZ573" s="1979">
        <v>1</v>
      </c>
      <c r="CA573" s="1998">
        <v>1</v>
      </c>
      <c r="CB573" s="1998">
        <v>1</v>
      </c>
      <c r="CC573" s="1998">
        <v>1</v>
      </c>
      <c r="CD573" s="1998">
        <v>1</v>
      </c>
      <c r="CE573" s="1998">
        <v>1</v>
      </c>
      <c r="CF573" s="1979">
        <v>1</v>
      </c>
      <c r="CG573" s="1979">
        <v>1</v>
      </c>
      <c r="CH573" s="1979">
        <v>1</v>
      </c>
      <c r="CI573" s="1979">
        <v>1</v>
      </c>
      <c r="CJ573" s="1979">
        <v>1</v>
      </c>
      <c r="CK573" s="1998">
        <v>1</v>
      </c>
      <c r="CL573" s="1998">
        <v>1</v>
      </c>
      <c r="CM573" s="1998">
        <v>1</v>
      </c>
      <c r="CN573" s="1998">
        <v>1</v>
      </c>
      <c r="CO573" s="1998">
        <v>1</v>
      </c>
      <c r="CP573" s="1979">
        <v>1</v>
      </c>
      <c r="CQ573" s="1979">
        <v>1</v>
      </c>
      <c r="CR573" s="1979">
        <v>1</v>
      </c>
      <c r="CS573" s="1979">
        <v>1</v>
      </c>
      <c r="CT573" s="1979">
        <v>1</v>
      </c>
      <c r="CU573" s="1998">
        <v>1</v>
      </c>
      <c r="CV573" s="1998">
        <v>1</v>
      </c>
      <c r="CW573" s="1998">
        <v>1</v>
      </c>
      <c r="CX573" s="1998">
        <v>1</v>
      </c>
      <c r="CY573" s="1998">
        <v>1</v>
      </c>
      <c r="CZ573" s="1979">
        <v>1</v>
      </c>
      <c r="DA573" s="1979">
        <v>1</v>
      </c>
      <c r="DB573" s="1979">
        <v>1</v>
      </c>
      <c r="DC573" s="1979">
        <v>1</v>
      </c>
      <c r="DD573" s="1979">
        <v>1</v>
      </c>
      <c r="DE573" s="1998">
        <v>1</v>
      </c>
      <c r="DF573" s="1998">
        <v>1</v>
      </c>
      <c r="DG573" s="1998">
        <v>1</v>
      </c>
      <c r="DH573" s="1998">
        <v>1</v>
      </c>
      <c r="DI573" s="1998">
        <v>1</v>
      </c>
      <c r="DJ573" s="1979">
        <v>1</v>
      </c>
      <c r="DK573" s="1979">
        <v>1</v>
      </c>
      <c r="DL573" s="1979">
        <v>1</v>
      </c>
      <c r="DM573" s="1979">
        <v>1</v>
      </c>
      <c r="DN573" s="1979">
        <v>1</v>
      </c>
      <c r="DO573" s="1998">
        <v>1</v>
      </c>
      <c r="DP573" s="1998">
        <v>1</v>
      </c>
      <c r="DQ573" s="1998">
        <v>1</v>
      </c>
      <c r="DR573" s="1998">
        <v>1</v>
      </c>
      <c r="DS573" s="1998">
        <v>1</v>
      </c>
      <c r="DT573" s="1979">
        <v>1</v>
      </c>
      <c r="DU573" s="1979">
        <v>1</v>
      </c>
      <c r="DV573" s="1979">
        <v>1</v>
      </c>
      <c r="DW573" s="1979">
        <v>1</v>
      </c>
      <c r="DX573" s="2021">
        <v>1</v>
      </c>
      <c r="EA573" s="2018"/>
      <c r="EB573" s="2">
        <v>33</v>
      </c>
      <c r="EC573" s="2" t="str">
        <f>$AD$17</f>
        <v>Pieu en béton préfabriqué (battus)</v>
      </c>
      <c r="ED573" s="1998">
        <v>1.3605609674202821</v>
      </c>
      <c r="EE573" s="1998">
        <v>1.3605609674202821</v>
      </c>
      <c r="EF573" s="1998">
        <v>1.3605609674202821</v>
      </c>
      <c r="EG573" s="1998">
        <v>1.3605609674202821</v>
      </c>
      <c r="EH573" s="1998">
        <v>1.3605609674202821</v>
      </c>
      <c r="EI573" s="1979">
        <v>2.0966679740137137</v>
      </c>
      <c r="EJ573" s="1979">
        <v>2.0966679740137137</v>
      </c>
      <c r="EK573" s="1979">
        <v>2.0966679740137137</v>
      </c>
      <c r="EL573" s="1979">
        <v>2.0966679740137137</v>
      </c>
      <c r="EM573" s="1979">
        <v>2.0966679740137137</v>
      </c>
      <c r="EN573" s="1998">
        <v>1.4337071065592959</v>
      </c>
      <c r="EO573" s="1998">
        <v>1.4337071065592959</v>
      </c>
      <c r="EP573" s="1998">
        <v>1.4337071065592959</v>
      </c>
      <c r="EQ573" s="1998">
        <v>1.4337071065592959</v>
      </c>
      <c r="ER573" s="1998">
        <v>1.4337071065592959</v>
      </c>
      <c r="ES573" s="1979">
        <v>1.8379162318633464</v>
      </c>
      <c r="ET573" s="1979">
        <v>1.8379162318633464</v>
      </c>
      <c r="EU573" s="1979">
        <v>1.8379162318633464</v>
      </c>
      <c r="EV573" s="1979">
        <v>1.8379162318633464</v>
      </c>
      <c r="EW573" s="1979">
        <v>1.8379162318633464</v>
      </c>
      <c r="EX573" s="1998">
        <v>1.4662053104562123</v>
      </c>
      <c r="EY573" s="1998">
        <v>1.4662053104562123</v>
      </c>
      <c r="EZ573" s="1998">
        <v>1.4662053104562123</v>
      </c>
      <c r="FA573" s="1998">
        <v>1.4662053104562123</v>
      </c>
      <c r="FB573" s="1998">
        <v>1.4662053104562123</v>
      </c>
      <c r="FC573" s="1979">
        <v>1.6277744053108218</v>
      </c>
      <c r="FD573" s="1979">
        <v>1.6277744053108218</v>
      </c>
      <c r="FE573" s="1979">
        <v>1.6277744053108218</v>
      </c>
      <c r="FF573" s="1979">
        <v>1.6277744053108218</v>
      </c>
      <c r="FG573" s="1979">
        <v>1.6277744053108218</v>
      </c>
      <c r="FH573" s="1998">
        <v>2.3921927569513635</v>
      </c>
      <c r="FI573" s="1998">
        <v>2.3921927569513635</v>
      </c>
      <c r="FJ573" s="1998">
        <v>2.3921927569513635</v>
      </c>
      <c r="FK573" s="1998">
        <v>2.3921927569513635</v>
      </c>
      <c r="FL573" s="1998">
        <v>2.3921927569513635</v>
      </c>
      <c r="FM573" s="1979">
        <v>1.5115041757386145</v>
      </c>
      <c r="FN573" s="1979">
        <v>1.5115041757386145</v>
      </c>
      <c r="FO573" s="1979">
        <v>1.5115041757386145</v>
      </c>
      <c r="FP573" s="1979">
        <v>1.5115041757386145</v>
      </c>
      <c r="FQ573" s="1979">
        <v>1.5115041757386145</v>
      </c>
      <c r="FR573" s="1998">
        <v>8.1198212572277306</v>
      </c>
      <c r="FS573" s="1998">
        <v>8.1198212572277306</v>
      </c>
      <c r="FT573" s="1998">
        <v>8.1198212572277306</v>
      </c>
      <c r="FU573" s="1998">
        <v>8.1198212572277306</v>
      </c>
      <c r="FV573" s="1998">
        <v>8.1198212572277306</v>
      </c>
      <c r="FW573" s="1979">
        <v>8.4799072816005001</v>
      </c>
      <c r="FX573" s="1979">
        <v>8.4799072816005001</v>
      </c>
      <c r="FY573" s="1979">
        <v>8.4799072816005001</v>
      </c>
      <c r="FZ573" s="1979">
        <v>8.4799072816005001</v>
      </c>
      <c r="GA573" s="1979">
        <v>8.4799072816005001</v>
      </c>
      <c r="GB573" s="1998">
        <v>1.3861479372000356</v>
      </c>
      <c r="GC573" s="1998">
        <v>1.3861479372000356</v>
      </c>
      <c r="GD573" s="1998">
        <v>1.3861479372000356</v>
      </c>
      <c r="GE573" s="1998">
        <v>1.3861479372000356</v>
      </c>
      <c r="GF573" s="1998">
        <v>1.3861479372000356</v>
      </c>
      <c r="GG573" s="1979">
        <v>1.4313071575784038</v>
      </c>
      <c r="GH573" s="1979">
        <v>1.4313071575784038</v>
      </c>
      <c r="GI573" s="1979">
        <v>1.4313071575784038</v>
      </c>
      <c r="GJ573" s="1979">
        <v>1.4313071575784038</v>
      </c>
      <c r="GK573" s="2021">
        <v>1.4313071575784038</v>
      </c>
    </row>
    <row r="574" spans="1:193">
      <c r="A574" s="2016"/>
      <c r="B574" s="2">
        <v>34</v>
      </c>
      <c r="C574" s="2" t="str">
        <f>$AF$13</f>
        <v/>
      </c>
      <c r="D574" s="1998">
        <f>IF(Construction!$F$31=Construction!$R$22,Oeko!BQ574,Oeko!ED574)</f>
        <v>1</v>
      </c>
      <c r="E574" s="1998">
        <f>IF(Construction!$F$31=Construction!$R$22,Oeko!BR574,Oeko!EE574)</f>
        <v>1</v>
      </c>
      <c r="F574" s="1998">
        <f>IF(Construction!$F$31=Construction!$R$22,Oeko!BS574,Oeko!EF574)</f>
        <v>1</v>
      </c>
      <c r="G574" s="1998">
        <f>IF(Construction!$F$31=Construction!$R$22,Oeko!BT574,Oeko!EG574)</f>
        <v>1</v>
      </c>
      <c r="H574" s="1998">
        <f>IF(Construction!$F$31=Construction!$R$22,Oeko!BU574,Oeko!EH574)</f>
        <v>1</v>
      </c>
      <c r="I574" s="1979">
        <f>IF(Construction!$F$31=Construction!$R$22,Oeko!BV574,Oeko!EI574)</f>
        <v>1</v>
      </c>
      <c r="J574" s="1979">
        <f>IF(Construction!$F$31=Construction!$R$22,Oeko!BW574,Oeko!EJ574)</f>
        <v>1</v>
      </c>
      <c r="K574" s="1979">
        <f>IF(Construction!$F$31=Construction!$R$22,Oeko!BX574,Oeko!EK574)</f>
        <v>1</v>
      </c>
      <c r="L574" s="1979">
        <f>IF(Construction!$F$31=Construction!$R$22,Oeko!BY574,Oeko!EL574)</f>
        <v>1</v>
      </c>
      <c r="M574" s="1979">
        <f>IF(Construction!$F$31=Construction!$R$22,Oeko!BZ574,Oeko!EM574)</f>
        <v>1</v>
      </c>
      <c r="N574" s="1998">
        <f>IF(Construction!$F$31=Construction!$R$22,Oeko!CA574,Oeko!EN574)</f>
        <v>1</v>
      </c>
      <c r="O574" s="1998">
        <f>IF(Construction!$F$31=Construction!$R$22,Oeko!CB574,Oeko!EO574)</f>
        <v>1</v>
      </c>
      <c r="P574" s="1998">
        <f>IF(Construction!$F$31=Construction!$R$22,Oeko!CC574,Oeko!EP574)</f>
        <v>1</v>
      </c>
      <c r="Q574" s="1998">
        <f>IF(Construction!$F$31=Construction!$R$22,Oeko!CD574,Oeko!EQ574)</f>
        <v>1</v>
      </c>
      <c r="R574" s="1998">
        <f>IF(Construction!$F$31=Construction!$R$22,Oeko!CE574,Oeko!ER574)</f>
        <v>1</v>
      </c>
      <c r="S574" s="1979">
        <f>IF(Construction!$F$31=Construction!$R$22,Oeko!CF574,Oeko!ES574)</f>
        <v>1</v>
      </c>
      <c r="T574" s="1979">
        <f>IF(Construction!$F$31=Construction!$R$22,Oeko!CG574,Oeko!ET574)</f>
        <v>1</v>
      </c>
      <c r="U574" s="1979">
        <f>IF(Construction!$F$31=Construction!$R$22,Oeko!CH574,Oeko!EU574)</f>
        <v>1</v>
      </c>
      <c r="V574" s="1979">
        <f>IF(Construction!$F$31=Construction!$R$22,Oeko!CI574,Oeko!EV574)</f>
        <v>1</v>
      </c>
      <c r="W574" s="1979">
        <f>IF(Construction!$F$31=Construction!$R$22,Oeko!CJ574,Oeko!EW574)</f>
        <v>1</v>
      </c>
      <c r="X574" s="1998">
        <f>IF(Construction!$F$31=Construction!$R$22,Oeko!CK574,Oeko!EX574)</f>
        <v>1</v>
      </c>
      <c r="Y574" s="1998">
        <f>IF(Construction!$F$31=Construction!$R$22,Oeko!CL574,Oeko!EY574)</f>
        <v>1</v>
      </c>
      <c r="Z574" s="1998">
        <f>IF(Construction!$F$31=Construction!$R$22,Oeko!CM574,Oeko!EZ574)</f>
        <v>1</v>
      </c>
      <c r="AA574" s="1998">
        <f>IF(Construction!$F$31=Construction!$R$22,Oeko!CN574,Oeko!FA574)</f>
        <v>1</v>
      </c>
      <c r="AB574" s="1998">
        <f>IF(Construction!$F$31=Construction!$R$22,Oeko!CO574,Oeko!FB574)</f>
        <v>1</v>
      </c>
      <c r="AC574" s="1979">
        <f>IF(Construction!$F$31=Construction!$R$22,Oeko!CP574,Oeko!FC574)</f>
        <v>1</v>
      </c>
      <c r="AD574" s="1979">
        <f>IF(Construction!$F$31=Construction!$R$22,Oeko!CQ574,Oeko!FD574)</f>
        <v>1</v>
      </c>
      <c r="AE574" s="1979">
        <f>IF(Construction!$F$31=Construction!$R$22,Oeko!CR574,Oeko!FE574)</f>
        <v>1</v>
      </c>
      <c r="AF574" s="1979">
        <f>IF(Construction!$F$31=Construction!$R$22,Oeko!CS574,Oeko!FF574)</f>
        <v>1</v>
      </c>
      <c r="AG574" s="1979">
        <f>IF(Construction!$F$31=Construction!$R$22,Oeko!CT574,Oeko!FG574)</f>
        <v>1</v>
      </c>
      <c r="AH574" s="1998">
        <f>IF(Construction!$F$31=Construction!$R$22,Oeko!CU574,Oeko!FH574)</f>
        <v>1</v>
      </c>
      <c r="AI574" s="1998">
        <f>IF(Construction!$F$31=Construction!$R$22,Oeko!CV574,Oeko!FI574)</f>
        <v>1</v>
      </c>
      <c r="AJ574" s="1998">
        <f>IF(Construction!$F$31=Construction!$R$22,Oeko!CW574,Oeko!FJ574)</f>
        <v>1</v>
      </c>
      <c r="AK574" s="1998">
        <f>IF(Construction!$F$31=Construction!$R$22,Oeko!CX574,Oeko!FK574)</f>
        <v>1</v>
      </c>
      <c r="AL574" s="1998">
        <f>IF(Construction!$F$31=Construction!$R$22,Oeko!CY574,Oeko!FL574)</f>
        <v>1</v>
      </c>
      <c r="AM574" s="1979">
        <f>IF(Construction!$F$31=Construction!$R$22,Oeko!CZ574,Oeko!FM574)</f>
        <v>1</v>
      </c>
      <c r="AN574" s="1979">
        <f>IF(Construction!$F$31=Construction!$R$22,Oeko!DA574,Oeko!FN574)</f>
        <v>1</v>
      </c>
      <c r="AO574" s="1979">
        <f>IF(Construction!$F$31=Construction!$R$22,Oeko!DB574,Oeko!FO574)</f>
        <v>1</v>
      </c>
      <c r="AP574" s="1979">
        <f>IF(Construction!$F$31=Construction!$R$22,Oeko!DC574,Oeko!FP574)</f>
        <v>1</v>
      </c>
      <c r="AQ574" s="1979">
        <f>IF(Construction!$F$31=Construction!$R$22,Oeko!DD574,Oeko!FQ574)</f>
        <v>1</v>
      </c>
      <c r="AR574" s="1998">
        <f>IF(Construction!$F$31=Construction!$R$22,Oeko!DE574,Oeko!FR574)</f>
        <v>1</v>
      </c>
      <c r="AS574" s="1998">
        <f>IF(Construction!$F$31=Construction!$R$22,Oeko!DF574,Oeko!FS574)</f>
        <v>1</v>
      </c>
      <c r="AT574" s="1998">
        <f>IF(Construction!$F$31=Construction!$R$22,Oeko!DG574,Oeko!FT574)</f>
        <v>1</v>
      </c>
      <c r="AU574" s="1998">
        <f>IF(Construction!$F$31=Construction!$R$22,Oeko!DH574,Oeko!FU574)</f>
        <v>1</v>
      </c>
      <c r="AV574" s="1998">
        <f>IF(Construction!$F$31=Construction!$R$22,Oeko!DI574,Oeko!FV574)</f>
        <v>1</v>
      </c>
      <c r="AW574" s="1979">
        <f>IF(Construction!$F$31=Construction!$R$22,Oeko!DJ574,Oeko!FW574)</f>
        <v>1</v>
      </c>
      <c r="AX574" s="1979">
        <f>IF(Construction!$F$31=Construction!$R$22,Oeko!DK574,Oeko!FX574)</f>
        <v>1</v>
      </c>
      <c r="AY574" s="1979">
        <f>IF(Construction!$F$31=Construction!$R$22,Oeko!DL574,Oeko!FY574)</f>
        <v>1</v>
      </c>
      <c r="AZ574" s="1979">
        <f>IF(Construction!$F$31=Construction!$R$22,Oeko!DM574,Oeko!FZ574)</f>
        <v>1</v>
      </c>
      <c r="BA574" s="1979">
        <f>IF(Construction!$F$31=Construction!$R$22,Oeko!DN574,Oeko!GA574)</f>
        <v>1</v>
      </c>
      <c r="BB574" s="1998">
        <f>IF(Construction!$F$31=Construction!$R$22,Oeko!DO574,Oeko!GB574)</f>
        <v>1</v>
      </c>
      <c r="BC574" s="1998">
        <f>IF(Construction!$F$31=Construction!$R$22,Oeko!DP574,Oeko!GC574)</f>
        <v>1</v>
      </c>
      <c r="BD574" s="1998">
        <f>IF(Construction!$F$31=Construction!$R$22,Oeko!DQ574,Oeko!GD574)</f>
        <v>1</v>
      </c>
      <c r="BE574" s="1998">
        <f>IF(Construction!$F$31=Construction!$R$22,Oeko!DR574,Oeko!GE574)</f>
        <v>1</v>
      </c>
      <c r="BF574" s="1998">
        <f>IF(Construction!$F$31=Construction!$R$22,Oeko!DS574,Oeko!GF574)</f>
        <v>1</v>
      </c>
      <c r="BG574" s="1979">
        <f>IF(Construction!$F$31=Construction!$R$22,Oeko!DT574,Oeko!GG574)</f>
        <v>1</v>
      </c>
      <c r="BH574" s="1979">
        <f>IF(Construction!$F$31=Construction!$R$22,Oeko!DU574,Oeko!GH574)</f>
        <v>1</v>
      </c>
      <c r="BI574" s="1979">
        <f>IF(Construction!$F$31=Construction!$R$22,Oeko!DV574,Oeko!GI574)</f>
        <v>1</v>
      </c>
      <c r="BJ574" s="1979">
        <f>IF(Construction!$F$31=Construction!$R$22,Oeko!DW574,Oeko!GJ574)</f>
        <v>1</v>
      </c>
      <c r="BK574" s="2021">
        <f>IF(Construction!$F$31=Construction!$R$22,Oeko!DX574,Oeko!GK574)</f>
        <v>1</v>
      </c>
      <c r="BN574" s="2018"/>
      <c r="BO574" s="2">
        <v>34</v>
      </c>
      <c r="BP574" s="2" t="str">
        <f>$AF$13</f>
        <v/>
      </c>
      <c r="BQ574" s="1998">
        <v>1</v>
      </c>
      <c r="BR574" s="1998">
        <v>1</v>
      </c>
      <c r="BS574" s="1998">
        <v>1</v>
      </c>
      <c r="BT574" s="1998">
        <v>1</v>
      </c>
      <c r="BU574" s="1998">
        <v>1</v>
      </c>
      <c r="BV574" s="1979">
        <v>1</v>
      </c>
      <c r="BW574" s="1979">
        <v>1</v>
      </c>
      <c r="BX574" s="1979">
        <v>1</v>
      </c>
      <c r="BY574" s="1979">
        <v>1</v>
      </c>
      <c r="BZ574" s="1979">
        <v>1</v>
      </c>
      <c r="CA574" s="1998">
        <v>1</v>
      </c>
      <c r="CB574" s="1998">
        <v>1</v>
      </c>
      <c r="CC574" s="1998">
        <v>1</v>
      </c>
      <c r="CD574" s="1998">
        <v>1</v>
      </c>
      <c r="CE574" s="1998">
        <v>1</v>
      </c>
      <c r="CF574" s="1979">
        <v>1</v>
      </c>
      <c r="CG574" s="1979">
        <v>1</v>
      </c>
      <c r="CH574" s="1979">
        <v>1</v>
      </c>
      <c r="CI574" s="1979">
        <v>1</v>
      </c>
      <c r="CJ574" s="1979">
        <v>1</v>
      </c>
      <c r="CK574" s="1998">
        <v>1</v>
      </c>
      <c r="CL574" s="1998">
        <v>1</v>
      </c>
      <c r="CM574" s="1998">
        <v>1</v>
      </c>
      <c r="CN574" s="1998">
        <v>1</v>
      </c>
      <c r="CO574" s="1998">
        <v>1</v>
      </c>
      <c r="CP574" s="1979">
        <v>1</v>
      </c>
      <c r="CQ574" s="1979">
        <v>1</v>
      </c>
      <c r="CR574" s="1979">
        <v>1</v>
      </c>
      <c r="CS574" s="1979">
        <v>1</v>
      </c>
      <c r="CT574" s="1979">
        <v>1</v>
      </c>
      <c r="CU574" s="1998">
        <v>1</v>
      </c>
      <c r="CV574" s="1998">
        <v>1</v>
      </c>
      <c r="CW574" s="1998">
        <v>1</v>
      </c>
      <c r="CX574" s="1998">
        <v>1</v>
      </c>
      <c r="CY574" s="1998">
        <v>1</v>
      </c>
      <c r="CZ574" s="1979">
        <v>1</v>
      </c>
      <c r="DA574" s="1979">
        <v>1</v>
      </c>
      <c r="DB574" s="1979">
        <v>1</v>
      </c>
      <c r="DC574" s="1979">
        <v>1</v>
      </c>
      <c r="DD574" s="1979">
        <v>1</v>
      </c>
      <c r="DE574" s="1998">
        <v>1</v>
      </c>
      <c r="DF574" s="1998">
        <v>1</v>
      </c>
      <c r="DG574" s="1998">
        <v>1</v>
      </c>
      <c r="DH574" s="1998">
        <v>1</v>
      </c>
      <c r="DI574" s="1998">
        <v>1</v>
      </c>
      <c r="DJ574" s="1979">
        <v>1</v>
      </c>
      <c r="DK574" s="1979">
        <v>1</v>
      </c>
      <c r="DL574" s="1979">
        <v>1</v>
      </c>
      <c r="DM574" s="1979">
        <v>1</v>
      </c>
      <c r="DN574" s="1979">
        <v>1</v>
      </c>
      <c r="DO574" s="1998">
        <v>1</v>
      </c>
      <c r="DP574" s="1998">
        <v>1</v>
      </c>
      <c r="DQ574" s="1998">
        <v>1</v>
      </c>
      <c r="DR574" s="1998">
        <v>1</v>
      </c>
      <c r="DS574" s="1998">
        <v>1</v>
      </c>
      <c r="DT574" s="1979">
        <v>1</v>
      </c>
      <c r="DU574" s="1979">
        <v>1</v>
      </c>
      <c r="DV574" s="1979">
        <v>1</v>
      </c>
      <c r="DW574" s="1979">
        <v>1</v>
      </c>
      <c r="DX574" s="2021">
        <v>1</v>
      </c>
      <c r="EA574" s="2018"/>
      <c r="EB574" s="2">
        <v>34</v>
      </c>
      <c r="EC574" s="2" t="str">
        <f>$AF$13</f>
        <v/>
      </c>
      <c r="ED574" s="1998">
        <v>1.3605609674202821</v>
      </c>
      <c r="EE574" s="1998">
        <v>1.3605609674202821</v>
      </c>
      <c r="EF574" s="1998">
        <v>1.3605609674202821</v>
      </c>
      <c r="EG574" s="1998">
        <v>1.3605609674202821</v>
      </c>
      <c r="EH574" s="1998">
        <v>1.3605609674202821</v>
      </c>
      <c r="EI574" s="1979">
        <v>2.0966679740137137</v>
      </c>
      <c r="EJ574" s="1979">
        <v>2.0966679740137137</v>
      </c>
      <c r="EK574" s="1979">
        <v>2.0966679740137137</v>
      </c>
      <c r="EL574" s="1979">
        <v>2.0966679740137137</v>
      </c>
      <c r="EM574" s="1979">
        <v>2.0966679740137137</v>
      </c>
      <c r="EN574" s="1998">
        <v>1.4337071065592959</v>
      </c>
      <c r="EO574" s="1998">
        <v>1.4337071065592959</v>
      </c>
      <c r="EP574" s="1998">
        <v>1.4337071065592959</v>
      </c>
      <c r="EQ574" s="1998">
        <v>1.4337071065592959</v>
      </c>
      <c r="ER574" s="1998">
        <v>1.4337071065592959</v>
      </c>
      <c r="ES574" s="1979">
        <v>1.8379162318633464</v>
      </c>
      <c r="ET574" s="1979">
        <v>1.8379162318633464</v>
      </c>
      <c r="EU574" s="1979">
        <v>1.8379162318633464</v>
      </c>
      <c r="EV574" s="1979">
        <v>1.8379162318633464</v>
      </c>
      <c r="EW574" s="1979">
        <v>1.8379162318633464</v>
      </c>
      <c r="EX574" s="1998">
        <v>1.4662053104562123</v>
      </c>
      <c r="EY574" s="1998">
        <v>1.4662053104562123</v>
      </c>
      <c r="EZ574" s="1998">
        <v>1.4662053104562123</v>
      </c>
      <c r="FA574" s="1998">
        <v>1.4662053104562123</v>
      </c>
      <c r="FB574" s="1998">
        <v>1.4662053104562123</v>
      </c>
      <c r="FC574" s="1979">
        <v>1.6277744053108218</v>
      </c>
      <c r="FD574" s="1979">
        <v>1.6277744053108218</v>
      </c>
      <c r="FE574" s="1979">
        <v>1.6277744053108218</v>
      </c>
      <c r="FF574" s="1979">
        <v>1.6277744053108218</v>
      </c>
      <c r="FG574" s="1979">
        <v>1.6277744053108218</v>
      </c>
      <c r="FH574" s="1998">
        <v>2.3921927569513635</v>
      </c>
      <c r="FI574" s="1998">
        <v>2.3921927569513635</v>
      </c>
      <c r="FJ574" s="1998">
        <v>2.3921927569513635</v>
      </c>
      <c r="FK574" s="1998">
        <v>2.3921927569513635</v>
      </c>
      <c r="FL574" s="1998">
        <v>2.3921927569513635</v>
      </c>
      <c r="FM574" s="1979">
        <v>1.5115041757386145</v>
      </c>
      <c r="FN574" s="1979">
        <v>1.5115041757386145</v>
      </c>
      <c r="FO574" s="1979">
        <v>1.5115041757386145</v>
      </c>
      <c r="FP574" s="1979">
        <v>1.5115041757386145</v>
      </c>
      <c r="FQ574" s="1979">
        <v>1.5115041757386145</v>
      </c>
      <c r="FR574" s="1998">
        <v>8.1198212572277306</v>
      </c>
      <c r="FS574" s="1998">
        <v>8.1198212572277306</v>
      </c>
      <c r="FT574" s="1998">
        <v>8.1198212572277306</v>
      </c>
      <c r="FU574" s="1998">
        <v>8.1198212572277306</v>
      </c>
      <c r="FV574" s="1998">
        <v>8.1198212572277306</v>
      </c>
      <c r="FW574" s="1979">
        <v>8.4799072816005001</v>
      </c>
      <c r="FX574" s="1979">
        <v>8.4799072816005001</v>
      </c>
      <c r="FY574" s="1979">
        <v>8.4799072816005001</v>
      </c>
      <c r="FZ574" s="1979">
        <v>8.4799072816005001</v>
      </c>
      <c r="GA574" s="1979">
        <v>8.4799072816005001</v>
      </c>
      <c r="GB574" s="1998">
        <v>1.3861479372000356</v>
      </c>
      <c r="GC574" s="1998">
        <v>1.3861479372000356</v>
      </c>
      <c r="GD574" s="1998">
        <v>1.3861479372000356</v>
      </c>
      <c r="GE574" s="1998">
        <v>1.3861479372000356</v>
      </c>
      <c r="GF574" s="1998">
        <v>1.3861479372000356</v>
      </c>
      <c r="GG574" s="1979">
        <v>1.4313071575784038</v>
      </c>
      <c r="GH574" s="1979">
        <v>1.4313071575784038</v>
      </c>
      <c r="GI574" s="1979">
        <v>1.4313071575784038</v>
      </c>
      <c r="GJ574" s="1979">
        <v>1.4313071575784038</v>
      </c>
      <c r="GK574" s="2021">
        <v>1.4313071575784038</v>
      </c>
    </row>
    <row r="575" spans="1:193">
      <c r="A575" s="2016"/>
      <c r="B575" s="2">
        <v>35</v>
      </c>
      <c r="C575" s="2" t="str">
        <f>$AF$14</f>
        <v/>
      </c>
      <c r="D575" s="1998">
        <f>IF(Construction!$F$31=Construction!$R$22,Oeko!BQ575,Oeko!ED575)</f>
        <v>1</v>
      </c>
      <c r="E575" s="1998">
        <f>IF(Construction!$F$31=Construction!$R$22,Oeko!BR575,Oeko!EE575)</f>
        <v>1</v>
      </c>
      <c r="F575" s="1998">
        <f>IF(Construction!$F$31=Construction!$R$22,Oeko!BS575,Oeko!EF575)</f>
        <v>1</v>
      </c>
      <c r="G575" s="1998">
        <f>IF(Construction!$F$31=Construction!$R$22,Oeko!BT575,Oeko!EG575)</f>
        <v>1</v>
      </c>
      <c r="H575" s="1998">
        <f>IF(Construction!$F$31=Construction!$R$22,Oeko!BU575,Oeko!EH575)</f>
        <v>1</v>
      </c>
      <c r="I575" s="1979">
        <f>IF(Construction!$F$31=Construction!$R$22,Oeko!BV575,Oeko!EI575)</f>
        <v>1</v>
      </c>
      <c r="J575" s="1979">
        <f>IF(Construction!$F$31=Construction!$R$22,Oeko!BW575,Oeko!EJ575)</f>
        <v>1</v>
      </c>
      <c r="K575" s="1979">
        <f>IF(Construction!$F$31=Construction!$R$22,Oeko!BX575,Oeko!EK575)</f>
        <v>1</v>
      </c>
      <c r="L575" s="1979">
        <f>IF(Construction!$F$31=Construction!$R$22,Oeko!BY575,Oeko!EL575)</f>
        <v>1</v>
      </c>
      <c r="M575" s="1979">
        <f>IF(Construction!$F$31=Construction!$R$22,Oeko!BZ575,Oeko!EM575)</f>
        <v>1</v>
      </c>
      <c r="N575" s="1998">
        <f>IF(Construction!$F$31=Construction!$R$22,Oeko!CA575,Oeko!EN575)</f>
        <v>1</v>
      </c>
      <c r="O575" s="1998">
        <f>IF(Construction!$F$31=Construction!$R$22,Oeko!CB575,Oeko!EO575)</f>
        <v>1</v>
      </c>
      <c r="P575" s="1998">
        <f>IF(Construction!$F$31=Construction!$R$22,Oeko!CC575,Oeko!EP575)</f>
        <v>1</v>
      </c>
      <c r="Q575" s="1998">
        <f>IF(Construction!$F$31=Construction!$R$22,Oeko!CD575,Oeko!EQ575)</f>
        <v>1</v>
      </c>
      <c r="R575" s="1998">
        <f>IF(Construction!$F$31=Construction!$R$22,Oeko!CE575,Oeko!ER575)</f>
        <v>1</v>
      </c>
      <c r="S575" s="1979">
        <f>IF(Construction!$F$31=Construction!$R$22,Oeko!CF575,Oeko!ES575)</f>
        <v>1</v>
      </c>
      <c r="T575" s="1979">
        <f>IF(Construction!$F$31=Construction!$R$22,Oeko!CG575,Oeko!ET575)</f>
        <v>1</v>
      </c>
      <c r="U575" s="1979">
        <f>IF(Construction!$F$31=Construction!$R$22,Oeko!CH575,Oeko!EU575)</f>
        <v>1</v>
      </c>
      <c r="V575" s="1979">
        <f>IF(Construction!$F$31=Construction!$R$22,Oeko!CI575,Oeko!EV575)</f>
        <v>1</v>
      </c>
      <c r="W575" s="1979">
        <f>IF(Construction!$F$31=Construction!$R$22,Oeko!CJ575,Oeko!EW575)</f>
        <v>1</v>
      </c>
      <c r="X575" s="1998">
        <f>IF(Construction!$F$31=Construction!$R$22,Oeko!CK575,Oeko!EX575)</f>
        <v>1</v>
      </c>
      <c r="Y575" s="1998">
        <f>IF(Construction!$F$31=Construction!$R$22,Oeko!CL575,Oeko!EY575)</f>
        <v>1</v>
      </c>
      <c r="Z575" s="1998">
        <f>IF(Construction!$F$31=Construction!$R$22,Oeko!CM575,Oeko!EZ575)</f>
        <v>1</v>
      </c>
      <c r="AA575" s="1998">
        <f>IF(Construction!$F$31=Construction!$R$22,Oeko!CN575,Oeko!FA575)</f>
        <v>1</v>
      </c>
      <c r="AB575" s="1998">
        <f>IF(Construction!$F$31=Construction!$R$22,Oeko!CO575,Oeko!FB575)</f>
        <v>1</v>
      </c>
      <c r="AC575" s="1979">
        <f>IF(Construction!$F$31=Construction!$R$22,Oeko!CP575,Oeko!FC575)</f>
        <v>1</v>
      </c>
      <c r="AD575" s="1979">
        <f>IF(Construction!$F$31=Construction!$R$22,Oeko!CQ575,Oeko!FD575)</f>
        <v>1</v>
      </c>
      <c r="AE575" s="1979">
        <f>IF(Construction!$F$31=Construction!$R$22,Oeko!CR575,Oeko!FE575)</f>
        <v>1</v>
      </c>
      <c r="AF575" s="1979">
        <f>IF(Construction!$F$31=Construction!$R$22,Oeko!CS575,Oeko!FF575)</f>
        <v>1</v>
      </c>
      <c r="AG575" s="1979">
        <f>IF(Construction!$F$31=Construction!$R$22,Oeko!CT575,Oeko!FG575)</f>
        <v>1</v>
      </c>
      <c r="AH575" s="1998">
        <f>IF(Construction!$F$31=Construction!$R$22,Oeko!CU575,Oeko!FH575)</f>
        <v>1</v>
      </c>
      <c r="AI575" s="1998">
        <f>IF(Construction!$F$31=Construction!$R$22,Oeko!CV575,Oeko!FI575)</f>
        <v>1</v>
      </c>
      <c r="AJ575" s="1998">
        <f>IF(Construction!$F$31=Construction!$R$22,Oeko!CW575,Oeko!FJ575)</f>
        <v>1</v>
      </c>
      <c r="AK575" s="1998">
        <f>IF(Construction!$F$31=Construction!$R$22,Oeko!CX575,Oeko!FK575)</f>
        <v>1</v>
      </c>
      <c r="AL575" s="1998">
        <f>IF(Construction!$F$31=Construction!$R$22,Oeko!CY575,Oeko!FL575)</f>
        <v>1</v>
      </c>
      <c r="AM575" s="1979">
        <f>IF(Construction!$F$31=Construction!$R$22,Oeko!CZ575,Oeko!FM575)</f>
        <v>1</v>
      </c>
      <c r="AN575" s="1979">
        <f>IF(Construction!$F$31=Construction!$R$22,Oeko!DA575,Oeko!FN575)</f>
        <v>1</v>
      </c>
      <c r="AO575" s="1979">
        <f>IF(Construction!$F$31=Construction!$R$22,Oeko!DB575,Oeko!FO575)</f>
        <v>1</v>
      </c>
      <c r="AP575" s="1979">
        <f>IF(Construction!$F$31=Construction!$R$22,Oeko!DC575,Oeko!FP575)</f>
        <v>1</v>
      </c>
      <c r="AQ575" s="1979">
        <f>IF(Construction!$F$31=Construction!$R$22,Oeko!DD575,Oeko!FQ575)</f>
        <v>1</v>
      </c>
      <c r="AR575" s="1998">
        <f>IF(Construction!$F$31=Construction!$R$22,Oeko!DE575,Oeko!FR575)</f>
        <v>1</v>
      </c>
      <c r="AS575" s="1998">
        <f>IF(Construction!$F$31=Construction!$R$22,Oeko!DF575,Oeko!FS575)</f>
        <v>1</v>
      </c>
      <c r="AT575" s="1998">
        <f>IF(Construction!$F$31=Construction!$R$22,Oeko!DG575,Oeko!FT575)</f>
        <v>1</v>
      </c>
      <c r="AU575" s="1998">
        <f>IF(Construction!$F$31=Construction!$R$22,Oeko!DH575,Oeko!FU575)</f>
        <v>1</v>
      </c>
      <c r="AV575" s="1998">
        <f>IF(Construction!$F$31=Construction!$R$22,Oeko!DI575,Oeko!FV575)</f>
        <v>1</v>
      </c>
      <c r="AW575" s="1979">
        <f>IF(Construction!$F$31=Construction!$R$22,Oeko!DJ575,Oeko!FW575)</f>
        <v>1</v>
      </c>
      <c r="AX575" s="1979">
        <f>IF(Construction!$F$31=Construction!$R$22,Oeko!DK575,Oeko!FX575)</f>
        <v>1</v>
      </c>
      <c r="AY575" s="1979">
        <f>IF(Construction!$F$31=Construction!$R$22,Oeko!DL575,Oeko!FY575)</f>
        <v>1</v>
      </c>
      <c r="AZ575" s="1979">
        <f>IF(Construction!$F$31=Construction!$R$22,Oeko!DM575,Oeko!FZ575)</f>
        <v>1</v>
      </c>
      <c r="BA575" s="1979">
        <f>IF(Construction!$F$31=Construction!$R$22,Oeko!DN575,Oeko!GA575)</f>
        <v>1</v>
      </c>
      <c r="BB575" s="1998">
        <f>IF(Construction!$F$31=Construction!$R$22,Oeko!DO575,Oeko!GB575)</f>
        <v>1</v>
      </c>
      <c r="BC575" s="1998">
        <f>IF(Construction!$F$31=Construction!$R$22,Oeko!DP575,Oeko!GC575)</f>
        <v>1</v>
      </c>
      <c r="BD575" s="1998">
        <f>IF(Construction!$F$31=Construction!$R$22,Oeko!DQ575,Oeko!GD575)</f>
        <v>1</v>
      </c>
      <c r="BE575" s="1998">
        <f>IF(Construction!$F$31=Construction!$R$22,Oeko!DR575,Oeko!GE575)</f>
        <v>1</v>
      </c>
      <c r="BF575" s="1998">
        <f>IF(Construction!$F$31=Construction!$R$22,Oeko!DS575,Oeko!GF575)</f>
        <v>1</v>
      </c>
      <c r="BG575" s="1979">
        <f>IF(Construction!$F$31=Construction!$R$22,Oeko!DT575,Oeko!GG575)</f>
        <v>1</v>
      </c>
      <c r="BH575" s="1979">
        <f>IF(Construction!$F$31=Construction!$R$22,Oeko!DU575,Oeko!GH575)</f>
        <v>1</v>
      </c>
      <c r="BI575" s="1979">
        <f>IF(Construction!$F$31=Construction!$R$22,Oeko!DV575,Oeko!GI575)</f>
        <v>1</v>
      </c>
      <c r="BJ575" s="1979">
        <f>IF(Construction!$F$31=Construction!$R$22,Oeko!DW575,Oeko!GJ575)</f>
        <v>1</v>
      </c>
      <c r="BK575" s="2021">
        <f>IF(Construction!$F$31=Construction!$R$22,Oeko!DX575,Oeko!GK575)</f>
        <v>1</v>
      </c>
      <c r="BN575" s="2018"/>
      <c r="BO575" s="2">
        <v>35</v>
      </c>
      <c r="BP575" s="2" t="str">
        <f>$AF$14</f>
        <v/>
      </c>
      <c r="BQ575" s="1998">
        <v>1</v>
      </c>
      <c r="BR575" s="1998">
        <v>1</v>
      </c>
      <c r="BS575" s="1998">
        <v>1</v>
      </c>
      <c r="BT575" s="1998">
        <v>1</v>
      </c>
      <c r="BU575" s="1998">
        <v>1</v>
      </c>
      <c r="BV575" s="1979">
        <v>1</v>
      </c>
      <c r="BW575" s="1979">
        <v>1</v>
      </c>
      <c r="BX575" s="1979">
        <v>1</v>
      </c>
      <c r="BY575" s="1979">
        <v>1</v>
      </c>
      <c r="BZ575" s="1979">
        <v>1</v>
      </c>
      <c r="CA575" s="1998">
        <v>1</v>
      </c>
      <c r="CB575" s="1998">
        <v>1</v>
      </c>
      <c r="CC575" s="1998">
        <v>1</v>
      </c>
      <c r="CD575" s="1998">
        <v>1</v>
      </c>
      <c r="CE575" s="1998">
        <v>1</v>
      </c>
      <c r="CF575" s="1979">
        <v>1</v>
      </c>
      <c r="CG575" s="1979">
        <v>1</v>
      </c>
      <c r="CH575" s="1979">
        <v>1</v>
      </c>
      <c r="CI575" s="1979">
        <v>1</v>
      </c>
      <c r="CJ575" s="1979">
        <v>1</v>
      </c>
      <c r="CK575" s="1998">
        <v>1</v>
      </c>
      <c r="CL575" s="1998">
        <v>1</v>
      </c>
      <c r="CM575" s="1998">
        <v>1</v>
      </c>
      <c r="CN575" s="1998">
        <v>1</v>
      </c>
      <c r="CO575" s="1998">
        <v>1</v>
      </c>
      <c r="CP575" s="1979">
        <v>1</v>
      </c>
      <c r="CQ575" s="1979">
        <v>1</v>
      </c>
      <c r="CR575" s="1979">
        <v>1</v>
      </c>
      <c r="CS575" s="1979">
        <v>1</v>
      </c>
      <c r="CT575" s="1979">
        <v>1</v>
      </c>
      <c r="CU575" s="1998">
        <v>1</v>
      </c>
      <c r="CV575" s="1998">
        <v>1</v>
      </c>
      <c r="CW575" s="1998">
        <v>1</v>
      </c>
      <c r="CX575" s="1998">
        <v>1</v>
      </c>
      <c r="CY575" s="1998">
        <v>1</v>
      </c>
      <c r="CZ575" s="1979">
        <v>1</v>
      </c>
      <c r="DA575" s="1979">
        <v>1</v>
      </c>
      <c r="DB575" s="1979">
        <v>1</v>
      </c>
      <c r="DC575" s="1979">
        <v>1</v>
      </c>
      <c r="DD575" s="1979">
        <v>1</v>
      </c>
      <c r="DE575" s="1998">
        <v>1</v>
      </c>
      <c r="DF575" s="1998">
        <v>1</v>
      </c>
      <c r="DG575" s="1998">
        <v>1</v>
      </c>
      <c r="DH575" s="1998">
        <v>1</v>
      </c>
      <c r="DI575" s="1998">
        <v>1</v>
      </c>
      <c r="DJ575" s="1979">
        <v>1</v>
      </c>
      <c r="DK575" s="1979">
        <v>1</v>
      </c>
      <c r="DL575" s="1979">
        <v>1</v>
      </c>
      <c r="DM575" s="1979">
        <v>1</v>
      </c>
      <c r="DN575" s="1979">
        <v>1</v>
      </c>
      <c r="DO575" s="1998">
        <v>1</v>
      </c>
      <c r="DP575" s="1998">
        <v>1</v>
      </c>
      <c r="DQ575" s="1998">
        <v>1</v>
      </c>
      <c r="DR575" s="1998">
        <v>1</v>
      </c>
      <c r="DS575" s="1998">
        <v>1</v>
      </c>
      <c r="DT575" s="1979">
        <v>1</v>
      </c>
      <c r="DU575" s="1979">
        <v>1</v>
      </c>
      <c r="DV575" s="1979">
        <v>1</v>
      </c>
      <c r="DW575" s="1979">
        <v>1</v>
      </c>
      <c r="DX575" s="2021">
        <v>1</v>
      </c>
      <c r="EA575" s="2018"/>
      <c r="EB575" s="2">
        <v>35</v>
      </c>
      <c r="EC575" s="2" t="str">
        <f>$AF$14</f>
        <v/>
      </c>
      <c r="ED575" s="1998">
        <v>1.3605609674202821</v>
      </c>
      <c r="EE575" s="1998">
        <v>1.3605609674202821</v>
      </c>
      <c r="EF575" s="1998">
        <v>1.3605609674202821</v>
      </c>
      <c r="EG575" s="1998">
        <v>1.3605609674202821</v>
      </c>
      <c r="EH575" s="1998">
        <v>1.3605609674202821</v>
      </c>
      <c r="EI575" s="1979">
        <v>2.0966679740137137</v>
      </c>
      <c r="EJ575" s="1979">
        <v>2.0966679740137137</v>
      </c>
      <c r="EK575" s="1979">
        <v>2.0966679740137137</v>
      </c>
      <c r="EL575" s="1979">
        <v>2.0966679740137137</v>
      </c>
      <c r="EM575" s="1979">
        <v>2.0966679740137137</v>
      </c>
      <c r="EN575" s="1998">
        <v>1.4337071065592959</v>
      </c>
      <c r="EO575" s="1998">
        <v>1.4337071065592959</v>
      </c>
      <c r="EP575" s="1998">
        <v>1.4337071065592959</v>
      </c>
      <c r="EQ575" s="1998">
        <v>1.4337071065592959</v>
      </c>
      <c r="ER575" s="1998">
        <v>1.4337071065592959</v>
      </c>
      <c r="ES575" s="1979">
        <v>1.8379162318633464</v>
      </c>
      <c r="ET575" s="1979">
        <v>1.8379162318633464</v>
      </c>
      <c r="EU575" s="1979">
        <v>1.8379162318633464</v>
      </c>
      <c r="EV575" s="1979">
        <v>1.8379162318633464</v>
      </c>
      <c r="EW575" s="1979">
        <v>1.8379162318633464</v>
      </c>
      <c r="EX575" s="1998">
        <v>1.4662053104562123</v>
      </c>
      <c r="EY575" s="1998">
        <v>1.4662053104562123</v>
      </c>
      <c r="EZ575" s="1998">
        <v>1.4662053104562123</v>
      </c>
      <c r="FA575" s="1998">
        <v>1.4662053104562123</v>
      </c>
      <c r="FB575" s="1998">
        <v>1.4662053104562123</v>
      </c>
      <c r="FC575" s="1979">
        <v>1.6277744053108218</v>
      </c>
      <c r="FD575" s="1979">
        <v>1.6277744053108218</v>
      </c>
      <c r="FE575" s="1979">
        <v>1.6277744053108218</v>
      </c>
      <c r="FF575" s="1979">
        <v>1.6277744053108218</v>
      </c>
      <c r="FG575" s="1979">
        <v>1.6277744053108218</v>
      </c>
      <c r="FH575" s="1998">
        <v>2.3921927569513635</v>
      </c>
      <c r="FI575" s="1998">
        <v>2.3921927569513635</v>
      </c>
      <c r="FJ575" s="1998">
        <v>2.3921927569513635</v>
      </c>
      <c r="FK575" s="1998">
        <v>2.3921927569513635</v>
      </c>
      <c r="FL575" s="1998">
        <v>2.3921927569513635</v>
      </c>
      <c r="FM575" s="1979">
        <v>1.5115041757386145</v>
      </c>
      <c r="FN575" s="1979">
        <v>1.5115041757386145</v>
      </c>
      <c r="FO575" s="1979">
        <v>1.5115041757386145</v>
      </c>
      <c r="FP575" s="1979">
        <v>1.5115041757386145</v>
      </c>
      <c r="FQ575" s="1979">
        <v>1.5115041757386145</v>
      </c>
      <c r="FR575" s="1998">
        <v>8.1198212572277306</v>
      </c>
      <c r="FS575" s="1998">
        <v>8.1198212572277306</v>
      </c>
      <c r="FT575" s="1998">
        <v>8.1198212572277306</v>
      </c>
      <c r="FU575" s="1998">
        <v>8.1198212572277306</v>
      </c>
      <c r="FV575" s="1998">
        <v>8.1198212572277306</v>
      </c>
      <c r="FW575" s="1979">
        <v>8.4799072816005001</v>
      </c>
      <c r="FX575" s="1979">
        <v>8.4799072816005001</v>
      </c>
      <c r="FY575" s="1979">
        <v>8.4799072816005001</v>
      </c>
      <c r="FZ575" s="1979">
        <v>8.4799072816005001</v>
      </c>
      <c r="GA575" s="1979">
        <v>8.4799072816005001</v>
      </c>
      <c r="GB575" s="1998">
        <v>1.3861479372000356</v>
      </c>
      <c r="GC575" s="1998">
        <v>1.3861479372000356</v>
      </c>
      <c r="GD575" s="1998">
        <v>1.3861479372000356</v>
      </c>
      <c r="GE575" s="1998">
        <v>1.3861479372000356</v>
      </c>
      <c r="GF575" s="1998">
        <v>1.3861479372000356</v>
      </c>
      <c r="GG575" s="1979">
        <v>1.4313071575784038</v>
      </c>
      <c r="GH575" s="1979">
        <v>1.4313071575784038</v>
      </c>
      <c r="GI575" s="1979">
        <v>1.4313071575784038</v>
      </c>
      <c r="GJ575" s="1979">
        <v>1.4313071575784038</v>
      </c>
      <c r="GK575" s="2021">
        <v>1.4313071575784038</v>
      </c>
    </row>
    <row r="576" spans="1:193">
      <c r="A576" s="2016"/>
      <c r="B576" s="2">
        <v>36</v>
      </c>
      <c r="C576" s="2" t="str">
        <f>$AF$15</f>
        <v/>
      </c>
      <c r="D576" s="1998">
        <f>IF(Construction!$F$31=Construction!$R$22,Oeko!BQ576,Oeko!ED576)</f>
        <v>1</v>
      </c>
      <c r="E576" s="1998">
        <f>IF(Construction!$F$31=Construction!$R$22,Oeko!BR576,Oeko!EE576)</f>
        <v>1</v>
      </c>
      <c r="F576" s="1998">
        <f>IF(Construction!$F$31=Construction!$R$22,Oeko!BS576,Oeko!EF576)</f>
        <v>1</v>
      </c>
      <c r="G576" s="1998">
        <f>IF(Construction!$F$31=Construction!$R$22,Oeko!BT576,Oeko!EG576)</f>
        <v>1</v>
      </c>
      <c r="H576" s="1998">
        <f>IF(Construction!$F$31=Construction!$R$22,Oeko!BU576,Oeko!EH576)</f>
        <v>1</v>
      </c>
      <c r="I576" s="1979">
        <f>IF(Construction!$F$31=Construction!$R$22,Oeko!BV576,Oeko!EI576)</f>
        <v>1</v>
      </c>
      <c r="J576" s="1979">
        <f>IF(Construction!$F$31=Construction!$R$22,Oeko!BW576,Oeko!EJ576)</f>
        <v>1</v>
      </c>
      <c r="K576" s="1979">
        <f>IF(Construction!$F$31=Construction!$R$22,Oeko!BX576,Oeko!EK576)</f>
        <v>1</v>
      </c>
      <c r="L576" s="1979">
        <f>IF(Construction!$F$31=Construction!$R$22,Oeko!BY576,Oeko!EL576)</f>
        <v>1</v>
      </c>
      <c r="M576" s="1979">
        <f>IF(Construction!$F$31=Construction!$R$22,Oeko!BZ576,Oeko!EM576)</f>
        <v>1</v>
      </c>
      <c r="N576" s="1998">
        <f>IF(Construction!$F$31=Construction!$R$22,Oeko!CA576,Oeko!EN576)</f>
        <v>1</v>
      </c>
      <c r="O576" s="1998">
        <f>IF(Construction!$F$31=Construction!$R$22,Oeko!CB576,Oeko!EO576)</f>
        <v>1</v>
      </c>
      <c r="P576" s="1998">
        <f>IF(Construction!$F$31=Construction!$R$22,Oeko!CC576,Oeko!EP576)</f>
        <v>1</v>
      </c>
      <c r="Q576" s="1998">
        <f>IF(Construction!$F$31=Construction!$R$22,Oeko!CD576,Oeko!EQ576)</f>
        <v>1</v>
      </c>
      <c r="R576" s="1998">
        <f>IF(Construction!$F$31=Construction!$R$22,Oeko!CE576,Oeko!ER576)</f>
        <v>1</v>
      </c>
      <c r="S576" s="1979">
        <f>IF(Construction!$F$31=Construction!$R$22,Oeko!CF576,Oeko!ES576)</f>
        <v>1</v>
      </c>
      <c r="T576" s="1979">
        <f>IF(Construction!$F$31=Construction!$R$22,Oeko!CG576,Oeko!ET576)</f>
        <v>1</v>
      </c>
      <c r="U576" s="1979">
        <f>IF(Construction!$F$31=Construction!$R$22,Oeko!CH576,Oeko!EU576)</f>
        <v>1</v>
      </c>
      <c r="V576" s="1979">
        <f>IF(Construction!$F$31=Construction!$R$22,Oeko!CI576,Oeko!EV576)</f>
        <v>1</v>
      </c>
      <c r="W576" s="1979">
        <f>IF(Construction!$F$31=Construction!$R$22,Oeko!CJ576,Oeko!EW576)</f>
        <v>1</v>
      </c>
      <c r="X576" s="1998">
        <f>IF(Construction!$F$31=Construction!$R$22,Oeko!CK576,Oeko!EX576)</f>
        <v>1</v>
      </c>
      <c r="Y576" s="1998">
        <f>IF(Construction!$F$31=Construction!$R$22,Oeko!CL576,Oeko!EY576)</f>
        <v>1</v>
      </c>
      <c r="Z576" s="1998">
        <f>IF(Construction!$F$31=Construction!$R$22,Oeko!CM576,Oeko!EZ576)</f>
        <v>1</v>
      </c>
      <c r="AA576" s="1998">
        <f>IF(Construction!$F$31=Construction!$R$22,Oeko!CN576,Oeko!FA576)</f>
        <v>1</v>
      </c>
      <c r="AB576" s="1998">
        <f>IF(Construction!$F$31=Construction!$R$22,Oeko!CO576,Oeko!FB576)</f>
        <v>1</v>
      </c>
      <c r="AC576" s="1979">
        <f>IF(Construction!$F$31=Construction!$R$22,Oeko!CP576,Oeko!FC576)</f>
        <v>1</v>
      </c>
      <c r="AD576" s="1979">
        <f>IF(Construction!$F$31=Construction!$R$22,Oeko!CQ576,Oeko!FD576)</f>
        <v>1</v>
      </c>
      <c r="AE576" s="1979">
        <f>IF(Construction!$F$31=Construction!$R$22,Oeko!CR576,Oeko!FE576)</f>
        <v>1</v>
      </c>
      <c r="AF576" s="1979">
        <f>IF(Construction!$F$31=Construction!$R$22,Oeko!CS576,Oeko!FF576)</f>
        <v>1</v>
      </c>
      <c r="AG576" s="1979">
        <f>IF(Construction!$F$31=Construction!$R$22,Oeko!CT576,Oeko!FG576)</f>
        <v>1</v>
      </c>
      <c r="AH576" s="1998">
        <f>IF(Construction!$F$31=Construction!$R$22,Oeko!CU576,Oeko!FH576)</f>
        <v>1</v>
      </c>
      <c r="AI576" s="1998">
        <f>IF(Construction!$F$31=Construction!$R$22,Oeko!CV576,Oeko!FI576)</f>
        <v>1</v>
      </c>
      <c r="AJ576" s="1998">
        <f>IF(Construction!$F$31=Construction!$R$22,Oeko!CW576,Oeko!FJ576)</f>
        <v>1</v>
      </c>
      <c r="AK576" s="1998">
        <f>IF(Construction!$F$31=Construction!$R$22,Oeko!CX576,Oeko!FK576)</f>
        <v>1</v>
      </c>
      <c r="AL576" s="1998">
        <f>IF(Construction!$F$31=Construction!$R$22,Oeko!CY576,Oeko!FL576)</f>
        <v>1</v>
      </c>
      <c r="AM576" s="1979">
        <f>IF(Construction!$F$31=Construction!$R$22,Oeko!CZ576,Oeko!FM576)</f>
        <v>1</v>
      </c>
      <c r="AN576" s="1979">
        <f>IF(Construction!$F$31=Construction!$R$22,Oeko!DA576,Oeko!FN576)</f>
        <v>1</v>
      </c>
      <c r="AO576" s="1979">
        <f>IF(Construction!$F$31=Construction!$R$22,Oeko!DB576,Oeko!FO576)</f>
        <v>1</v>
      </c>
      <c r="AP576" s="1979">
        <f>IF(Construction!$F$31=Construction!$R$22,Oeko!DC576,Oeko!FP576)</f>
        <v>1</v>
      </c>
      <c r="AQ576" s="1979">
        <f>IF(Construction!$F$31=Construction!$R$22,Oeko!DD576,Oeko!FQ576)</f>
        <v>1</v>
      </c>
      <c r="AR576" s="1998">
        <f>IF(Construction!$F$31=Construction!$R$22,Oeko!DE576,Oeko!FR576)</f>
        <v>1</v>
      </c>
      <c r="AS576" s="1998">
        <f>IF(Construction!$F$31=Construction!$R$22,Oeko!DF576,Oeko!FS576)</f>
        <v>1</v>
      </c>
      <c r="AT576" s="1998">
        <f>IF(Construction!$F$31=Construction!$R$22,Oeko!DG576,Oeko!FT576)</f>
        <v>1</v>
      </c>
      <c r="AU576" s="1998">
        <f>IF(Construction!$F$31=Construction!$R$22,Oeko!DH576,Oeko!FU576)</f>
        <v>1</v>
      </c>
      <c r="AV576" s="1998">
        <f>IF(Construction!$F$31=Construction!$R$22,Oeko!DI576,Oeko!FV576)</f>
        <v>1</v>
      </c>
      <c r="AW576" s="1979">
        <f>IF(Construction!$F$31=Construction!$R$22,Oeko!DJ576,Oeko!FW576)</f>
        <v>1</v>
      </c>
      <c r="AX576" s="1979">
        <f>IF(Construction!$F$31=Construction!$R$22,Oeko!DK576,Oeko!FX576)</f>
        <v>1</v>
      </c>
      <c r="AY576" s="1979">
        <f>IF(Construction!$F$31=Construction!$R$22,Oeko!DL576,Oeko!FY576)</f>
        <v>1</v>
      </c>
      <c r="AZ576" s="1979">
        <f>IF(Construction!$F$31=Construction!$R$22,Oeko!DM576,Oeko!FZ576)</f>
        <v>1</v>
      </c>
      <c r="BA576" s="1979">
        <f>IF(Construction!$F$31=Construction!$R$22,Oeko!DN576,Oeko!GA576)</f>
        <v>1</v>
      </c>
      <c r="BB576" s="1998">
        <f>IF(Construction!$F$31=Construction!$R$22,Oeko!DO576,Oeko!GB576)</f>
        <v>1</v>
      </c>
      <c r="BC576" s="1998">
        <f>IF(Construction!$F$31=Construction!$R$22,Oeko!DP576,Oeko!GC576)</f>
        <v>1</v>
      </c>
      <c r="BD576" s="1998">
        <f>IF(Construction!$F$31=Construction!$R$22,Oeko!DQ576,Oeko!GD576)</f>
        <v>1</v>
      </c>
      <c r="BE576" s="1998">
        <f>IF(Construction!$F$31=Construction!$R$22,Oeko!DR576,Oeko!GE576)</f>
        <v>1</v>
      </c>
      <c r="BF576" s="1998">
        <f>IF(Construction!$F$31=Construction!$R$22,Oeko!DS576,Oeko!GF576)</f>
        <v>1</v>
      </c>
      <c r="BG576" s="1979">
        <f>IF(Construction!$F$31=Construction!$R$22,Oeko!DT576,Oeko!GG576)</f>
        <v>1</v>
      </c>
      <c r="BH576" s="1979">
        <f>IF(Construction!$F$31=Construction!$R$22,Oeko!DU576,Oeko!GH576)</f>
        <v>1</v>
      </c>
      <c r="BI576" s="1979">
        <f>IF(Construction!$F$31=Construction!$R$22,Oeko!DV576,Oeko!GI576)</f>
        <v>1</v>
      </c>
      <c r="BJ576" s="1979">
        <f>IF(Construction!$F$31=Construction!$R$22,Oeko!DW576,Oeko!GJ576)</f>
        <v>1</v>
      </c>
      <c r="BK576" s="2021">
        <f>IF(Construction!$F$31=Construction!$R$22,Oeko!DX576,Oeko!GK576)</f>
        <v>1</v>
      </c>
      <c r="BN576" s="2018"/>
      <c r="BO576" s="2">
        <v>36</v>
      </c>
      <c r="BP576" s="2" t="str">
        <f>$AF$15</f>
        <v/>
      </c>
      <c r="BQ576" s="1998">
        <v>1</v>
      </c>
      <c r="BR576" s="1998">
        <v>1</v>
      </c>
      <c r="BS576" s="1998">
        <v>1</v>
      </c>
      <c r="BT576" s="1998">
        <v>1</v>
      </c>
      <c r="BU576" s="1998">
        <v>1</v>
      </c>
      <c r="BV576" s="1979">
        <v>1</v>
      </c>
      <c r="BW576" s="1979">
        <v>1</v>
      </c>
      <c r="BX576" s="1979">
        <v>1</v>
      </c>
      <c r="BY576" s="1979">
        <v>1</v>
      </c>
      <c r="BZ576" s="1979">
        <v>1</v>
      </c>
      <c r="CA576" s="1998">
        <v>1</v>
      </c>
      <c r="CB576" s="1998">
        <v>1</v>
      </c>
      <c r="CC576" s="1998">
        <v>1</v>
      </c>
      <c r="CD576" s="1998">
        <v>1</v>
      </c>
      <c r="CE576" s="1998">
        <v>1</v>
      </c>
      <c r="CF576" s="1979">
        <v>1</v>
      </c>
      <c r="CG576" s="1979">
        <v>1</v>
      </c>
      <c r="CH576" s="1979">
        <v>1</v>
      </c>
      <c r="CI576" s="1979">
        <v>1</v>
      </c>
      <c r="CJ576" s="1979">
        <v>1</v>
      </c>
      <c r="CK576" s="1998">
        <v>1</v>
      </c>
      <c r="CL576" s="1998">
        <v>1</v>
      </c>
      <c r="CM576" s="1998">
        <v>1</v>
      </c>
      <c r="CN576" s="1998">
        <v>1</v>
      </c>
      <c r="CO576" s="1998">
        <v>1</v>
      </c>
      <c r="CP576" s="1979">
        <v>1</v>
      </c>
      <c r="CQ576" s="1979">
        <v>1</v>
      </c>
      <c r="CR576" s="1979">
        <v>1</v>
      </c>
      <c r="CS576" s="1979">
        <v>1</v>
      </c>
      <c r="CT576" s="1979">
        <v>1</v>
      </c>
      <c r="CU576" s="1998">
        <v>1</v>
      </c>
      <c r="CV576" s="1998">
        <v>1</v>
      </c>
      <c r="CW576" s="1998">
        <v>1</v>
      </c>
      <c r="CX576" s="1998">
        <v>1</v>
      </c>
      <c r="CY576" s="1998">
        <v>1</v>
      </c>
      <c r="CZ576" s="1979">
        <v>1</v>
      </c>
      <c r="DA576" s="1979">
        <v>1</v>
      </c>
      <c r="DB576" s="1979">
        <v>1</v>
      </c>
      <c r="DC576" s="1979">
        <v>1</v>
      </c>
      <c r="DD576" s="1979">
        <v>1</v>
      </c>
      <c r="DE576" s="1998">
        <v>1</v>
      </c>
      <c r="DF576" s="1998">
        <v>1</v>
      </c>
      <c r="DG576" s="1998">
        <v>1</v>
      </c>
      <c r="DH576" s="1998">
        <v>1</v>
      </c>
      <c r="DI576" s="1998">
        <v>1</v>
      </c>
      <c r="DJ576" s="1979">
        <v>1</v>
      </c>
      <c r="DK576" s="1979">
        <v>1</v>
      </c>
      <c r="DL576" s="1979">
        <v>1</v>
      </c>
      <c r="DM576" s="1979">
        <v>1</v>
      </c>
      <c r="DN576" s="1979">
        <v>1</v>
      </c>
      <c r="DO576" s="1998">
        <v>1</v>
      </c>
      <c r="DP576" s="1998">
        <v>1</v>
      </c>
      <c r="DQ576" s="1998">
        <v>1</v>
      </c>
      <c r="DR576" s="1998">
        <v>1</v>
      </c>
      <c r="DS576" s="1998">
        <v>1</v>
      </c>
      <c r="DT576" s="1979">
        <v>1</v>
      </c>
      <c r="DU576" s="1979">
        <v>1</v>
      </c>
      <c r="DV576" s="1979">
        <v>1</v>
      </c>
      <c r="DW576" s="1979">
        <v>1</v>
      </c>
      <c r="DX576" s="2021">
        <v>1</v>
      </c>
      <c r="EA576" s="2018"/>
      <c r="EB576" s="2">
        <v>36</v>
      </c>
      <c r="EC576" s="2" t="str">
        <f>$AF$15</f>
        <v/>
      </c>
      <c r="ED576" s="1998">
        <v>1.3605609674202821</v>
      </c>
      <c r="EE576" s="1998">
        <v>1.3605609674202821</v>
      </c>
      <c r="EF576" s="1998">
        <v>1.3605609674202821</v>
      </c>
      <c r="EG576" s="1998">
        <v>1.3605609674202821</v>
      </c>
      <c r="EH576" s="1998">
        <v>1.3605609674202821</v>
      </c>
      <c r="EI576" s="1979">
        <v>2.0966679740137137</v>
      </c>
      <c r="EJ576" s="1979">
        <v>2.0966679740137137</v>
      </c>
      <c r="EK576" s="1979">
        <v>2.0966679740137137</v>
      </c>
      <c r="EL576" s="1979">
        <v>2.0966679740137137</v>
      </c>
      <c r="EM576" s="1979">
        <v>2.0966679740137137</v>
      </c>
      <c r="EN576" s="1998">
        <v>1.4337071065592959</v>
      </c>
      <c r="EO576" s="1998">
        <v>1.4337071065592959</v>
      </c>
      <c r="EP576" s="1998">
        <v>1.4337071065592959</v>
      </c>
      <c r="EQ576" s="1998">
        <v>1.4337071065592959</v>
      </c>
      <c r="ER576" s="1998">
        <v>1.4337071065592959</v>
      </c>
      <c r="ES576" s="1979">
        <v>1.8379162318633464</v>
      </c>
      <c r="ET576" s="1979">
        <v>1.8379162318633464</v>
      </c>
      <c r="EU576" s="1979">
        <v>1.8379162318633464</v>
      </c>
      <c r="EV576" s="1979">
        <v>1.8379162318633464</v>
      </c>
      <c r="EW576" s="1979">
        <v>1.8379162318633464</v>
      </c>
      <c r="EX576" s="1998">
        <v>1.4662053104562123</v>
      </c>
      <c r="EY576" s="1998">
        <v>1.4662053104562123</v>
      </c>
      <c r="EZ576" s="1998">
        <v>1.4662053104562123</v>
      </c>
      <c r="FA576" s="1998">
        <v>1.4662053104562123</v>
      </c>
      <c r="FB576" s="1998">
        <v>1.4662053104562123</v>
      </c>
      <c r="FC576" s="1979">
        <v>1.6277744053108218</v>
      </c>
      <c r="FD576" s="1979">
        <v>1.6277744053108218</v>
      </c>
      <c r="FE576" s="1979">
        <v>1.6277744053108218</v>
      </c>
      <c r="FF576" s="1979">
        <v>1.6277744053108218</v>
      </c>
      <c r="FG576" s="1979">
        <v>1.6277744053108218</v>
      </c>
      <c r="FH576" s="1998">
        <v>2.3921927569513635</v>
      </c>
      <c r="FI576" s="1998">
        <v>2.3921927569513635</v>
      </c>
      <c r="FJ576" s="1998">
        <v>2.3921927569513635</v>
      </c>
      <c r="FK576" s="1998">
        <v>2.3921927569513635</v>
      </c>
      <c r="FL576" s="1998">
        <v>2.3921927569513635</v>
      </c>
      <c r="FM576" s="1979">
        <v>1.5115041757386145</v>
      </c>
      <c r="FN576" s="1979">
        <v>1.5115041757386145</v>
      </c>
      <c r="FO576" s="1979">
        <v>1.5115041757386145</v>
      </c>
      <c r="FP576" s="1979">
        <v>1.5115041757386145</v>
      </c>
      <c r="FQ576" s="1979">
        <v>1.5115041757386145</v>
      </c>
      <c r="FR576" s="1998">
        <v>8.1198212572277306</v>
      </c>
      <c r="FS576" s="1998">
        <v>8.1198212572277306</v>
      </c>
      <c r="FT576" s="1998">
        <v>8.1198212572277306</v>
      </c>
      <c r="FU576" s="1998">
        <v>8.1198212572277306</v>
      </c>
      <c r="FV576" s="1998">
        <v>8.1198212572277306</v>
      </c>
      <c r="FW576" s="1979">
        <v>8.4799072816005001</v>
      </c>
      <c r="FX576" s="1979">
        <v>8.4799072816005001</v>
      </c>
      <c r="FY576" s="1979">
        <v>8.4799072816005001</v>
      </c>
      <c r="FZ576" s="1979">
        <v>8.4799072816005001</v>
      </c>
      <c r="GA576" s="1979">
        <v>8.4799072816005001</v>
      </c>
      <c r="GB576" s="1998">
        <v>1.3861479372000356</v>
      </c>
      <c r="GC576" s="1998">
        <v>1.3861479372000356</v>
      </c>
      <c r="GD576" s="1998">
        <v>1.3861479372000356</v>
      </c>
      <c r="GE576" s="1998">
        <v>1.3861479372000356</v>
      </c>
      <c r="GF576" s="1998">
        <v>1.3861479372000356</v>
      </c>
      <c r="GG576" s="1979">
        <v>1.4313071575784038</v>
      </c>
      <c r="GH576" s="1979">
        <v>1.4313071575784038</v>
      </c>
      <c r="GI576" s="1979">
        <v>1.4313071575784038</v>
      </c>
      <c r="GJ576" s="1979">
        <v>1.4313071575784038</v>
      </c>
      <c r="GK576" s="2021">
        <v>1.4313071575784038</v>
      </c>
    </row>
    <row r="577" spans="1:193">
      <c r="A577" s="2016"/>
      <c r="B577" s="2">
        <v>37</v>
      </c>
      <c r="C577" s="2" t="str">
        <f>$AF$16</f>
        <v/>
      </c>
      <c r="D577" s="1998">
        <f>IF(Construction!$F$31=Construction!$R$22,Oeko!BQ577,Oeko!ED577)</f>
        <v>1</v>
      </c>
      <c r="E577" s="1998">
        <f>IF(Construction!$F$31=Construction!$R$22,Oeko!BR577,Oeko!EE577)</f>
        <v>1</v>
      </c>
      <c r="F577" s="1998">
        <f>IF(Construction!$F$31=Construction!$R$22,Oeko!BS577,Oeko!EF577)</f>
        <v>1</v>
      </c>
      <c r="G577" s="1998">
        <f>IF(Construction!$F$31=Construction!$R$22,Oeko!BT577,Oeko!EG577)</f>
        <v>1</v>
      </c>
      <c r="H577" s="1998">
        <f>IF(Construction!$F$31=Construction!$R$22,Oeko!BU577,Oeko!EH577)</f>
        <v>1</v>
      </c>
      <c r="I577" s="1979">
        <f>IF(Construction!$F$31=Construction!$R$22,Oeko!BV577,Oeko!EI577)</f>
        <v>1</v>
      </c>
      <c r="J577" s="1979">
        <f>IF(Construction!$F$31=Construction!$R$22,Oeko!BW577,Oeko!EJ577)</f>
        <v>1</v>
      </c>
      <c r="K577" s="1979">
        <f>IF(Construction!$F$31=Construction!$R$22,Oeko!BX577,Oeko!EK577)</f>
        <v>1</v>
      </c>
      <c r="L577" s="1979">
        <f>IF(Construction!$F$31=Construction!$R$22,Oeko!BY577,Oeko!EL577)</f>
        <v>1</v>
      </c>
      <c r="M577" s="1979">
        <f>IF(Construction!$F$31=Construction!$R$22,Oeko!BZ577,Oeko!EM577)</f>
        <v>1</v>
      </c>
      <c r="N577" s="1998">
        <f>IF(Construction!$F$31=Construction!$R$22,Oeko!CA577,Oeko!EN577)</f>
        <v>1</v>
      </c>
      <c r="O577" s="1998">
        <f>IF(Construction!$F$31=Construction!$R$22,Oeko!CB577,Oeko!EO577)</f>
        <v>1</v>
      </c>
      <c r="P577" s="1998">
        <f>IF(Construction!$F$31=Construction!$R$22,Oeko!CC577,Oeko!EP577)</f>
        <v>1</v>
      </c>
      <c r="Q577" s="1998">
        <f>IF(Construction!$F$31=Construction!$R$22,Oeko!CD577,Oeko!EQ577)</f>
        <v>1</v>
      </c>
      <c r="R577" s="1998">
        <f>IF(Construction!$F$31=Construction!$R$22,Oeko!CE577,Oeko!ER577)</f>
        <v>1</v>
      </c>
      <c r="S577" s="1979">
        <f>IF(Construction!$F$31=Construction!$R$22,Oeko!CF577,Oeko!ES577)</f>
        <v>1</v>
      </c>
      <c r="T577" s="1979">
        <f>IF(Construction!$F$31=Construction!$R$22,Oeko!CG577,Oeko!ET577)</f>
        <v>1</v>
      </c>
      <c r="U577" s="1979">
        <f>IF(Construction!$F$31=Construction!$R$22,Oeko!CH577,Oeko!EU577)</f>
        <v>1</v>
      </c>
      <c r="V577" s="1979">
        <f>IF(Construction!$F$31=Construction!$R$22,Oeko!CI577,Oeko!EV577)</f>
        <v>1</v>
      </c>
      <c r="W577" s="1979">
        <f>IF(Construction!$F$31=Construction!$R$22,Oeko!CJ577,Oeko!EW577)</f>
        <v>1</v>
      </c>
      <c r="X577" s="1998">
        <f>IF(Construction!$F$31=Construction!$R$22,Oeko!CK577,Oeko!EX577)</f>
        <v>1</v>
      </c>
      <c r="Y577" s="1998">
        <f>IF(Construction!$F$31=Construction!$R$22,Oeko!CL577,Oeko!EY577)</f>
        <v>1</v>
      </c>
      <c r="Z577" s="1998">
        <f>IF(Construction!$F$31=Construction!$R$22,Oeko!CM577,Oeko!EZ577)</f>
        <v>1</v>
      </c>
      <c r="AA577" s="1998">
        <f>IF(Construction!$F$31=Construction!$R$22,Oeko!CN577,Oeko!FA577)</f>
        <v>1</v>
      </c>
      <c r="AB577" s="1998">
        <f>IF(Construction!$F$31=Construction!$R$22,Oeko!CO577,Oeko!FB577)</f>
        <v>1</v>
      </c>
      <c r="AC577" s="1979">
        <f>IF(Construction!$F$31=Construction!$R$22,Oeko!CP577,Oeko!FC577)</f>
        <v>1</v>
      </c>
      <c r="AD577" s="1979">
        <f>IF(Construction!$F$31=Construction!$R$22,Oeko!CQ577,Oeko!FD577)</f>
        <v>1</v>
      </c>
      <c r="AE577" s="1979">
        <f>IF(Construction!$F$31=Construction!$R$22,Oeko!CR577,Oeko!FE577)</f>
        <v>1</v>
      </c>
      <c r="AF577" s="1979">
        <f>IF(Construction!$F$31=Construction!$R$22,Oeko!CS577,Oeko!FF577)</f>
        <v>1</v>
      </c>
      <c r="AG577" s="1979">
        <f>IF(Construction!$F$31=Construction!$R$22,Oeko!CT577,Oeko!FG577)</f>
        <v>1</v>
      </c>
      <c r="AH577" s="1998">
        <f>IF(Construction!$F$31=Construction!$R$22,Oeko!CU577,Oeko!FH577)</f>
        <v>1</v>
      </c>
      <c r="AI577" s="1998">
        <f>IF(Construction!$F$31=Construction!$R$22,Oeko!CV577,Oeko!FI577)</f>
        <v>1</v>
      </c>
      <c r="AJ577" s="1998">
        <f>IF(Construction!$F$31=Construction!$R$22,Oeko!CW577,Oeko!FJ577)</f>
        <v>1</v>
      </c>
      <c r="AK577" s="1998">
        <f>IF(Construction!$F$31=Construction!$R$22,Oeko!CX577,Oeko!FK577)</f>
        <v>1</v>
      </c>
      <c r="AL577" s="1998">
        <f>IF(Construction!$F$31=Construction!$R$22,Oeko!CY577,Oeko!FL577)</f>
        <v>1</v>
      </c>
      <c r="AM577" s="1979">
        <f>IF(Construction!$F$31=Construction!$R$22,Oeko!CZ577,Oeko!FM577)</f>
        <v>1</v>
      </c>
      <c r="AN577" s="1979">
        <f>IF(Construction!$F$31=Construction!$R$22,Oeko!DA577,Oeko!FN577)</f>
        <v>1</v>
      </c>
      <c r="AO577" s="1979">
        <f>IF(Construction!$F$31=Construction!$R$22,Oeko!DB577,Oeko!FO577)</f>
        <v>1</v>
      </c>
      <c r="AP577" s="1979">
        <f>IF(Construction!$F$31=Construction!$R$22,Oeko!DC577,Oeko!FP577)</f>
        <v>1</v>
      </c>
      <c r="AQ577" s="1979">
        <f>IF(Construction!$F$31=Construction!$R$22,Oeko!DD577,Oeko!FQ577)</f>
        <v>1</v>
      </c>
      <c r="AR577" s="1998">
        <f>IF(Construction!$F$31=Construction!$R$22,Oeko!DE577,Oeko!FR577)</f>
        <v>1</v>
      </c>
      <c r="AS577" s="1998">
        <f>IF(Construction!$F$31=Construction!$R$22,Oeko!DF577,Oeko!FS577)</f>
        <v>1</v>
      </c>
      <c r="AT577" s="1998">
        <f>IF(Construction!$F$31=Construction!$R$22,Oeko!DG577,Oeko!FT577)</f>
        <v>1</v>
      </c>
      <c r="AU577" s="1998">
        <f>IF(Construction!$F$31=Construction!$R$22,Oeko!DH577,Oeko!FU577)</f>
        <v>1</v>
      </c>
      <c r="AV577" s="1998">
        <f>IF(Construction!$F$31=Construction!$R$22,Oeko!DI577,Oeko!FV577)</f>
        <v>1</v>
      </c>
      <c r="AW577" s="1979">
        <f>IF(Construction!$F$31=Construction!$R$22,Oeko!DJ577,Oeko!FW577)</f>
        <v>1</v>
      </c>
      <c r="AX577" s="1979">
        <f>IF(Construction!$F$31=Construction!$R$22,Oeko!DK577,Oeko!FX577)</f>
        <v>1</v>
      </c>
      <c r="AY577" s="1979">
        <f>IF(Construction!$F$31=Construction!$R$22,Oeko!DL577,Oeko!FY577)</f>
        <v>1</v>
      </c>
      <c r="AZ577" s="1979">
        <f>IF(Construction!$F$31=Construction!$R$22,Oeko!DM577,Oeko!FZ577)</f>
        <v>1</v>
      </c>
      <c r="BA577" s="1979">
        <f>IF(Construction!$F$31=Construction!$R$22,Oeko!DN577,Oeko!GA577)</f>
        <v>1</v>
      </c>
      <c r="BB577" s="1998">
        <f>IF(Construction!$F$31=Construction!$R$22,Oeko!DO577,Oeko!GB577)</f>
        <v>1</v>
      </c>
      <c r="BC577" s="1998">
        <f>IF(Construction!$F$31=Construction!$R$22,Oeko!DP577,Oeko!GC577)</f>
        <v>1</v>
      </c>
      <c r="BD577" s="1998">
        <f>IF(Construction!$F$31=Construction!$R$22,Oeko!DQ577,Oeko!GD577)</f>
        <v>1</v>
      </c>
      <c r="BE577" s="1998">
        <f>IF(Construction!$F$31=Construction!$R$22,Oeko!DR577,Oeko!GE577)</f>
        <v>1</v>
      </c>
      <c r="BF577" s="1998">
        <f>IF(Construction!$F$31=Construction!$R$22,Oeko!DS577,Oeko!GF577)</f>
        <v>1</v>
      </c>
      <c r="BG577" s="1979">
        <f>IF(Construction!$F$31=Construction!$R$22,Oeko!DT577,Oeko!GG577)</f>
        <v>1</v>
      </c>
      <c r="BH577" s="1979">
        <f>IF(Construction!$F$31=Construction!$R$22,Oeko!DU577,Oeko!GH577)</f>
        <v>1</v>
      </c>
      <c r="BI577" s="1979">
        <f>IF(Construction!$F$31=Construction!$R$22,Oeko!DV577,Oeko!GI577)</f>
        <v>1</v>
      </c>
      <c r="BJ577" s="1979">
        <f>IF(Construction!$F$31=Construction!$R$22,Oeko!DW577,Oeko!GJ577)</f>
        <v>1</v>
      </c>
      <c r="BK577" s="2021">
        <f>IF(Construction!$F$31=Construction!$R$22,Oeko!DX577,Oeko!GK577)</f>
        <v>1</v>
      </c>
      <c r="BN577" s="2018"/>
      <c r="BO577" s="2">
        <v>37</v>
      </c>
      <c r="BP577" s="2" t="str">
        <f>$AF$16</f>
        <v/>
      </c>
      <c r="BQ577" s="1998">
        <v>1</v>
      </c>
      <c r="BR577" s="1998">
        <v>1</v>
      </c>
      <c r="BS577" s="1998">
        <v>1</v>
      </c>
      <c r="BT577" s="1998">
        <v>1</v>
      </c>
      <c r="BU577" s="1998">
        <v>1</v>
      </c>
      <c r="BV577" s="1979">
        <v>1</v>
      </c>
      <c r="BW577" s="1979">
        <v>1</v>
      </c>
      <c r="BX577" s="1979">
        <v>1</v>
      </c>
      <c r="BY577" s="1979">
        <v>1</v>
      </c>
      <c r="BZ577" s="1979">
        <v>1</v>
      </c>
      <c r="CA577" s="1998">
        <v>1</v>
      </c>
      <c r="CB577" s="1998">
        <v>1</v>
      </c>
      <c r="CC577" s="1998">
        <v>1</v>
      </c>
      <c r="CD577" s="1998">
        <v>1</v>
      </c>
      <c r="CE577" s="1998">
        <v>1</v>
      </c>
      <c r="CF577" s="1979">
        <v>1</v>
      </c>
      <c r="CG577" s="1979">
        <v>1</v>
      </c>
      <c r="CH577" s="1979">
        <v>1</v>
      </c>
      <c r="CI577" s="1979">
        <v>1</v>
      </c>
      <c r="CJ577" s="1979">
        <v>1</v>
      </c>
      <c r="CK577" s="1998">
        <v>1</v>
      </c>
      <c r="CL577" s="1998">
        <v>1</v>
      </c>
      <c r="CM577" s="1998">
        <v>1</v>
      </c>
      <c r="CN577" s="1998">
        <v>1</v>
      </c>
      <c r="CO577" s="1998">
        <v>1</v>
      </c>
      <c r="CP577" s="1979">
        <v>1</v>
      </c>
      <c r="CQ577" s="1979">
        <v>1</v>
      </c>
      <c r="CR577" s="1979">
        <v>1</v>
      </c>
      <c r="CS577" s="1979">
        <v>1</v>
      </c>
      <c r="CT577" s="1979">
        <v>1</v>
      </c>
      <c r="CU577" s="1998">
        <v>1</v>
      </c>
      <c r="CV577" s="1998">
        <v>1</v>
      </c>
      <c r="CW577" s="1998">
        <v>1</v>
      </c>
      <c r="CX577" s="1998">
        <v>1</v>
      </c>
      <c r="CY577" s="1998">
        <v>1</v>
      </c>
      <c r="CZ577" s="1979">
        <v>1</v>
      </c>
      <c r="DA577" s="1979">
        <v>1</v>
      </c>
      <c r="DB577" s="1979">
        <v>1</v>
      </c>
      <c r="DC577" s="1979">
        <v>1</v>
      </c>
      <c r="DD577" s="1979">
        <v>1</v>
      </c>
      <c r="DE577" s="1998">
        <v>1</v>
      </c>
      <c r="DF577" s="1998">
        <v>1</v>
      </c>
      <c r="DG577" s="1998">
        <v>1</v>
      </c>
      <c r="DH577" s="1998">
        <v>1</v>
      </c>
      <c r="DI577" s="1998">
        <v>1</v>
      </c>
      <c r="DJ577" s="1979">
        <v>1</v>
      </c>
      <c r="DK577" s="1979">
        <v>1</v>
      </c>
      <c r="DL577" s="1979">
        <v>1</v>
      </c>
      <c r="DM577" s="1979">
        <v>1</v>
      </c>
      <c r="DN577" s="1979">
        <v>1</v>
      </c>
      <c r="DO577" s="1998">
        <v>1</v>
      </c>
      <c r="DP577" s="1998">
        <v>1</v>
      </c>
      <c r="DQ577" s="1998">
        <v>1</v>
      </c>
      <c r="DR577" s="1998">
        <v>1</v>
      </c>
      <c r="DS577" s="1998">
        <v>1</v>
      </c>
      <c r="DT577" s="1979">
        <v>1</v>
      </c>
      <c r="DU577" s="1979">
        <v>1</v>
      </c>
      <c r="DV577" s="1979">
        <v>1</v>
      </c>
      <c r="DW577" s="1979">
        <v>1</v>
      </c>
      <c r="DX577" s="2021">
        <v>1</v>
      </c>
      <c r="EA577" s="2018"/>
      <c r="EB577" s="2">
        <v>37</v>
      </c>
      <c r="EC577" s="2" t="str">
        <f>$AF$16</f>
        <v/>
      </c>
      <c r="ED577" s="1998">
        <v>1.3605609674202821</v>
      </c>
      <c r="EE577" s="1998">
        <v>1.3605609674202821</v>
      </c>
      <c r="EF577" s="1998">
        <v>1.3605609674202821</v>
      </c>
      <c r="EG577" s="1998">
        <v>1.3605609674202821</v>
      </c>
      <c r="EH577" s="1998">
        <v>1.3605609674202821</v>
      </c>
      <c r="EI577" s="1979">
        <v>2.0966679740137137</v>
      </c>
      <c r="EJ577" s="1979">
        <v>2.0966679740137137</v>
      </c>
      <c r="EK577" s="1979">
        <v>2.0966679740137137</v>
      </c>
      <c r="EL577" s="1979">
        <v>2.0966679740137137</v>
      </c>
      <c r="EM577" s="1979">
        <v>2.0966679740137137</v>
      </c>
      <c r="EN577" s="1998">
        <v>1.4337071065592959</v>
      </c>
      <c r="EO577" s="1998">
        <v>1.4337071065592959</v>
      </c>
      <c r="EP577" s="1998">
        <v>1.4337071065592959</v>
      </c>
      <c r="EQ577" s="1998">
        <v>1.4337071065592959</v>
      </c>
      <c r="ER577" s="1998">
        <v>1.4337071065592959</v>
      </c>
      <c r="ES577" s="1979">
        <v>1.8379162318633464</v>
      </c>
      <c r="ET577" s="1979">
        <v>1.8379162318633464</v>
      </c>
      <c r="EU577" s="1979">
        <v>1.8379162318633464</v>
      </c>
      <c r="EV577" s="1979">
        <v>1.8379162318633464</v>
      </c>
      <c r="EW577" s="1979">
        <v>1.8379162318633464</v>
      </c>
      <c r="EX577" s="1998">
        <v>1.4662053104562123</v>
      </c>
      <c r="EY577" s="1998">
        <v>1.4662053104562123</v>
      </c>
      <c r="EZ577" s="1998">
        <v>1.4662053104562123</v>
      </c>
      <c r="FA577" s="1998">
        <v>1.4662053104562123</v>
      </c>
      <c r="FB577" s="1998">
        <v>1.4662053104562123</v>
      </c>
      <c r="FC577" s="1979">
        <v>1.6277744053108218</v>
      </c>
      <c r="FD577" s="1979">
        <v>1.6277744053108218</v>
      </c>
      <c r="FE577" s="1979">
        <v>1.6277744053108218</v>
      </c>
      <c r="FF577" s="1979">
        <v>1.6277744053108218</v>
      </c>
      <c r="FG577" s="1979">
        <v>1.6277744053108218</v>
      </c>
      <c r="FH577" s="1998">
        <v>2.3921927569513635</v>
      </c>
      <c r="FI577" s="1998">
        <v>2.3921927569513635</v>
      </c>
      <c r="FJ577" s="1998">
        <v>2.3921927569513635</v>
      </c>
      <c r="FK577" s="1998">
        <v>2.3921927569513635</v>
      </c>
      <c r="FL577" s="1998">
        <v>2.3921927569513635</v>
      </c>
      <c r="FM577" s="1979">
        <v>1.5115041757386145</v>
      </c>
      <c r="FN577" s="1979">
        <v>1.5115041757386145</v>
      </c>
      <c r="FO577" s="1979">
        <v>1.5115041757386145</v>
      </c>
      <c r="FP577" s="1979">
        <v>1.5115041757386145</v>
      </c>
      <c r="FQ577" s="1979">
        <v>1.5115041757386145</v>
      </c>
      <c r="FR577" s="1998">
        <v>8.1198212572277306</v>
      </c>
      <c r="FS577" s="1998">
        <v>8.1198212572277306</v>
      </c>
      <c r="FT577" s="1998">
        <v>8.1198212572277306</v>
      </c>
      <c r="FU577" s="1998">
        <v>8.1198212572277306</v>
      </c>
      <c r="FV577" s="1998">
        <v>8.1198212572277306</v>
      </c>
      <c r="FW577" s="1979">
        <v>8.4799072816005001</v>
      </c>
      <c r="FX577" s="1979">
        <v>8.4799072816005001</v>
      </c>
      <c r="FY577" s="1979">
        <v>8.4799072816005001</v>
      </c>
      <c r="FZ577" s="1979">
        <v>8.4799072816005001</v>
      </c>
      <c r="GA577" s="1979">
        <v>8.4799072816005001</v>
      </c>
      <c r="GB577" s="1998">
        <v>1.3861479372000356</v>
      </c>
      <c r="GC577" s="1998">
        <v>1.3861479372000356</v>
      </c>
      <c r="GD577" s="1998">
        <v>1.3861479372000356</v>
      </c>
      <c r="GE577" s="1998">
        <v>1.3861479372000356</v>
      </c>
      <c r="GF577" s="1998">
        <v>1.3861479372000356</v>
      </c>
      <c r="GG577" s="1979">
        <v>1.4313071575784038</v>
      </c>
      <c r="GH577" s="1979">
        <v>1.4313071575784038</v>
      </c>
      <c r="GI577" s="1979">
        <v>1.4313071575784038</v>
      </c>
      <c r="GJ577" s="1979">
        <v>1.4313071575784038</v>
      </c>
      <c r="GK577" s="2021">
        <v>1.4313071575784038</v>
      </c>
    </row>
    <row r="578" spans="1:193">
      <c r="A578" s="2016"/>
      <c r="B578" s="2">
        <v>38</v>
      </c>
      <c r="C578" s="2" t="str">
        <f>$AF$17</f>
        <v/>
      </c>
      <c r="D578" s="1998">
        <f>IF(Construction!$F$31=Construction!$R$22,Oeko!BQ578,Oeko!ED578)</f>
        <v>1</v>
      </c>
      <c r="E578" s="1998">
        <f>IF(Construction!$F$31=Construction!$R$22,Oeko!BR578,Oeko!EE578)</f>
        <v>1</v>
      </c>
      <c r="F578" s="1998">
        <f>IF(Construction!$F$31=Construction!$R$22,Oeko!BS578,Oeko!EF578)</f>
        <v>1</v>
      </c>
      <c r="G578" s="1998">
        <f>IF(Construction!$F$31=Construction!$R$22,Oeko!BT578,Oeko!EG578)</f>
        <v>1</v>
      </c>
      <c r="H578" s="1998">
        <f>IF(Construction!$F$31=Construction!$R$22,Oeko!BU578,Oeko!EH578)</f>
        <v>1</v>
      </c>
      <c r="I578" s="1979">
        <f>IF(Construction!$F$31=Construction!$R$22,Oeko!BV578,Oeko!EI578)</f>
        <v>1</v>
      </c>
      <c r="J578" s="1979">
        <f>IF(Construction!$F$31=Construction!$R$22,Oeko!BW578,Oeko!EJ578)</f>
        <v>1</v>
      </c>
      <c r="K578" s="1979">
        <f>IF(Construction!$F$31=Construction!$R$22,Oeko!BX578,Oeko!EK578)</f>
        <v>1</v>
      </c>
      <c r="L578" s="1979">
        <f>IF(Construction!$F$31=Construction!$R$22,Oeko!BY578,Oeko!EL578)</f>
        <v>1</v>
      </c>
      <c r="M578" s="1979">
        <f>IF(Construction!$F$31=Construction!$R$22,Oeko!BZ578,Oeko!EM578)</f>
        <v>1</v>
      </c>
      <c r="N578" s="1998">
        <f>IF(Construction!$F$31=Construction!$R$22,Oeko!CA578,Oeko!EN578)</f>
        <v>1</v>
      </c>
      <c r="O578" s="1998">
        <f>IF(Construction!$F$31=Construction!$R$22,Oeko!CB578,Oeko!EO578)</f>
        <v>1</v>
      </c>
      <c r="P578" s="1998">
        <f>IF(Construction!$F$31=Construction!$R$22,Oeko!CC578,Oeko!EP578)</f>
        <v>1</v>
      </c>
      <c r="Q578" s="1998">
        <f>IF(Construction!$F$31=Construction!$R$22,Oeko!CD578,Oeko!EQ578)</f>
        <v>1</v>
      </c>
      <c r="R578" s="1998">
        <f>IF(Construction!$F$31=Construction!$R$22,Oeko!CE578,Oeko!ER578)</f>
        <v>1</v>
      </c>
      <c r="S578" s="1979">
        <f>IF(Construction!$F$31=Construction!$R$22,Oeko!CF578,Oeko!ES578)</f>
        <v>1</v>
      </c>
      <c r="T578" s="1979">
        <f>IF(Construction!$F$31=Construction!$R$22,Oeko!CG578,Oeko!ET578)</f>
        <v>1</v>
      </c>
      <c r="U578" s="1979">
        <f>IF(Construction!$F$31=Construction!$R$22,Oeko!CH578,Oeko!EU578)</f>
        <v>1</v>
      </c>
      <c r="V578" s="1979">
        <f>IF(Construction!$F$31=Construction!$R$22,Oeko!CI578,Oeko!EV578)</f>
        <v>1</v>
      </c>
      <c r="W578" s="1979">
        <f>IF(Construction!$F$31=Construction!$R$22,Oeko!CJ578,Oeko!EW578)</f>
        <v>1</v>
      </c>
      <c r="X578" s="1998">
        <f>IF(Construction!$F$31=Construction!$R$22,Oeko!CK578,Oeko!EX578)</f>
        <v>1</v>
      </c>
      <c r="Y578" s="1998">
        <f>IF(Construction!$F$31=Construction!$R$22,Oeko!CL578,Oeko!EY578)</f>
        <v>1</v>
      </c>
      <c r="Z578" s="1998">
        <f>IF(Construction!$F$31=Construction!$R$22,Oeko!CM578,Oeko!EZ578)</f>
        <v>1</v>
      </c>
      <c r="AA578" s="1998">
        <f>IF(Construction!$F$31=Construction!$R$22,Oeko!CN578,Oeko!FA578)</f>
        <v>1</v>
      </c>
      <c r="AB578" s="1998">
        <f>IF(Construction!$F$31=Construction!$R$22,Oeko!CO578,Oeko!FB578)</f>
        <v>1</v>
      </c>
      <c r="AC578" s="1979">
        <f>IF(Construction!$F$31=Construction!$R$22,Oeko!CP578,Oeko!FC578)</f>
        <v>1</v>
      </c>
      <c r="AD578" s="1979">
        <f>IF(Construction!$F$31=Construction!$R$22,Oeko!CQ578,Oeko!FD578)</f>
        <v>1</v>
      </c>
      <c r="AE578" s="1979">
        <f>IF(Construction!$F$31=Construction!$R$22,Oeko!CR578,Oeko!FE578)</f>
        <v>1</v>
      </c>
      <c r="AF578" s="1979">
        <f>IF(Construction!$F$31=Construction!$R$22,Oeko!CS578,Oeko!FF578)</f>
        <v>1</v>
      </c>
      <c r="AG578" s="1979">
        <f>IF(Construction!$F$31=Construction!$R$22,Oeko!CT578,Oeko!FG578)</f>
        <v>1</v>
      </c>
      <c r="AH578" s="1998">
        <f>IF(Construction!$F$31=Construction!$R$22,Oeko!CU578,Oeko!FH578)</f>
        <v>1</v>
      </c>
      <c r="AI578" s="1998">
        <f>IF(Construction!$F$31=Construction!$R$22,Oeko!CV578,Oeko!FI578)</f>
        <v>1</v>
      </c>
      <c r="AJ578" s="1998">
        <f>IF(Construction!$F$31=Construction!$R$22,Oeko!CW578,Oeko!FJ578)</f>
        <v>1</v>
      </c>
      <c r="AK578" s="1998">
        <f>IF(Construction!$F$31=Construction!$R$22,Oeko!CX578,Oeko!FK578)</f>
        <v>1</v>
      </c>
      <c r="AL578" s="1998">
        <f>IF(Construction!$F$31=Construction!$R$22,Oeko!CY578,Oeko!FL578)</f>
        <v>1</v>
      </c>
      <c r="AM578" s="1979">
        <f>IF(Construction!$F$31=Construction!$R$22,Oeko!CZ578,Oeko!FM578)</f>
        <v>1</v>
      </c>
      <c r="AN578" s="1979">
        <f>IF(Construction!$F$31=Construction!$R$22,Oeko!DA578,Oeko!FN578)</f>
        <v>1</v>
      </c>
      <c r="AO578" s="1979">
        <f>IF(Construction!$F$31=Construction!$R$22,Oeko!DB578,Oeko!FO578)</f>
        <v>1</v>
      </c>
      <c r="AP578" s="1979">
        <f>IF(Construction!$F$31=Construction!$R$22,Oeko!DC578,Oeko!FP578)</f>
        <v>1</v>
      </c>
      <c r="AQ578" s="1979">
        <f>IF(Construction!$F$31=Construction!$R$22,Oeko!DD578,Oeko!FQ578)</f>
        <v>1</v>
      </c>
      <c r="AR578" s="1998">
        <f>IF(Construction!$F$31=Construction!$R$22,Oeko!DE578,Oeko!FR578)</f>
        <v>1</v>
      </c>
      <c r="AS578" s="1998">
        <f>IF(Construction!$F$31=Construction!$R$22,Oeko!DF578,Oeko!FS578)</f>
        <v>1</v>
      </c>
      <c r="AT578" s="1998">
        <f>IF(Construction!$F$31=Construction!$R$22,Oeko!DG578,Oeko!FT578)</f>
        <v>1</v>
      </c>
      <c r="AU578" s="1998">
        <f>IF(Construction!$F$31=Construction!$R$22,Oeko!DH578,Oeko!FU578)</f>
        <v>1</v>
      </c>
      <c r="AV578" s="1998">
        <f>IF(Construction!$F$31=Construction!$R$22,Oeko!DI578,Oeko!FV578)</f>
        <v>1</v>
      </c>
      <c r="AW578" s="1979">
        <f>IF(Construction!$F$31=Construction!$R$22,Oeko!DJ578,Oeko!FW578)</f>
        <v>1</v>
      </c>
      <c r="AX578" s="1979">
        <f>IF(Construction!$F$31=Construction!$R$22,Oeko!DK578,Oeko!FX578)</f>
        <v>1</v>
      </c>
      <c r="AY578" s="1979">
        <f>IF(Construction!$F$31=Construction!$R$22,Oeko!DL578,Oeko!FY578)</f>
        <v>1</v>
      </c>
      <c r="AZ578" s="1979">
        <f>IF(Construction!$F$31=Construction!$R$22,Oeko!DM578,Oeko!FZ578)</f>
        <v>1</v>
      </c>
      <c r="BA578" s="1979">
        <f>IF(Construction!$F$31=Construction!$R$22,Oeko!DN578,Oeko!GA578)</f>
        <v>1</v>
      </c>
      <c r="BB578" s="1998">
        <f>IF(Construction!$F$31=Construction!$R$22,Oeko!DO578,Oeko!GB578)</f>
        <v>1</v>
      </c>
      <c r="BC578" s="1998">
        <f>IF(Construction!$F$31=Construction!$R$22,Oeko!DP578,Oeko!GC578)</f>
        <v>1</v>
      </c>
      <c r="BD578" s="1998">
        <f>IF(Construction!$F$31=Construction!$R$22,Oeko!DQ578,Oeko!GD578)</f>
        <v>1</v>
      </c>
      <c r="BE578" s="1998">
        <f>IF(Construction!$F$31=Construction!$R$22,Oeko!DR578,Oeko!GE578)</f>
        <v>1</v>
      </c>
      <c r="BF578" s="1998">
        <f>IF(Construction!$F$31=Construction!$R$22,Oeko!DS578,Oeko!GF578)</f>
        <v>1</v>
      </c>
      <c r="BG578" s="1979">
        <f>IF(Construction!$F$31=Construction!$R$22,Oeko!DT578,Oeko!GG578)</f>
        <v>1</v>
      </c>
      <c r="BH578" s="1979">
        <f>IF(Construction!$F$31=Construction!$R$22,Oeko!DU578,Oeko!GH578)</f>
        <v>1</v>
      </c>
      <c r="BI578" s="1979">
        <f>IF(Construction!$F$31=Construction!$R$22,Oeko!DV578,Oeko!GI578)</f>
        <v>1</v>
      </c>
      <c r="BJ578" s="1979">
        <f>IF(Construction!$F$31=Construction!$R$22,Oeko!DW578,Oeko!GJ578)</f>
        <v>1</v>
      </c>
      <c r="BK578" s="2021">
        <f>IF(Construction!$F$31=Construction!$R$22,Oeko!DX578,Oeko!GK578)</f>
        <v>1</v>
      </c>
      <c r="BN578" s="2018"/>
      <c r="BO578" s="2">
        <v>38</v>
      </c>
      <c r="BP578" s="2" t="str">
        <f>$AF$17</f>
        <v/>
      </c>
      <c r="BQ578" s="1998">
        <v>1</v>
      </c>
      <c r="BR578" s="1998">
        <v>1</v>
      </c>
      <c r="BS578" s="1998">
        <v>1</v>
      </c>
      <c r="BT578" s="1998">
        <v>1</v>
      </c>
      <c r="BU578" s="1998">
        <v>1</v>
      </c>
      <c r="BV578" s="1979">
        <v>1</v>
      </c>
      <c r="BW578" s="1979">
        <v>1</v>
      </c>
      <c r="BX578" s="1979">
        <v>1</v>
      </c>
      <c r="BY578" s="1979">
        <v>1</v>
      </c>
      <c r="BZ578" s="1979">
        <v>1</v>
      </c>
      <c r="CA578" s="1998">
        <v>1</v>
      </c>
      <c r="CB578" s="1998">
        <v>1</v>
      </c>
      <c r="CC578" s="1998">
        <v>1</v>
      </c>
      <c r="CD578" s="1998">
        <v>1</v>
      </c>
      <c r="CE578" s="1998">
        <v>1</v>
      </c>
      <c r="CF578" s="1979">
        <v>1</v>
      </c>
      <c r="CG578" s="1979">
        <v>1</v>
      </c>
      <c r="CH578" s="1979">
        <v>1</v>
      </c>
      <c r="CI578" s="1979">
        <v>1</v>
      </c>
      <c r="CJ578" s="1979">
        <v>1</v>
      </c>
      <c r="CK578" s="1998">
        <v>1</v>
      </c>
      <c r="CL578" s="1998">
        <v>1</v>
      </c>
      <c r="CM578" s="1998">
        <v>1</v>
      </c>
      <c r="CN578" s="1998">
        <v>1</v>
      </c>
      <c r="CO578" s="1998">
        <v>1</v>
      </c>
      <c r="CP578" s="1979">
        <v>1</v>
      </c>
      <c r="CQ578" s="1979">
        <v>1</v>
      </c>
      <c r="CR578" s="1979">
        <v>1</v>
      </c>
      <c r="CS578" s="1979">
        <v>1</v>
      </c>
      <c r="CT578" s="1979">
        <v>1</v>
      </c>
      <c r="CU578" s="1998">
        <v>1</v>
      </c>
      <c r="CV578" s="1998">
        <v>1</v>
      </c>
      <c r="CW578" s="1998">
        <v>1</v>
      </c>
      <c r="CX578" s="1998">
        <v>1</v>
      </c>
      <c r="CY578" s="1998">
        <v>1</v>
      </c>
      <c r="CZ578" s="1979">
        <v>1</v>
      </c>
      <c r="DA578" s="1979">
        <v>1</v>
      </c>
      <c r="DB578" s="1979">
        <v>1</v>
      </c>
      <c r="DC578" s="1979">
        <v>1</v>
      </c>
      <c r="DD578" s="1979">
        <v>1</v>
      </c>
      <c r="DE578" s="1998">
        <v>1</v>
      </c>
      <c r="DF578" s="1998">
        <v>1</v>
      </c>
      <c r="DG578" s="1998">
        <v>1</v>
      </c>
      <c r="DH578" s="1998">
        <v>1</v>
      </c>
      <c r="DI578" s="1998">
        <v>1</v>
      </c>
      <c r="DJ578" s="1979">
        <v>1</v>
      </c>
      <c r="DK578" s="1979">
        <v>1</v>
      </c>
      <c r="DL578" s="1979">
        <v>1</v>
      </c>
      <c r="DM578" s="1979">
        <v>1</v>
      </c>
      <c r="DN578" s="1979">
        <v>1</v>
      </c>
      <c r="DO578" s="1998">
        <v>1</v>
      </c>
      <c r="DP578" s="1998">
        <v>1</v>
      </c>
      <c r="DQ578" s="1998">
        <v>1</v>
      </c>
      <c r="DR578" s="1998">
        <v>1</v>
      </c>
      <c r="DS578" s="1998">
        <v>1</v>
      </c>
      <c r="DT578" s="1979">
        <v>1</v>
      </c>
      <c r="DU578" s="1979">
        <v>1</v>
      </c>
      <c r="DV578" s="1979">
        <v>1</v>
      </c>
      <c r="DW578" s="1979">
        <v>1</v>
      </c>
      <c r="DX578" s="2021">
        <v>1</v>
      </c>
      <c r="EA578" s="2018"/>
      <c r="EB578" s="2">
        <v>38</v>
      </c>
      <c r="EC578" s="2" t="str">
        <f>$AF$17</f>
        <v/>
      </c>
      <c r="ED578" s="1998">
        <v>1.3605609674202821</v>
      </c>
      <c r="EE578" s="1998">
        <v>1.3605609674202821</v>
      </c>
      <c r="EF578" s="1998">
        <v>1.3605609674202821</v>
      </c>
      <c r="EG578" s="1998">
        <v>1.3605609674202821</v>
      </c>
      <c r="EH578" s="1998">
        <v>1.3605609674202821</v>
      </c>
      <c r="EI578" s="1979">
        <v>2.0966679740137137</v>
      </c>
      <c r="EJ578" s="1979">
        <v>2.0966679740137137</v>
      </c>
      <c r="EK578" s="1979">
        <v>2.0966679740137137</v>
      </c>
      <c r="EL578" s="1979">
        <v>2.0966679740137137</v>
      </c>
      <c r="EM578" s="1979">
        <v>2.0966679740137137</v>
      </c>
      <c r="EN578" s="1998">
        <v>1.4337071065592959</v>
      </c>
      <c r="EO578" s="1998">
        <v>1.4337071065592959</v>
      </c>
      <c r="EP578" s="1998">
        <v>1.4337071065592959</v>
      </c>
      <c r="EQ578" s="1998">
        <v>1.4337071065592959</v>
      </c>
      <c r="ER578" s="1998">
        <v>1.4337071065592959</v>
      </c>
      <c r="ES578" s="1979">
        <v>1.8379162318633464</v>
      </c>
      <c r="ET578" s="1979">
        <v>1.8379162318633464</v>
      </c>
      <c r="EU578" s="1979">
        <v>1.8379162318633464</v>
      </c>
      <c r="EV578" s="1979">
        <v>1.8379162318633464</v>
      </c>
      <c r="EW578" s="1979">
        <v>1.8379162318633464</v>
      </c>
      <c r="EX578" s="1998">
        <v>1.4662053104562123</v>
      </c>
      <c r="EY578" s="1998">
        <v>1.4662053104562123</v>
      </c>
      <c r="EZ578" s="1998">
        <v>1.4662053104562123</v>
      </c>
      <c r="FA578" s="1998">
        <v>1.4662053104562123</v>
      </c>
      <c r="FB578" s="1998">
        <v>1.4662053104562123</v>
      </c>
      <c r="FC578" s="1979">
        <v>1.6277744053108218</v>
      </c>
      <c r="FD578" s="1979">
        <v>1.6277744053108218</v>
      </c>
      <c r="FE578" s="1979">
        <v>1.6277744053108218</v>
      </c>
      <c r="FF578" s="1979">
        <v>1.6277744053108218</v>
      </c>
      <c r="FG578" s="1979">
        <v>1.6277744053108218</v>
      </c>
      <c r="FH578" s="1998">
        <v>2.3921927569513635</v>
      </c>
      <c r="FI578" s="1998">
        <v>2.3921927569513635</v>
      </c>
      <c r="FJ578" s="1998">
        <v>2.3921927569513635</v>
      </c>
      <c r="FK578" s="1998">
        <v>2.3921927569513635</v>
      </c>
      <c r="FL578" s="1998">
        <v>2.3921927569513635</v>
      </c>
      <c r="FM578" s="1979">
        <v>1.5115041757386145</v>
      </c>
      <c r="FN578" s="1979">
        <v>1.5115041757386145</v>
      </c>
      <c r="FO578" s="1979">
        <v>1.5115041757386145</v>
      </c>
      <c r="FP578" s="1979">
        <v>1.5115041757386145</v>
      </c>
      <c r="FQ578" s="1979">
        <v>1.5115041757386145</v>
      </c>
      <c r="FR578" s="1998">
        <v>8.1198212572277306</v>
      </c>
      <c r="FS578" s="1998">
        <v>8.1198212572277306</v>
      </c>
      <c r="FT578" s="1998">
        <v>8.1198212572277306</v>
      </c>
      <c r="FU578" s="1998">
        <v>8.1198212572277306</v>
      </c>
      <c r="FV578" s="1998">
        <v>8.1198212572277306</v>
      </c>
      <c r="FW578" s="1979">
        <v>8.4799072816005001</v>
      </c>
      <c r="FX578" s="1979">
        <v>8.4799072816005001</v>
      </c>
      <c r="FY578" s="1979">
        <v>8.4799072816005001</v>
      </c>
      <c r="FZ578" s="1979">
        <v>8.4799072816005001</v>
      </c>
      <c r="GA578" s="1979">
        <v>8.4799072816005001</v>
      </c>
      <c r="GB578" s="1998">
        <v>1.3861479372000356</v>
      </c>
      <c r="GC578" s="1998">
        <v>1.3861479372000356</v>
      </c>
      <c r="GD578" s="1998">
        <v>1.3861479372000356</v>
      </c>
      <c r="GE578" s="1998">
        <v>1.3861479372000356</v>
      </c>
      <c r="GF578" s="1998">
        <v>1.3861479372000356</v>
      </c>
      <c r="GG578" s="1979">
        <v>1.4313071575784038</v>
      </c>
      <c r="GH578" s="1979">
        <v>1.4313071575784038</v>
      </c>
      <c r="GI578" s="1979">
        <v>1.4313071575784038</v>
      </c>
      <c r="GJ578" s="1979">
        <v>1.4313071575784038</v>
      </c>
      <c r="GK578" s="2021">
        <v>1.4313071575784038</v>
      </c>
    </row>
    <row r="579" spans="1:193">
      <c r="A579" s="2030"/>
      <c r="B579" s="2031">
        <v>39</v>
      </c>
      <c r="C579" s="2031" t="str">
        <f>$AF$18</f>
        <v/>
      </c>
      <c r="D579" s="2032">
        <f>IF(Construction!$F$31=Construction!$R$22,Oeko!BQ579,Oeko!ED579)</f>
        <v>1</v>
      </c>
      <c r="E579" s="2032">
        <f>IF(Construction!$F$31=Construction!$R$22,Oeko!BR579,Oeko!EE579)</f>
        <v>1</v>
      </c>
      <c r="F579" s="2032">
        <f>IF(Construction!$F$31=Construction!$R$22,Oeko!BS579,Oeko!EF579)</f>
        <v>1</v>
      </c>
      <c r="G579" s="2032">
        <f>IF(Construction!$F$31=Construction!$R$22,Oeko!BT579,Oeko!EG579)</f>
        <v>1</v>
      </c>
      <c r="H579" s="2032">
        <f>IF(Construction!$F$31=Construction!$R$22,Oeko!BU579,Oeko!EH579)</f>
        <v>1</v>
      </c>
      <c r="I579" s="2033">
        <f>IF(Construction!$F$31=Construction!$R$22,Oeko!BV579,Oeko!EI579)</f>
        <v>1</v>
      </c>
      <c r="J579" s="2033">
        <f>IF(Construction!$F$31=Construction!$R$22,Oeko!BW579,Oeko!EJ579)</f>
        <v>1</v>
      </c>
      <c r="K579" s="2033">
        <f>IF(Construction!$F$31=Construction!$R$22,Oeko!BX579,Oeko!EK579)</f>
        <v>1</v>
      </c>
      <c r="L579" s="2033">
        <f>IF(Construction!$F$31=Construction!$R$22,Oeko!BY579,Oeko!EL579)</f>
        <v>1</v>
      </c>
      <c r="M579" s="2033">
        <f>IF(Construction!$F$31=Construction!$R$22,Oeko!BZ579,Oeko!EM579)</f>
        <v>1</v>
      </c>
      <c r="N579" s="2032">
        <f>IF(Construction!$F$31=Construction!$R$22,Oeko!CA579,Oeko!EN579)</f>
        <v>1</v>
      </c>
      <c r="O579" s="2032">
        <f>IF(Construction!$F$31=Construction!$R$22,Oeko!CB579,Oeko!EO579)</f>
        <v>1</v>
      </c>
      <c r="P579" s="2032">
        <f>IF(Construction!$F$31=Construction!$R$22,Oeko!CC579,Oeko!EP579)</f>
        <v>1</v>
      </c>
      <c r="Q579" s="2032">
        <f>IF(Construction!$F$31=Construction!$R$22,Oeko!CD579,Oeko!EQ579)</f>
        <v>1</v>
      </c>
      <c r="R579" s="2032">
        <f>IF(Construction!$F$31=Construction!$R$22,Oeko!CE579,Oeko!ER579)</f>
        <v>1</v>
      </c>
      <c r="S579" s="2033">
        <f>IF(Construction!$F$31=Construction!$R$22,Oeko!CF579,Oeko!ES579)</f>
        <v>1</v>
      </c>
      <c r="T579" s="2033">
        <f>IF(Construction!$F$31=Construction!$R$22,Oeko!CG579,Oeko!ET579)</f>
        <v>1</v>
      </c>
      <c r="U579" s="2033">
        <f>IF(Construction!$F$31=Construction!$R$22,Oeko!CH579,Oeko!EU579)</f>
        <v>1</v>
      </c>
      <c r="V579" s="2033">
        <f>IF(Construction!$F$31=Construction!$R$22,Oeko!CI579,Oeko!EV579)</f>
        <v>1</v>
      </c>
      <c r="W579" s="2033">
        <f>IF(Construction!$F$31=Construction!$R$22,Oeko!CJ579,Oeko!EW579)</f>
        <v>1</v>
      </c>
      <c r="X579" s="2032">
        <f>IF(Construction!$F$31=Construction!$R$22,Oeko!CK579,Oeko!EX579)</f>
        <v>1</v>
      </c>
      <c r="Y579" s="2032">
        <f>IF(Construction!$F$31=Construction!$R$22,Oeko!CL579,Oeko!EY579)</f>
        <v>1</v>
      </c>
      <c r="Z579" s="2032">
        <f>IF(Construction!$F$31=Construction!$R$22,Oeko!CM579,Oeko!EZ579)</f>
        <v>1</v>
      </c>
      <c r="AA579" s="2032">
        <f>IF(Construction!$F$31=Construction!$R$22,Oeko!CN579,Oeko!FA579)</f>
        <v>1</v>
      </c>
      <c r="AB579" s="2032">
        <f>IF(Construction!$F$31=Construction!$R$22,Oeko!CO579,Oeko!FB579)</f>
        <v>1</v>
      </c>
      <c r="AC579" s="2033">
        <f>IF(Construction!$F$31=Construction!$R$22,Oeko!CP579,Oeko!FC579)</f>
        <v>1</v>
      </c>
      <c r="AD579" s="2033">
        <f>IF(Construction!$F$31=Construction!$R$22,Oeko!CQ579,Oeko!FD579)</f>
        <v>1</v>
      </c>
      <c r="AE579" s="2033">
        <f>IF(Construction!$F$31=Construction!$R$22,Oeko!CR579,Oeko!FE579)</f>
        <v>1</v>
      </c>
      <c r="AF579" s="2033">
        <f>IF(Construction!$F$31=Construction!$R$22,Oeko!CS579,Oeko!FF579)</f>
        <v>1</v>
      </c>
      <c r="AG579" s="2033">
        <f>IF(Construction!$F$31=Construction!$R$22,Oeko!CT579,Oeko!FG579)</f>
        <v>1</v>
      </c>
      <c r="AH579" s="2032">
        <f>IF(Construction!$F$31=Construction!$R$22,Oeko!CU579,Oeko!FH579)</f>
        <v>1</v>
      </c>
      <c r="AI579" s="2032">
        <f>IF(Construction!$F$31=Construction!$R$22,Oeko!CV579,Oeko!FI579)</f>
        <v>1</v>
      </c>
      <c r="AJ579" s="2032">
        <f>IF(Construction!$F$31=Construction!$R$22,Oeko!CW579,Oeko!FJ579)</f>
        <v>1</v>
      </c>
      <c r="AK579" s="2032">
        <f>IF(Construction!$F$31=Construction!$R$22,Oeko!CX579,Oeko!FK579)</f>
        <v>1</v>
      </c>
      <c r="AL579" s="2032">
        <f>IF(Construction!$F$31=Construction!$R$22,Oeko!CY579,Oeko!FL579)</f>
        <v>1</v>
      </c>
      <c r="AM579" s="2033">
        <f>IF(Construction!$F$31=Construction!$R$22,Oeko!CZ579,Oeko!FM579)</f>
        <v>1</v>
      </c>
      <c r="AN579" s="2033">
        <f>IF(Construction!$F$31=Construction!$R$22,Oeko!DA579,Oeko!FN579)</f>
        <v>1</v>
      </c>
      <c r="AO579" s="2033">
        <f>IF(Construction!$F$31=Construction!$R$22,Oeko!DB579,Oeko!FO579)</f>
        <v>1</v>
      </c>
      <c r="AP579" s="2033">
        <f>IF(Construction!$F$31=Construction!$R$22,Oeko!DC579,Oeko!FP579)</f>
        <v>1</v>
      </c>
      <c r="AQ579" s="2033">
        <f>IF(Construction!$F$31=Construction!$R$22,Oeko!DD579,Oeko!FQ579)</f>
        <v>1</v>
      </c>
      <c r="AR579" s="2032">
        <f>IF(Construction!$F$31=Construction!$R$22,Oeko!DE579,Oeko!FR579)</f>
        <v>1</v>
      </c>
      <c r="AS579" s="2032">
        <f>IF(Construction!$F$31=Construction!$R$22,Oeko!DF579,Oeko!FS579)</f>
        <v>1</v>
      </c>
      <c r="AT579" s="2032">
        <f>IF(Construction!$F$31=Construction!$R$22,Oeko!DG579,Oeko!FT579)</f>
        <v>1</v>
      </c>
      <c r="AU579" s="2032">
        <f>IF(Construction!$F$31=Construction!$R$22,Oeko!DH579,Oeko!FU579)</f>
        <v>1</v>
      </c>
      <c r="AV579" s="2032">
        <f>IF(Construction!$F$31=Construction!$R$22,Oeko!DI579,Oeko!FV579)</f>
        <v>1</v>
      </c>
      <c r="AW579" s="2033">
        <f>IF(Construction!$F$31=Construction!$R$22,Oeko!DJ579,Oeko!FW579)</f>
        <v>1</v>
      </c>
      <c r="AX579" s="2033">
        <f>IF(Construction!$F$31=Construction!$R$22,Oeko!DK579,Oeko!FX579)</f>
        <v>1</v>
      </c>
      <c r="AY579" s="2033">
        <f>IF(Construction!$F$31=Construction!$R$22,Oeko!DL579,Oeko!FY579)</f>
        <v>1</v>
      </c>
      <c r="AZ579" s="2033">
        <f>IF(Construction!$F$31=Construction!$R$22,Oeko!DM579,Oeko!FZ579)</f>
        <v>1</v>
      </c>
      <c r="BA579" s="2033">
        <f>IF(Construction!$F$31=Construction!$R$22,Oeko!DN579,Oeko!GA579)</f>
        <v>1</v>
      </c>
      <c r="BB579" s="2032">
        <f>IF(Construction!$F$31=Construction!$R$22,Oeko!DO579,Oeko!GB579)</f>
        <v>1</v>
      </c>
      <c r="BC579" s="2032">
        <f>IF(Construction!$F$31=Construction!$R$22,Oeko!DP579,Oeko!GC579)</f>
        <v>1</v>
      </c>
      <c r="BD579" s="2032">
        <f>IF(Construction!$F$31=Construction!$R$22,Oeko!DQ579,Oeko!GD579)</f>
        <v>1</v>
      </c>
      <c r="BE579" s="2032">
        <f>IF(Construction!$F$31=Construction!$R$22,Oeko!DR579,Oeko!GE579)</f>
        <v>1</v>
      </c>
      <c r="BF579" s="2032">
        <f>IF(Construction!$F$31=Construction!$R$22,Oeko!DS579,Oeko!GF579)</f>
        <v>1</v>
      </c>
      <c r="BG579" s="2033">
        <f>IF(Construction!$F$31=Construction!$R$22,Oeko!DT579,Oeko!GG579)</f>
        <v>1</v>
      </c>
      <c r="BH579" s="2033">
        <f>IF(Construction!$F$31=Construction!$R$22,Oeko!DU579,Oeko!GH579)</f>
        <v>1</v>
      </c>
      <c r="BI579" s="2033">
        <f>IF(Construction!$F$31=Construction!$R$22,Oeko!DV579,Oeko!GI579)</f>
        <v>1</v>
      </c>
      <c r="BJ579" s="2033">
        <f>IF(Construction!$F$31=Construction!$R$22,Oeko!DW579,Oeko!GJ579)</f>
        <v>1</v>
      </c>
      <c r="BK579" s="2034">
        <f>IF(Construction!$F$31=Construction!$R$22,Oeko!DX579,Oeko!GK579)</f>
        <v>1</v>
      </c>
      <c r="BN579" s="2035"/>
      <c r="BO579" s="2036">
        <v>39</v>
      </c>
      <c r="BP579" s="2036" t="str">
        <f>$AF$18</f>
        <v/>
      </c>
      <c r="BQ579" s="2032">
        <v>1</v>
      </c>
      <c r="BR579" s="2032">
        <v>1</v>
      </c>
      <c r="BS579" s="2032">
        <v>1</v>
      </c>
      <c r="BT579" s="2032">
        <v>1</v>
      </c>
      <c r="BU579" s="2032">
        <v>1</v>
      </c>
      <c r="BV579" s="2033">
        <v>1</v>
      </c>
      <c r="BW579" s="2033">
        <v>1</v>
      </c>
      <c r="BX579" s="2033">
        <v>1</v>
      </c>
      <c r="BY579" s="2033">
        <v>1</v>
      </c>
      <c r="BZ579" s="2033">
        <v>1</v>
      </c>
      <c r="CA579" s="2032">
        <v>1</v>
      </c>
      <c r="CB579" s="2032">
        <v>1</v>
      </c>
      <c r="CC579" s="2032">
        <v>1</v>
      </c>
      <c r="CD579" s="2032">
        <v>1</v>
      </c>
      <c r="CE579" s="2032">
        <v>1</v>
      </c>
      <c r="CF579" s="2033">
        <v>1</v>
      </c>
      <c r="CG579" s="2033">
        <v>1</v>
      </c>
      <c r="CH579" s="2033">
        <v>1</v>
      </c>
      <c r="CI579" s="2033">
        <v>1</v>
      </c>
      <c r="CJ579" s="2033">
        <v>1</v>
      </c>
      <c r="CK579" s="2032">
        <v>1</v>
      </c>
      <c r="CL579" s="2032">
        <v>1</v>
      </c>
      <c r="CM579" s="2032">
        <v>1</v>
      </c>
      <c r="CN579" s="2032">
        <v>1</v>
      </c>
      <c r="CO579" s="2032">
        <v>1</v>
      </c>
      <c r="CP579" s="2033">
        <v>1</v>
      </c>
      <c r="CQ579" s="2033">
        <v>1</v>
      </c>
      <c r="CR579" s="2033">
        <v>1</v>
      </c>
      <c r="CS579" s="2033">
        <v>1</v>
      </c>
      <c r="CT579" s="2033">
        <v>1</v>
      </c>
      <c r="CU579" s="2032">
        <v>1</v>
      </c>
      <c r="CV579" s="2032">
        <v>1</v>
      </c>
      <c r="CW579" s="2032">
        <v>1</v>
      </c>
      <c r="CX579" s="2032">
        <v>1</v>
      </c>
      <c r="CY579" s="2032">
        <v>1</v>
      </c>
      <c r="CZ579" s="2033">
        <v>1</v>
      </c>
      <c r="DA579" s="2033">
        <v>1</v>
      </c>
      <c r="DB579" s="2033">
        <v>1</v>
      </c>
      <c r="DC579" s="2033">
        <v>1</v>
      </c>
      <c r="DD579" s="2033">
        <v>1</v>
      </c>
      <c r="DE579" s="2032">
        <v>1</v>
      </c>
      <c r="DF579" s="2032">
        <v>1</v>
      </c>
      <c r="DG579" s="2032">
        <v>1</v>
      </c>
      <c r="DH579" s="2032">
        <v>1</v>
      </c>
      <c r="DI579" s="2032">
        <v>1</v>
      </c>
      <c r="DJ579" s="2033">
        <v>1</v>
      </c>
      <c r="DK579" s="2033">
        <v>1</v>
      </c>
      <c r="DL579" s="2033">
        <v>1</v>
      </c>
      <c r="DM579" s="2033">
        <v>1</v>
      </c>
      <c r="DN579" s="2033">
        <v>1</v>
      </c>
      <c r="DO579" s="2032">
        <v>1</v>
      </c>
      <c r="DP579" s="2032">
        <v>1</v>
      </c>
      <c r="DQ579" s="2032">
        <v>1</v>
      </c>
      <c r="DR579" s="2032">
        <v>1</v>
      </c>
      <c r="DS579" s="2032">
        <v>1</v>
      </c>
      <c r="DT579" s="2033">
        <v>1</v>
      </c>
      <c r="DU579" s="2033">
        <v>1</v>
      </c>
      <c r="DV579" s="2033">
        <v>1</v>
      </c>
      <c r="DW579" s="2033">
        <v>1</v>
      </c>
      <c r="DX579" s="2034">
        <v>1</v>
      </c>
      <c r="EA579" s="2035"/>
      <c r="EB579" s="2036">
        <v>39</v>
      </c>
      <c r="EC579" s="2036" t="str">
        <f>$AF$18</f>
        <v/>
      </c>
      <c r="ED579" s="2032">
        <v>1.3605609674202821</v>
      </c>
      <c r="EE579" s="2032">
        <v>1.3605609674202821</v>
      </c>
      <c r="EF579" s="2032">
        <v>1.3605609674202821</v>
      </c>
      <c r="EG579" s="2032">
        <v>1.3605609674202821</v>
      </c>
      <c r="EH579" s="2032">
        <v>1.3605609674202821</v>
      </c>
      <c r="EI579" s="2033">
        <v>2.0966679740137137</v>
      </c>
      <c r="EJ579" s="2033">
        <v>2.0966679740137137</v>
      </c>
      <c r="EK579" s="2033">
        <v>2.0966679740137137</v>
      </c>
      <c r="EL579" s="2033">
        <v>2.0966679740137137</v>
      </c>
      <c r="EM579" s="2033">
        <v>2.0966679740137137</v>
      </c>
      <c r="EN579" s="2032">
        <v>1.4337071065592959</v>
      </c>
      <c r="EO579" s="2032">
        <v>1.4337071065592959</v>
      </c>
      <c r="EP579" s="2032">
        <v>1.4337071065592959</v>
      </c>
      <c r="EQ579" s="2032">
        <v>1.4337071065592959</v>
      </c>
      <c r="ER579" s="2032">
        <v>1.4337071065592959</v>
      </c>
      <c r="ES579" s="2033">
        <v>1.8379162318633464</v>
      </c>
      <c r="ET579" s="2033">
        <v>1.8379162318633464</v>
      </c>
      <c r="EU579" s="2033">
        <v>1.8379162318633464</v>
      </c>
      <c r="EV579" s="2033">
        <v>1.8379162318633464</v>
      </c>
      <c r="EW579" s="2033">
        <v>1.8379162318633464</v>
      </c>
      <c r="EX579" s="2032">
        <v>1.4662053104562123</v>
      </c>
      <c r="EY579" s="2032">
        <v>1.4662053104562123</v>
      </c>
      <c r="EZ579" s="2032">
        <v>1.4662053104562123</v>
      </c>
      <c r="FA579" s="2032">
        <v>1.4662053104562123</v>
      </c>
      <c r="FB579" s="2032">
        <v>1.4662053104562123</v>
      </c>
      <c r="FC579" s="2033">
        <v>1.6277744053108218</v>
      </c>
      <c r="FD579" s="2033">
        <v>1.6277744053108218</v>
      </c>
      <c r="FE579" s="2033">
        <v>1.6277744053108218</v>
      </c>
      <c r="FF579" s="2033">
        <v>1.6277744053108218</v>
      </c>
      <c r="FG579" s="2033">
        <v>1.6277744053108218</v>
      </c>
      <c r="FH579" s="2032">
        <v>2.3921927569513635</v>
      </c>
      <c r="FI579" s="2032">
        <v>2.3921927569513635</v>
      </c>
      <c r="FJ579" s="2032">
        <v>2.3921927569513635</v>
      </c>
      <c r="FK579" s="2032">
        <v>2.3921927569513635</v>
      </c>
      <c r="FL579" s="2032">
        <v>2.3921927569513635</v>
      </c>
      <c r="FM579" s="2033">
        <v>1.5115041757386145</v>
      </c>
      <c r="FN579" s="2033">
        <v>1.5115041757386145</v>
      </c>
      <c r="FO579" s="2033">
        <v>1.5115041757386145</v>
      </c>
      <c r="FP579" s="2033">
        <v>1.5115041757386145</v>
      </c>
      <c r="FQ579" s="2033">
        <v>1.5115041757386145</v>
      </c>
      <c r="FR579" s="2032">
        <v>8.1198212572277306</v>
      </c>
      <c r="FS579" s="2032">
        <v>8.1198212572277306</v>
      </c>
      <c r="FT579" s="2032">
        <v>8.1198212572277306</v>
      </c>
      <c r="FU579" s="2032">
        <v>8.1198212572277306</v>
      </c>
      <c r="FV579" s="2032">
        <v>8.1198212572277306</v>
      </c>
      <c r="FW579" s="2033">
        <v>8.4799072816005001</v>
      </c>
      <c r="FX579" s="2033">
        <v>8.4799072816005001</v>
      </c>
      <c r="FY579" s="2033">
        <v>8.4799072816005001</v>
      </c>
      <c r="FZ579" s="2033">
        <v>8.4799072816005001</v>
      </c>
      <c r="GA579" s="2033">
        <v>8.4799072816005001</v>
      </c>
      <c r="GB579" s="2032">
        <v>1.3861479372000356</v>
      </c>
      <c r="GC579" s="2032">
        <v>1.3861479372000356</v>
      </c>
      <c r="GD579" s="2032">
        <v>1.3861479372000356</v>
      </c>
      <c r="GE579" s="2032">
        <v>1.3861479372000356</v>
      </c>
      <c r="GF579" s="2032">
        <v>1.3861479372000356</v>
      </c>
      <c r="GG579" s="2033">
        <v>1.4313071575784038</v>
      </c>
      <c r="GH579" s="2033">
        <v>1.4313071575784038</v>
      </c>
      <c r="GI579" s="2033">
        <v>1.4313071575784038</v>
      </c>
      <c r="GJ579" s="2033">
        <v>1.4313071575784038</v>
      </c>
      <c r="GK579" s="2034">
        <v>1.4313071575784038</v>
      </c>
    </row>
    <row r="615" spans="5:31">
      <c r="H615" s="1614"/>
      <c r="I615" s="1614"/>
    </row>
    <row r="616" spans="5:31">
      <c r="H616" s="1614"/>
      <c r="I616" s="1614"/>
    </row>
    <row r="617" spans="5:31">
      <c r="H617" s="1614"/>
      <c r="I617" s="1614"/>
    </row>
    <row r="618" spans="5:31">
      <c r="H618" s="1614"/>
      <c r="I618" s="1614"/>
    </row>
    <row r="619" spans="5:31">
      <c r="H619" s="1614"/>
      <c r="I619" s="1614"/>
    </row>
    <row r="620" spans="5:31">
      <c r="H620" s="1614"/>
      <c r="I620" s="1614"/>
    </row>
    <row r="621" spans="5:31">
      <c r="H621" s="1614"/>
      <c r="I621" s="1614"/>
    </row>
    <row r="623" spans="5:31">
      <c r="E623" s="1918" t="s">
        <v>4206</v>
      </c>
    </row>
    <row r="624" spans="5:31">
      <c r="E624" s="1614" t="s">
        <v>4320</v>
      </c>
      <c r="G624" s="1614" t="s">
        <v>333</v>
      </c>
      <c r="I624" s="1614" t="s">
        <v>4321</v>
      </c>
      <c r="K624" s="1614" t="s">
        <v>831</v>
      </c>
      <c r="AE624" s="1918" t="s">
        <v>4343</v>
      </c>
    </row>
    <row r="625" spans="5:32">
      <c r="E625" s="1924" t="str">
        <f>F644</f>
        <v>Habitat collectif</v>
      </c>
      <c r="F625" s="1963"/>
      <c r="G625" s="1924" t="str">
        <f>G644</f>
        <v>Habitat individuel</v>
      </c>
      <c r="H625" s="1963"/>
      <c r="I625" s="1924" t="str">
        <f>K644</f>
        <v>Restaurant</v>
      </c>
      <c r="J625" s="1963"/>
      <c r="K625" s="1924" t="str">
        <f>L644</f>
        <v>Lieu de rassemblement</v>
      </c>
      <c r="L625" s="1963"/>
      <c r="M625" s="2037" t="str">
        <f>L644</f>
        <v>Lieu de rassemblement</v>
      </c>
      <c r="N625" s="1973" t="str">
        <f>H644</f>
        <v>Administration</v>
      </c>
      <c r="O625" s="2037" t="str">
        <f>I644</f>
        <v>Ecole</v>
      </c>
      <c r="P625" s="1973" t="str">
        <f>J644</f>
        <v>Commerce</v>
      </c>
      <c r="Q625" s="1927" t="str">
        <f>M644</f>
        <v>Hôpital</v>
      </c>
      <c r="R625" s="2037" t="str">
        <f>N644</f>
        <v>Industrie</v>
      </c>
      <c r="S625" s="1927" t="str">
        <f>O644</f>
        <v>Entrepôt</v>
      </c>
      <c r="T625" s="2037" t="str">
        <f>P644</f>
        <v>Installation sportive</v>
      </c>
      <c r="U625" s="1973" t="str">
        <f>Q644</f>
        <v>Piscine couverte</v>
      </c>
      <c r="AE625" s="2" t="str">
        <f t="shared" ref="AE625:AE636" si="6">AN9</f>
        <v>Habitat collectif</v>
      </c>
      <c r="AF625" s="2">
        <f>E627</f>
        <v>0.5</v>
      </c>
    </row>
    <row r="626" spans="5:32">
      <c r="E626" s="2038">
        <v>1</v>
      </c>
      <c r="F626" s="2039"/>
      <c r="G626" s="2038">
        <v>2</v>
      </c>
      <c r="H626" s="2039"/>
      <c r="I626" s="2038">
        <v>3</v>
      </c>
      <c r="J626" s="2039"/>
      <c r="K626" s="2038">
        <v>4</v>
      </c>
      <c r="L626" s="2039"/>
      <c r="M626" s="2040">
        <v>4</v>
      </c>
      <c r="N626" s="2039">
        <v>1</v>
      </c>
      <c r="O626" s="2040">
        <v>1</v>
      </c>
      <c r="P626" s="2039">
        <v>1</v>
      </c>
      <c r="Q626" s="1918">
        <v>1</v>
      </c>
      <c r="R626" s="2040">
        <v>1</v>
      </c>
      <c r="S626" s="1918">
        <v>1</v>
      </c>
      <c r="T626" s="2040">
        <v>1</v>
      </c>
      <c r="U626" s="2039">
        <v>3</v>
      </c>
      <c r="AE626" s="2" t="str">
        <f t="shared" si="6"/>
        <v>Habitat individuel</v>
      </c>
      <c r="AF626" s="2">
        <f>G627</f>
        <v>1.4</v>
      </c>
    </row>
    <row r="627" spans="5:32">
      <c r="E627" s="1939">
        <v>0.5</v>
      </c>
      <c r="F627" s="1940">
        <v>1</v>
      </c>
      <c r="G627" s="1939">
        <v>1.4</v>
      </c>
      <c r="H627" s="1940">
        <v>1</v>
      </c>
      <c r="I627" s="1939">
        <v>0.7</v>
      </c>
      <c r="J627" s="1940">
        <v>1</v>
      </c>
      <c r="K627" s="1939">
        <v>1</v>
      </c>
      <c r="L627" s="1940">
        <v>1</v>
      </c>
      <c r="M627" s="1956">
        <v>1</v>
      </c>
      <c r="N627" s="1940">
        <v>0.5</v>
      </c>
      <c r="O627" s="1956">
        <v>0.5</v>
      </c>
      <c r="P627" s="1940">
        <v>0.5</v>
      </c>
      <c r="Q627" s="2">
        <v>0.5</v>
      </c>
      <c r="R627" s="1956">
        <v>0.5</v>
      </c>
      <c r="S627" s="2">
        <v>0.5</v>
      </c>
      <c r="T627" s="1956">
        <v>0.5</v>
      </c>
      <c r="U627" s="1940">
        <v>0.7</v>
      </c>
      <c r="AE627" s="2" t="str">
        <f t="shared" si="6"/>
        <v>Administration</v>
      </c>
      <c r="AF627" s="2">
        <f>N627</f>
        <v>0.5</v>
      </c>
    </row>
    <row r="628" spans="5:32">
      <c r="E628" s="1939">
        <v>0.6</v>
      </c>
      <c r="F628" s="1940">
        <v>2</v>
      </c>
      <c r="G628" s="1939">
        <v>1.5</v>
      </c>
      <c r="H628" s="1940">
        <v>2</v>
      </c>
      <c r="I628" s="1939">
        <v>0.8</v>
      </c>
      <c r="J628" s="1940">
        <v>2</v>
      </c>
      <c r="K628" s="1939">
        <v>1.1000000000000001</v>
      </c>
      <c r="L628" s="1940">
        <v>2</v>
      </c>
      <c r="M628" s="1956">
        <v>1.1000000000000001</v>
      </c>
      <c r="N628" s="1940">
        <v>0.6</v>
      </c>
      <c r="O628" s="1956">
        <v>0.6</v>
      </c>
      <c r="P628" s="1940">
        <v>0.6</v>
      </c>
      <c r="Q628" s="2">
        <v>0.6</v>
      </c>
      <c r="R628" s="1956">
        <v>0.6</v>
      </c>
      <c r="S628" s="2">
        <v>0.6</v>
      </c>
      <c r="T628" s="1956">
        <v>0.6</v>
      </c>
      <c r="U628" s="1940">
        <v>0.8</v>
      </c>
      <c r="AE628" s="2" t="str">
        <f t="shared" si="6"/>
        <v>Ecole</v>
      </c>
      <c r="AF628" s="2">
        <f>O627</f>
        <v>0.5</v>
      </c>
    </row>
    <row r="629" spans="5:32">
      <c r="E629" s="1939">
        <v>0.7</v>
      </c>
      <c r="F629" s="1940">
        <v>3</v>
      </c>
      <c r="G629" s="1939">
        <v>1.6</v>
      </c>
      <c r="H629" s="1940">
        <v>3</v>
      </c>
      <c r="I629" s="1939">
        <v>0.9</v>
      </c>
      <c r="J629" s="1940">
        <v>3</v>
      </c>
      <c r="K629" s="1939">
        <v>1.2</v>
      </c>
      <c r="L629" s="1940">
        <v>3</v>
      </c>
      <c r="M629" s="1956">
        <v>1.2</v>
      </c>
      <c r="N629" s="1940">
        <v>0.7</v>
      </c>
      <c r="O629" s="1956">
        <v>0.7</v>
      </c>
      <c r="P629" s="1940">
        <v>0.7</v>
      </c>
      <c r="Q629" s="2">
        <v>0.7</v>
      </c>
      <c r="R629" s="1956">
        <v>0.7</v>
      </c>
      <c r="S629" s="2">
        <v>0.7</v>
      </c>
      <c r="T629" s="1956">
        <v>0.7</v>
      </c>
      <c r="U629" s="1940">
        <v>0.9</v>
      </c>
      <c r="AE629" s="2" t="str">
        <f t="shared" si="6"/>
        <v>Commerce</v>
      </c>
      <c r="AF629" s="2">
        <f>P627</f>
        <v>0.5</v>
      </c>
    </row>
    <row r="630" spans="5:32">
      <c r="E630" s="1939">
        <v>0.8</v>
      </c>
      <c r="F630" s="1940">
        <v>4</v>
      </c>
      <c r="G630" s="1939">
        <v>1.7</v>
      </c>
      <c r="H630" s="1940">
        <v>4</v>
      </c>
      <c r="I630" s="1939">
        <v>1</v>
      </c>
      <c r="J630" s="1940">
        <v>4</v>
      </c>
      <c r="K630" s="1939">
        <v>1.3</v>
      </c>
      <c r="L630" s="1940">
        <v>4</v>
      </c>
      <c r="M630" s="1956">
        <v>1.3</v>
      </c>
      <c r="N630" s="1940">
        <v>0.8</v>
      </c>
      <c r="O630" s="1956">
        <v>0.8</v>
      </c>
      <c r="P630" s="1940">
        <v>0.8</v>
      </c>
      <c r="Q630" s="2">
        <v>0.8</v>
      </c>
      <c r="R630" s="1956">
        <v>0.8</v>
      </c>
      <c r="S630" s="2">
        <v>0.8</v>
      </c>
      <c r="T630" s="1956">
        <v>0.8</v>
      </c>
      <c r="U630" s="1940">
        <v>1</v>
      </c>
      <c r="AE630" s="2" t="str">
        <f t="shared" si="6"/>
        <v>Restaurant</v>
      </c>
      <c r="AF630" s="2">
        <f>I627</f>
        <v>0.7</v>
      </c>
    </row>
    <row r="631" spans="5:32">
      <c r="E631" s="1939">
        <v>0.9</v>
      </c>
      <c r="F631" s="1940">
        <v>5</v>
      </c>
      <c r="G631" s="1939">
        <v>1.8</v>
      </c>
      <c r="H631" s="1940">
        <v>5</v>
      </c>
      <c r="I631" s="1939">
        <v>1.2</v>
      </c>
      <c r="J631" s="1940">
        <v>5</v>
      </c>
      <c r="K631" s="1939">
        <v>1.4</v>
      </c>
      <c r="L631" s="1940">
        <v>5</v>
      </c>
      <c r="M631" s="1956">
        <v>1.4</v>
      </c>
      <c r="N631" s="1940">
        <v>0.9</v>
      </c>
      <c r="O631" s="1956">
        <v>0.9</v>
      </c>
      <c r="P631" s="1940">
        <v>0.9</v>
      </c>
      <c r="Q631" s="2">
        <v>0.9</v>
      </c>
      <c r="R631" s="1956">
        <v>0.9</v>
      </c>
      <c r="S631" s="2">
        <v>0.9</v>
      </c>
      <c r="T631" s="1956">
        <v>0.9</v>
      </c>
      <c r="U631" s="1940">
        <v>1.2</v>
      </c>
      <c r="AE631" s="2" t="str">
        <f t="shared" si="6"/>
        <v>Lieu de rassemblement</v>
      </c>
      <c r="AF631" s="2">
        <f>M627</f>
        <v>1</v>
      </c>
    </row>
    <row r="632" spans="5:32">
      <c r="E632" s="1939">
        <v>1</v>
      </c>
      <c r="F632" s="1940">
        <v>6</v>
      </c>
      <c r="G632" s="1939">
        <v>1.9</v>
      </c>
      <c r="H632" s="1940">
        <v>6</v>
      </c>
      <c r="I632" s="1939">
        <v>1.4</v>
      </c>
      <c r="J632" s="1940">
        <v>6</v>
      </c>
      <c r="K632" s="1939">
        <v>1.5</v>
      </c>
      <c r="L632" s="1940">
        <v>6</v>
      </c>
      <c r="M632" s="1956">
        <v>1.5</v>
      </c>
      <c r="N632" s="1940">
        <v>1</v>
      </c>
      <c r="O632" s="1956">
        <v>1</v>
      </c>
      <c r="P632" s="1940">
        <v>1</v>
      </c>
      <c r="Q632" s="2">
        <v>1</v>
      </c>
      <c r="R632" s="1956">
        <v>1</v>
      </c>
      <c r="S632" s="2">
        <v>1</v>
      </c>
      <c r="T632" s="1956">
        <v>1</v>
      </c>
      <c r="U632" s="1940">
        <v>1.4</v>
      </c>
      <c r="AE632" s="2" t="str">
        <f t="shared" si="6"/>
        <v>Hôpital</v>
      </c>
      <c r="AF632" s="2">
        <f>Q627</f>
        <v>0.5</v>
      </c>
    </row>
    <row r="633" spans="5:32">
      <c r="E633" s="1939">
        <v>1.2</v>
      </c>
      <c r="F633" s="1940">
        <v>7</v>
      </c>
      <c r="G633" s="1939">
        <v>2</v>
      </c>
      <c r="H633" s="1940">
        <v>7</v>
      </c>
      <c r="I633" s="1939">
        <v>1.6</v>
      </c>
      <c r="J633" s="1940">
        <v>7</v>
      </c>
      <c r="K633" s="1939">
        <v>1.6</v>
      </c>
      <c r="L633" s="1940">
        <v>7</v>
      </c>
      <c r="M633" s="1956">
        <v>1.6</v>
      </c>
      <c r="N633" s="1940">
        <v>1.2</v>
      </c>
      <c r="O633" s="1956">
        <v>1.2</v>
      </c>
      <c r="P633" s="1940">
        <v>1.2</v>
      </c>
      <c r="Q633" s="2">
        <v>1.2</v>
      </c>
      <c r="R633" s="1956">
        <v>1.2</v>
      </c>
      <c r="S633" s="2">
        <v>1.2</v>
      </c>
      <c r="T633" s="1956">
        <v>1.2</v>
      </c>
      <c r="U633" s="1940">
        <v>1.6</v>
      </c>
      <c r="AE633" s="2" t="str">
        <f t="shared" si="6"/>
        <v>Industrie</v>
      </c>
      <c r="AF633" s="2">
        <f>R627</f>
        <v>0.5</v>
      </c>
    </row>
    <row r="634" spans="5:32">
      <c r="E634" s="1939">
        <v>1.4</v>
      </c>
      <c r="F634" s="1940">
        <v>8</v>
      </c>
      <c r="G634" s="1939">
        <v>2.1</v>
      </c>
      <c r="H634" s="1940">
        <v>8</v>
      </c>
      <c r="I634" s="1939">
        <v>1.8</v>
      </c>
      <c r="J634" s="1940">
        <v>8</v>
      </c>
      <c r="K634" s="1939">
        <v>1.7</v>
      </c>
      <c r="L634" s="1940">
        <v>8</v>
      </c>
      <c r="M634" s="1956">
        <v>1.7</v>
      </c>
      <c r="N634" s="1940">
        <v>1.4</v>
      </c>
      <c r="O634" s="1956">
        <v>1.4</v>
      </c>
      <c r="P634" s="1940">
        <v>1.4</v>
      </c>
      <c r="Q634" s="2">
        <v>1.4</v>
      </c>
      <c r="R634" s="1956">
        <v>1.4</v>
      </c>
      <c r="S634" s="2">
        <v>1.4</v>
      </c>
      <c r="T634" s="1956">
        <v>1.4</v>
      </c>
      <c r="U634" s="1940">
        <v>1.8</v>
      </c>
      <c r="AE634" s="2" t="str">
        <f t="shared" si="6"/>
        <v>Entrepôt</v>
      </c>
      <c r="AF634" s="2">
        <f>S627</f>
        <v>0.5</v>
      </c>
    </row>
    <row r="635" spans="5:32">
      <c r="E635" s="1939">
        <v>1.6</v>
      </c>
      <c r="F635" s="1940">
        <v>9</v>
      </c>
      <c r="G635" s="1939">
        <v>2.2000000000000002</v>
      </c>
      <c r="H635" s="1940">
        <v>9</v>
      </c>
      <c r="I635" s="1939">
        <v>2</v>
      </c>
      <c r="J635" s="1940">
        <v>9</v>
      </c>
      <c r="K635" s="1939">
        <v>1.8</v>
      </c>
      <c r="L635" s="1940">
        <v>9</v>
      </c>
      <c r="M635" s="1956">
        <v>1.8</v>
      </c>
      <c r="N635" s="1940">
        <v>1.6</v>
      </c>
      <c r="O635" s="1956">
        <v>1.6</v>
      </c>
      <c r="P635" s="1940">
        <v>1.6</v>
      </c>
      <c r="Q635" s="2">
        <v>1.6</v>
      </c>
      <c r="R635" s="1956">
        <v>1.6</v>
      </c>
      <c r="S635" s="2">
        <v>1.6</v>
      </c>
      <c r="T635" s="1956">
        <v>1.6</v>
      </c>
      <c r="U635" s="1940">
        <v>2</v>
      </c>
      <c r="AE635" s="2" t="str">
        <f t="shared" si="6"/>
        <v>Installation sportive</v>
      </c>
      <c r="AF635" s="2">
        <f>T627</f>
        <v>0.5</v>
      </c>
    </row>
    <row r="636" spans="5:32">
      <c r="E636" s="1939">
        <v>1.8</v>
      </c>
      <c r="F636" s="1940">
        <v>10</v>
      </c>
      <c r="G636" s="1939">
        <v>2.2999999999999998</v>
      </c>
      <c r="H636" s="1940">
        <v>10</v>
      </c>
      <c r="I636" s="1939">
        <v>2.2000000000000002</v>
      </c>
      <c r="J636" s="1940">
        <v>10</v>
      </c>
      <c r="K636" s="1939">
        <v>1.9</v>
      </c>
      <c r="L636" s="1940">
        <v>10</v>
      </c>
      <c r="M636" s="1956">
        <v>1.9</v>
      </c>
      <c r="N636" s="1940">
        <v>1.8</v>
      </c>
      <c r="O636" s="1956">
        <v>1.8</v>
      </c>
      <c r="P636" s="1940">
        <v>1.8</v>
      </c>
      <c r="Q636" s="2">
        <v>1.8</v>
      </c>
      <c r="R636" s="1956">
        <v>1.8</v>
      </c>
      <c r="S636" s="2">
        <v>1.8</v>
      </c>
      <c r="T636" s="1956">
        <v>1.8</v>
      </c>
      <c r="U636" s="1940">
        <v>2.2000000000000002</v>
      </c>
      <c r="AE636" s="2" t="str">
        <f t="shared" si="6"/>
        <v>Piscine couverte</v>
      </c>
      <c r="AF636" s="2">
        <f>U627</f>
        <v>0.7</v>
      </c>
    </row>
    <row r="637" spans="5:32">
      <c r="E637" s="1939">
        <v>2</v>
      </c>
      <c r="F637" s="1940">
        <v>11</v>
      </c>
      <c r="G637" s="1939">
        <v>2.4</v>
      </c>
      <c r="H637" s="1940">
        <v>11</v>
      </c>
      <c r="I637" s="1939">
        <v>2.4</v>
      </c>
      <c r="J637" s="1940">
        <v>11</v>
      </c>
      <c r="K637" s="1939">
        <v>2</v>
      </c>
      <c r="L637" s="1940">
        <v>11</v>
      </c>
      <c r="M637" s="1956">
        <v>2</v>
      </c>
      <c r="N637" s="1940">
        <v>2</v>
      </c>
      <c r="O637" s="1956">
        <v>2</v>
      </c>
      <c r="P637" s="1940">
        <v>2</v>
      </c>
      <c r="Q637" s="2">
        <v>2</v>
      </c>
      <c r="R637" s="1956">
        <v>2</v>
      </c>
      <c r="S637" s="2">
        <v>2</v>
      </c>
      <c r="T637" s="1956">
        <v>2</v>
      </c>
      <c r="U637" s="1940">
        <v>2.4</v>
      </c>
    </row>
    <row r="638" spans="5:32">
      <c r="E638" s="1936">
        <v>2.5</v>
      </c>
      <c r="F638" s="1938">
        <v>12</v>
      </c>
      <c r="G638" s="1936">
        <v>2.5</v>
      </c>
      <c r="H638" s="1938">
        <v>12</v>
      </c>
      <c r="I638" s="1936">
        <v>2.6</v>
      </c>
      <c r="J638" s="1938">
        <v>12</v>
      </c>
      <c r="K638" s="1936">
        <v>2.5</v>
      </c>
      <c r="L638" s="1938">
        <v>12</v>
      </c>
      <c r="M638" s="1984">
        <v>2.5</v>
      </c>
      <c r="N638" s="1938">
        <v>2.5</v>
      </c>
      <c r="O638" s="1984">
        <v>2.5</v>
      </c>
      <c r="P638" s="1938">
        <v>2.5</v>
      </c>
      <c r="Q638" s="1937">
        <v>2.5</v>
      </c>
      <c r="R638" s="1984">
        <v>2.5</v>
      </c>
      <c r="S638" s="1937">
        <v>2.5</v>
      </c>
      <c r="T638" s="1984">
        <v>2.5</v>
      </c>
      <c r="U638" s="1938">
        <v>2.6</v>
      </c>
    </row>
    <row r="643" spans="5:45">
      <c r="E643" s="1918" t="s">
        <v>4097</v>
      </c>
      <c r="S643" s="1918" t="s">
        <v>4209</v>
      </c>
      <c r="AG643" s="1918"/>
    </row>
    <row r="644" spans="5:45">
      <c r="E644" s="2041"/>
      <c r="F644" s="2042" t="str">
        <f>$AN$9</f>
        <v>Habitat collectif</v>
      </c>
      <c r="G644" s="2042" t="str">
        <f>$AN$10</f>
        <v>Habitat individuel</v>
      </c>
      <c r="H644" s="2042" t="str">
        <f>$AN$11</f>
        <v>Administration</v>
      </c>
      <c r="I644" s="2042" t="str">
        <f>$AN$12</f>
        <v>Ecole</v>
      </c>
      <c r="J644" s="2042" t="str">
        <f>$AN$13</f>
        <v>Commerce</v>
      </c>
      <c r="K644" s="2042" t="str">
        <f>$AN$14</f>
        <v>Restaurant</v>
      </c>
      <c r="L644" s="2042" t="str">
        <f>$AN$15</f>
        <v>Lieu de rassemblement</v>
      </c>
      <c r="M644" s="2042" t="str">
        <f>$AN$16</f>
        <v>Hôpital</v>
      </c>
      <c r="N644" s="2042" t="str">
        <f>$AN$17</f>
        <v>Industrie</v>
      </c>
      <c r="O644" s="2042" t="str">
        <f>$AN$18</f>
        <v>Entrepôt</v>
      </c>
      <c r="P644" s="2042" t="str">
        <f>$AN$19</f>
        <v>Installation sportive</v>
      </c>
      <c r="Q644" s="2043" t="str">
        <f>$AN$20</f>
        <v>Piscine couverte</v>
      </c>
      <c r="S644" s="2041"/>
      <c r="T644" s="2042" t="str">
        <f>$AN$9</f>
        <v>Habitat collectif</v>
      </c>
      <c r="U644" s="2042" t="str">
        <f>$AN$10</f>
        <v>Habitat individuel</v>
      </c>
      <c r="V644" s="2042" t="str">
        <f>$AN$11</f>
        <v>Administration</v>
      </c>
      <c r="W644" s="2042" t="str">
        <f>$AN$12</f>
        <v>Ecole</v>
      </c>
      <c r="X644" s="2042" t="str">
        <f>$AN$13</f>
        <v>Commerce</v>
      </c>
      <c r="Y644" s="2042" t="str">
        <f>$AN$14</f>
        <v>Restaurant</v>
      </c>
      <c r="Z644" s="2042" t="str">
        <f>$AN$15</f>
        <v>Lieu de rassemblement</v>
      </c>
      <c r="AA644" s="2042" t="str">
        <f>$AN$16</f>
        <v>Hôpital</v>
      </c>
      <c r="AB644" s="2042" t="str">
        <f>$AN$17</f>
        <v>Industrie</v>
      </c>
      <c r="AC644" s="2042" t="str">
        <f>$AN$18</f>
        <v>Entrepôt</v>
      </c>
      <c r="AD644" s="2042" t="str">
        <f>$AN$19</f>
        <v>Installation sportive</v>
      </c>
      <c r="AE644" s="2043" t="str">
        <f>$AN$20</f>
        <v>Piscine couverte</v>
      </c>
      <c r="AG644" s="1918"/>
      <c r="AH644" s="1918"/>
      <c r="AI644" s="1918"/>
      <c r="AJ644" s="1918"/>
      <c r="AK644" s="1918"/>
      <c r="AL644" s="1918"/>
      <c r="AM644" s="1918"/>
      <c r="AN644" s="1918"/>
      <c r="AO644" s="1918"/>
      <c r="AP644" s="1918"/>
      <c r="AQ644" s="1918"/>
      <c r="AR644" s="1918"/>
      <c r="AS644" s="1918"/>
    </row>
    <row r="645" spans="5:45">
      <c r="E645" s="2044" t="str">
        <f>$Q$13</f>
        <v>Contruction massive lourde</v>
      </c>
      <c r="F645" s="1614" t="s">
        <v>4344</v>
      </c>
      <c r="G645" s="1614" t="s">
        <v>4345</v>
      </c>
      <c r="H645" s="1614" t="s">
        <v>4346</v>
      </c>
      <c r="I645" s="1614" t="s">
        <v>4347</v>
      </c>
      <c r="J645" s="1614" t="s">
        <v>4348</v>
      </c>
      <c r="K645" s="1614" t="s">
        <v>4349</v>
      </c>
      <c r="L645" s="1614" t="s">
        <v>4350</v>
      </c>
      <c r="M645" s="1614" t="s">
        <v>4351</v>
      </c>
      <c r="N645" s="1614" t="s">
        <v>4352</v>
      </c>
      <c r="O645" s="1614" t="s">
        <v>4353</v>
      </c>
      <c r="P645" s="1614" t="s">
        <v>4354</v>
      </c>
      <c r="Q645" s="2045" t="s">
        <v>4355</v>
      </c>
      <c r="S645" s="2044" t="str">
        <f>$Q$13</f>
        <v>Contruction massive lourde</v>
      </c>
      <c r="T645" s="1614" t="s">
        <v>4356</v>
      </c>
      <c r="U645" s="1614" t="s">
        <v>4357</v>
      </c>
      <c r="V645" s="1614" t="s">
        <v>4358</v>
      </c>
      <c r="W645" s="1614" t="s">
        <v>4359</v>
      </c>
      <c r="X645" s="1614" t="s">
        <v>4360</v>
      </c>
      <c r="Y645" s="1614" t="s">
        <v>4361</v>
      </c>
      <c r="Z645" s="1614" t="s">
        <v>4362</v>
      </c>
      <c r="AA645" s="1614" t="s">
        <v>4363</v>
      </c>
      <c r="AB645" s="1614" t="s">
        <v>4364</v>
      </c>
      <c r="AC645" s="1614" t="s">
        <v>4365</v>
      </c>
      <c r="AD645" s="1614" t="s">
        <v>4366</v>
      </c>
      <c r="AE645" s="2045" t="s">
        <v>4367</v>
      </c>
      <c r="AG645" s="2046"/>
      <c r="AH645" s="1614"/>
      <c r="AI645" s="1614"/>
      <c r="AJ645" s="1614"/>
      <c r="AK645" s="1614"/>
      <c r="AL645" s="1614"/>
      <c r="AM645" s="1614"/>
      <c r="AN645" s="1614"/>
      <c r="AO645" s="1614"/>
      <c r="AP645" s="1614"/>
      <c r="AQ645" s="1614"/>
      <c r="AR645" s="1614"/>
      <c r="AS645" s="2006"/>
    </row>
    <row r="646" spans="5:45">
      <c r="E646" s="2044" t="str">
        <f>$Q$14</f>
        <v>Contruction massive légère</v>
      </c>
      <c r="F646" s="1614" t="s">
        <v>4368</v>
      </c>
      <c r="G646" s="1614" t="s">
        <v>4369</v>
      </c>
      <c r="H646" s="1614" t="s">
        <v>4370</v>
      </c>
      <c r="I646" s="1614" t="s">
        <v>4371</v>
      </c>
      <c r="J646" s="1614" t="s">
        <v>4372</v>
      </c>
      <c r="K646" s="1614" t="s">
        <v>4373</v>
      </c>
      <c r="L646" s="1614" t="s">
        <v>4374</v>
      </c>
      <c r="M646" s="1614" t="s">
        <v>4375</v>
      </c>
      <c r="N646" s="1614" t="s">
        <v>4376</v>
      </c>
      <c r="O646" s="1614" t="s">
        <v>4377</v>
      </c>
      <c r="P646" s="1614" t="s">
        <v>4378</v>
      </c>
      <c r="Q646" s="2045" t="s">
        <v>4379</v>
      </c>
      <c r="S646" s="2044" t="str">
        <f>$Q$14</f>
        <v>Contruction massive légère</v>
      </c>
      <c r="T646" s="1614" t="s">
        <v>4380</v>
      </c>
      <c r="U646" s="1614" t="s">
        <v>4381</v>
      </c>
      <c r="V646" s="1614" t="s">
        <v>4382</v>
      </c>
      <c r="W646" s="1614" t="s">
        <v>4383</v>
      </c>
      <c r="X646" s="1614" t="s">
        <v>4384</v>
      </c>
      <c r="Y646" s="1614" t="s">
        <v>4385</v>
      </c>
      <c r="Z646" s="1614" t="s">
        <v>4386</v>
      </c>
      <c r="AA646" s="1614" t="s">
        <v>4387</v>
      </c>
      <c r="AB646" s="1614" t="s">
        <v>4388</v>
      </c>
      <c r="AC646" s="1614" t="s">
        <v>4389</v>
      </c>
      <c r="AD646" s="1614" t="s">
        <v>4390</v>
      </c>
      <c r="AE646" s="2045" t="s">
        <v>4391</v>
      </c>
      <c r="AG646" s="2046"/>
      <c r="AH646" s="1614"/>
      <c r="AI646" s="1614"/>
      <c r="AJ646" s="1614"/>
      <c r="AK646" s="1614"/>
      <c r="AL646" s="1614"/>
      <c r="AM646" s="1614"/>
      <c r="AN646" s="1614"/>
      <c r="AO646" s="1614"/>
      <c r="AP646" s="1614"/>
      <c r="AQ646" s="1614"/>
      <c r="AR646" s="1614"/>
      <c r="AS646" s="2006"/>
    </row>
    <row r="647" spans="5:45">
      <c r="E647" s="2044" t="str">
        <f>$Q$15</f>
        <v>Construction en bois lourde</v>
      </c>
      <c r="F647" s="1614" t="s">
        <v>4392</v>
      </c>
      <c r="G647" s="1614" t="s">
        <v>4393</v>
      </c>
      <c r="H647" s="1614" t="s">
        <v>4394</v>
      </c>
      <c r="I647" s="1614" t="s">
        <v>4395</v>
      </c>
      <c r="J647" s="1614" t="s">
        <v>4396</v>
      </c>
      <c r="K647" s="1614" t="s">
        <v>4397</v>
      </c>
      <c r="L647" s="1614" t="s">
        <v>4398</v>
      </c>
      <c r="M647" s="1614" t="s">
        <v>4399</v>
      </c>
      <c r="N647" s="1614" t="s">
        <v>4400</v>
      </c>
      <c r="O647" s="1614" t="s">
        <v>4401</v>
      </c>
      <c r="P647" s="1614" t="s">
        <v>4402</v>
      </c>
      <c r="Q647" s="2045" t="s">
        <v>4403</v>
      </c>
      <c r="S647" s="2044" t="str">
        <f>$Q$15</f>
        <v>Construction en bois lourde</v>
      </c>
      <c r="T647" s="1614" t="s">
        <v>4404</v>
      </c>
      <c r="U647" s="1614" t="s">
        <v>4405</v>
      </c>
      <c r="V647" s="1614" t="s">
        <v>4406</v>
      </c>
      <c r="W647" s="1614" t="s">
        <v>4407</v>
      </c>
      <c r="X647" s="1614" t="s">
        <v>4408</v>
      </c>
      <c r="Y647" s="1614" t="s">
        <v>4409</v>
      </c>
      <c r="Z647" s="1614" t="s">
        <v>4410</v>
      </c>
      <c r="AA647" s="1614" t="s">
        <v>4411</v>
      </c>
      <c r="AB647" s="1614" t="s">
        <v>4412</v>
      </c>
      <c r="AC647" s="1614" t="s">
        <v>4413</v>
      </c>
      <c r="AD647" s="1614" t="s">
        <v>4414</v>
      </c>
      <c r="AE647" s="2045" t="s">
        <v>4415</v>
      </c>
      <c r="AG647" s="2046"/>
      <c r="AH647" s="1614"/>
      <c r="AI647" s="1614"/>
      <c r="AJ647" s="1614"/>
      <c r="AK647" s="1614"/>
      <c r="AL647" s="1614"/>
      <c r="AM647" s="1614"/>
      <c r="AN647" s="1614"/>
      <c r="AO647" s="1614"/>
      <c r="AP647" s="1614"/>
      <c r="AQ647" s="1614"/>
      <c r="AR647" s="1614"/>
      <c r="AS647" s="2006"/>
    </row>
    <row r="648" spans="5:45">
      <c r="E648" s="2044" t="str">
        <f>$Q$16</f>
        <v>Construction en bois légère</v>
      </c>
      <c r="F648" s="1614" t="s">
        <v>4416</v>
      </c>
      <c r="G648" s="1614" t="s">
        <v>4417</v>
      </c>
      <c r="H648" s="1614" t="s">
        <v>4418</v>
      </c>
      <c r="I648" s="1614" t="s">
        <v>4419</v>
      </c>
      <c r="J648" s="1614" t="s">
        <v>4420</v>
      </c>
      <c r="K648" s="1614" t="s">
        <v>4421</v>
      </c>
      <c r="L648" s="1614" t="s">
        <v>4422</v>
      </c>
      <c r="M648" s="1614" t="s">
        <v>4423</v>
      </c>
      <c r="N648" s="1614" t="s">
        <v>4424</v>
      </c>
      <c r="O648" s="1614" t="s">
        <v>4425</v>
      </c>
      <c r="P648" s="1614" t="s">
        <v>4426</v>
      </c>
      <c r="Q648" s="2045" t="s">
        <v>4427</v>
      </c>
      <c r="S648" s="2044" t="str">
        <f>$Q$16</f>
        <v>Construction en bois légère</v>
      </c>
      <c r="T648" s="1614" t="s">
        <v>4428</v>
      </c>
      <c r="U648" s="1614" t="s">
        <v>4429</v>
      </c>
      <c r="V648" s="1614" t="s">
        <v>4430</v>
      </c>
      <c r="W648" s="1614" t="s">
        <v>4431</v>
      </c>
      <c r="X648" s="1614" t="s">
        <v>4432</v>
      </c>
      <c r="Y648" s="1614" t="s">
        <v>4433</v>
      </c>
      <c r="Z648" s="1614" t="s">
        <v>4434</v>
      </c>
      <c r="AA648" s="1614" t="s">
        <v>4435</v>
      </c>
      <c r="AB648" s="1614" t="s">
        <v>4436</v>
      </c>
      <c r="AC648" s="1614" t="s">
        <v>4437</v>
      </c>
      <c r="AD648" s="1614" t="s">
        <v>4438</v>
      </c>
      <c r="AE648" s="2045" t="s">
        <v>4439</v>
      </c>
      <c r="AG648" s="2046"/>
      <c r="AH648" s="1614"/>
      <c r="AI648" s="1614"/>
      <c r="AJ648" s="1614"/>
      <c r="AK648" s="1614"/>
      <c r="AL648" s="1614"/>
      <c r="AM648" s="1614"/>
      <c r="AN648" s="1614"/>
      <c r="AO648" s="1614"/>
      <c r="AP648" s="1614"/>
      <c r="AQ648" s="1614"/>
      <c r="AR648" s="1614"/>
      <c r="AS648" s="2006"/>
    </row>
    <row r="649" spans="5:45">
      <c r="E649" s="2044" t="str">
        <f>$Q$17</f>
        <v>Construction hybride</v>
      </c>
      <c r="F649" s="1614" t="s">
        <v>4440</v>
      </c>
      <c r="G649" s="1614" t="s">
        <v>4441</v>
      </c>
      <c r="H649" s="1614" t="s">
        <v>4442</v>
      </c>
      <c r="I649" s="1614" t="s">
        <v>4443</v>
      </c>
      <c r="J649" s="1614" t="s">
        <v>4444</v>
      </c>
      <c r="K649" s="1614" t="s">
        <v>4445</v>
      </c>
      <c r="L649" s="1614" t="s">
        <v>4446</v>
      </c>
      <c r="M649" s="1614" t="s">
        <v>4447</v>
      </c>
      <c r="N649" s="1614" t="s">
        <v>4448</v>
      </c>
      <c r="O649" s="1614" t="s">
        <v>4449</v>
      </c>
      <c r="P649" s="1614" t="s">
        <v>4450</v>
      </c>
      <c r="Q649" s="2045" t="s">
        <v>4451</v>
      </c>
      <c r="S649" s="2044" t="str">
        <f>$Q$17</f>
        <v>Construction hybride</v>
      </c>
      <c r="T649" s="1614" t="s">
        <v>4452</v>
      </c>
      <c r="U649" s="1614" t="s">
        <v>4453</v>
      </c>
      <c r="V649" s="1614" t="s">
        <v>4454</v>
      </c>
      <c r="W649" s="1614" t="s">
        <v>4455</v>
      </c>
      <c r="X649" s="1614" t="s">
        <v>4456</v>
      </c>
      <c r="Y649" s="1614" t="s">
        <v>4457</v>
      </c>
      <c r="Z649" s="1614" t="s">
        <v>4458</v>
      </c>
      <c r="AA649" s="1614" t="s">
        <v>4459</v>
      </c>
      <c r="AB649" s="1614" t="s">
        <v>4460</v>
      </c>
      <c r="AC649" s="1614" t="s">
        <v>4461</v>
      </c>
      <c r="AD649" s="1614" t="s">
        <v>4462</v>
      </c>
      <c r="AE649" s="2045" t="s">
        <v>4463</v>
      </c>
      <c r="AG649" s="2046"/>
      <c r="AH649" s="1614"/>
      <c r="AI649" s="1614"/>
      <c r="AJ649" s="1614"/>
      <c r="AK649" s="1614"/>
      <c r="AL649" s="1614"/>
      <c r="AM649" s="1614"/>
      <c r="AN649" s="1614"/>
      <c r="AO649" s="1614"/>
      <c r="AP649" s="1614"/>
      <c r="AQ649" s="1614"/>
      <c r="AR649" s="1614"/>
      <c r="AS649" s="2006"/>
    </row>
    <row r="650" spans="5:45">
      <c r="E650" s="2044" t="str">
        <f>$Q$18</f>
        <v/>
      </c>
      <c r="F650" s="1614" t="s">
        <v>4464</v>
      </c>
      <c r="G650" s="1614" t="s">
        <v>4465</v>
      </c>
      <c r="H650" s="1614" t="s">
        <v>4466</v>
      </c>
      <c r="I650" s="1614" t="s">
        <v>4467</v>
      </c>
      <c r="J650" s="1614" t="s">
        <v>4468</v>
      </c>
      <c r="K650" s="1614" t="s">
        <v>4469</v>
      </c>
      <c r="L650" s="1614" t="s">
        <v>4470</v>
      </c>
      <c r="M650" s="1614" t="s">
        <v>4471</v>
      </c>
      <c r="N650" s="1614" t="s">
        <v>4472</v>
      </c>
      <c r="O650" s="1614" t="s">
        <v>4473</v>
      </c>
      <c r="P650" s="1614" t="s">
        <v>4474</v>
      </c>
      <c r="Q650" s="2045" t="s">
        <v>4475</v>
      </c>
      <c r="S650" s="2044" t="str">
        <f>$Q$18</f>
        <v/>
      </c>
      <c r="T650" s="1614" t="s">
        <v>4476</v>
      </c>
      <c r="U650" s="1614" t="s">
        <v>4477</v>
      </c>
      <c r="V650" s="1614" t="s">
        <v>4478</v>
      </c>
      <c r="W650" s="1614" t="s">
        <v>4479</v>
      </c>
      <c r="X650" s="1614" t="s">
        <v>4480</v>
      </c>
      <c r="Y650" s="1614" t="s">
        <v>4481</v>
      </c>
      <c r="Z650" s="1614" t="s">
        <v>4482</v>
      </c>
      <c r="AA650" s="1614" t="s">
        <v>4483</v>
      </c>
      <c r="AB650" s="1614" t="s">
        <v>4484</v>
      </c>
      <c r="AC650" s="1614" t="s">
        <v>4485</v>
      </c>
      <c r="AD650" s="1614" t="s">
        <v>4486</v>
      </c>
      <c r="AE650" s="2045" t="s">
        <v>4487</v>
      </c>
      <c r="AG650" s="2046"/>
      <c r="AH650" s="1614"/>
      <c r="AI650" s="1614"/>
      <c r="AJ650" s="1614"/>
      <c r="AK650" s="1614"/>
      <c r="AL650" s="1614"/>
      <c r="AM650" s="1614"/>
      <c r="AN650" s="1614"/>
      <c r="AO650" s="1614"/>
      <c r="AP650" s="1614"/>
      <c r="AQ650" s="1614"/>
      <c r="AR650" s="1614"/>
      <c r="AS650" s="2006"/>
    </row>
    <row r="651" spans="5:45">
      <c r="E651" s="2044" t="str">
        <f>$Q$19</f>
        <v/>
      </c>
      <c r="F651" s="1330" t="s">
        <v>4488</v>
      </c>
      <c r="G651" s="1330" t="s">
        <v>4489</v>
      </c>
      <c r="H651" s="1330" t="s">
        <v>4490</v>
      </c>
      <c r="I651" s="1330" t="s">
        <v>4491</v>
      </c>
      <c r="J651" s="1330" t="s">
        <v>4492</v>
      </c>
      <c r="K651" s="1330" t="s">
        <v>4493</v>
      </c>
      <c r="L651" s="1330" t="s">
        <v>4494</v>
      </c>
      <c r="M651" s="1330" t="s">
        <v>4495</v>
      </c>
      <c r="N651" s="1330" t="s">
        <v>4496</v>
      </c>
      <c r="O651" s="1330" t="s">
        <v>4497</v>
      </c>
      <c r="P651" s="1330" t="s">
        <v>4498</v>
      </c>
      <c r="Q651" s="2047" t="s">
        <v>4499</v>
      </c>
      <c r="S651" s="2044" t="str">
        <f>$Q$19</f>
        <v/>
      </c>
      <c r="T651" s="1330" t="s">
        <v>4500</v>
      </c>
      <c r="U651" s="1330" t="s">
        <v>4501</v>
      </c>
      <c r="V651" s="1330" t="s">
        <v>4502</v>
      </c>
      <c r="W651" s="1330" t="s">
        <v>4503</v>
      </c>
      <c r="X651" s="1330" t="s">
        <v>4504</v>
      </c>
      <c r="Y651" s="1330" t="s">
        <v>4505</v>
      </c>
      <c r="Z651" s="1330" t="s">
        <v>4506</v>
      </c>
      <c r="AA651" s="1330" t="s">
        <v>4507</v>
      </c>
      <c r="AB651" s="1330" t="s">
        <v>4508</v>
      </c>
      <c r="AC651" s="1330" t="s">
        <v>4509</v>
      </c>
      <c r="AD651" s="1330" t="s">
        <v>4510</v>
      </c>
      <c r="AE651" s="2047" t="s">
        <v>4511</v>
      </c>
      <c r="AG651" s="2046"/>
      <c r="AH651" s="1614"/>
      <c r="AI651" s="1614"/>
      <c r="AJ651" s="1614"/>
      <c r="AK651" s="1614"/>
      <c r="AL651" s="1614"/>
      <c r="AM651" s="1614"/>
      <c r="AN651" s="1614"/>
      <c r="AO651" s="1614"/>
      <c r="AP651" s="1614"/>
      <c r="AQ651" s="1614"/>
      <c r="AR651" s="1614"/>
      <c r="AS651" s="2006"/>
    </row>
    <row r="657" spans="5:7">
      <c r="E657" s="1918" t="s">
        <v>4512</v>
      </c>
    </row>
    <row r="658" spans="5:7">
      <c r="E658" s="1924" t="s">
        <v>15</v>
      </c>
      <c r="F658" s="1973" t="s">
        <v>4513</v>
      </c>
      <c r="G658" s="1614" t="s">
        <v>4654</v>
      </c>
    </row>
    <row r="659" spans="5:7">
      <c r="E659" s="2048" t="str">
        <f>Standardwerte!A55</f>
        <v>Adelboden</v>
      </c>
      <c r="F659" s="1940">
        <v>4669</v>
      </c>
      <c r="G659" s="2320">
        <v>-10</v>
      </c>
    </row>
    <row r="660" spans="5:7">
      <c r="E660" s="2048" t="str">
        <f>Standardwerte!A56</f>
        <v>Aigle</v>
      </c>
      <c r="F660" s="1940">
        <v>3152</v>
      </c>
      <c r="G660" s="2321">
        <v>-6</v>
      </c>
    </row>
    <row r="661" spans="5:7">
      <c r="E661" s="2048" t="str">
        <f>Standardwerte!A57</f>
        <v>Altdorf</v>
      </c>
      <c r="F661" s="1940">
        <v>3201</v>
      </c>
      <c r="G661" s="2321">
        <v>-6</v>
      </c>
    </row>
    <row r="662" spans="5:7">
      <c r="E662" s="2048" t="str">
        <f>Standardwerte!A58</f>
        <v>Basel-Binningen</v>
      </c>
      <c r="F662" s="1940">
        <v>3034</v>
      </c>
      <c r="G662" s="2321">
        <v>-7</v>
      </c>
    </row>
    <row r="663" spans="5:7">
      <c r="E663" s="2048" t="str">
        <f>Standardwerte!A59</f>
        <v>Bern  Liebefeld</v>
      </c>
      <c r="F663" s="1940">
        <v>3513</v>
      </c>
      <c r="G663" s="2321">
        <v>-7</v>
      </c>
    </row>
    <row r="664" spans="5:7">
      <c r="E664" s="2048" t="str">
        <f>Standardwerte!A60</f>
        <v>Buchs Aarau</v>
      </c>
      <c r="F664" s="1940">
        <v>3325</v>
      </c>
      <c r="G664" s="2321">
        <v>-7</v>
      </c>
    </row>
    <row r="665" spans="5:7">
      <c r="E665" s="2048" t="str">
        <f>Standardwerte!A61</f>
        <v>Chur</v>
      </c>
      <c r="F665" s="1940">
        <v>3334</v>
      </c>
      <c r="G665" s="2321">
        <v>-7</v>
      </c>
    </row>
    <row r="666" spans="5:7">
      <c r="E666" s="2048" t="str">
        <f>Standardwerte!A62</f>
        <v>Davos</v>
      </c>
      <c r="F666" s="1940">
        <v>5689</v>
      </c>
      <c r="G666" s="2321">
        <v>-13</v>
      </c>
    </row>
    <row r="667" spans="5:7">
      <c r="E667" s="2048" t="str">
        <f>Standardwerte!A63</f>
        <v>Disentis</v>
      </c>
      <c r="F667" s="1940">
        <v>4418</v>
      </c>
      <c r="G667" s="2321">
        <v>-10</v>
      </c>
    </row>
    <row r="668" spans="5:7">
      <c r="E668" s="2048" t="str">
        <f>Standardwerte!A64</f>
        <v>Engelberg</v>
      </c>
      <c r="F668" s="1940">
        <v>4511</v>
      </c>
      <c r="G668" s="2321">
        <v>-11</v>
      </c>
    </row>
    <row r="669" spans="5:7">
      <c r="E669" s="2048" t="str">
        <f>Standardwerte!A65</f>
        <v>Genève</v>
      </c>
      <c r="F669" s="1940">
        <v>3007</v>
      </c>
      <c r="G669" s="2321">
        <v>-4</v>
      </c>
    </row>
    <row r="670" spans="5:7">
      <c r="E670" s="2048" t="str">
        <f>Standardwerte!A66</f>
        <v>Glarus</v>
      </c>
      <c r="F670" s="1940">
        <v>3610</v>
      </c>
      <c r="G670" s="2321">
        <v>-8</v>
      </c>
    </row>
    <row r="671" spans="5:7">
      <c r="E671" s="2048" t="str">
        <f>Standardwerte!A67</f>
        <v>Gr. St. Bernhard</v>
      </c>
      <c r="F671" s="1940">
        <v>7413</v>
      </c>
      <c r="G671" s="2321">
        <v>-15</v>
      </c>
    </row>
    <row r="672" spans="5:7">
      <c r="E672" s="2048" t="str">
        <f>Standardwerte!A68</f>
        <v>Güttingen</v>
      </c>
      <c r="F672" s="1940">
        <v>3472</v>
      </c>
      <c r="G672" s="2321">
        <v>-7</v>
      </c>
    </row>
    <row r="673" spans="5:7">
      <c r="E673" s="2048" t="str">
        <f>Standardwerte!A69</f>
        <v>Interlaken</v>
      </c>
      <c r="F673" s="1940">
        <v>3630</v>
      </c>
      <c r="G673" s="2321">
        <v>-7</v>
      </c>
    </row>
    <row r="674" spans="5:7">
      <c r="E674" s="2048" t="str">
        <f>Standardwerte!A70</f>
        <v>La Chaux-de-Fonds</v>
      </c>
      <c r="F674" s="1940">
        <v>4471</v>
      </c>
      <c r="G674" s="2321">
        <v>-10</v>
      </c>
    </row>
    <row r="675" spans="5:7">
      <c r="E675" s="2048" t="str">
        <f>Standardwerte!A71</f>
        <v>La Frêtaz</v>
      </c>
      <c r="F675" s="1940">
        <v>4723</v>
      </c>
      <c r="G675" s="2321">
        <v>-10</v>
      </c>
    </row>
    <row r="676" spans="5:7">
      <c r="E676" s="2048" t="str">
        <f>Standardwerte!A72</f>
        <v>Locarno-Monti</v>
      </c>
      <c r="F676" s="1940">
        <v>2477</v>
      </c>
      <c r="G676" s="2321">
        <v>-1</v>
      </c>
    </row>
    <row r="677" spans="5:7">
      <c r="E677" s="2048" t="str">
        <f>Standardwerte!A73</f>
        <v>Lugano</v>
      </c>
      <c r="F677" s="1940">
        <v>2438</v>
      </c>
      <c r="G677" s="2321">
        <v>-1</v>
      </c>
    </row>
    <row r="678" spans="5:7">
      <c r="E678" s="2048" t="str">
        <f>Standardwerte!A74</f>
        <v>Luzern</v>
      </c>
      <c r="F678" s="1940">
        <v>3317</v>
      </c>
      <c r="G678" s="2321">
        <v>-6</v>
      </c>
    </row>
    <row r="679" spans="5:7">
      <c r="E679" s="2048" t="str">
        <f>Standardwerte!A75</f>
        <v>Magadino</v>
      </c>
      <c r="F679" s="1940">
        <v>2736</v>
      </c>
      <c r="G679" s="2321">
        <v>-3</v>
      </c>
    </row>
    <row r="680" spans="5:7">
      <c r="E680" s="2048" t="str">
        <f>Standardwerte!A76</f>
        <v>Montana</v>
      </c>
      <c r="F680" s="1940">
        <v>4770</v>
      </c>
      <c r="G680" s="2321">
        <v>-10</v>
      </c>
    </row>
    <row r="681" spans="5:7">
      <c r="E681" s="2048" t="str">
        <f>Standardwerte!A77</f>
        <v>Neuchâtel</v>
      </c>
      <c r="F681" s="1940">
        <v>3121</v>
      </c>
      <c r="G681" s="2321">
        <v>-5</v>
      </c>
    </row>
    <row r="682" spans="5:7">
      <c r="E682" s="2048" t="str">
        <f>Standardwerte!A78</f>
        <v>Payerne</v>
      </c>
      <c r="F682" s="1940">
        <v>3413</v>
      </c>
      <c r="G682" s="2321">
        <v>-7</v>
      </c>
    </row>
    <row r="683" spans="5:7">
      <c r="E683" s="2048" t="str">
        <f>Standardwerte!A79</f>
        <v>Piotta</v>
      </c>
      <c r="F683" s="1940">
        <v>3994</v>
      </c>
      <c r="G683" s="2321">
        <v>-7</v>
      </c>
    </row>
    <row r="684" spans="5:7">
      <c r="E684" s="2048" t="str">
        <f>Standardwerte!A80</f>
        <v>Pully</v>
      </c>
      <c r="F684" s="1940">
        <v>2902</v>
      </c>
      <c r="G684" s="2321">
        <v>-4</v>
      </c>
    </row>
    <row r="685" spans="5:7">
      <c r="E685" s="2048" t="str">
        <f>Standardwerte!A81</f>
        <v>Robbia</v>
      </c>
      <c r="F685" s="1940">
        <v>4233</v>
      </c>
      <c r="G685" s="2321">
        <v>-8</v>
      </c>
    </row>
    <row r="686" spans="5:7">
      <c r="E686" s="2048" t="str">
        <f>Standardwerte!A82</f>
        <v>Rünenberg</v>
      </c>
      <c r="F686" s="1940">
        <v>3550</v>
      </c>
      <c r="G686" s="2321">
        <v>-8</v>
      </c>
    </row>
    <row r="687" spans="5:7">
      <c r="E687" s="2048" t="str">
        <f>Standardwerte!A83</f>
        <v>Samedan</v>
      </c>
      <c r="F687" s="1940">
        <v>6375</v>
      </c>
      <c r="G687" s="2321">
        <v>-18</v>
      </c>
    </row>
    <row r="688" spans="5:7">
      <c r="E688" s="2048" t="str">
        <f>Standardwerte!A84</f>
        <v>San Bernardino</v>
      </c>
      <c r="F688" s="1940">
        <v>5586</v>
      </c>
      <c r="G688" s="2321">
        <v>-11</v>
      </c>
    </row>
    <row r="689" spans="5:7">
      <c r="E689" s="2048" t="str">
        <f>Standardwerte!A85</f>
        <v>St. Gallen</v>
      </c>
      <c r="F689" s="1940">
        <v>3844</v>
      </c>
      <c r="G689" s="2321">
        <v>-9</v>
      </c>
    </row>
    <row r="690" spans="5:7">
      <c r="E690" s="2048" t="str">
        <f>Standardwerte!A86</f>
        <v>Schaffhausen</v>
      </c>
      <c r="F690" s="1940">
        <v>3443</v>
      </c>
      <c r="G690" s="2321">
        <v>-8</v>
      </c>
    </row>
    <row r="691" spans="5:7">
      <c r="E691" s="2048" t="str">
        <f>Standardwerte!A87</f>
        <v>Schuls</v>
      </c>
      <c r="F691" s="1940">
        <v>4866</v>
      </c>
      <c r="G691" s="2321">
        <v>-12</v>
      </c>
    </row>
    <row r="692" spans="5:7">
      <c r="E692" s="2048" t="str">
        <f>Standardwerte!A88</f>
        <v>Sion</v>
      </c>
      <c r="F692" s="1940">
        <v>3195</v>
      </c>
      <c r="G692" s="2321">
        <v>-6</v>
      </c>
    </row>
    <row r="693" spans="5:7">
      <c r="E693" s="2048" t="str">
        <f>Standardwerte!A89</f>
        <v>Ulrichen</v>
      </c>
      <c r="F693" s="1940">
        <v>5546</v>
      </c>
      <c r="G693" s="2321">
        <v>-16</v>
      </c>
    </row>
    <row r="694" spans="5:7">
      <c r="E694" s="2048" t="str">
        <f>Standardwerte!A90</f>
        <v>Vaduz</v>
      </c>
      <c r="F694" s="1940">
        <v>3213</v>
      </c>
      <c r="G694" s="2321">
        <v>-8</v>
      </c>
    </row>
    <row r="695" spans="5:7">
      <c r="E695" s="2048" t="str">
        <f>Standardwerte!A91</f>
        <v>Wynau</v>
      </c>
      <c r="F695" s="1940">
        <v>3536</v>
      </c>
      <c r="G695" s="2321">
        <v>-7</v>
      </c>
    </row>
    <row r="696" spans="5:7">
      <c r="E696" s="2048" t="str">
        <f>Standardwerte!A92</f>
        <v>Zermatt</v>
      </c>
      <c r="F696" s="1940">
        <v>5388</v>
      </c>
      <c r="G696" s="2321">
        <v>-11</v>
      </c>
    </row>
    <row r="697" spans="5:7">
      <c r="E697" s="2048" t="str">
        <f>Standardwerte!A93</f>
        <v>Zürich-Kloten</v>
      </c>
      <c r="F697" s="1940">
        <v>3432</v>
      </c>
      <c r="G697" s="2321">
        <v>-8</v>
      </c>
    </row>
    <row r="698" spans="5:7">
      <c r="E698" s="2049" t="str">
        <f>Standardwerte!A94</f>
        <v>Zürich SMA</v>
      </c>
      <c r="F698" s="1938">
        <v>3440</v>
      </c>
      <c r="G698" s="2322">
        <v>-8</v>
      </c>
    </row>
    <row r="702" spans="5:7">
      <c r="E702" s="1918"/>
    </row>
    <row r="707" spans="1:20">
      <c r="E707" s="1918" t="s">
        <v>4514</v>
      </c>
    </row>
    <row r="708" spans="1:20">
      <c r="E708" s="1614" t="s">
        <v>4515</v>
      </c>
      <c r="G708" s="2">
        <v>300</v>
      </c>
      <c r="H708" s="1614" t="s">
        <v>4516</v>
      </c>
    </row>
    <row r="709" spans="1:20">
      <c r="E709" s="1614" t="s">
        <v>4517</v>
      </c>
      <c r="G709" s="2">
        <v>1.6</v>
      </c>
      <c r="H709" s="1614" t="s">
        <v>321</v>
      </c>
    </row>
    <row r="710" spans="1:20">
      <c r="E710" s="1614" t="s">
        <v>4518</v>
      </c>
      <c r="G710" s="2">
        <f>G708/G709</f>
        <v>187.5</v>
      </c>
      <c r="H710" s="1614" t="s">
        <v>1859</v>
      </c>
    </row>
    <row r="711" spans="1:20">
      <c r="E711" s="1614" t="s">
        <v>4519</v>
      </c>
      <c r="G711" s="2">
        <f>1000/G710</f>
        <v>5.333333333333333</v>
      </c>
      <c r="H711" s="1614" t="s">
        <v>321</v>
      </c>
    </row>
    <row r="715" spans="1:20" ht="26.25">
      <c r="A715" s="2008" t="s">
        <v>4520</v>
      </c>
    </row>
    <row r="717" spans="1:20">
      <c r="C717" s="2050" t="s">
        <v>4521</v>
      </c>
    </row>
    <row r="718" spans="1:20">
      <c r="A718" s="2051" t="s">
        <v>4522</v>
      </c>
      <c r="B718" s="2051" t="s">
        <v>331</v>
      </c>
      <c r="C718" s="2051" t="s">
        <v>4523</v>
      </c>
      <c r="D718" s="2051" t="s">
        <v>4524</v>
      </c>
      <c r="E718" s="2052"/>
      <c r="F718" s="2052"/>
      <c r="G718" s="2052"/>
      <c r="H718" s="2052"/>
      <c r="I718" s="2052"/>
      <c r="J718" s="2052"/>
      <c r="K718" s="2052"/>
      <c r="L718" s="2052"/>
      <c r="M718" s="2052"/>
      <c r="N718" s="2052"/>
      <c r="O718" s="2052"/>
      <c r="P718" s="2052"/>
      <c r="Q718" s="2052"/>
      <c r="R718" s="2052"/>
      <c r="S718" s="2052"/>
      <c r="T718" s="2052"/>
    </row>
    <row r="719" spans="1:20">
      <c r="A719" s="2052" t="s">
        <v>4525</v>
      </c>
      <c r="B719" s="2053" t="str">
        <f>Uebersetzung!D82</f>
        <v>Habitat collectif</v>
      </c>
      <c r="C719" s="2052">
        <v>90</v>
      </c>
      <c r="D719" s="2052">
        <v>130</v>
      </c>
      <c r="E719" s="2052"/>
      <c r="F719" s="2052"/>
      <c r="G719" s="2052"/>
      <c r="H719" s="2052"/>
      <c r="I719" s="2052"/>
      <c r="J719" s="2052"/>
      <c r="K719" s="2052"/>
      <c r="L719" s="2052"/>
      <c r="M719" s="2052"/>
      <c r="N719" s="2052"/>
      <c r="O719" s="2052"/>
      <c r="P719" s="2052"/>
      <c r="Q719" s="2052"/>
      <c r="R719" s="2052"/>
      <c r="S719" s="2052"/>
      <c r="T719" s="2052"/>
    </row>
    <row r="720" spans="1:20">
      <c r="A720" s="2052"/>
      <c r="B720" s="2053" t="str">
        <f>Uebersetzung!D83</f>
        <v>Habitat individuel</v>
      </c>
      <c r="C720" s="2052">
        <v>100</v>
      </c>
      <c r="D720" s="2052">
        <v>145</v>
      </c>
      <c r="E720" s="2052"/>
      <c r="F720" s="2052"/>
      <c r="G720" s="2052"/>
      <c r="H720" s="2052"/>
      <c r="I720" s="2052"/>
      <c r="J720" s="2052"/>
      <c r="K720" s="2052"/>
      <c r="L720" s="2052"/>
      <c r="M720" s="2052"/>
      <c r="N720" s="2052"/>
      <c r="O720" s="2052"/>
      <c r="P720" s="2052"/>
      <c r="Q720" s="2052"/>
      <c r="R720" s="2052"/>
      <c r="S720" s="2052"/>
      <c r="T720" s="2052"/>
    </row>
    <row r="721" spans="1:20">
      <c r="A721" s="2052"/>
      <c r="B721" s="2053" t="str">
        <f>Uebersetzung!D84</f>
        <v>Administration</v>
      </c>
      <c r="C721" s="2052">
        <v>110</v>
      </c>
      <c r="D721" s="2052">
        <v>150</v>
      </c>
      <c r="E721" s="2052"/>
      <c r="F721" s="2052"/>
      <c r="G721" s="2052"/>
      <c r="H721" s="2052"/>
      <c r="I721" s="2052"/>
      <c r="J721" s="2052"/>
      <c r="K721" s="2052"/>
      <c r="L721" s="2052"/>
      <c r="M721" s="2052"/>
      <c r="N721" s="2052"/>
      <c r="O721" s="2052"/>
      <c r="P721" s="2052"/>
      <c r="Q721" s="2052"/>
      <c r="R721" s="2052"/>
      <c r="S721" s="2052"/>
      <c r="T721" s="2052"/>
    </row>
    <row r="722" spans="1:20">
      <c r="A722" s="2052"/>
      <c r="B722" s="2053" t="str">
        <f>Uebersetzung!D85</f>
        <v>Ecole</v>
      </c>
      <c r="C722" s="2052">
        <v>90</v>
      </c>
      <c r="D722" s="2052">
        <v>130</v>
      </c>
      <c r="E722" s="2052"/>
      <c r="F722" s="2052"/>
      <c r="G722" s="2052"/>
      <c r="H722" s="2052"/>
      <c r="I722" s="2052"/>
      <c r="J722" s="2052"/>
      <c r="K722" s="2052"/>
      <c r="L722" s="2052"/>
      <c r="M722" s="2052"/>
      <c r="N722" s="2052"/>
      <c r="O722" s="2052"/>
      <c r="P722" s="2052"/>
      <c r="Q722" s="2052"/>
      <c r="R722" s="2052"/>
      <c r="S722" s="2052"/>
      <c r="T722" s="2052"/>
    </row>
    <row r="723" spans="1:20">
      <c r="A723" s="2052"/>
      <c r="B723" s="2053" t="str">
        <f>Uebersetzung!D86</f>
        <v>Commerce</v>
      </c>
      <c r="C723" s="2052">
        <v>170</v>
      </c>
      <c r="D723" s="2052">
        <v>210</v>
      </c>
      <c r="E723" s="2052"/>
      <c r="F723" s="2052"/>
      <c r="G723" s="2052"/>
      <c r="H723" s="2052"/>
      <c r="I723" s="2052"/>
      <c r="J723" s="2052"/>
      <c r="K723" s="2052"/>
      <c r="L723" s="2052"/>
      <c r="M723" s="2052"/>
      <c r="N723" s="2052"/>
      <c r="O723" s="2052"/>
      <c r="P723" s="2052"/>
      <c r="Q723" s="2052"/>
      <c r="R723" s="2052"/>
      <c r="S723" s="2052"/>
      <c r="T723" s="2052"/>
    </row>
    <row r="724" spans="1:20">
      <c r="A724" s="2052"/>
      <c r="B724" s="2053" t="str">
        <f>Uebersetzung!D87</f>
        <v>Restaurant</v>
      </c>
      <c r="C724" s="2052">
        <v>120</v>
      </c>
      <c r="D724" s="2052">
        <v>160</v>
      </c>
      <c r="E724" s="2052"/>
      <c r="F724" s="2052"/>
      <c r="G724" s="2052"/>
      <c r="H724" s="2052"/>
      <c r="I724" s="2052"/>
      <c r="J724" s="2052"/>
      <c r="K724" s="2052"/>
      <c r="L724" s="2052"/>
      <c r="M724" s="2052"/>
      <c r="N724" s="2052"/>
      <c r="O724" s="2052"/>
      <c r="P724" s="2052"/>
      <c r="Q724" s="2052"/>
      <c r="R724" s="2052"/>
      <c r="S724" s="2052"/>
      <c r="T724" s="2052"/>
    </row>
    <row r="725" spans="1:20">
      <c r="A725" s="2052"/>
      <c r="B725" s="2053" t="str">
        <f>Uebersetzung!D88</f>
        <v>Lieu de rassemblement</v>
      </c>
      <c r="C725" s="2052">
        <v>140</v>
      </c>
      <c r="D725" s="2052">
        <v>180</v>
      </c>
      <c r="E725" s="2052"/>
      <c r="F725" s="2052"/>
      <c r="G725" s="2052"/>
      <c r="H725" s="2052"/>
      <c r="I725" s="2052"/>
      <c r="J725" s="2052"/>
      <c r="K725" s="2052"/>
      <c r="L725" s="2052"/>
      <c r="M725" s="2052"/>
      <c r="N725" s="2052"/>
      <c r="O725" s="2052"/>
      <c r="P725" s="2052"/>
      <c r="Q725" s="2052"/>
      <c r="R725" s="2052"/>
      <c r="S725" s="2052"/>
      <c r="T725" s="2052"/>
    </row>
    <row r="726" spans="1:20">
      <c r="A726" s="2052"/>
      <c r="B726" s="2053" t="str">
        <f>Uebersetzung!D89</f>
        <v>Hôpital</v>
      </c>
      <c r="C726" s="2052">
        <v>160</v>
      </c>
      <c r="D726" s="2052">
        <v>200</v>
      </c>
      <c r="E726" s="2052"/>
      <c r="F726" s="2052"/>
      <c r="G726" s="2052"/>
      <c r="H726" s="2052"/>
      <c r="I726" s="2052"/>
      <c r="J726" s="2052"/>
      <c r="K726" s="2052"/>
      <c r="L726" s="2052"/>
      <c r="M726" s="2052"/>
      <c r="N726" s="2052"/>
      <c r="O726" s="2052"/>
      <c r="P726" s="2052"/>
      <c r="Q726" s="2052"/>
      <c r="R726" s="2052"/>
      <c r="S726" s="2052"/>
      <c r="T726" s="2052"/>
    </row>
    <row r="727" spans="1:20">
      <c r="A727" s="2052"/>
      <c r="B727" s="2053" t="str">
        <f>Uebersetzung!D90</f>
        <v>Industrie</v>
      </c>
      <c r="C727" s="2052">
        <v>140</v>
      </c>
      <c r="D727" s="2052">
        <v>180</v>
      </c>
      <c r="E727" s="2052"/>
      <c r="F727" s="2052"/>
      <c r="G727" s="2052"/>
      <c r="H727" s="2052"/>
      <c r="I727" s="2052"/>
      <c r="J727" s="2052"/>
      <c r="K727" s="2052"/>
      <c r="L727" s="2052"/>
      <c r="M727" s="2052"/>
      <c r="N727" s="2052"/>
      <c r="O727" s="2052"/>
      <c r="P727" s="2052"/>
      <c r="Q727" s="2052"/>
      <c r="R727" s="2052"/>
      <c r="S727" s="2052"/>
      <c r="T727" s="2052"/>
    </row>
    <row r="728" spans="1:20">
      <c r="A728" s="2052"/>
      <c r="B728" s="2054" t="str">
        <f>Uebersetzung!D91</f>
        <v>Entrepôt</v>
      </c>
      <c r="C728" s="2055">
        <v>140</v>
      </c>
      <c r="D728" s="2055">
        <v>180</v>
      </c>
      <c r="E728" s="2052"/>
      <c r="F728" s="2052"/>
      <c r="G728" s="2052"/>
      <c r="H728" s="2052"/>
      <c r="I728" s="2052"/>
      <c r="J728" s="2052"/>
      <c r="K728" s="2052"/>
      <c r="L728" s="2052"/>
      <c r="M728" s="2052"/>
      <c r="N728" s="2052"/>
      <c r="O728" s="2052"/>
      <c r="P728" s="2052"/>
      <c r="Q728" s="2052"/>
      <c r="R728" s="2052"/>
      <c r="S728" s="2052"/>
      <c r="T728" s="2052"/>
    </row>
    <row r="729" spans="1:20">
      <c r="A729" s="2052"/>
      <c r="B729" s="2053" t="str">
        <f>Uebersetzung!D92</f>
        <v>Installation sportive</v>
      </c>
      <c r="C729" s="2052">
        <v>140</v>
      </c>
      <c r="D729" s="2052">
        <v>180</v>
      </c>
      <c r="E729" s="2052"/>
      <c r="F729" s="2052"/>
      <c r="G729" s="2052"/>
      <c r="H729" s="2052"/>
      <c r="I729" s="2052"/>
      <c r="J729" s="2052"/>
      <c r="K729" s="2052"/>
      <c r="L729" s="2052"/>
      <c r="M729" s="2052"/>
      <c r="N729" s="2052"/>
      <c r="O729" s="2052"/>
      <c r="P729" s="2052"/>
      <c r="Q729" s="2052"/>
      <c r="R729" s="2052"/>
      <c r="S729" s="2052"/>
      <c r="T729" s="2052"/>
    </row>
    <row r="730" spans="1:20">
      <c r="A730" s="2052"/>
      <c r="B730" s="2054" t="str">
        <f>Uebersetzung!D93</f>
        <v>Piscine couverte</v>
      </c>
      <c r="C730" s="2055">
        <v>140</v>
      </c>
      <c r="D730" s="2055">
        <v>180</v>
      </c>
      <c r="E730" s="2052"/>
      <c r="F730" s="2052"/>
      <c r="G730" s="2052"/>
      <c r="H730" s="2052"/>
      <c r="I730" s="2052"/>
      <c r="J730" s="2052"/>
      <c r="K730" s="2052"/>
      <c r="L730" s="2052"/>
      <c r="M730" s="2052"/>
      <c r="N730" s="2052"/>
      <c r="O730" s="2052"/>
      <c r="P730" s="2052"/>
      <c r="Q730" s="2052"/>
      <c r="R730" s="2052"/>
      <c r="S730" s="2052"/>
      <c r="T730" s="2052"/>
    </row>
    <row r="731" spans="1:20">
      <c r="A731" s="2052"/>
      <c r="B731" s="2052"/>
      <c r="C731" s="2050" t="s">
        <v>4526</v>
      </c>
      <c r="D731" s="2052"/>
      <c r="E731" s="2052"/>
      <c r="F731" s="2052"/>
      <c r="G731" s="2052"/>
      <c r="H731" s="2052"/>
      <c r="I731" s="2052"/>
      <c r="J731" s="2052"/>
      <c r="K731" s="2052"/>
      <c r="L731" s="2052"/>
      <c r="M731" s="2052"/>
      <c r="N731" s="2052"/>
      <c r="O731" s="2052"/>
      <c r="P731" s="2052"/>
      <c r="Q731" s="2052"/>
      <c r="R731" s="2052"/>
      <c r="S731" s="2052"/>
      <c r="T731" s="2052"/>
    </row>
    <row r="732" spans="1:20">
      <c r="A732" s="2051" t="s">
        <v>4527</v>
      </c>
      <c r="B732" s="2051" t="s">
        <v>331</v>
      </c>
      <c r="C732" s="2051" t="s">
        <v>4528</v>
      </c>
      <c r="D732" s="2051" t="s">
        <v>4529</v>
      </c>
      <c r="E732" s="2052"/>
      <c r="F732" s="2052"/>
      <c r="G732" s="2052"/>
      <c r="H732" s="2052"/>
      <c r="I732" s="2052"/>
      <c r="J732" s="2052"/>
      <c r="K732" s="2052"/>
      <c r="L732" s="2052"/>
      <c r="M732" s="2052"/>
      <c r="N732" s="2052"/>
      <c r="O732" s="2052"/>
      <c r="P732" s="2052"/>
      <c r="Q732" s="2052"/>
      <c r="R732" s="2052"/>
      <c r="S732" s="2052"/>
      <c r="T732" s="2052"/>
    </row>
    <row r="733" spans="1:20">
      <c r="A733" s="2052" t="s">
        <v>4530</v>
      </c>
      <c r="B733" s="2053" t="str">
        <f>Uebersetzung!D82</f>
        <v>Habitat collectif</v>
      </c>
      <c r="C733" s="2056">
        <v>8</v>
      </c>
      <c r="D733" s="2056">
        <v>10</v>
      </c>
      <c r="E733" s="2052"/>
      <c r="F733" s="2052" t="s">
        <v>4531</v>
      </c>
      <c r="G733" s="2052"/>
      <c r="H733" s="2052"/>
      <c r="I733" s="2053"/>
      <c r="J733" s="2052"/>
      <c r="K733" s="2052"/>
      <c r="L733" s="2052"/>
      <c r="M733" s="2052"/>
      <c r="N733" s="2052"/>
      <c r="O733" s="2052"/>
      <c r="P733" s="2052"/>
      <c r="Q733" s="2052"/>
      <c r="R733" s="2052"/>
      <c r="S733" s="2052"/>
      <c r="T733" s="2052"/>
    </row>
    <row r="734" spans="1:20">
      <c r="A734" s="2052"/>
      <c r="B734" s="2053" t="str">
        <f>Uebersetzung!D83</f>
        <v>Habitat individuel</v>
      </c>
      <c r="C734" s="2056">
        <v>8</v>
      </c>
      <c r="D734" s="2056">
        <v>10.5</v>
      </c>
      <c r="E734" s="2052"/>
      <c r="F734" s="2052" t="s">
        <v>4531</v>
      </c>
      <c r="G734" s="2052"/>
      <c r="H734" s="2052"/>
      <c r="I734" s="2053"/>
      <c r="J734" s="2052"/>
      <c r="K734" s="2052"/>
      <c r="L734" s="2052"/>
      <c r="M734" s="2052"/>
      <c r="N734" s="2052"/>
      <c r="O734" s="2052"/>
      <c r="P734" s="2052"/>
      <c r="Q734" s="2052"/>
      <c r="R734" s="2052"/>
      <c r="S734" s="2052"/>
      <c r="T734" s="2052"/>
    </row>
    <row r="735" spans="1:20">
      <c r="A735" s="2052"/>
      <c r="B735" s="2053" t="str">
        <f>Uebersetzung!D84</f>
        <v>Administration</v>
      </c>
      <c r="C735" s="2056">
        <v>8</v>
      </c>
      <c r="D735" s="2056">
        <v>11</v>
      </c>
      <c r="E735" s="2052"/>
      <c r="F735" s="2052" t="s">
        <v>4531</v>
      </c>
      <c r="G735" s="2052"/>
      <c r="H735" s="2052"/>
      <c r="I735" s="2053"/>
      <c r="J735" s="2052"/>
      <c r="K735" s="2052"/>
      <c r="L735" s="2052"/>
      <c r="M735" s="2052"/>
      <c r="N735" s="2052"/>
      <c r="O735" s="2052"/>
      <c r="P735" s="2052"/>
      <c r="Q735" s="2052"/>
      <c r="R735" s="2052"/>
      <c r="S735" s="2052"/>
      <c r="T735" s="2052"/>
    </row>
    <row r="736" spans="1:20">
      <c r="A736" s="2052"/>
      <c r="B736" s="2053" t="str">
        <f>Uebersetzung!D85</f>
        <v>Ecole</v>
      </c>
      <c r="C736" s="2056">
        <v>8</v>
      </c>
      <c r="D736" s="2056">
        <v>11</v>
      </c>
      <c r="E736" s="2052"/>
      <c r="F736" s="2052" t="s">
        <v>4531</v>
      </c>
      <c r="G736" s="2052"/>
      <c r="H736" s="2052"/>
      <c r="I736" s="2053"/>
      <c r="J736" s="2052"/>
      <c r="K736" s="2052"/>
      <c r="L736" s="2052"/>
      <c r="M736" s="2052"/>
      <c r="N736" s="2052"/>
      <c r="O736" s="2052"/>
      <c r="P736" s="2052"/>
      <c r="Q736" s="2052"/>
      <c r="R736" s="2052"/>
      <c r="S736" s="2052"/>
      <c r="T736" s="2052"/>
    </row>
    <row r="737" spans="1:20">
      <c r="A737" s="2052"/>
      <c r="B737" s="2053" t="str">
        <f>Uebersetzung!D86</f>
        <v>Commerce</v>
      </c>
      <c r="C737" s="2056">
        <v>11</v>
      </c>
      <c r="D737" s="2056">
        <v>16</v>
      </c>
      <c r="E737" s="2052"/>
      <c r="F737" s="2052" t="s">
        <v>4531</v>
      </c>
      <c r="G737" s="2052"/>
      <c r="H737" s="2052"/>
      <c r="I737" s="2053"/>
      <c r="J737" s="2052"/>
      <c r="K737" s="2052"/>
      <c r="L737" s="2052"/>
      <c r="M737" s="2052"/>
      <c r="N737" s="2052"/>
      <c r="O737" s="2052"/>
      <c r="P737" s="2052"/>
      <c r="Q737" s="2052"/>
      <c r="R737" s="2052"/>
      <c r="S737" s="2052"/>
      <c r="T737" s="2052"/>
    </row>
    <row r="738" spans="1:20">
      <c r="A738" s="2052"/>
      <c r="B738" s="2053" t="str">
        <f>Uebersetzung!D87</f>
        <v>Restaurant</v>
      </c>
      <c r="C738" s="2056">
        <v>8</v>
      </c>
      <c r="D738" s="2056">
        <v>13</v>
      </c>
      <c r="E738" s="2052"/>
      <c r="F738" s="2052" t="s">
        <v>4531</v>
      </c>
      <c r="G738" s="2052"/>
      <c r="H738" s="2052"/>
      <c r="I738" s="2053"/>
      <c r="J738" s="2052"/>
      <c r="K738" s="2052"/>
      <c r="L738" s="2052"/>
      <c r="M738" s="2052"/>
      <c r="N738" s="2052"/>
      <c r="O738" s="2052"/>
      <c r="P738" s="2052"/>
      <c r="Q738" s="2052"/>
      <c r="R738" s="2052"/>
      <c r="S738" s="2052"/>
      <c r="T738" s="2052"/>
    </row>
    <row r="739" spans="1:20">
      <c r="A739" s="2052"/>
      <c r="B739" s="2053" t="str">
        <f>Uebersetzung!D88</f>
        <v>Lieu de rassemblement</v>
      </c>
      <c r="C739" s="2056">
        <v>11</v>
      </c>
      <c r="D739" s="2056">
        <v>14</v>
      </c>
      <c r="E739" s="2052"/>
      <c r="F739" s="2052"/>
      <c r="G739" s="2052"/>
      <c r="H739" s="2052"/>
      <c r="I739" s="2053"/>
      <c r="J739" s="2052"/>
      <c r="K739" s="2052"/>
      <c r="L739" s="2052"/>
      <c r="M739" s="2052"/>
      <c r="N739" s="2052"/>
      <c r="O739" s="2052"/>
      <c r="P739" s="2052"/>
      <c r="Q739" s="2052"/>
      <c r="R739" s="2052"/>
      <c r="S739" s="2052"/>
      <c r="T739" s="2052"/>
    </row>
    <row r="740" spans="1:20">
      <c r="A740" s="2052"/>
      <c r="B740" s="2053" t="str">
        <f>Uebersetzung!D89</f>
        <v>Hôpital</v>
      </c>
      <c r="C740" s="2056">
        <v>11</v>
      </c>
      <c r="D740" s="2056">
        <v>16</v>
      </c>
      <c r="E740" s="2052"/>
      <c r="F740" s="2052"/>
      <c r="G740" s="2052"/>
      <c r="H740" s="2052"/>
      <c r="I740" s="2053"/>
      <c r="J740" s="2052"/>
      <c r="K740" s="2052"/>
      <c r="L740" s="2052"/>
      <c r="M740" s="2052"/>
      <c r="N740" s="2052"/>
      <c r="O740" s="2052"/>
      <c r="P740" s="2052"/>
      <c r="Q740" s="2052"/>
      <c r="R740" s="2052"/>
      <c r="S740" s="2052"/>
      <c r="T740" s="2052"/>
    </row>
    <row r="741" spans="1:20">
      <c r="A741" s="2052"/>
      <c r="B741" s="2053" t="str">
        <f>Uebersetzung!D90</f>
        <v>Industrie</v>
      </c>
      <c r="C741" s="2056">
        <v>11</v>
      </c>
      <c r="D741" s="2056">
        <v>14</v>
      </c>
      <c r="E741" s="2052"/>
      <c r="F741" s="2052"/>
      <c r="G741" s="2052"/>
      <c r="H741" s="2052"/>
      <c r="I741" s="2053"/>
      <c r="J741" s="2052"/>
      <c r="K741" s="2052"/>
      <c r="L741" s="2052"/>
      <c r="M741" s="2052"/>
      <c r="N741" s="2052"/>
      <c r="O741" s="2052"/>
      <c r="P741" s="2052"/>
      <c r="Q741" s="2052"/>
      <c r="R741" s="2052"/>
      <c r="S741" s="2052"/>
      <c r="T741" s="2052"/>
    </row>
    <row r="742" spans="1:20">
      <c r="A742" s="2052"/>
      <c r="B742" s="2054" t="str">
        <f>Uebersetzung!D91</f>
        <v>Entrepôt</v>
      </c>
      <c r="C742" s="2057">
        <v>11</v>
      </c>
      <c r="D742" s="2057">
        <v>14</v>
      </c>
      <c r="E742" s="2052"/>
      <c r="F742" s="2052" t="s">
        <v>4531</v>
      </c>
      <c r="G742" s="2052"/>
      <c r="H742" s="2052"/>
      <c r="I742" s="2053"/>
      <c r="J742" s="2052"/>
      <c r="K742" s="2052"/>
      <c r="L742" s="2052"/>
      <c r="M742" s="2052"/>
      <c r="N742" s="2052"/>
      <c r="O742" s="2052"/>
      <c r="P742" s="2052"/>
      <c r="Q742" s="2052"/>
      <c r="R742" s="2052"/>
      <c r="S742" s="2052"/>
      <c r="T742" s="2052"/>
    </row>
    <row r="743" spans="1:20">
      <c r="A743" s="2052"/>
      <c r="B743" s="2053" t="str">
        <f>Uebersetzung!D92</f>
        <v>Installation sportive</v>
      </c>
      <c r="C743" s="2056">
        <v>11</v>
      </c>
      <c r="D743" s="2056">
        <v>14</v>
      </c>
      <c r="E743" s="2052"/>
      <c r="F743" s="2052"/>
      <c r="G743" s="2052"/>
      <c r="H743" s="2052"/>
      <c r="I743" s="2053"/>
      <c r="J743" s="2052"/>
      <c r="K743" s="2052"/>
      <c r="L743" s="2052"/>
      <c r="M743" s="2052"/>
      <c r="N743" s="2052"/>
      <c r="O743" s="2052"/>
      <c r="P743" s="2052"/>
      <c r="Q743" s="2052"/>
      <c r="R743" s="2052"/>
      <c r="S743" s="2052"/>
      <c r="T743" s="2052"/>
    </row>
    <row r="744" spans="1:20">
      <c r="A744" s="2052"/>
      <c r="B744" s="2054" t="str">
        <f>Uebersetzung!D93</f>
        <v>Piscine couverte</v>
      </c>
      <c r="C744" s="2057">
        <v>11</v>
      </c>
      <c r="D744" s="2057">
        <v>14</v>
      </c>
      <c r="E744" s="2052"/>
      <c r="F744" s="2052"/>
      <c r="G744" s="2052"/>
      <c r="H744" s="2052"/>
      <c r="I744" s="2052"/>
      <c r="J744" s="2052"/>
      <c r="K744" s="2052"/>
      <c r="L744" s="2052"/>
      <c r="M744" s="2052"/>
      <c r="N744" s="2052"/>
      <c r="O744" s="2052"/>
      <c r="P744" s="2052"/>
      <c r="Q744" s="2052"/>
      <c r="R744" s="2052"/>
      <c r="S744" s="2052"/>
      <c r="T744" s="2052"/>
    </row>
    <row r="745" spans="1:20">
      <c r="A745" s="2051" t="s">
        <v>4532</v>
      </c>
      <c r="B745" s="2058" t="s">
        <v>4533</v>
      </c>
      <c r="C745" s="2051" t="s">
        <v>4534</v>
      </c>
      <c r="D745" s="2059"/>
      <c r="E745" s="2052"/>
      <c r="F745" s="2052"/>
      <c r="G745" s="2052"/>
      <c r="H745" s="2052"/>
      <c r="I745" s="2052"/>
      <c r="J745" s="2052"/>
      <c r="K745" s="2052"/>
      <c r="L745" s="2052"/>
      <c r="M745" s="2052"/>
      <c r="N745" s="2052"/>
      <c r="O745" s="2052"/>
      <c r="P745" s="2052"/>
      <c r="Q745" s="2052"/>
      <c r="R745" s="2052"/>
      <c r="S745" s="2052"/>
      <c r="T745" s="2052"/>
    </row>
    <row r="746" spans="1:20">
      <c r="A746" s="2052" t="s">
        <v>4535</v>
      </c>
      <c r="B746" s="2060" t="s">
        <v>4536</v>
      </c>
      <c r="C746" s="2052">
        <v>159.6</v>
      </c>
      <c r="D746" s="2052" t="s">
        <v>191</v>
      </c>
      <c r="E746" s="2052"/>
      <c r="F746" s="2052"/>
      <c r="G746" s="2052"/>
      <c r="H746" s="2052"/>
      <c r="I746" s="2052"/>
      <c r="J746" s="2052"/>
      <c r="K746" s="2052"/>
      <c r="L746" s="2052"/>
      <c r="M746" s="2052"/>
      <c r="N746" s="2052"/>
      <c r="O746" s="2052"/>
      <c r="P746" s="2052"/>
      <c r="Q746" s="2052"/>
      <c r="R746" s="2052"/>
      <c r="S746" s="2052"/>
      <c r="T746" s="2052"/>
    </row>
    <row r="747" spans="1:20">
      <c r="A747" s="2052" t="s">
        <v>4537</v>
      </c>
      <c r="B747" s="2060" t="s">
        <v>4538</v>
      </c>
      <c r="C747" s="2052">
        <v>83.4</v>
      </c>
      <c r="D747" s="2052" t="s">
        <v>191</v>
      </c>
      <c r="E747" s="2052"/>
      <c r="F747" s="2052"/>
      <c r="G747" s="2052"/>
      <c r="H747" s="2052"/>
      <c r="I747" s="2052"/>
      <c r="J747" s="2052"/>
      <c r="K747" s="2052"/>
      <c r="L747" s="2052"/>
      <c r="M747" s="2052"/>
      <c r="N747" s="2052"/>
      <c r="O747" s="2052"/>
      <c r="P747" s="2052"/>
      <c r="Q747" s="2052"/>
      <c r="R747" s="2052"/>
      <c r="S747" s="2052"/>
      <c r="T747" s="2052"/>
    </row>
    <row r="748" spans="1:20">
      <c r="A748" s="2052" t="s">
        <v>4539</v>
      </c>
      <c r="B748" s="2060" t="s">
        <v>4540</v>
      </c>
      <c r="C748" s="2052">
        <v>5</v>
      </c>
      <c r="D748" s="2052" t="s">
        <v>4541</v>
      </c>
      <c r="E748" s="2052"/>
      <c r="F748" s="2052"/>
      <c r="G748" s="2052"/>
      <c r="H748" s="2052"/>
      <c r="I748" s="2052"/>
      <c r="J748" s="2052"/>
      <c r="K748" s="2052"/>
      <c r="L748" s="2052"/>
      <c r="M748" s="2052"/>
      <c r="N748" s="2052"/>
      <c r="O748" s="2052"/>
      <c r="P748" s="2052"/>
      <c r="Q748" s="2052"/>
      <c r="R748" s="2052"/>
      <c r="S748" s="2052"/>
      <c r="T748" s="2052"/>
    </row>
    <row r="749" spans="1:20">
      <c r="A749" s="2052" t="s">
        <v>4542</v>
      </c>
      <c r="B749" s="2060" t="s">
        <v>4543</v>
      </c>
      <c r="C749" s="2052">
        <v>3</v>
      </c>
      <c r="D749" s="2052" t="s">
        <v>4541</v>
      </c>
      <c r="E749" s="2052"/>
      <c r="F749" s="2052"/>
      <c r="G749" s="2052"/>
      <c r="H749" s="2052"/>
      <c r="I749" s="2052"/>
      <c r="J749" s="2052"/>
      <c r="K749" s="2052"/>
      <c r="L749" s="2052"/>
      <c r="M749" s="2052"/>
      <c r="N749" s="2052"/>
      <c r="O749" s="2052"/>
      <c r="P749" s="2052"/>
      <c r="Q749" s="2052"/>
      <c r="R749" s="2052"/>
      <c r="S749" s="2052"/>
      <c r="T749" s="2052"/>
    </row>
    <row r="750" spans="1:20">
      <c r="A750" s="2052" t="s">
        <v>4544</v>
      </c>
      <c r="B750" s="2060" t="s">
        <v>4545</v>
      </c>
      <c r="C750" s="2052">
        <v>13.3</v>
      </c>
      <c r="D750" s="2052" t="s">
        <v>4546</v>
      </c>
      <c r="E750" s="2052"/>
      <c r="F750" s="2052"/>
      <c r="G750" s="2052"/>
      <c r="H750" s="2052"/>
      <c r="I750" s="2052"/>
      <c r="J750" s="2052"/>
      <c r="K750" s="2052"/>
      <c r="L750" s="2052"/>
      <c r="M750" s="2052"/>
      <c r="N750" s="2052"/>
      <c r="O750" s="2052"/>
      <c r="P750" s="2052"/>
      <c r="Q750" s="2052"/>
      <c r="R750" s="2052"/>
      <c r="S750" s="2052"/>
      <c r="T750" s="2052"/>
    </row>
    <row r="751" spans="1:20">
      <c r="A751" s="2052" t="s">
        <v>4547</v>
      </c>
      <c r="B751" s="2060" t="s">
        <v>4548</v>
      </c>
      <c r="C751" s="2052">
        <v>5.2</v>
      </c>
      <c r="D751" s="2052" t="s">
        <v>4546</v>
      </c>
      <c r="E751" s="2052"/>
      <c r="F751" s="2052"/>
      <c r="G751" s="2052"/>
      <c r="H751" s="2052"/>
      <c r="I751" s="2052"/>
      <c r="J751" s="2052"/>
      <c r="K751" s="2052"/>
      <c r="L751" s="2052"/>
      <c r="M751" s="2052"/>
      <c r="N751" s="2052"/>
      <c r="O751" s="2052"/>
      <c r="P751" s="2052"/>
      <c r="Q751" s="2052"/>
      <c r="R751" s="2052"/>
      <c r="S751" s="2052"/>
      <c r="T751" s="2052"/>
    </row>
    <row r="752" spans="1:20">
      <c r="A752" s="2052" t="s">
        <v>4549</v>
      </c>
      <c r="B752" s="2060" t="s">
        <v>4550</v>
      </c>
      <c r="C752" s="2052">
        <f>C748*FaktorPE_TH_ECO_N</f>
        <v>0.5</v>
      </c>
      <c r="D752" s="2052" t="s">
        <v>4551</v>
      </c>
      <c r="E752" s="2052"/>
      <c r="F752" s="2052"/>
      <c r="G752" s="2052"/>
      <c r="H752" s="2052"/>
      <c r="I752" s="2052"/>
      <c r="J752" s="2052"/>
      <c r="K752" s="2052"/>
      <c r="L752" s="2052"/>
      <c r="M752" s="2052"/>
      <c r="N752" s="2052"/>
      <c r="O752" s="2052"/>
      <c r="P752" s="2052"/>
      <c r="Q752" s="2052"/>
      <c r="R752" s="2052"/>
      <c r="S752" s="2052"/>
      <c r="T752" s="2052"/>
    </row>
    <row r="753" spans="1:20">
      <c r="A753" s="2052" t="s">
        <v>4552</v>
      </c>
      <c r="B753" s="2060" t="s">
        <v>4553</v>
      </c>
      <c r="C753" s="2052">
        <f>C749*FaktorPE_TH_ECO_N</f>
        <v>0.30000000000000004</v>
      </c>
      <c r="D753" s="2052" t="s">
        <v>4551</v>
      </c>
      <c r="E753" s="2052"/>
      <c r="F753" s="2052"/>
      <c r="G753" s="2052"/>
      <c r="H753" s="2052"/>
      <c r="I753" s="2052"/>
      <c r="J753" s="2052"/>
      <c r="K753" s="2052"/>
      <c r="L753" s="2052"/>
      <c r="M753" s="2052"/>
      <c r="N753" s="2052"/>
      <c r="O753" s="2052"/>
      <c r="P753" s="2052"/>
      <c r="Q753" s="2052"/>
      <c r="R753" s="2052"/>
      <c r="S753" s="2052"/>
      <c r="T753" s="2052"/>
    </row>
    <row r="754" spans="1:20">
      <c r="A754" s="2052"/>
      <c r="B754" s="2053"/>
      <c r="C754" s="2052"/>
      <c r="D754" s="2052"/>
      <c r="E754" s="2052"/>
      <c r="F754" s="2052"/>
      <c r="G754" s="2052"/>
      <c r="H754" s="2052"/>
      <c r="I754" s="2052"/>
      <c r="J754" s="2052"/>
      <c r="K754" s="2052"/>
      <c r="L754" s="2052"/>
      <c r="M754" s="2052"/>
      <c r="N754" s="2052"/>
      <c r="O754" s="2052"/>
      <c r="P754" s="2052"/>
      <c r="Q754" s="2052"/>
      <c r="R754" s="2052"/>
      <c r="S754" s="2052"/>
      <c r="T754" s="2052"/>
    </row>
    <row r="755" spans="1:20">
      <c r="A755" s="2051" t="s">
        <v>4554</v>
      </c>
      <c r="B755" s="2058" t="s">
        <v>4533</v>
      </c>
      <c r="C755" s="2051" t="s">
        <v>4555</v>
      </c>
      <c r="D755" s="2059"/>
      <c r="E755" s="2052"/>
      <c r="F755" s="2052"/>
      <c r="G755" s="2052"/>
      <c r="H755" s="2052"/>
      <c r="I755" s="2052"/>
      <c r="J755" s="2052"/>
      <c r="K755" s="2052"/>
      <c r="L755" s="2052"/>
      <c r="M755" s="2052"/>
      <c r="N755" s="2052"/>
      <c r="O755" s="2052"/>
      <c r="P755" s="2052"/>
      <c r="Q755" s="2052"/>
      <c r="R755" s="2052"/>
      <c r="S755" s="2052"/>
      <c r="T755" s="2052"/>
    </row>
    <row r="756" spans="1:20">
      <c r="A756" s="2052" t="s">
        <v>4556</v>
      </c>
      <c r="B756" s="2053" t="s">
        <v>4557</v>
      </c>
      <c r="C756" s="2052">
        <v>30</v>
      </c>
      <c r="D756" s="2052"/>
      <c r="E756" s="2052"/>
      <c r="F756" s="2052"/>
      <c r="G756" s="2052"/>
      <c r="H756" s="2052"/>
      <c r="I756" s="2052"/>
      <c r="J756" s="2052"/>
      <c r="K756" s="2052"/>
      <c r="L756" s="2052"/>
      <c r="M756" s="2052"/>
      <c r="N756" s="2052"/>
      <c r="O756" s="2052"/>
      <c r="P756" s="2052"/>
      <c r="Q756" s="2052"/>
      <c r="R756" s="2052"/>
      <c r="S756" s="2052"/>
      <c r="T756" s="2052"/>
    </row>
    <row r="757" spans="1:20">
      <c r="A757" s="2052" t="s">
        <v>4558</v>
      </c>
      <c r="B757" s="2053" t="s">
        <v>4559</v>
      </c>
      <c r="C757" s="2052">
        <v>50</v>
      </c>
      <c r="D757" s="2052"/>
      <c r="E757" s="2052"/>
      <c r="F757" s="2052"/>
      <c r="G757" s="2052"/>
      <c r="H757" s="2052"/>
      <c r="I757" s="2052"/>
      <c r="J757" s="2052"/>
      <c r="K757" s="2052"/>
      <c r="L757" s="2052"/>
      <c r="M757" s="2052"/>
      <c r="N757" s="2052"/>
      <c r="O757" s="2052"/>
      <c r="P757" s="2052"/>
      <c r="Q757" s="2052"/>
      <c r="R757" s="2052"/>
      <c r="S757" s="2052"/>
      <c r="T757" s="2052"/>
    </row>
    <row r="758" spans="1:20">
      <c r="A758" s="2052" t="s">
        <v>4560</v>
      </c>
      <c r="B758" s="2053" t="s">
        <v>4561</v>
      </c>
      <c r="C758" s="2056">
        <v>2.8</v>
      </c>
      <c r="D758" s="2052"/>
      <c r="E758" s="2052"/>
      <c r="F758" s="2052"/>
      <c r="G758" s="2052"/>
      <c r="H758" s="2052"/>
      <c r="I758" s="2052"/>
      <c r="J758" s="2052"/>
      <c r="K758" s="2052"/>
      <c r="L758" s="2052"/>
      <c r="M758" s="2052"/>
      <c r="N758" s="2052"/>
      <c r="O758" s="2052"/>
      <c r="P758" s="2052"/>
      <c r="Q758" s="2052"/>
      <c r="R758" s="2052"/>
      <c r="S758" s="2052"/>
      <c r="T758" s="2052"/>
    </row>
    <row r="759" spans="1:20">
      <c r="A759" s="2052" t="s">
        <v>4562</v>
      </c>
      <c r="B759" s="2053" t="s">
        <v>4563</v>
      </c>
      <c r="C759" s="2056">
        <v>4.7</v>
      </c>
      <c r="D759" s="2052"/>
      <c r="E759" s="2052"/>
      <c r="F759" s="2052"/>
      <c r="G759" s="2052"/>
      <c r="H759" s="2052"/>
      <c r="I759" s="2052"/>
      <c r="J759" s="2052"/>
      <c r="K759" s="2052"/>
      <c r="L759" s="2052"/>
      <c r="M759" s="2052"/>
      <c r="N759" s="2052"/>
      <c r="O759" s="2052"/>
      <c r="P759" s="2052"/>
      <c r="Q759" s="2052"/>
      <c r="R759" s="2052"/>
      <c r="S759" s="2052"/>
      <c r="T759" s="2052"/>
    </row>
    <row r="760" spans="1:20">
      <c r="A760" s="2052"/>
      <c r="B760" s="2053"/>
      <c r="C760" s="2052"/>
      <c r="D760" s="2052"/>
      <c r="E760" s="2052"/>
      <c r="F760" s="2052"/>
      <c r="G760" s="2052"/>
      <c r="H760" s="2052"/>
      <c r="I760" s="2052"/>
      <c r="J760" s="2052"/>
      <c r="K760" s="2052"/>
      <c r="L760" s="2052"/>
      <c r="M760" s="2052"/>
      <c r="N760" s="2052"/>
      <c r="O760" s="2052"/>
      <c r="P760" s="2052"/>
      <c r="Q760" s="2052"/>
      <c r="R760" s="2052"/>
      <c r="S760" s="2052"/>
      <c r="T760" s="2052"/>
    </row>
    <row r="761" spans="1:20">
      <c r="A761" s="2052"/>
      <c r="B761" s="2053"/>
      <c r="C761" s="2052"/>
      <c r="D761" s="2052"/>
      <c r="E761" s="2052"/>
      <c r="F761" s="2052"/>
      <c r="G761" s="2052"/>
      <c r="H761" s="2052"/>
      <c r="I761" s="2052"/>
      <c r="J761" s="2052"/>
      <c r="K761" s="2052"/>
      <c r="L761" s="2052"/>
      <c r="M761" s="2052"/>
      <c r="N761" s="2052"/>
      <c r="O761" s="2061"/>
      <c r="P761" s="2061"/>
      <c r="Q761" s="2061"/>
      <c r="R761" s="2061"/>
      <c r="S761" s="2061"/>
      <c r="T761" s="2061"/>
    </row>
    <row r="762" spans="1:20">
      <c r="A762" s="2051" t="s">
        <v>4564</v>
      </c>
      <c r="B762" s="2062"/>
      <c r="C762" s="2059"/>
      <c r="D762" s="2052"/>
      <c r="E762" s="2052"/>
      <c r="F762" s="2052"/>
      <c r="G762" s="2052"/>
      <c r="H762" s="2052"/>
      <c r="I762" s="2052"/>
      <c r="J762" s="2052"/>
      <c r="K762" s="2052"/>
      <c r="L762" s="2052"/>
      <c r="M762" s="2052"/>
      <c r="N762" s="2052"/>
      <c r="O762" s="2061"/>
      <c r="P762" s="2061"/>
      <c r="Q762" s="2061"/>
      <c r="R762" s="2061"/>
      <c r="S762" s="2061"/>
      <c r="T762" s="2061"/>
    </row>
    <row r="763" spans="1:20">
      <c r="A763" s="2052" t="s">
        <v>4565</v>
      </c>
      <c r="B763" s="2052" t="s">
        <v>4566</v>
      </c>
      <c r="C763" s="2060">
        <v>1.2</v>
      </c>
      <c r="D763" s="2052"/>
      <c r="E763" s="2052"/>
      <c r="F763" s="2052"/>
      <c r="G763" s="2052"/>
      <c r="H763" s="2052"/>
      <c r="I763" s="2052"/>
      <c r="J763" s="2052"/>
      <c r="K763" s="2052"/>
      <c r="L763" s="2052"/>
      <c r="M763" s="2052"/>
      <c r="N763" s="2052"/>
      <c r="O763" s="2052"/>
      <c r="P763" s="2052"/>
      <c r="Q763" s="2052"/>
      <c r="R763" s="2052"/>
      <c r="S763" s="2052"/>
      <c r="T763" s="2052"/>
    </row>
    <row r="764" spans="1:20">
      <c r="A764" s="2052" t="s">
        <v>4567</v>
      </c>
      <c r="B764" s="2052" t="s">
        <v>4568</v>
      </c>
      <c r="C764" s="2063">
        <f>ROUND(1/1.4,2)</f>
        <v>0.71</v>
      </c>
      <c r="D764" s="2052"/>
      <c r="E764" s="2052"/>
      <c r="F764" s="2052"/>
      <c r="G764" s="2052"/>
      <c r="H764" s="2052"/>
      <c r="I764" s="2052"/>
      <c r="J764" s="2052"/>
      <c r="K764" s="2052"/>
      <c r="L764" s="2052"/>
      <c r="M764" s="2052"/>
      <c r="N764" s="2052"/>
      <c r="O764" s="2052"/>
      <c r="P764" s="2052"/>
      <c r="Q764" s="2052"/>
      <c r="R764" s="2052"/>
      <c r="S764" s="2052"/>
      <c r="T764" s="2052"/>
    </row>
    <row r="765" spans="1:20">
      <c r="A765" s="2052" t="s">
        <v>4569</v>
      </c>
      <c r="B765" s="2052" t="s">
        <v>4570</v>
      </c>
      <c r="C765" s="2064" t="e">
        <v>#NAME?</v>
      </c>
      <c r="D765" s="2052"/>
      <c r="E765" s="2052"/>
      <c r="F765" s="2052"/>
      <c r="G765" s="2052"/>
      <c r="H765" s="2052"/>
      <c r="I765" s="2052"/>
      <c r="J765" s="2052"/>
      <c r="K765" s="2052"/>
      <c r="L765" s="2052"/>
      <c r="M765" s="2052"/>
      <c r="N765" s="2052"/>
      <c r="O765" s="2052"/>
      <c r="P765" s="2052"/>
      <c r="Q765" s="2052"/>
      <c r="R765" s="2052"/>
      <c r="S765" s="2052"/>
      <c r="T765" s="2052"/>
    </row>
    <row r="766" spans="1:20">
      <c r="A766" s="2052" t="s">
        <v>4571</v>
      </c>
      <c r="B766" s="2052" t="s">
        <v>4572</v>
      </c>
      <c r="C766" s="2064">
        <v>0.1</v>
      </c>
      <c r="D766" s="2052"/>
      <c r="E766" s="2052"/>
      <c r="F766" s="2052"/>
      <c r="G766" s="2052"/>
      <c r="H766" s="2052"/>
      <c r="I766" s="2052"/>
      <c r="J766" s="2052"/>
      <c r="K766" s="2052"/>
      <c r="L766" s="2052"/>
      <c r="M766" s="2052"/>
      <c r="N766" s="2052"/>
      <c r="O766" s="2052"/>
      <c r="P766" s="2052"/>
      <c r="Q766" s="2052"/>
      <c r="R766" s="2052"/>
      <c r="S766" s="2052"/>
      <c r="T766" s="2052"/>
    </row>
    <row r="767" spans="1:20">
      <c r="A767" s="2052" t="s">
        <v>4573</v>
      </c>
      <c r="B767" s="2052" t="s">
        <v>4574</v>
      </c>
      <c r="C767" s="2064">
        <v>7.0000000000000007E-2</v>
      </c>
      <c r="D767" s="2052"/>
      <c r="E767" s="2052"/>
      <c r="F767" s="2052"/>
      <c r="G767" s="2052"/>
      <c r="H767" s="2052"/>
      <c r="I767" s="2052"/>
      <c r="J767" s="2052"/>
      <c r="K767" s="2052"/>
      <c r="L767" s="2052"/>
      <c r="M767" s="2052"/>
      <c r="N767" s="2052"/>
      <c r="O767" s="2052"/>
      <c r="P767" s="2052"/>
      <c r="Q767" s="2052"/>
      <c r="R767" s="2052"/>
      <c r="S767" s="2052"/>
      <c r="T767" s="2052"/>
    </row>
    <row r="768" spans="1:20">
      <c r="A768" s="2052" t="s">
        <v>4575</v>
      </c>
      <c r="B768" s="2052" t="s">
        <v>4576</v>
      </c>
      <c r="C768" s="2052" t="e">
        <v>#NAME?</v>
      </c>
      <c r="D768" s="2052"/>
      <c r="E768" s="2052"/>
      <c r="F768" s="2052"/>
      <c r="G768" s="2052"/>
      <c r="H768" s="2052"/>
      <c r="I768" s="2052"/>
      <c r="J768" s="2052"/>
      <c r="K768" s="2052"/>
      <c r="L768" s="2052"/>
      <c r="M768" s="2052"/>
      <c r="N768" s="2052"/>
      <c r="O768" s="2052"/>
      <c r="P768" s="2052"/>
      <c r="Q768" s="2052"/>
      <c r="R768" s="2052"/>
      <c r="S768" s="2052"/>
      <c r="T768" s="2052"/>
    </row>
  </sheetData>
  <sheetProtection password="C616" sheet="1" objects="1" scenarios="1"/>
  <mergeCells count="11">
    <mergeCell ref="AF11:AG11"/>
    <mergeCell ref="AT21:AV21"/>
    <mergeCell ref="AW21:AY21"/>
    <mergeCell ref="AZ21:BB21"/>
    <mergeCell ref="BC21:BE21"/>
    <mergeCell ref="BC8:BE8"/>
    <mergeCell ref="P2:S2"/>
    <mergeCell ref="S7:T7"/>
    <mergeCell ref="AT8:AV8"/>
    <mergeCell ref="AW8:AY8"/>
    <mergeCell ref="AZ8:BB8"/>
  </mergeCells>
  <hyperlinks>
    <hyperlink ref="AI9" location="Spannweite" display="Spannweite"/>
    <hyperlink ref="R11" location="Daten_Oekobilanz!E309" display="Kompaktheit"/>
    <hyperlink ref="R302" location="Daten_Oekobilanz!BN299" display="Die Daten müssen hier hinein kopiert werden"/>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AK834"/>
  <sheetViews>
    <sheetView showZeros="0" zoomScaleNormal="100" workbookViewId="0"/>
  </sheetViews>
  <sheetFormatPr baseColWidth="10" defaultColWidth="11.42578125" defaultRowHeight="12"/>
  <cols>
    <col min="1" max="1" width="3.42578125" style="1517" customWidth="1"/>
    <col min="2" max="2" width="24.7109375" style="5" customWidth="1"/>
    <col min="3" max="3" width="14.7109375" style="5" customWidth="1"/>
    <col min="4" max="5" width="6.7109375" style="5" customWidth="1"/>
    <col min="6" max="9" width="10.7109375" style="5" customWidth="1"/>
    <col min="10" max="10" width="0.7109375" style="5" customWidth="1"/>
    <col min="11" max="11" width="8.7109375" style="5" customWidth="1"/>
    <col min="12" max="12" width="1.7109375" style="298" customWidth="1"/>
    <col min="13" max="13" width="3.140625" style="298" hidden="1" customWidth="1"/>
    <col min="14" max="14" width="28.140625" style="5" hidden="1" customWidth="1"/>
    <col min="15" max="20" width="11.42578125" style="5" hidden="1" customWidth="1"/>
    <col min="21" max="21" width="16" style="5" hidden="1" customWidth="1"/>
    <col min="22" max="36" width="11.42578125" style="5" hidden="1" customWidth="1"/>
    <col min="37" max="39" width="11.42578125" style="5" customWidth="1"/>
    <col min="40" max="16384" width="11.42578125" style="5"/>
  </cols>
  <sheetData>
    <row r="1" spans="1:35" ht="9.9499999999999993" customHeight="1">
      <c r="B1" s="2524" t="str">
        <f>Entrées!B1</f>
        <v>v2.97</v>
      </c>
      <c r="C1" s="3"/>
      <c r="D1" s="3"/>
      <c r="E1" s="340"/>
      <c r="F1" s="3"/>
      <c r="G1" s="3"/>
      <c r="H1" s="3"/>
      <c r="I1" s="158"/>
      <c r="J1" s="3"/>
      <c r="K1" s="7" t="str">
        <f>Uebersetzung!D5</f>
        <v>Formulaire EN101b, v2.97, à utiliser jusqu'au 31 décembre 2026</v>
      </c>
    </row>
    <row r="2" spans="1:35" ht="17.100000000000001" customHeight="1">
      <c r="B2" s="36"/>
      <c r="C2" s="35"/>
      <c r="D2" s="115"/>
      <c r="E2" s="36"/>
      <c r="F2" s="115"/>
      <c r="G2" s="2654" t="str">
        <f>Uebersetzung!D375</f>
        <v>Données supplémentaires pour le</v>
      </c>
      <c r="H2" s="2655"/>
      <c r="I2" s="2655"/>
      <c r="J2" s="2655"/>
      <c r="K2" s="2656"/>
      <c r="N2" s="5">
        <f>IF(OR(AND(Kategorie1=2,V77=""),AND(Kategorie2=2,W77=""),AND(Kategorie3=2,X77=""),AND(Kategorie1=4,Y77="")),1,0)</f>
        <v>0</v>
      </c>
    </row>
    <row r="3" spans="1:35" ht="17.100000000000001" customHeight="1">
      <c r="B3" s="43"/>
      <c r="C3" s="42"/>
      <c r="D3" s="53"/>
      <c r="E3" s="2657"/>
      <c r="F3" s="2658"/>
      <c r="G3" s="2659" t="str">
        <f>Uebersetzung!D376</f>
        <v>justificatif Minergie</v>
      </c>
      <c r="H3" s="2660"/>
      <c r="I3" s="2660"/>
      <c r="J3" s="2660"/>
      <c r="K3" s="2661"/>
      <c r="N3" s="298" t="s">
        <v>1861</v>
      </c>
      <c r="U3" s="298" t="s">
        <v>1887</v>
      </c>
      <c r="AC3" s="298" t="s">
        <v>2538</v>
      </c>
    </row>
    <row r="4" spans="1:35" ht="9.9499999999999993" customHeight="1">
      <c r="B4" s="94"/>
      <c r="C4" s="60"/>
      <c r="D4" s="116"/>
      <c r="E4" s="94"/>
      <c r="F4" s="116"/>
      <c r="G4" s="2662"/>
      <c r="H4" s="2663"/>
      <c r="I4" s="2663"/>
      <c r="J4" s="2663"/>
      <c r="K4" s="2664"/>
      <c r="T4" s="1535"/>
      <c r="U4" s="2710" t="s">
        <v>1893</v>
      </c>
      <c r="V4" s="2710"/>
      <c r="W4" s="2710"/>
      <c r="AC4" s="2705" t="s">
        <v>3764</v>
      </c>
      <c r="AD4" s="2705"/>
      <c r="AE4" s="2705"/>
      <c r="AF4" s="2705"/>
      <c r="AG4" s="2705"/>
      <c r="AH4" s="2705"/>
    </row>
    <row r="5" spans="1:35" ht="9.9499999999999993" hidden="1" customHeight="1">
      <c r="B5" s="3"/>
      <c r="C5" s="3"/>
      <c r="D5" s="3"/>
      <c r="E5" s="340"/>
      <c r="F5" s="3"/>
      <c r="G5" s="3"/>
      <c r="H5" s="3"/>
      <c r="I5" s="158"/>
      <c r="J5" s="3"/>
      <c r="K5" s="4"/>
      <c r="T5" s="1535"/>
      <c r="U5" s="2710"/>
      <c r="V5" s="2710"/>
      <c r="W5" s="2710"/>
      <c r="AC5" s="2705"/>
      <c r="AD5" s="2705"/>
      <c r="AE5" s="2705"/>
      <c r="AF5" s="2705"/>
      <c r="AG5" s="2705"/>
      <c r="AH5" s="2705"/>
    </row>
    <row r="6" spans="1:35" ht="9.9499999999999993" hidden="1" customHeight="1">
      <c r="B6" s="6"/>
      <c r="C6" s="6"/>
      <c r="D6" s="3"/>
      <c r="E6" s="3"/>
      <c r="F6" s="3"/>
      <c r="G6" s="3"/>
      <c r="H6" s="3"/>
      <c r="I6" s="3"/>
      <c r="J6" s="3"/>
      <c r="T6" s="1535"/>
      <c r="U6" s="2710"/>
      <c r="V6" s="2710"/>
      <c r="W6" s="2710"/>
      <c r="AC6" s="2705"/>
      <c r="AD6" s="2705"/>
      <c r="AE6" s="2705"/>
      <c r="AF6" s="2705"/>
      <c r="AG6" s="2705"/>
      <c r="AH6" s="2705"/>
    </row>
    <row r="7" spans="1:35" ht="20.100000000000001" hidden="1" customHeight="1">
      <c r="B7" s="777" t="str">
        <f>Entrées!B7</f>
        <v>Commune:</v>
      </c>
      <c r="C7" s="2717" t="str">
        <f>IF(Projekt1="","",Projekt1)</f>
        <v/>
      </c>
      <c r="D7" s="2717"/>
      <c r="E7" s="2717"/>
      <c r="F7" s="2717"/>
      <c r="G7" s="864" t="str">
        <f>Entrées!G7</f>
        <v>N° cadastre:</v>
      </c>
      <c r="H7" s="978" t="str">
        <f>IF(Projekt2="","",Projekt2)</f>
        <v/>
      </c>
      <c r="I7" s="864" t="str">
        <f>Entrées!I7</f>
        <v>N° bâtiment:</v>
      </c>
      <c r="J7" s="2718" t="str">
        <f>IF(Projekt3="","",Projekt3)</f>
        <v/>
      </c>
      <c r="K7" s="2719"/>
      <c r="T7" s="1535"/>
      <c r="U7" s="2710"/>
      <c r="V7" s="2710"/>
      <c r="W7" s="2710"/>
      <c r="AC7" s="2705"/>
      <c r="AD7" s="2705"/>
      <c r="AE7" s="2705"/>
      <c r="AF7" s="2705"/>
      <c r="AG7" s="2705"/>
      <c r="AH7" s="2705"/>
    </row>
    <row r="8" spans="1:35" ht="20.100000000000001" hidden="1" customHeight="1">
      <c r="B8" s="778" t="str">
        <f>Entrées!B8</f>
        <v>Objet:</v>
      </c>
      <c r="C8" s="2706" t="str">
        <f>IF(Projekt4="","",Projekt4)</f>
        <v/>
      </c>
      <c r="D8" s="2706"/>
      <c r="E8" s="2706"/>
      <c r="F8" s="2706"/>
      <c r="G8" s="2706"/>
      <c r="H8" s="2706"/>
      <c r="I8" s="965"/>
      <c r="J8" s="2707" t="str">
        <f>IF(Entrées!J8="","",Entrées!J8)</f>
        <v/>
      </c>
      <c r="K8" s="2708"/>
      <c r="T8" s="1535"/>
      <c r="U8" s="2710"/>
      <c r="V8" s="2710"/>
      <c r="W8" s="2710"/>
      <c r="AC8" s="2705"/>
      <c r="AD8" s="2705"/>
      <c r="AE8" s="2705"/>
      <c r="AF8" s="2705"/>
      <c r="AG8" s="2705"/>
      <c r="AH8" s="2705"/>
    </row>
    <row r="9" spans="1:35" ht="20.100000000000001" hidden="1" customHeight="1">
      <c r="T9" s="1535"/>
      <c r="U9" s="2710"/>
      <c r="V9" s="2710"/>
      <c r="W9" s="2710"/>
      <c r="AC9" s="2705"/>
      <c r="AD9" s="2705"/>
      <c r="AE9" s="2705"/>
      <c r="AF9" s="2705"/>
      <c r="AG9" s="2705"/>
      <c r="AH9" s="2705"/>
    </row>
    <row r="10" spans="1:35" ht="1.1499999999999999" customHeight="1">
      <c r="B10" s="8"/>
      <c r="C10" s="8"/>
      <c r="D10" s="9"/>
      <c r="E10" s="9"/>
      <c r="F10" s="9"/>
      <c r="G10" s="9"/>
      <c r="T10" s="1535"/>
      <c r="U10" s="2710"/>
      <c r="V10" s="2710"/>
      <c r="W10" s="2710"/>
      <c r="AC10" s="2705"/>
      <c r="AD10" s="2705"/>
      <c r="AE10" s="2705"/>
      <c r="AF10" s="2705"/>
      <c r="AG10" s="2705"/>
      <c r="AH10" s="2705"/>
    </row>
    <row r="11" spans="1:35" ht="6" customHeight="1">
      <c r="A11" s="1518"/>
      <c r="F11" s="9"/>
      <c r="G11" s="9"/>
      <c r="N11" s="1700"/>
      <c r="O11" s="1006"/>
      <c r="P11" s="1006">
        <v>1</v>
      </c>
      <c r="Q11" s="1117"/>
      <c r="R11" s="1006"/>
      <c r="S11" s="1119">
        <v>1</v>
      </c>
      <c r="T11" s="1535">
        <v>1</v>
      </c>
      <c r="U11" s="2711"/>
      <c r="V11" s="2711"/>
      <c r="W11" s="2711"/>
      <c r="AC11" s="2705"/>
      <c r="AD11" s="2705"/>
      <c r="AE11" s="2705"/>
      <c r="AF11" s="2705"/>
      <c r="AG11" s="2705"/>
      <c r="AH11" s="2705"/>
    </row>
    <row r="12" spans="1:35" ht="18" customHeight="1">
      <c r="A12" s="1518" t="s">
        <v>2819</v>
      </c>
      <c r="B12" s="974" t="str">
        <f>Uebersetzung!D14</f>
        <v>Données sur le bâtiment</v>
      </c>
      <c r="C12" s="980"/>
      <c r="D12" s="981"/>
      <c r="E12" s="982" t="str">
        <f>Uebersetzung!D15</f>
        <v xml:space="preserve">Altitude: </v>
      </c>
      <c r="F12" s="983">
        <f>Hoehe</f>
        <v>0</v>
      </c>
      <c r="G12" s="984" t="str">
        <f>Uebersetzung!D16</f>
        <v>m</v>
      </c>
      <c r="H12" s="985" t="str">
        <f>Uebersetzung!D12</f>
        <v>Canton:</v>
      </c>
      <c r="I12" s="989">
        <f>Entrées!I13</f>
        <v>0</v>
      </c>
      <c r="J12" s="986"/>
      <c r="K12" s="987"/>
      <c r="N12" s="1142" t="str">
        <f>Uebersetzung!D25</f>
        <v>oui</v>
      </c>
      <c r="O12" s="143" t="str">
        <f>Uebersetzung!D26</f>
        <v>non</v>
      </c>
      <c r="P12" s="143">
        <v>2</v>
      </c>
      <c r="Q12" s="1087" t="str">
        <f>Uebersetzung!D23</f>
        <v>satisfait</v>
      </c>
      <c r="R12" s="143" t="str">
        <f>Uebersetzung!D24</f>
        <v>non satisfait</v>
      </c>
      <c r="S12" s="1120">
        <v>2</v>
      </c>
      <c r="T12" s="1535">
        <v>2</v>
      </c>
      <c r="U12" s="751" t="s">
        <v>1815</v>
      </c>
      <c r="V12" s="1124">
        <v>1</v>
      </c>
      <c r="W12" s="1118">
        <v>2</v>
      </c>
      <c r="X12" s="1118">
        <v>3</v>
      </c>
      <c r="Y12" s="379">
        <v>4</v>
      </c>
      <c r="Z12" s="1253" t="s">
        <v>1834</v>
      </c>
      <c r="AC12" s="1701" t="s">
        <v>650</v>
      </c>
      <c r="AD12" s="1118" t="b">
        <f>_neu1</f>
        <v>0</v>
      </c>
      <c r="AE12" s="1118" t="b">
        <f>_neu2</f>
        <v>0</v>
      </c>
      <c r="AF12" s="1118" t="b">
        <f>_neu3</f>
        <v>0</v>
      </c>
      <c r="AG12" s="1118" t="b">
        <f>_neu4</f>
        <v>0</v>
      </c>
      <c r="AH12" s="1702"/>
    </row>
    <row r="13" spans="1:35" ht="18" customHeight="1">
      <c r="A13" s="1518" t="s">
        <v>2820</v>
      </c>
      <c r="B13" s="10" t="str">
        <f>Uebersetzung!D17</f>
        <v>(Selon la norme SIA 380/1)</v>
      </c>
      <c r="C13" s="151"/>
      <c r="D13" s="11"/>
      <c r="E13" s="856" t="str">
        <f>Uebersetzung!D18</f>
        <v>Justificatif pour:</v>
      </c>
      <c r="F13" s="1854" t="str">
        <f>Entrées!E14</f>
        <v>Preuve officielle</v>
      </c>
      <c r="G13" s="151"/>
      <c r="H13" s="15" t="str">
        <f>Uebersetzung!D28</f>
        <v>Station climat.</v>
      </c>
      <c r="I13" s="990" t="str">
        <f>Entrées!I14</f>
        <v xml:space="preserve"> </v>
      </c>
      <c r="J13" s="979"/>
      <c r="K13" s="988"/>
      <c r="N13" s="1142" t="str">
        <f>O12</f>
        <v>non</v>
      </c>
      <c r="O13" s="151"/>
      <c r="P13" s="151">
        <v>3</v>
      </c>
      <c r="Q13" s="890" t="str">
        <f>R12</f>
        <v>non satisfait</v>
      </c>
      <c r="R13" s="151"/>
      <c r="S13" s="603">
        <v>3</v>
      </c>
      <c r="T13" s="1535">
        <v>3</v>
      </c>
      <c r="U13" s="1603" t="s">
        <v>3528</v>
      </c>
      <c r="V13" s="1653" t="b">
        <f>IF(OR(_neu1,Kategorie1=13),TRUE,FALSE)</f>
        <v>0</v>
      </c>
      <c r="W13" s="1754" t="b">
        <f>IF(OR(_neu2,Kategorie2=13),TRUE,FALSE)</f>
        <v>0</v>
      </c>
      <c r="X13" s="1754" t="b">
        <f>IF(OR(_neu3,Kategorie3=13),TRUE,FALSE)</f>
        <v>0</v>
      </c>
      <c r="Y13" s="1652" t="b">
        <f>IF(OR(_neu4,Kategorie4=13),TRUE,FALSE)</f>
        <v>0</v>
      </c>
      <c r="Z13" s="1755"/>
      <c r="AC13" s="1415" t="s">
        <v>493</v>
      </c>
      <c r="AD13" s="1679">
        <f>F23</f>
        <v>0</v>
      </c>
      <c r="AE13" s="1679">
        <f>IF(Zonen&gt;1,G23,0)</f>
        <v>0</v>
      </c>
      <c r="AF13" s="1679">
        <f>IF(Zonen&gt;2,H23,0)</f>
        <v>0</v>
      </c>
      <c r="AG13" s="1679">
        <f>IF(Zonen&gt;3,I23,0)</f>
        <v>0</v>
      </c>
      <c r="AH13" s="1477">
        <f>SUM(AD13:AG13)</f>
        <v>0</v>
      </c>
      <c r="AI13" s="5" t="s">
        <v>321</v>
      </c>
    </row>
    <row r="14" spans="1:35" ht="18" customHeight="1">
      <c r="A14" s="1518"/>
      <c r="B14" s="775" t="str">
        <f>Uebersetzung!D29</f>
        <v>Zone</v>
      </c>
      <c r="C14" s="11"/>
      <c r="D14" s="11"/>
      <c r="E14" s="11"/>
      <c r="F14" s="180">
        <v>1</v>
      </c>
      <c r="G14" s="180">
        <v>2</v>
      </c>
      <c r="H14" s="180">
        <v>3</v>
      </c>
      <c r="I14" s="180">
        <v>4</v>
      </c>
      <c r="J14" s="773"/>
      <c r="K14" s="774" t="str">
        <f>Uebersetzung!D30</f>
        <v>Somme</v>
      </c>
      <c r="N14" s="1143" t="s">
        <v>216</v>
      </c>
      <c r="O14" s="1126">
        <v>1</v>
      </c>
      <c r="P14" s="1126">
        <v>2</v>
      </c>
      <c r="Q14" s="1126">
        <v>3</v>
      </c>
      <c r="R14" s="1286">
        <v>4</v>
      </c>
      <c r="S14" s="1286" t="s">
        <v>1824</v>
      </c>
      <c r="T14" s="1535">
        <v>4</v>
      </c>
      <c r="U14" s="1087" t="s">
        <v>493</v>
      </c>
      <c r="V14" s="1751">
        <f>F23</f>
        <v>0</v>
      </c>
      <c r="W14" s="1753">
        <f>IF(Zonen&gt;1,G23,0)</f>
        <v>0</v>
      </c>
      <c r="X14" s="1753">
        <f>IF(Zonen&gt;2,H23,0)</f>
        <v>0</v>
      </c>
      <c r="Y14" s="1752">
        <f>IF(Zonen&gt;3,I23,0)</f>
        <v>0</v>
      </c>
      <c r="Z14" s="1752">
        <f>IF(V18&gt;0,V14,0)+IF(W18&gt;0,W14,0)+IF(X18&gt;0,X14,0)+IF(Y18&gt;0,Y14,0)</f>
        <v>0</v>
      </c>
      <c r="AA14" s="5" t="s">
        <v>321</v>
      </c>
      <c r="AC14" s="1422" t="s">
        <v>3756</v>
      </c>
      <c r="AD14" s="1679">
        <f>AD13</f>
        <v>0</v>
      </c>
      <c r="AE14" s="1679">
        <f>IF(Zonen&gt;1,AE13,0)</f>
        <v>0</v>
      </c>
      <c r="AF14" s="1679">
        <f>IF(Zonen&gt;2,AF13,0)</f>
        <v>0</v>
      </c>
      <c r="AG14" s="1679">
        <f>IF(Zonen&gt;3,AG13,0)</f>
        <v>0</v>
      </c>
      <c r="AH14" s="1703">
        <f>SUM(AD14:AG14)</f>
        <v>0</v>
      </c>
      <c r="AI14" s="5" t="s">
        <v>321</v>
      </c>
    </row>
    <row r="15" spans="1:35" ht="24" customHeight="1">
      <c r="A15" s="1518" t="s">
        <v>2821</v>
      </c>
      <c r="B15" s="2622" t="str">
        <f>Entrées!B16</f>
        <v>Catégorie d'ouvrage</v>
      </c>
      <c r="C15" s="2623"/>
      <c r="D15" s="2665" t="str">
        <f>IF(minergiep,IF(AND(Standardwerte!BO55,Standardwerte!BO56,Standardwerte!BO57,Standardwerte!BO58),"","mit MINERGIE-P nicht möglich"),"")</f>
        <v/>
      </c>
      <c r="E15" s="2709"/>
      <c r="F15" s="1293" t="str">
        <f>Entrées!F16</f>
        <v xml:space="preserve"> </v>
      </c>
      <c r="G15" s="1293">
        <f>Entrées!G16</f>
        <v>0</v>
      </c>
      <c r="H15" s="1293">
        <f>Entrées!H16</f>
        <v>0</v>
      </c>
      <c r="I15" s="1293">
        <f>Entrées!I16</f>
        <v>0</v>
      </c>
      <c r="J15" s="1001"/>
      <c r="K15" s="197" t="str">
        <f>Uebersetzung!D35</f>
        <v>(moyenne)</v>
      </c>
      <c r="N15" s="1146" t="s">
        <v>1814</v>
      </c>
      <c r="O15" s="1122">
        <f>IF(Kategorie1&lt;&gt;13,Justificatif!G34*Justificatif!$N$52+(Justificatif!G39+Justificatif!G40)*2,0)</f>
        <v>0</v>
      </c>
      <c r="P15" s="1116">
        <f>IF(Kategorie2&lt;&gt;13,Justificatif!H34*Justificatif!$N$52+(Justificatif!H39+Justificatif!H40)*2,0)</f>
        <v>0</v>
      </c>
      <c r="Q15" s="1116">
        <f>IF(Kategorie3&lt;&gt;13,Justificatif!I34*Justificatif!$N$52+(Justificatif!I39+Justificatif!I40)*2,0)</f>
        <v>0</v>
      </c>
      <c r="R15" s="1123">
        <f>IF(Kategorie4&lt;&gt;13,Justificatif!J34*Justificatif!$N$52+(Justificatif!J39+Justificatif!J40)*2,0)</f>
        <v>0</v>
      </c>
      <c r="S15" s="1148">
        <f>IF(OR(EBF=0,AND(MUKEN,EBF_MUKEN=0),AND(bern,EBF_MUKEN=0)),0,(O15*_EBF1+P15*_EBF2+Q15*_EBF3+R15*_EBF4)/IF(OR(MUKEN,bern),EBF_MUKEN,(_EBF1+_EBF2+_EBF3+_EBF4)))</f>
        <v>0</v>
      </c>
      <c r="T15" s="5" t="s">
        <v>524</v>
      </c>
      <c r="U15" s="1087" t="s">
        <v>1892</v>
      </c>
      <c r="V15" s="1200">
        <f>Standardwerte!J47</f>
        <v>0</v>
      </c>
      <c r="W15" s="1197">
        <f>Standardwerte!J48</f>
        <v>0</v>
      </c>
      <c r="X15" s="1197">
        <f>Standardwerte!J49</f>
        <v>0</v>
      </c>
      <c r="Y15" s="1258">
        <f>Standardwerte!J50</f>
        <v>0</v>
      </c>
      <c r="Z15" s="1120"/>
      <c r="AA15" s="5" t="s">
        <v>524</v>
      </c>
      <c r="AC15" s="1415" t="s">
        <v>3762</v>
      </c>
      <c r="AD15" s="1197">
        <f>Standardwerte!J47*IF(AD12,1,Sanierung)</f>
        <v>0</v>
      </c>
      <c r="AE15" s="1197">
        <f>Standardwerte!J48*IF(AE12,1,Sanierung)</f>
        <v>0</v>
      </c>
      <c r="AF15" s="1197">
        <f>Standardwerte!J49*IF(AF12,1,Sanierung)</f>
        <v>0</v>
      </c>
      <c r="AG15" s="1197">
        <f>Standardwerte!J50*IF(AG12,1,Sanierung)</f>
        <v>0</v>
      </c>
      <c r="AH15" s="1415"/>
      <c r="AI15" s="5" t="s">
        <v>524</v>
      </c>
    </row>
    <row r="16" spans="1:35" ht="18" hidden="1" customHeight="1">
      <c r="V16" s="1087"/>
      <c r="W16" s="143"/>
      <c r="X16" s="143"/>
      <c r="Y16" s="1120"/>
      <c r="Z16" s="1120"/>
      <c r="AC16" s="1142"/>
      <c r="AD16" s="143"/>
      <c r="AE16" s="143"/>
      <c r="AF16" s="143"/>
      <c r="AG16" s="143"/>
      <c r="AH16" s="1142"/>
    </row>
    <row r="17" spans="1:35" ht="22.15" customHeight="1">
      <c r="A17" s="1518" t="s">
        <v>2822</v>
      </c>
      <c r="B17" s="1877" t="str">
        <f>Uebersetzung!D467</f>
        <v>Eau chaude, valeur calculée</v>
      </c>
      <c r="C17" s="1880" t="str">
        <f>Uebersetzung!D257</f>
        <v>Rendement / COPa</v>
      </c>
      <c r="D17" s="1879"/>
      <c r="E17" s="185" t="s">
        <v>524</v>
      </c>
      <c r="F17" s="1435">
        <f>IF(_qw1&gt;0,IF(F18&gt;0,F18,_qw1),0)*O17*IF(AND(wohnen1,F21&gt;0.1),MAX(1-F21+0.1,0.3),1)+IF(INDEX(Standardwerte!$AN$71:$AN$83,Kategorie1,1)&gt;0,IF(F18&gt;0,F18,INDEX(Standardwerte!$AN$71:$AN$83,Kategorie1,1)))*O17</f>
        <v>0</v>
      </c>
      <c r="G17" s="1435">
        <f>IF(_qw2&gt;0,IF(G18&gt;0,G18,_qw2),0)*P17*IF(AND(wohnen2,G21&gt;0.1),MAX(1-G21+0.1,0.3),1)+IF(INDEX(Standardwerte!$AN$71:$AN$83,Kategorie2,1)&gt;0,IF(G18&gt;0,G18,INDEX(Standardwerte!$AN$71:$AN$83,Kategorie2,1)))*P17</f>
        <v>0</v>
      </c>
      <c r="H17" s="1435">
        <f>IF(_qw3&gt;0,IF(H18&gt;0,H18,_qw3),0)*Q17*IF(AND(wohnen3,H21&gt;0.1),MAX(1-H21+0.1,0.3),1)+IF(INDEX(Standardwerte!$AN$71:$AN$83,Kategorie3,1)&gt;0,IF(H18&gt;0,H18,INDEX(Standardwerte!$AN$71:$AN$83,Kategorie3,1)))*Q17</f>
        <v>0</v>
      </c>
      <c r="I17" s="1435">
        <f>IF(_qw4&gt;0,IF(I18&gt;0,I18,_qw4),0)*R17*IF(AND(wohnen4,I21&gt;0.1),MAX(1-I21+0.1,0.3),1)+IF(INDEX(Standardwerte!$AN$71:$AN$83,Kategorie4,1)&gt;0,IF(I18&gt;0,I18,INDEX(Standardwerte!$AN$71:$AN$83,Kategorie4,1)))*R17</f>
        <v>0</v>
      </c>
      <c r="J17" s="184"/>
      <c r="K17" s="857"/>
      <c r="N17" s="1117" t="s">
        <v>1817</v>
      </c>
      <c r="O17" s="1653">
        <f>IF(F18&gt;0,1,IF(F19=$N$12,0.9,1))</f>
        <v>1</v>
      </c>
      <c r="P17" s="1118">
        <f>IF(G18&gt;0,1,IF(G19=$N$12,0.9,1))</f>
        <v>1</v>
      </c>
      <c r="Q17" s="1118">
        <f>IF(H18&gt;0,1,IF(H19=$N$12,0.9,1))</f>
        <v>1</v>
      </c>
      <c r="R17" s="1883">
        <f>IF(I18&gt;0,1,IF(I19=$N$12,0.9,1))</f>
        <v>1</v>
      </c>
      <c r="S17" s="1119"/>
      <c r="U17" s="1087" t="s">
        <v>3524</v>
      </c>
      <c r="V17" s="1087" t="b">
        <f>IF(AND(minergiep,Kategorie1=13),TRUE,FALSE)</f>
        <v>0</v>
      </c>
      <c r="W17" s="143" t="b">
        <f>IF(AND(minergiep,Kategorie2=13),TRUE,FALSE)</f>
        <v>0</v>
      </c>
      <c r="X17" s="143" t="b">
        <f>IF(AND(minergiep,Kategorie3=13),TRUE,FALSE)</f>
        <v>0</v>
      </c>
      <c r="Y17" s="1120" t="b">
        <f>IF(AND(minergiep,Kategorie4=13),TRUE,FALSE)</f>
        <v>0</v>
      </c>
      <c r="Z17" s="1120"/>
      <c r="AB17" s="1368" t="s">
        <v>2495</v>
      </c>
      <c r="AC17" s="1415" t="s">
        <v>2492</v>
      </c>
      <c r="AD17" s="1412">
        <f>IF($AH$14&gt;0,IF(Zonen&gt;0,AD15*AD14*0.3,0)/$AH$14,0)</f>
        <v>0</v>
      </c>
      <c r="AE17" s="1412">
        <f>IF($AH$14&gt;0,IF(Zonen&gt;1,AE15*AE14*0.3,0)/$AH$14,0)</f>
        <v>0</v>
      </c>
      <c r="AF17" s="1412">
        <f>IF($AH$14&gt;0,IF(Zonen&gt;2,AF15*AF14*0.3,0)/$AH$14,0)</f>
        <v>0</v>
      </c>
      <c r="AG17" s="1412">
        <f>IF($AH$14&gt;0,IF(Zonen&gt;3,AG15*AG14*0.3,0)/$AH$14,0)</f>
        <v>0</v>
      </c>
      <c r="AH17" s="1704">
        <f>SUM(AD17:AG17)</f>
        <v>0</v>
      </c>
      <c r="AI17" s="5" t="s">
        <v>524</v>
      </c>
    </row>
    <row r="18" spans="1:35" ht="22.15" customHeight="1">
      <c r="A18" s="1518" t="s">
        <v>2823</v>
      </c>
      <c r="B18" s="1876" t="str">
        <f>Uebersetzung!D468&amp;":"</f>
        <v>Eau chaude, SIA 385:</v>
      </c>
      <c r="C18" s="1880" t="str">
        <f>Uebersetzung!D248</f>
        <v>Pondération</v>
      </c>
      <c r="D18" s="1884"/>
      <c r="E18" s="185" t="s">
        <v>524</v>
      </c>
      <c r="F18" s="1434"/>
      <c r="G18" s="1047"/>
      <c r="H18" s="1047"/>
      <c r="I18" s="1047"/>
      <c r="J18" s="184"/>
      <c r="K18" s="857"/>
      <c r="L18" s="299"/>
      <c r="N18" s="1146" t="s">
        <v>1816</v>
      </c>
      <c r="O18" s="1382">
        <f>IF(INDEX(Standardwerte!$AN$71:$AN$83,Kategorie1,1)=0,F17*Justificatif!$O$52,0)</f>
        <v>0</v>
      </c>
      <c r="P18" s="1383">
        <f>IF(INDEX(Standardwerte!$AN$71:$AN$83,Kategorie2,1)=0,G17*Justificatif!$O$52,0)</f>
        <v>0</v>
      </c>
      <c r="Q18" s="1383">
        <f>IF(INDEX(Standardwerte!$AN$71:$AN$83,Kategorie3,1)=0,H17*Justificatif!$O$52,0)</f>
        <v>0</v>
      </c>
      <c r="R18" s="1384">
        <f>IF(INDEX(Standardwerte!$AN$71:$AN$83,Kategorie4,1)=0,I17*Justificatif!$O$52,0)</f>
        <v>0</v>
      </c>
      <c r="S18" s="1147">
        <f>IF(OR(EBF=0,AND(MUKEN,EBF_MUKEN=0),AND(bern,EBF_MUKEN=0)),0,(O18*_EBF1+P18*_EBF2+Q18*_EBF3+R18*_EBF4)/IF(OR(MUKEN,bern),EBF_MUKEN,(_EBF1+_EBF2+_EBF3+_EBF4)))</f>
        <v>0</v>
      </c>
      <c r="T18" s="5" t="s">
        <v>524</v>
      </c>
      <c r="U18" s="890" t="s">
        <v>657</v>
      </c>
      <c r="V18" s="1837" t="str">
        <f>IF(V17,Standardwerte!$AB$94,IF(V13,Standardwerte!$AB$93,Standardwerte!$AC$93))</f>
        <v/>
      </c>
      <c r="W18" s="1838" t="str">
        <f>IF(W17,Standardwerte!$AB$94,IF(W13,Standardwerte!$AB$93,Standardwerte!$AC$93))</f>
        <v/>
      </c>
      <c r="X18" s="1838" t="str">
        <f>IF(X17,Standardwerte!$AB$94,IF(X13,Standardwerte!$AB$93,Standardwerte!$AC$93))</f>
        <v/>
      </c>
      <c r="Y18" s="1839" t="str">
        <f>IF(Y17,Standardwerte!$AB$94,IF(Y13,Standardwerte!$AB$93,Standardwerte!$AC$93))</f>
        <v/>
      </c>
      <c r="Z18" s="603"/>
      <c r="AB18" s="1368"/>
      <c r="AC18" s="1415" t="s">
        <v>3759</v>
      </c>
      <c r="AD18" s="1412">
        <f>IF($AH$14&gt;0,IF(Zonen&gt;0,_qw1*AD14,0)/$AH$14,0)</f>
        <v>0</v>
      </c>
      <c r="AE18" s="1412">
        <f>IF($AH$14&gt;0,IF(Zonen&gt;1,_qw2*AE14,0)/$AH$14,0)</f>
        <v>0</v>
      </c>
      <c r="AF18" s="1412">
        <f>IF($AH$14&gt;0,IF(Zonen&gt;2,_qw3*AF14,0)/$AH$14,0)</f>
        <v>0</v>
      </c>
      <c r="AG18" s="1412">
        <f>IF($AH$14&gt;0,IF(Zonen&gt;3,_qw4*AG14,0)/$AH$14,0)</f>
        <v>0</v>
      </c>
      <c r="AH18" s="1704">
        <f>SUM(AD18:AG18)</f>
        <v>0</v>
      </c>
      <c r="AI18" s="5" t="s">
        <v>524</v>
      </c>
    </row>
    <row r="19" spans="1:35" ht="22.15" customHeight="1">
      <c r="A19" s="1518" t="s">
        <v>2824</v>
      </c>
      <c r="B19" s="2626" t="str">
        <f>Uebersetzung!D362</f>
        <v xml:space="preserve"> - Réduction pour la robinetterie</v>
      </c>
      <c r="C19" s="2627"/>
      <c r="D19" s="194" t="s">
        <v>1819</v>
      </c>
      <c r="E19" s="248"/>
      <c r="F19" s="1004"/>
      <c r="G19" s="1004"/>
      <c r="H19" s="1004"/>
      <c r="I19" s="1004"/>
      <c r="J19" s="200"/>
      <c r="K19" s="857"/>
      <c r="M19" s="298" t="b">
        <f>IF(AND(minergiea,OR(Kategorie1=7,Kategorie2=7,Kategorie3=7,Kategorie4=7,Kategorie1=12,Kategorie2=12,Kategorie3=12,Kategorie4=12),Justificatif!O52=0),TRUE,FALSE)</f>
        <v>0</v>
      </c>
      <c r="N19" s="751" t="s">
        <v>3933</v>
      </c>
      <c r="O19" s="1155">
        <f>IF(O18&gt;0,0,IF(Justificatif!$O$52&gt;0,F17*Justificatif!$O$52,F17*IF($D$18&gt;0,$D$18,2)/IF($D$17&gt;0,$D$17,1)))</f>
        <v>0</v>
      </c>
      <c r="P19" s="1156">
        <f>IF(P18&gt;0,0,IF(Justificatif!$O$52&gt;0,G17*Justificatif!$O$52,G17*IF($D$18&gt;0,$D$18,2)/IF($D$17&gt;0,$D$17,1)))</f>
        <v>0</v>
      </c>
      <c r="Q19" s="1156">
        <f>IF(Q18&gt;0,0,IF(Justificatif!$O$52&gt;0,H17*Justificatif!$O$52,H17*IF($D$18&gt;0,$D$18,2)/IF($D$17&gt;0,$D$17,1)))</f>
        <v>0</v>
      </c>
      <c r="R19" s="1121">
        <f>IF(R18&gt;0,0,IF(Justificatif!$O$52&gt;0,I17*Justificatif!$O$52,I17*IF($D$18&gt;0,$D$18,2)/IF($D$17&gt;0,$D$17,1)))</f>
        <v>0</v>
      </c>
      <c r="S19" s="1882">
        <f>IF(EBF=0,0,(O19*_EBF1+P19*_EBF2+Q19*_EBF3+R19*_EBF4)/(_EBF1+_EBF2+_EBF3+_EBF4))</f>
        <v>0</v>
      </c>
      <c r="T19" s="5" t="s">
        <v>524</v>
      </c>
      <c r="U19" s="1149" t="s">
        <v>1891</v>
      </c>
      <c r="V19" s="1156">
        <f>IF(V18&lt;&gt;"",V18*V15,)</f>
        <v>0</v>
      </c>
      <c r="W19" s="1156">
        <f>IF(W18&lt;&gt;"",W18*W15,)</f>
        <v>0</v>
      </c>
      <c r="X19" s="1156">
        <f>IF(X18&lt;&gt;"",X18*X15,)</f>
        <v>0</v>
      </c>
      <c r="Y19" s="1156">
        <f>IF(Y18&lt;&gt;"",Y18*Y15,)</f>
        <v>0</v>
      </c>
      <c r="Z19" s="1150">
        <f>IF(Z14&gt;0,(V19*V14+W19*W14+X19*X14+Y19*Y14)/Z14,)</f>
        <v>0</v>
      </c>
      <c r="AA19" s="5" t="s">
        <v>524</v>
      </c>
      <c r="AB19" s="1368" t="s">
        <v>2495</v>
      </c>
      <c r="AC19" s="1415" t="s">
        <v>3760</v>
      </c>
      <c r="AD19" s="1412">
        <f>AD18*0.3</f>
        <v>0</v>
      </c>
      <c r="AE19" s="1412">
        <f>AE18*0.3</f>
        <v>0</v>
      </c>
      <c r="AF19" s="1412">
        <f>AF18*0.3</f>
        <v>0</v>
      </c>
      <c r="AG19" s="1412">
        <f>AG18*0.3</f>
        <v>0</v>
      </c>
      <c r="AH19" s="1704">
        <f>SUM(AD19:AG19)</f>
        <v>0</v>
      </c>
      <c r="AI19" s="5" t="s">
        <v>524</v>
      </c>
    </row>
    <row r="20" spans="1:35" ht="18" hidden="1" customHeight="1">
      <c r="A20" s="1518" t="s">
        <v>2825</v>
      </c>
      <c r="B20" s="2626" t="str">
        <f>Uebersetzung!D363</f>
        <v xml:space="preserve"> - Réduction pour le maintien de la chaleur</v>
      </c>
      <c r="C20" s="2627"/>
      <c r="D20" s="194" t="s">
        <v>1818</v>
      </c>
      <c r="E20" s="248"/>
      <c r="F20" s="1004"/>
      <c r="G20" s="1004"/>
      <c r="H20" s="1004"/>
      <c r="I20" s="1004"/>
      <c r="J20" s="1134"/>
      <c r="K20" s="857"/>
      <c r="AC20" s="1143"/>
      <c r="AD20" s="151"/>
      <c r="AE20" s="151"/>
      <c r="AF20" s="151"/>
      <c r="AG20" s="151"/>
      <c r="AH20" s="1143"/>
    </row>
    <row r="21" spans="1:35" ht="22.15" customHeight="1">
      <c r="A21" s="1518" t="s">
        <v>3025</v>
      </c>
      <c r="B21" s="2714" t="str">
        <f>Uebersetzung!D521</f>
        <v>-Récupération de la chaleur des eaux usées en%</v>
      </c>
      <c r="C21" s="2630"/>
      <c r="D21" s="194"/>
      <c r="E21" s="194"/>
      <c r="F21" s="1609"/>
      <c r="G21" s="1609"/>
      <c r="H21" s="1609"/>
      <c r="I21" s="1609"/>
      <c r="J21" s="182"/>
      <c r="K21" s="1610">
        <f>IF(EBF&gt;0,(IF(wohnen1,F21,0)*Entrées!O2+IF(wohnen2,G21,0)*Entrées!P2+IF(wohnen3,H21,0)*Entrées!Q2+IF(wohnen4,I21,0)*Entrées!R2)/EBF,0)</f>
        <v>0</v>
      </c>
      <c r="N21" s="1145" t="s">
        <v>1836</v>
      </c>
      <c r="O21" s="717">
        <v>1</v>
      </c>
      <c r="P21" s="781">
        <v>2</v>
      </c>
      <c r="Q21" s="781">
        <v>3</v>
      </c>
      <c r="R21" s="1108">
        <v>4</v>
      </c>
      <c r="S21" s="1138" t="s">
        <v>1834</v>
      </c>
      <c r="U21" s="1259" t="s">
        <v>2198</v>
      </c>
      <c r="AC21" s="1146" t="s">
        <v>3763</v>
      </c>
      <c r="AD21" s="1122">
        <f>AD19+AD17</f>
        <v>0</v>
      </c>
      <c r="AE21" s="1116">
        <f>AE19+AE17</f>
        <v>0</v>
      </c>
      <c r="AF21" s="1116">
        <f>AF19+AF17</f>
        <v>0</v>
      </c>
      <c r="AG21" s="1123">
        <f>AG19+AG17</f>
        <v>0</v>
      </c>
      <c r="AH21" s="1413">
        <f>SUM(AD21:AG21)</f>
        <v>0</v>
      </c>
      <c r="AI21" s="5" t="s">
        <v>524</v>
      </c>
    </row>
    <row r="22" spans="1:35" ht="20.100000000000001" hidden="1" customHeight="1">
      <c r="A22" s="1518" t="s">
        <v>386</v>
      </c>
      <c r="B22" s="2626" t="str">
        <f>Uebersetzung!D411</f>
        <v xml:space="preserve"> - Longueur des bandes de chauffage</v>
      </c>
      <c r="C22" s="2627"/>
      <c r="D22" s="194" t="s">
        <v>1496</v>
      </c>
      <c r="E22" s="194"/>
      <c r="F22" s="1295"/>
      <c r="G22" s="1133"/>
      <c r="H22" s="1133"/>
      <c r="I22" s="1133"/>
      <c r="J22" s="192"/>
      <c r="K22" s="223"/>
      <c r="N22" s="751" t="s">
        <v>119</v>
      </c>
      <c r="O22" s="751" t="b">
        <f>IF(F24=$N$12,TRUE,FALSE)</f>
        <v>0</v>
      </c>
      <c r="P22" s="673" t="b">
        <f>IF(G24=$N$12,TRUE,FALSE)</f>
        <v>0</v>
      </c>
      <c r="Q22" s="673" t="b">
        <f>IF(H24=$N$12,TRUE,FALSE)</f>
        <v>0</v>
      </c>
      <c r="R22" s="882" t="b">
        <f>IF(I24=$N$12,TRUE,FALSE)</f>
        <v>0</v>
      </c>
      <c r="S22" s="1337"/>
      <c r="AH22" s="1414">
        <f>SUM(AD22:AG22)</f>
        <v>0</v>
      </c>
    </row>
    <row r="23" spans="1:35" ht="20.100000000000001" hidden="1" customHeight="1">
      <c r="A23" s="1518" t="s">
        <v>387</v>
      </c>
      <c r="B23" s="1587" t="str">
        <f>Entrées!B19</f>
        <v>Surface de référence énergétique SRE</v>
      </c>
      <c r="C23" s="1588"/>
      <c r="D23" s="205" t="s">
        <v>138</v>
      </c>
      <c r="E23" s="1135">
        <f>IF(bern,MINERGIE!N12&amp;"/",)</f>
        <v>0</v>
      </c>
      <c r="F23" s="1136">
        <f>Entrées!O2</f>
        <v>0</v>
      </c>
      <c r="G23" s="1136">
        <f>Entrées!P2</f>
        <v>0</v>
      </c>
      <c r="H23" s="1136">
        <f>Entrées!Q2</f>
        <v>0</v>
      </c>
      <c r="I23" s="1136">
        <f>Entrées!R2</f>
        <v>0</v>
      </c>
      <c r="J23" s="184"/>
      <c r="K23" s="1137">
        <f>Entrées!K19</f>
        <v>0</v>
      </c>
      <c r="AH23" s="1414">
        <f>SUM(AD23:AG23)</f>
        <v>0</v>
      </c>
    </row>
    <row r="24" spans="1:35" ht="20.100000000000001" hidden="1" customHeight="1">
      <c r="A24" s="1518" t="s">
        <v>388</v>
      </c>
      <c r="B24" s="1587" t="str">
        <f>Entrées!B21</f>
        <v>Nouvelle construction</v>
      </c>
      <c r="C24" s="1588"/>
      <c r="D24" s="199"/>
      <c r="E24" s="200"/>
      <c r="F24" s="1002" t="str">
        <f>Entrées!F21</f>
        <v xml:space="preserve"> </v>
      </c>
      <c r="G24" s="1002">
        <f>Entrées!G21</f>
        <v>0</v>
      </c>
      <c r="H24" s="1002">
        <f>Entrées!H21</f>
        <v>0</v>
      </c>
      <c r="I24" s="1002">
        <f>Entrées!I21</f>
        <v>0</v>
      </c>
      <c r="J24" s="2515"/>
      <c r="K24" s="2516"/>
      <c r="N24" s="1151" t="s">
        <v>1836</v>
      </c>
      <c r="O24" s="1152"/>
      <c r="P24" s="1152"/>
      <c r="Q24" s="1152"/>
      <c r="R24" s="1152"/>
      <c r="S24" s="1153"/>
      <c r="AH24" s="1414">
        <f>SUM(AD24:AG24)</f>
        <v>0</v>
      </c>
    </row>
    <row r="25" spans="1:35" ht="22.15" customHeight="1">
      <c r="A25" s="1518" t="s">
        <v>2826</v>
      </c>
      <c r="B25" s="2626" t="str">
        <f>Uebersetzung!D410</f>
        <v>Nombre d’unités d’habitation</v>
      </c>
      <c r="C25" s="2627"/>
      <c r="D25" s="194"/>
      <c r="E25" s="194"/>
      <c r="F25" s="1133"/>
      <c r="G25" s="1133"/>
      <c r="H25" s="1133"/>
      <c r="I25" s="2514"/>
      <c r="J25" s="2517"/>
      <c r="K25" s="1710">
        <f>IF(M25=1,Fehler1,SUM(F25:I25))</f>
        <v>0</v>
      </c>
      <c r="M25" s="298">
        <f>IF(OR(AND(Kategorie1=2,F25=""),AND(Kategorie2=2,G25=""),AND(Kategorie3=2,H25=""),AND(Kategorie4=2,I25="")),1,0)</f>
        <v>0</v>
      </c>
      <c r="N25" s="1142" t="s">
        <v>2207</v>
      </c>
      <c r="O25" s="1622">
        <f>IF(_EBF1&gt;0,IF(wohnen1,IF(OR(V77="",V77=0),ROUNDUP(Entrées!O2/90,0),V77),0),0)</f>
        <v>0</v>
      </c>
      <c r="P25" s="1623">
        <f>IF(_EBF2&gt;0,IF(wohnen2,IF(OR(W77="",W77=0),ROUNDUP(Entrées!P2/90,0),W77),0),0)</f>
        <v>0</v>
      </c>
      <c r="Q25" s="1623">
        <f>IF(_EBF3&gt;0,IF(wohnen3,IF(OR(X77="",X77=0),ROUNDUP(Entrées!Q2/90,0),X77),0),0)</f>
        <v>0</v>
      </c>
      <c r="R25" s="1624">
        <f>IF(_EBF4&gt;0,IF(wohnen4,IF(OR(Y77="",Y77=0),ROUNDUP(Entrées!R2/90,0),Y77),0),0)</f>
        <v>0</v>
      </c>
      <c r="S25" s="1481">
        <f>SUM(O25:R25)</f>
        <v>0</v>
      </c>
      <c r="U25" s="1149" t="s">
        <v>2199</v>
      </c>
      <c r="V25" s="1140">
        <f>IF(V18&gt;0,_qhs1/3.6,)</f>
        <v>0</v>
      </c>
      <c r="W25" s="1140">
        <f>IF(W18&gt;0,IF(Zonen&gt;1,_qhs2/3.6,0),)</f>
        <v>0</v>
      </c>
      <c r="X25" s="1140">
        <f>IF(X18&gt;0,IF(Zonen&gt;2,_qhs3/3.6,0),)</f>
        <v>0</v>
      </c>
      <c r="Y25" s="1140">
        <f>IF(Y18&gt;0,IF(Zonen&gt;3,_qhs4/3.6,0),)</f>
        <v>0</v>
      </c>
      <c r="Z25" s="1150">
        <f>IF(Z14&gt;0,(V25*V14+W25*W14+X25*X14+Y25*Y14)/Z14,)</f>
        <v>0</v>
      </c>
      <c r="AA25" s="5" t="s">
        <v>524</v>
      </c>
      <c r="AC25" s="1611" t="s">
        <v>3038</v>
      </c>
      <c r="AH25" s="1612">
        <v>0.3</v>
      </c>
    </row>
    <row r="26" spans="1:35" ht="22.15" customHeight="1">
      <c r="A26" s="1518" t="s">
        <v>3077</v>
      </c>
      <c r="B26" s="2715" t="str">
        <f>Uebersetzung!D522</f>
        <v>Hauteur du bâtiment</v>
      </c>
      <c r="C26" s="2716"/>
      <c r="D26" s="1672"/>
      <c r="E26" s="1081" t="s">
        <v>1496</v>
      </c>
      <c r="F26" s="1671">
        <f>Z36</f>
        <v>0</v>
      </c>
      <c r="G26" s="1671">
        <f>Z36</f>
        <v>0</v>
      </c>
      <c r="H26" s="1671">
        <f>Z36</f>
        <v>0</v>
      </c>
      <c r="I26" s="1671">
        <f>Z36</f>
        <v>0</v>
      </c>
      <c r="J26" s="1084"/>
      <c r="K26" s="1628"/>
      <c r="N26" s="1618" t="s">
        <v>1826</v>
      </c>
      <c r="O26" s="2532">
        <f>IF(wohnen1,IF(_neu1,0.85,1),0)</f>
        <v>0</v>
      </c>
      <c r="P26" s="2532">
        <f>IF(wohnen2,IF(_neu2,0.85,1),0)</f>
        <v>0</v>
      </c>
      <c r="Q26" s="2532">
        <f>IF(wohnen3,IF(_neu3,0.85,1),0)</f>
        <v>0</v>
      </c>
      <c r="R26" s="2532">
        <f>IF(wohnen4,IF(_neu4,0.85,1),0)</f>
        <v>0</v>
      </c>
      <c r="S26" s="1139">
        <f>IF(S30&gt;0,(O26*O30+P26*P30+Q26*Q30+R26*R30)/S30,0)</f>
        <v>0</v>
      </c>
    </row>
    <row r="27" spans="1:35" ht="20.100000000000001" hidden="1" customHeight="1">
      <c r="A27" s="1518"/>
      <c r="B27" s="9"/>
      <c r="C27" s="9"/>
      <c r="D27" s="157"/>
      <c r="E27" s="157"/>
      <c r="F27" s="1132"/>
      <c r="G27" s="1132"/>
      <c r="H27" s="1132"/>
      <c r="I27" s="1132"/>
      <c r="J27" s="1098"/>
      <c r="K27" s="1131"/>
    </row>
    <row r="28" spans="1:35" ht="20.100000000000001" hidden="1" customHeight="1">
      <c r="A28" s="1518"/>
      <c r="B28" s="9"/>
      <c r="C28" s="9"/>
      <c r="D28" s="157"/>
      <c r="E28" s="157"/>
      <c r="F28" s="9"/>
      <c r="G28" s="9"/>
      <c r="H28" s="9"/>
      <c r="I28" s="9"/>
      <c r="J28" s="1098"/>
      <c r="K28" s="1131"/>
    </row>
    <row r="29" spans="1:35" ht="6" customHeight="1">
      <c r="A29" s="1519"/>
      <c r="B29" s="456"/>
      <c r="C29" s="456"/>
      <c r="D29" s="456"/>
      <c r="E29" s="456"/>
      <c r="F29" s="155"/>
      <c r="G29" s="155"/>
      <c r="H29" s="155"/>
      <c r="I29" s="155"/>
      <c r="J29" s="456"/>
      <c r="K29" s="456"/>
      <c r="M29" s="456"/>
    </row>
    <row r="30" spans="1:35" ht="28.15" customHeight="1">
      <c r="B30" s="2712" t="str">
        <f>Uebersetzung!D364</f>
        <v>Electricité</v>
      </c>
      <c r="C30" s="2713"/>
      <c r="D30" s="412"/>
      <c r="E30" s="412"/>
      <c r="F30" s="412"/>
      <c r="G30" s="412"/>
      <c r="H30" s="412"/>
      <c r="I30" s="412"/>
      <c r="J30" s="918"/>
      <c r="K30" s="1005"/>
      <c r="N30" s="1141" t="s">
        <v>1830</v>
      </c>
      <c r="O30" s="1118">
        <f>IF(wohnen1,F23,0)</f>
        <v>0</v>
      </c>
      <c r="P30" s="1118">
        <f>IF(wohnen2,G23,0)</f>
        <v>0</v>
      </c>
      <c r="Q30" s="1118">
        <f>IF(wohnen3,H23,0)</f>
        <v>0</v>
      </c>
      <c r="R30" s="1118">
        <f>IF(wohnen4,I23,0)</f>
        <v>0</v>
      </c>
      <c r="S30" s="1111">
        <f>SUM(O30:R30)</f>
        <v>0</v>
      </c>
      <c r="T30" s="143" t="s">
        <v>321</v>
      </c>
      <c r="U30" s="298" t="s">
        <v>1862</v>
      </c>
      <c r="W30" s="1411"/>
      <c r="AC30" s="1402" t="s">
        <v>3758</v>
      </c>
    </row>
    <row r="31" spans="1:35" ht="5.25" hidden="1" customHeight="1">
      <c r="B31" s="10"/>
      <c r="C31" s="17"/>
      <c r="D31" s="14"/>
      <c r="E31" s="14"/>
      <c r="F31" s="11"/>
      <c r="G31" s="11"/>
      <c r="H31" s="15"/>
      <c r="I31" s="16"/>
      <c r="J31" s="17"/>
      <c r="K31" s="18"/>
      <c r="N31" s="1142" t="s">
        <v>1829</v>
      </c>
      <c r="O31" s="1118" t="b">
        <f>IF(AND(Kategorie1&lt;4,Kategorie1&gt;1),TRUE,FALSE)</f>
        <v>0</v>
      </c>
      <c r="P31" s="1118" t="b">
        <f>IF(AND(Kategorie2&lt;4,Kategorie2&gt;1),TRUE,FALSE)</f>
        <v>0</v>
      </c>
      <c r="Q31" s="1118" t="b">
        <f>IF(AND(Kategorie3&lt;4,Kategorie3&gt;1),TRUE,FALSE)</f>
        <v>0</v>
      </c>
      <c r="R31" s="1118" t="b">
        <f>IF(AND(Kategorie4&lt;4,Kategorie4&gt;1),TRUE,FALSE)</f>
        <v>0</v>
      </c>
      <c r="S31" s="957">
        <f>SUM(O31:R31)</f>
        <v>0</v>
      </c>
      <c r="T31" s="143"/>
      <c r="U31" s="143"/>
    </row>
    <row r="32" spans="1:35" ht="22.15" customHeight="1">
      <c r="B32" s="975" t="str">
        <f>Uebersetzung!D365</f>
        <v xml:space="preserve">Données concernant l'utilisation du logement: </v>
      </c>
      <c r="C32" s="769"/>
      <c r="D32" s="14"/>
      <c r="E32" s="414" t="str">
        <f>B14</f>
        <v>Zone</v>
      </c>
      <c r="F32" s="180">
        <v>1</v>
      </c>
      <c r="G32" s="180">
        <v>2</v>
      </c>
      <c r="H32" s="180">
        <v>3</v>
      </c>
      <c r="I32" s="180">
        <v>4</v>
      </c>
      <c r="J32" s="19"/>
      <c r="K32" s="20" t="str">
        <f>K15</f>
        <v>(moyenne)</v>
      </c>
      <c r="N32" s="1143" t="s">
        <v>1833</v>
      </c>
      <c r="O32" s="1126">
        <f>O30*0.8</f>
        <v>0</v>
      </c>
      <c r="P32" s="1126">
        <f>P30*0.8</f>
        <v>0</v>
      </c>
      <c r="Q32" s="1126">
        <f>Q30*0.8</f>
        <v>0</v>
      </c>
      <c r="R32" s="1126">
        <f>R30*0.8</f>
        <v>0</v>
      </c>
      <c r="S32" s="962">
        <f>SUM(O32:R32)</f>
        <v>0</v>
      </c>
      <c r="T32" s="143" t="s">
        <v>321</v>
      </c>
      <c r="U32" s="1117" t="s">
        <v>1815</v>
      </c>
      <c r="V32" s="1124">
        <v>1</v>
      </c>
      <c r="W32" s="1118">
        <v>2</v>
      </c>
      <c r="X32" s="1118">
        <v>3</v>
      </c>
      <c r="Y32" s="379">
        <v>4</v>
      </c>
      <c r="Z32" s="379" t="s">
        <v>1824</v>
      </c>
      <c r="AC32" s="1418" t="s">
        <v>3757</v>
      </c>
      <c r="AD32" s="1429">
        <f>IF(Zonen&gt;0,Justificatif!G34,0)</f>
        <v>0</v>
      </c>
      <c r="AE32" s="1430">
        <f>IF(Zonen&gt;1,Justificatif!H34,0)</f>
        <v>0</v>
      </c>
      <c r="AF32" s="1430">
        <f>IF(Zonen&gt;2,Justificatif!I34,0)</f>
        <v>0</v>
      </c>
      <c r="AG32" s="1430">
        <f>IF(Zonen&gt;3,Justificatif!J34,0)</f>
        <v>0</v>
      </c>
      <c r="AH32" s="1428">
        <f>IF($AH$14&gt;0,(AD32*$AD$14+AE32*$AE$14+AF32*$AF$14+AG32*$AG$14)/$AH$14,)</f>
        <v>0</v>
      </c>
      <c r="AI32" s="5" t="s">
        <v>524</v>
      </c>
    </row>
    <row r="33" spans="1:36" ht="22.15" customHeight="1">
      <c r="A33" s="1518" t="s">
        <v>2827</v>
      </c>
      <c r="B33" s="2622" t="str">
        <f>Uebersetzung!D366</f>
        <v>Ascenseur / élévateur disponible sur place?</v>
      </c>
      <c r="C33" s="2623"/>
      <c r="D33" s="201"/>
      <c r="E33" s="202"/>
      <c r="F33" s="1102"/>
      <c r="G33" s="1102"/>
      <c r="H33" s="1102"/>
      <c r="I33" s="1102"/>
      <c r="J33" s="181"/>
      <c r="K33" s="857"/>
      <c r="L33" s="298" t="s">
        <v>199</v>
      </c>
      <c r="N33" s="1142" t="s">
        <v>1831</v>
      </c>
      <c r="O33" s="1118">
        <f>IF(AND(bern,Kategorie1&lt;&gt;2),0,IF(AND(wohnen1,OR(F33=$N$12,F33=$N$11,AND(bern,_neu1,Kategorie1=2))),O25*100,0))</f>
        <v>0</v>
      </c>
      <c r="P33" s="1118">
        <f>IF(AND(bern,Kategorie2&lt;&gt;2),0,IF(AND(wohnen2,OR(G33=$N$12,G33=$N$11,AND(bern,_neu2,Kategorie2=2))),P25*100,0))</f>
        <v>0</v>
      </c>
      <c r="Q33" s="1118">
        <f>IF(AND(bern,Kategorie3&lt;&gt;2),0,IF(AND(wohnen3,OR(H33=$N$12,H33=$N$11,AND(bern,_neu3,Kategorie3=2))),Q25*100,0))</f>
        <v>0</v>
      </c>
      <c r="R33" s="1118">
        <f>IF(AND(bern,Kategorie4&lt;&gt;2),0,IF(AND(wohnen4,OR(I33=$N$12,I33=$N$11,AND(bern,_neu4,Kategorie4=2))),R25*100,0))</f>
        <v>0</v>
      </c>
      <c r="S33" s="957">
        <f>SUM(O33:R33)</f>
        <v>0</v>
      </c>
      <c r="T33" s="143" t="s">
        <v>672</v>
      </c>
      <c r="U33" s="1143" t="s">
        <v>3529</v>
      </c>
      <c r="V33" s="1126">
        <f>IF(Kategorie1&lt;13,Entrées!O2,0)</f>
        <v>0</v>
      </c>
      <c r="W33" s="1126">
        <f>IF(Kategorie2&lt;13,Entrées!P2,0)</f>
        <v>0</v>
      </c>
      <c r="X33" s="1126">
        <f>IF(Kategorie3&lt;13,Entrées!Q2,0)</f>
        <v>0</v>
      </c>
      <c r="Y33" s="1126">
        <f>IF(Kategorie4&lt;13,Entrées!R2,0)</f>
        <v>0</v>
      </c>
      <c r="Z33" s="962">
        <f>SUM(V33:Y33)</f>
        <v>0</v>
      </c>
      <c r="AC33" s="1419" t="s">
        <v>3046</v>
      </c>
      <c r="AD33" s="1109">
        <f>Justificatif!$AN$43</f>
        <v>1</v>
      </c>
      <c r="AE33" s="1106">
        <f>Justificatif!$AN$43</f>
        <v>1</v>
      </c>
      <c r="AF33" s="1106">
        <f>Justificatif!$AN$43</f>
        <v>1</v>
      </c>
      <c r="AG33" s="1106">
        <f>Justificatif!$AN$43</f>
        <v>1</v>
      </c>
      <c r="AH33" s="1424">
        <f>Justificatif!$AN$43</f>
        <v>1</v>
      </c>
    </row>
    <row r="34" spans="1:36" ht="22.15" customHeight="1">
      <c r="A34" s="1518" t="s">
        <v>2828</v>
      </c>
      <c r="B34" s="2626" t="str">
        <f>Uebersetzung!D367</f>
        <v>Tous les lave-vaiselle min. classe C</v>
      </c>
      <c r="C34" s="2627"/>
      <c r="D34" s="199"/>
      <c r="E34" s="194"/>
      <c r="F34" s="1102"/>
      <c r="G34" s="1102"/>
      <c r="H34" s="1102"/>
      <c r="I34" s="1102"/>
      <c r="J34" s="184"/>
      <c r="K34" s="223"/>
      <c r="L34" s="298" t="s">
        <v>199</v>
      </c>
      <c r="N34" s="1141" t="s">
        <v>1827</v>
      </c>
      <c r="O34" s="1380">
        <f>IF(F34=$N$12,IF(_neu1,Standardwerte!$X87,Standardwerte!$Y87),0)</f>
        <v>0</v>
      </c>
      <c r="P34" s="1144">
        <f>IF(G34=$N$12,IF(_neu2,Standardwerte!$X87,Standardwerte!$Y87),0)</f>
        <v>0</v>
      </c>
      <c r="Q34" s="1144">
        <f>IF(H34=$N$12,IF(_neu3,Standardwerte!$X87,Standardwerte!$Y87),0)</f>
        <v>0</v>
      </c>
      <c r="R34" s="1381">
        <f>IF(I34=$N$12,IF(_neu4,Standardwerte!$X87,Standardwerte!$Y87),0)</f>
        <v>0</v>
      </c>
      <c r="S34" s="1334"/>
      <c r="T34" s="143"/>
      <c r="U34" s="1201" t="s">
        <v>1868</v>
      </c>
      <c r="V34" s="1198">
        <f>IF(V81,V86,IF(minergiea,INDEX(Standardwerte!$AI$71:$AI$83,Kategorie1,1),IF(minergiep,IF(_neu1,INDEX(Standardwerte!$Z$71:$Z$83,Kategorie1,1),INDEX(Standardwerte!$AA$71:$AA$83,Kategorie1,1)),IF(_neu1,INDEX(Standardwerte!$X$71:$X$83,Kategorie1,1),INDEX(Standardwerte!$Y$71:$Y$83,Kategorie1,1)))))</f>
        <v>0</v>
      </c>
      <c r="W34" s="1198">
        <f>IF(W81,W86,IF(minergiea,INDEX(Standardwerte!$AI$71:$AI$83,Kategorie2,1),IF(minergiep,IF(_neu2,INDEX(Standardwerte!$Z$71:$Z$83,Kategorie2,1),INDEX(Standardwerte!$AA$71:$AA$83,Kategorie2,1)),IF(_neu2,INDEX(Standardwerte!$X$71:$X$83,Kategorie2,1),INDEX(Standardwerte!$Y$71:$Y$83,Kategorie2,1)))))</f>
        <v>0</v>
      </c>
      <c r="X34" s="1198">
        <f>IF(X81,X86,IF(minergiea,INDEX(Standardwerte!$AI$71:$AI$83,Kategorie3,1),IF(minergiep,IF(_neu3,INDEX(Standardwerte!$Z$71:$Z$83,Kategorie3,1),INDEX(Standardwerte!$AA$71:$AA$83,Kategorie3,1)),IF(_neu3,INDEX(Standardwerte!$X$71:$X$83,Kategorie3,1),INDEX(Standardwerte!$Y$71:$Y$83,Kategorie3,1)))))</f>
        <v>0</v>
      </c>
      <c r="Y34" s="1198">
        <f>IF(Y81,Y86,IF(minergiea,INDEX(Standardwerte!$AI$71:$AI$83,Kategorie4,1),IF(minergiep,IF(_neu4,INDEX(Standardwerte!$Z$71:$Z$83,Kategorie4,1),INDEX(Standardwerte!$AA$71:$AA$83,Kategorie4,1)),IF(_neu4,INDEX(Standardwerte!$X$71:$X$83,Kategorie4,1),INDEX(Standardwerte!$Y$71:$Y$83,Kategorie4,1)))))</f>
        <v>0</v>
      </c>
      <c r="Z34" s="1673">
        <f>IF(EBF=0,0,(V34*_EBF1+W34*_EBF2+X34*_EBF3+Y34*_EBF4)/(_EBF1+_EBF2+_EBF3+_EBF4))</f>
        <v>0</v>
      </c>
      <c r="AA34" s="5" t="s">
        <v>524</v>
      </c>
      <c r="AC34" s="1423" t="s">
        <v>3046</v>
      </c>
      <c r="AD34" s="1382">
        <f>IF($AH$14&gt;0,MIN(AD32,AD15)*AD14*AD33/$AH$14,)</f>
        <v>0</v>
      </c>
      <c r="AE34" s="1383">
        <f>IF($AH$14&gt;0,MIN(AE32,AE15)*AE14*AE33/$AH$14,)</f>
        <v>0</v>
      </c>
      <c r="AF34" s="1383">
        <f>IF($AH$14&gt;0,MIN(AF32,AF15)*AF14*AF33/$AH$14,)</f>
        <v>0</v>
      </c>
      <c r="AG34" s="1383">
        <f>IF($AH$14&gt;0,MIN(AG32,AG15)*AG14*AG33/$AH$14,)</f>
        <v>0</v>
      </c>
      <c r="AH34" s="1416">
        <f>SUM(AD34:AG34)</f>
        <v>0</v>
      </c>
      <c r="AI34" s="5" t="s">
        <v>524</v>
      </c>
    </row>
    <row r="35" spans="1:36" ht="22.15" customHeight="1">
      <c r="A35" s="1518" t="s">
        <v>2829</v>
      </c>
      <c r="B35" s="2736" t="str">
        <f>Uebersetzung!D368</f>
        <v>Tous les réfrigérateurs min. classe D</v>
      </c>
      <c r="C35" s="2737"/>
      <c r="D35" s="194"/>
      <c r="E35" s="194"/>
      <c r="F35" s="1102"/>
      <c r="G35" s="1102"/>
      <c r="H35" s="1102"/>
      <c r="I35" s="1102"/>
      <c r="J35" s="182"/>
      <c r="K35" s="186"/>
      <c r="N35" s="1142" t="s">
        <v>1828</v>
      </c>
      <c r="O35" s="1109">
        <f>IF(F35=$N$12,IF(_neu1,Standardwerte!$X88,Standardwerte!$Y88),0)</f>
        <v>0</v>
      </c>
      <c r="P35" s="1106">
        <f>IF(G35=$N$12,IF(_neu2,Standardwerte!$X88,Standardwerte!$Y88),0)</f>
        <v>0</v>
      </c>
      <c r="Q35" s="1106">
        <f>IF(H35=$N$12,IF(_neu3,Standardwerte!$X88,Standardwerte!$Y88),0)</f>
        <v>0</v>
      </c>
      <c r="R35" s="1127">
        <f>IF(I35=$N$12,IF(_neu4,Standardwerte!$X88,Standardwerte!$Y88),0)</f>
        <v>0</v>
      </c>
      <c r="S35" s="1120"/>
      <c r="U35" s="1202" t="s">
        <v>1867</v>
      </c>
      <c r="V35" s="1188">
        <f>IF(V33&gt;0,IF(Klima=1,0,INDEX(Standardwerte!$D$54:$D$94,Standardwerte!$B$51,1)*(IF(_neu1,1,2))),0)</f>
        <v>0</v>
      </c>
      <c r="W35" s="1188">
        <f>IF(W33&gt;0,IF(Klima=1,0,INDEX(Standardwerte!$D$54:$D$94,Standardwerte!$B$51,1)*(IF(_neu2,1,2))),0)</f>
        <v>0</v>
      </c>
      <c r="X35" s="1188">
        <f>IF(X33&gt;0,IF(Klima=1,0,INDEX(Standardwerte!$D$54:$D$94,Standardwerte!$B$51,1)*(IF(_neu3,1,2))),0)</f>
        <v>0</v>
      </c>
      <c r="Y35" s="1188">
        <f>IF(Y33&gt;0,IF(Klima=1,0,INDEX(Standardwerte!$D$54:$D$94,Standardwerte!$B$51,1)*(IF(_neu4,1,2))),0)</f>
        <v>0</v>
      </c>
      <c r="Z35" s="1142"/>
      <c r="AA35" s="5" t="s">
        <v>524</v>
      </c>
      <c r="AC35" s="1419" t="s">
        <v>2496</v>
      </c>
      <c r="AD35" s="1109">
        <f>Justificatif!$AN$44</f>
        <v>1</v>
      </c>
      <c r="AE35" s="1106">
        <f>Justificatif!$AN$44</f>
        <v>1</v>
      </c>
      <c r="AF35" s="1106">
        <f>Justificatif!$AN$44</f>
        <v>1</v>
      </c>
      <c r="AG35" s="1106">
        <f>Justificatif!$AN$44</f>
        <v>1</v>
      </c>
      <c r="AH35" s="1424">
        <f>Justificatif!$AN$44</f>
        <v>1</v>
      </c>
    </row>
    <row r="36" spans="1:36" ht="22.15" customHeight="1">
      <c r="A36" s="1518" t="s">
        <v>2830</v>
      </c>
      <c r="B36" s="2626" t="str">
        <f>Uebersetzung!D369</f>
        <v>Tous les congélateurs min. classe E</v>
      </c>
      <c r="C36" s="2627"/>
      <c r="D36" s="194"/>
      <c r="E36" s="194"/>
      <c r="F36" s="1102"/>
      <c r="G36" s="1102"/>
      <c r="H36" s="1102"/>
      <c r="I36" s="1102"/>
      <c r="J36" s="182"/>
      <c r="K36" s="187"/>
      <c r="N36" s="1142" t="s">
        <v>3956</v>
      </c>
      <c r="O36" s="1109">
        <f>IF(F36=$N$12,IF(_neu1,Standardwerte!$X89,Standardwerte!$Y89),0)</f>
        <v>0</v>
      </c>
      <c r="P36" s="1106">
        <f>IF(G36=$N$12,IF(_neu2,Standardwerte!$X89,Standardwerte!$Y89),0)</f>
        <v>0</v>
      </c>
      <c r="Q36" s="1106">
        <f>IF(H36=$N$12,IF(_neu3,Standardwerte!$X89,Standardwerte!$Y89),0)</f>
        <v>0</v>
      </c>
      <c r="R36" s="1127">
        <f>IF(I36=$N$12,IF(_neu4,Standardwerte!$X89,Standardwerte!$Y89),0)</f>
        <v>0</v>
      </c>
      <c r="S36" s="1120"/>
      <c r="U36" s="1143" t="s">
        <v>3079</v>
      </c>
      <c r="V36" s="1629">
        <f>IF(AND(Kategorie1&gt;1,Kategorie1&lt;10,F26&gt;0),MAX(17-70*2.8/F26,0),0)</f>
        <v>0</v>
      </c>
      <c r="W36" s="1629">
        <f>IF(AND(Kategorie2&gt;1,Kategorie2&lt;10,G26&gt;0),MAX(17-70*2.8/G26,0),0)</f>
        <v>0</v>
      </c>
      <c r="X36" s="1629">
        <f>IF(AND(Kategorie3&gt;1,Kategorie3&lt;10,H26&gt;0),MAX(17-70*2.8/H26,0),0)</f>
        <v>0</v>
      </c>
      <c r="Y36" s="1629">
        <f>IF(AND(Kategorie4&gt;1,Kategorie4&lt;10,I26&gt;0),MAX(17-70*2.8/I26,0),0)</f>
        <v>0</v>
      </c>
      <c r="Z36" s="1674">
        <f>IF(minergiea,0,D26)</f>
        <v>0</v>
      </c>
      <c r="AA36" s="5" t="s">
        <v>3229</v>
      </c>
      <c r="AC36" s="1423" t="s">
        <v>2496</v>
      </c>
      <c r="AD36" s="1417">
        <f>AD18*Justificatif!$AN$44</f>
        <v>0</v>
      </c>
      <c r="AE36" s="1412">
        <f>AE18*Justificatif!$AN$44</f>
        <v>0</v>
      </c>
      <c r="AF36" s="1412">
        <f>AF18*Justificatif!$AN$44</f>
        <v>0</v>
      </c>
      <c r="AG36" s="1412">
        <f>AG18*Justificatif!$AN$44</f>
        <v>0</v>
      </c>
      <c r="AH36" s="1416">
        <f>SUM(AD36:AG36)</f>
        <v>0</v>
      </c>
      <c r="AI36" s="5" t="s">
        <v>524</v>
      </c>
    </row>
    <row r="37" spans="1:36" ht="22.15" customHeight="1">
      <c r="A37" s="1518" t="s">
        <v>2831</v>
      </c>
      <c r="B37" s="2626" t="str">
        <f>Uebersetzung!D370</f>
        <v>Tous les lave-linge min. classe C</v>
      </c>
      <c r="C37" s="2627"/>
      <c r="D37" s="207"/>
      <c r="E37" s="194"/>
      <c r="F37" s="1102"/>
      <c r="G37" s="1102"/>
      <c r="H37" s="1102"/>
      <c r="I37" s="1102"/>
      <c r="J37" s="182"/>
      <c r="K37" s="223"/>
      <c r="N37" s="1142" t="s">
        <v>3957</v>
      </c>
      <c r="O37" s="1109">
        <f>IF(F37=$N$12,IF(_neu1,Standardwerte!$X90,Standardwerte!$Y90),0)</f>
        <v>0</v>
      </c>
      <c r="P37" s="1106">
        <f>IF(G37=$N$12,IF(_neu2,Standardwerte!$X90,Standardwerte!$Y90),0)</f>
        <v>0</v>
      </c>
      <c r="Q37" s="1106">
        <f>IF(H37=$N$12,IF(_neu3,Standardwerte!$X90,Standardwerte!$Y90),0)</f>
        <v>0</v>
      </c>
      <c r="R37" s="1127">
        <f>IF(I37=$N$12,IF(_neu4,Standardwerte!$X90,Standardwerte!$Y90),0)</f>
        <v>0</v>
      </c>
      <c r="S37" s="1120"/>
      <c r="U37" s="1462" t="s">
        <v>1863</v>
      </c>
      <c r="V37" s="1198">
        <f>V34+V35+V36</f>
        <v>0</v>
      </c>
      <c r="W37" s="1198">
        <f>W34+W35+W36</f>
        <v>0</v>
      </c>
      <c r="X37" s="1198">
        <f>X34+X35+X36</f>
        <v>0</v>
      </c>
      <c r="Y37" s="1198">
        <f>Y34+Y35+Y36</f>
        <v>0</v>
      </c>
      <c r="Z37" s="1463">
        <f>IF(EBF=0,0,(V37*_EBF1+W37*_EBF2+X37*_EBF3+Y37*_EBF4)/(_EBF1+_EBF2+_EBF3+_EBF4))</f>
        <v>0</v>
      </c>
      <c r="AA37" s="5" t="s">
        <v>524</v>
      </c>
      <c r="AC37" s="1146" t="s">
        <v>2497</v>
      </c>
      <c r="AD37" s="1122">
        <f>AD36+AD34</f>
        <v>0</v>
      </c>
      <c r="AE37" s="1116">
        <f>AE36+AE34</f>
        <v>0</v>
      </c>
      <c r="AF37" s="1116">
        <f>AF36+AF34</f>
        <v>0</v>
      </c>
      <c r="AG37" s="1123">
        <f>AG36+AG34</f>
        <v>0</v>
      </c>
      <c r="AH37" s="1413">
        <f>SUM(AD37:AG37)</f>
        <v>0</v>
      </c>
      <c r="AI37" s="5" t="s">
        <v>524</v>
      </c>
    </row>
    <row r="38" spans="1:36" ht="22.15" customHeight="1">
      <c r="A38" s="1518" t="s">
        <v>2832</v>
      </c>
      <c r="B38" s="2626" t="str">
        <f>Uebersetzung!D371</f>
        <v>Tous les sèche-linge sont de classe A+++</v>
      </c>
      <c r="C38" s="2627"/>
      <c r="D38" s="194"/>
      <c r="E38" s="194"/>
      <c r="F38" s="1102"/>
      <c r="G38" s="1102"/>
      <c r="H38" s="1102"/>
      <c r="I38" s="1102"/>
      <c r="J38" s="182"/>
      <c r="K38" s="187"/>
      <c r="N38" s="1142" t="s">
        <v>3958</v>
      </c>
      <c r="O38" s="1109">
        <f>IF(F38=$N$12,IF(_neu1,Standardwerte!$X91,Standardwerte!$Y91),0)</f>
        <v>0</v>
      </c>
      <c r="P38" s="1106">
        <f>IF(G38=$N$12,IF(_neu2,Standardwerte!$X91,Standardwerte!$Y91),0)</f>
        <v>0</v>
      </c>
      <c r="Q38" s="1106">
        <f>IF(H38=$N$12,IF(_neu3,Standardwerte!$X91,Standardwerte!$Y91),0)</f>
        <v>0</v>
      </c>
      <c r="R38" s="1127">
        <f>IF(I38=$N$12,IF(_neu4,Standardwerte!$X91,Standardwerte!$Y91),0)</f>
        <v>0</v>
      </c>
      <c r="S38" s="1120"/>
      <c r="U38" s="1700" t="s">
        <v>1864</v>
      </c>
      <c r="V38" s="1198">
        <f>IF(OR(AND(O81,O82=FALSE),AND(O86,O87=FALSE),O90),O95,0)</f>
        <v>0</v>
      </c>
      <c r="W38" s="1198">
        <f>IF(OR(AND(P81,P82=FALSE),AND(P86,P87=FALSE),P90),P95,0)</f>
        <v>0</v>
      </c>
      <c r="X38" s="1198">
        <f>IF(OR(AND(Q81,Q82=FALSE),AND(Q86,Q87=FALSE),Q90),Q95,0)</f>
        <v>0</v>
      </c>
      <c r="Y38" s="1198">
        <f>IF(OR(AND(R81,R82=FALSE),AND(R86,R87=FALSE),R90),R95,0)</f>
        <v>0</v>
      </c>
      <c r="Z38" s="1700"/>
      <c r="AA38" s="5" t="s">
        <v>524</v>
      </c>
      <c r="AC38" s="1611" t="s">
        <v>3038</v>
      </c>
      <c r="AH38" s="1105">
        <f>IF(AH21&gt;0,AH25/AH21*AH37,0)</f>
        <v>0</v>
      </c>
    </row>
    <row r="39" spans="1:36" ht="22.15" customHeight="1">
      <c r="A39" s="1518" t="s">
        <v>1908</v>
      </c>
      <c r="B39" s="2626" t="str">
        <f>Uebersetzung!D372</f>
        <v>Toutes les cuisinières sont à induction</v>
      </c>
      <c r="C39" s="2627"/>
      <c r="D39" s="194"/>
      <c r="E39" s="194"/>
      <c r="F39" s="1102"/>
      <c r="G39" s="1102"/>
      <c r="H39" s="1102"/>
      <c r="I39" s="1102"/>
      <c r="J39" s="182"/>
      <c r="K39" s="187"/>
      <c r="N39" s="1142" t="s">
        <v>3959</v>
      </c>
      <c r="O39" s="1109">
        <f>IF(F39=$N$12,IF(_neu1,Standardwerte!$X92,Standardwerte!$Y92),0)</f>
        <v>0</v>
      </c>
      <c r="P39" s="1106">
        <f>IF(G39=$N$12,IF(_neu2,Standardwerte!$X92,Standardwerte!$Y92),0)</f>
        <v>0</v>
      </c>
      <c r="Q39" s="1106">
        <f>IF(H39=$N$12,IF(_neu3,Standardwerte!$X92,Standardwerte!$Y92),0)</f>
        <v>0</v>
      </c>
      <c r="R39" s="1127">
        <f>IF(I39=$N$12,IF(_neu4,Standardwerte!$X92,Standardwerte!$Y92),0)</f>
        <v>0</v>
      </c>
      <c r="S39" s="1120"/>
      <c r="U39" s="1142"/>
      <c r="Z39" s="1142"/>
    </row>
    <row r="40" spans="1:36" ht="22.15" customHeight="1">
      <c r="A40" s="1518" t="s">
        <v>2833</v>
      </c>
      <c r="B40" s="2626" t="str">
        <f>Uebersetzung!D373</f>
        <v>Eclairage LED au moins C &amp; régulation</v>
      </c>
      <c r="C40" s="2625"/>
      <c r="D40" s="410"/>
      <c r="E40" s="201"/>
      <c r="F40" s="1102"/>
      <c r="G40" s="1102"/>
      <c r="H40" s="1102"/>
      <c r="I40" s="1102"/>
      <c r="J40" s="411"/>
      <c r="K40" s="187"/>
      <c r="L40" s="155"/>
      <c r="N40" s="1142" t="s">
        <v>3960</v>
      </c>
      <c r="O40" s="1109">
        <f>IF(F40=$N$12,IF(_neu1,Standardwerte!$X93,Standardwerte!$Y93),0)</f>
        <v>0</v>
      </c>
      <c r="P40" s="1106">
        <f>IF(G40=$N$12,IF(_neu2,Standardwerte!$X93,Standardwerte!$Y93),0)</f>
        <v>0</v>
      </c>
      <c r="Q40" s="1106">
        <f>IF(H40=$N$12,IF(_neu3,Standardwerte!$X93,Standardwerte!$Y93),0)</f>
        <v>0</v>
      </c>
      <c r="R40" s="1127">
        <f>IF(I40=$N$12,IF(_neu4,Standardwerte!$X93,Standardwerte!$Y93),0)</f>
        <v>0</v>
      </c>
      <c r="S40" s="1120"/>
      <c r="U40" s="1143" t="s">
        <v>1865</v>
      </c>
      <c r="V40" s="1156">
        <f>IF(OR(AND(O81,O82=FALSE),AND(O86,O87=FALSE),O90),O92,0)</f>
        <v>0</v>
      </c>
      <c r="W40" s="1156">
        <f>IF(OR(AND(P81,P82=FALSE),AND(P86,P87=FALSE),P90),P92,0)</f>
        <v>0</v>
      </c>
      <c r="X40" s="1156">
        <f>IF(OR(AND(Q81,Q82=FALSE),AND(Q86,Q87=FALSE),Q90),Q92,0)</f>
        <v>0</v>
      </c>
      <c r="Y40" s="1156">
        <f>IF(OR(AND(R81,R82=FALSE),AND(R86,R87=FALSE),R90),R92,0)</f>
        <v>0</v>
      </c>
      <c r="Z40" s="1143"/>
      <c r="AA40" s="5" t="s">
        <v>524</v>
      </c>
    </row>
    <row r="41" spans="1:36" ht="22.15" customHeight="1">
      <c r="A41" s="1518" t="s">
        <v>2834</v>
      </c>
      <c r="B41" s="2715" t="str">
        <f>Uebersetzung!D391</f>
        <v>Appareils efficaces pour l’exploitation du bâtiment</v>
      </c>
      <c r="C41" s="2772"/>
      <c r="D41" s="410"/>
      <c r="E41" s="201"/>
      <c r="F41" s="1102"/>
      <c r="G41" s="1102"/>
      <c r="H41" s="1102"/>
      <c r="I41" s="1102"/>
      <c r="J41" s="411"/>
      <c r="K41" s="187"/>
      <c r="L41" s="155"/>
      <c r="N41" s="1143" t="s">
        <v>2209</v>
      </c>
      <c r="O41" s="1110">
        <f>IF(F41=$N$12,IF(_neu1,Standardwerte!$X94,Standardwerte!$Y94),0)</f>
        <v>0</v>
      </c>
      <c r="P41" s="1128">
        <f>IF(G41=$N$12,IF(_neu2,Standardwerte!$X94,Standardwerte!$Y94),0)</f>
        <v>0</v>
      </c>
      <c r="Q41" s="1128">
        <f>IF(H41=$N$12,IF(_neu3,Standardwerte!$X94,Standardwerte!$Y94),0)</f>
        <v>0</v>
      </c>
      <c r="R41" s="1129">
        <f>IF(I41=$N$12,IF(_neu4,Standardwerte!$X94,Standardwerte!$Y94),0)</f>
        <v>0</v>
      </c>
      <c r="S41" s="603"/>
      <c r="U41" s="751" t="s">
        <v>3941</v>
      </c>
      <c r="V41" s="1459">
        <f>Standardwerte!J107</f>
        <v>0</v>
      </c>
      <c r="W41" s="1140">
        <f>Standardwerte!K107</f>
        <v>0</v>
      </c>
      <c r="X41" s="1140">
        <f>Standardwerte!L107</f>
        <v>0</v>
      </c>
      <c r="Y41" s="1337">
        <f>Standardwerte!M107</f>
        <v>0</v>
      </c>
      <c r="Z41" s="1463">
        <f>IF(EBF=0,0,(V41*_EBF1+W41*_EBF2+X41*_EBF3+Y41*_EBF4)/(_EBF1+_EBF2+_EBF3+_EBF4))</f>
        <v>0</v>
      </c>
      <c r="AA41" s="5" t="s">
        <v>524</v>
      </c>
      <c r="AB41" s="5" t="s">
        <v>3942</v>
      </c>
    </row>
    <row r="42" spans="1:36" ht="20.100000000000001" hidden="1" customHeight="1">
      <c r="A42" s="1518"/>
      <c r="B42" s="1089"/>
      <c r="C42" s="14"/>
      <c r="D42" s="1096"/>
      <c r="E42" s="157"/>
      <c r="F42" s="1097"/>
      <c r="G42" s="1097"/>
      <c r="H42" s="1097"/>
      <c r="I42" s="1097"/>
      <c r="J42" s="1098"/>
      <c r="K42" s="1099"/>
      <c r="L42" s="155"/>
      <c r="N42" s="1142"/>
      <c r="O42" s="1106">
        <f>IF(F42=$N$12,IF(_neu1,Standardwerte!$X95,Standardwerte!$Y95),0)</f>
        <v>0</v>
      </c>
    </row>
    <row r="43" spans="1:36" ht="24" customHeight="1">
      <c r="A43" s="1518" t="s">
        <v>1895</v>
      </c>
      <c r="B43" s="2641" t="str">
        <f>Uebersetzung!D374</f>
        <v>Autres utilisations: données concernant l'éclairage</v>
      </c>
      <c r="C43" s="2642"/>
      <c r="D43" s="2642"/>
      <c r="E43" s="918" t="str">
        <f>IF(OR(F30&lt;&gt;"",G30&lt;&gt;"",H30&lt;&gt;""),Uebersetzung!D116,"")</f>
        <v/>
      </c>
      <c r="F43" s="416"/>
      <c r="G43" s="416"/>
      <c r="H43" s="416"/>
      <c r="I43" s="416"/>
      <c r="J43" s="416"/>
      <c r="K43" s="413"/>
      <c r="L43" s="155"/>
      <c r="N43" s="1142" t="s">
        <v>691</v>
      </c>
      <c r="O43" s="1130">
        <f>IF(bern,0,IF(wohnen1,MIN(SUM(O34:O42),IF(_neu1,Standardwerte!$X$95,Standardwerte!$Y$95)),0))</f>
        <v>0</v>
      </c>
      <c r="P43" s="1130">
        <f>IF(bern,0,IF(wohnen2,MIN(SUM(P34:P42),IF(_neu2,Standardwerte!$X$95,Standardwerte!$Y$95)),0))</f>
        <v>0</v>
      </c>
      <c r="Q43" s="1130">
        <f>IF(bern,0,IF(wohnen3,MIN(SUM(Q34:Q42),IF(_neu3,Standardwerte!$X$95,Standardwerte!$Y$95)),0))</f>
        <v>0</v>
      </c>
      <c r="R43" s="1130">
        <f>IF(bern,0,IF(wohnen4,MIN(SUM(R34:R42),IF(_neu4,Standardwerte!$X$95,Standardwerte!$Y$95)),0))</f>
        <v>0</v>
      </c>
      <c r="S43" s="1105">
        <f>IF(S30&gt;0,(O43*O30+P43*P30+Q43*Q30+R43*R30)/S30,0)</f>
        <v>0</v>
      </c>
      <c r="U43" s="1145" t="s">
        <v>1866</v>
      </c>
      <c r="V43" s="1857">
        <f>V37+(-IF(O96,0,V38)+V40)*2-V41</f>
        <v>0</v>
      </c>
      <c r="W43" s="1858">
        <f>W37+(-IF(P96,0,W38)+W40)*2-W41</f>
        <v>0</v>
      </c>
      <c r="X43" s="1858">
        <f>X37+(-IF(Q96,0,X38)+X40)*2-X41</f>
        <v>0</v>
      </c>
      <c r="Y43" s="1859">
        <f>Y37+(-IF(R96,0,Y38)+Y40)*2-Y41</f>
        <v>0</v>
      </c>
      <c r="Z43" s="1148">
        <f>IF(Z33&gt;0,(V43*V33+W43*W33+X43*X33+Y43*Y33)/Z33,0)</f>
        <v>0</v>
      </c>
      <c r="AA43" s="5" t="s">
        <v>524</v>
      </c>
    </row>
    <row r="44" spans="1:36" ht="22.15" customHeight="1">
      <c r="A44" s="1518" t="s">
        <v>1896</v>
      </c>
      <c r="B44" s="2779" t="str">
        <f>Uebersetzung!D412</f>
        <v>Eclairage: rénovation complète?</v>
      </c>
      <c r="C44" s="2780"/>
      <c r="D44" s="268"/>
      <c r="E44" s="268"/>
      <c r="F44" s="1662"/>
      <c r="G44" s="1662"/>
      <c r="H44" s="1662"/>
      <c r="I44" s="1662"/>
      <c r="J44" s="269"/>
      <c r="K44" s="859"/>
      <c r="L44" s="155"/>
      <c r="N44" s="1149" t="s">
        <v>1835</v>
      </c>
      <c r="O44" s="1140">
        <f>IF(AND(_EBF1&gt;0,wohnen1),IF(_EBF1/MAX(O25,1)&lt;70,V92,IF(_EBF1/MAX(O25,1)&gt;125,V91,(O26*(O25*800+O32*20)*(1-O43)+O33)/_EBF1*2)),0)</f>
        <v>0</v>
      </c>
      <c r="P44" s="1140">
        <f>IF(AND(_EBF2&gt;0,wohnen2),IF(_EBF2/MAX(P25,1)&lt;70,W92,IF(_EBF2/MAX(P25,1)&gt;125,W91,(P26*(P25*800+P32*20)*(1-P43)+P33)/_EBF2*2)),0)</f>
        <v>0</v>
      </c>
      <c r="Q44" s="1140">
        <f>IF(AND(_EBF3&gt;0,wohnen3),IF(_EBF3/MAX(Q25,1)&lt;70,X92,IF(_EBF3/MAX(Q25,1)&gt;125,X91,(Q26*(Q25*800+Q32*20)*(1-Q43)+Q33)/_EBF3*2)),0)</f>
        <v>0</v>
      </c>
      <c r="R44" s="1140">
        <f>IF(AND(_EBF4&gt;0,wohnen4),IF(_EBF4/MAX(R25,1)&lt;70,Y92,IF(_EBF4/MAX(R25,1)&gt;125,Y91,(R26*(R25*800+R32*20)*(1-R43)+R33)/_EBF4*2)),0)</f>
        <v>0</v>
      </c>
      <c r="S44" s="1150">
        <f>IF(S30=0,0,(O44*O30+P44*P30+Q44*Q30+R44*R30)/(_EBF1+_EBF2+_EBF3+_EBF4))+IF(S30&gt;0,O109*J118*2/(_EBF1+_EBF2+_EBF3+_EBF4))</f>
        <v>0</v>
      </c>
      <c r="T44" s="5" t="s">
        <v>524</v>
      </c>
      <c r="U44" s="298" t="s">
        <v>2598</v>
      </c>
      <c r="V44" s="143"/>
      <c r="W44" s="143"/>
      <c r="X44" s="143"/>
      <c r="Y44" s="143"/>
      <c r="Z44" s="143"/>
      <c r="AA44" s="143"/>
    </row>
    <row r="45" spans="1:36" ht="22.15" customHeight="1">
      <c r="A45" s="1518" t="s">
        <v>1897</v>
      </c>
      <c r="B45" s="2626" t="str">
        <f>IF(S47,Uebersetzung!D528,"")</f>
        <v/>
      </c>
      <c r="C45" s="2627"/>
      <c r="D45" s="247"/>
      <c r="E45" s="185"/>
      <c r="F45" s="1004"/>
      <c r="G45" s="1004"/>
      <c r="H45" s="1004"/>
      <c r="I45" s="1004"/>
      <c r="J45" s="184"/>
      <c r="K45" s="857"/>
      <c r="L45" s="155"/>
      <c r="N45" s="298" t="s">
        <v>2587</v>
      </c>
      <c r="O45" s="593"/>
      <c r="P45" s="593"/>
      <c r="Q45" s="593"/>
      <c r="R45" s="593"/>
      <c r="S45" s="593"/>
      <c r="T45" s="593"/>
      <c r="U45" s="1117" t="s">
        <v>1815</v>
      </c>
      <c r="V45" s="1442">
        <v>1</v>
      </c>
      <c r="W45" s="1118">
        <v>2</v>
      </c>
      <c r="X45" s="1118">
        <v>3</v>
      </c>
      <c r="Y45" s="1443">
        <v>4</v>
      </c>
      <c r="Z45" s="1443" t="s">
        <v>1824</v>
      </c>
      <c r="AA45" s="143"/>
    </row>
    <row r="46" spans="1:36" ht="22.15" customHeight="1">
      <c r="A46" s="1518" t="s">
        <v>1898</v>
      </c>
      <c r="B46" s="2775" t="str">
        <f>Uebersetzung!D377</f>
        <v>Luminaires: module Minergie ou classe A+</v>
      </c>
      <c r="C46" s="2776"/>
      <c r="D46" s="268"/>
      <c r="E46" s="268"/>
      <c r="F46" s="1154"/>
      <c r="G46" s="1154"/>
      <c r="H46" s="1154"/>
      <c r="I46" s="1154"/>
      <c r="J46" s="269"/>
      <c r="K46" s="859"/>
      <c r="L46" s="155"/>
      <c r="N46" s="751" t="s">
        <v>1815</v>
      </c>
      <c r="O46" s="717">
        <v>1</v>
      </c>
      <c r="P46" s="781">
        <v>2</v>
      </c>
      <c r="Q46" s="781">
        <v>3</v>
      </c>
      <c r="R46" s="1108">
        <v>4</v>
      </c>
      <c r="S46" s="1108" t="s">
        <v>1824</v>
      </c>
      <c r="T46" s="593"/>
      <c r="U46" s="1111" t="s">
        <v>2599</v>
      </c>
      <c r="V46" s="1198">
        <f>Justificatif!G43</f>
        <v>0</v>
      </c>
      <c r="W46" s="1198">
        <f>Justificatif!H43</f>
        <v>0</v>
      </c>
      <c r="X46" s="1198">
        <f>Justificatif!I43</f>
        <v>0</v>
      </c>
      <c r="Y46" s="1198">
        <f>Justificatif!J43</f>
        <v>0</v>
      </c>
      <c r="Z46" s="1473">
        <f>IF(EBF&gt;0,(V46*_EBF1+W46*_EBF2+X46*_EBF3+Y46*_EBF4)/(_EBF1+_EBF2+_EBF3+_EBF4),0)</f>
        <v>0</v>
      </c>
      <c r="AA46" s="143"/>
    </row>
    <row r="47" spans="1:36" ht="22.15" customHeight="1">
      <c r="A47" s="1518" t="s">
        <v>1902</v>
      </c>
      <c r="B47" s="2777" t="str">
        <f>Uebersetzung!D378</f>
        <v>Commande d'éclairage de classe A++</v>
      </c>
      <c r="C47" s="2778"/>
      <c r="D47" s="203"/>
      <c r="E47" s="194"/>
      <c r="F47" s="1425"/>
      <c r="G47" s="1425"/>
      <c r="H47" s="1425"/>
      <c r="I47" s="1425"/>
      <c r="J47" s="411"/>
      <c r="K47" s="991"/>
      <c r="L47" s="5"/>
      <c r="N47" s="1447" t="s">
        <v>2565</v>
      </c>
      <c r="O47" s="593" t="b">
        <f>IF(Kategorie1&gt;3,TRUE,FALSE)</f>
        <v>0</v>
      </c>
      <c r="P47" s="593" t="b">
        <f>IF(Kategorie2&gt;3,TRUE,FALSE)</f>
        <v>0</v>
      </c>
      <c r="Q47" s="593" t="b">
        <f>IF(Kategorie3&gt;3,TRUE,FALSE)</f>
        <v>0</v>
      </c>
      <c r="R47" s="593" t="b">
        <f>IF(Kategorie4&gt;3,TRUE,FALSE)</f>
        <v>0</v>
      </c>
      <c r="S47" s="1447" t="b">
        <f>OR(O47,P47,Q47,R47)</f>
        <v>0</v>
      </c>
      <c r="T47" s="593"/>
      <c r="U47" s="1477" t="s">
        <v>1835</v>
      </c>
      <c r="V47" s="1197">
        <f>IF(_EBF1&gt;0,IF(wohnen1,O44,0),0)</f>
        <v>0</v>
      </c>
      <c r="W47" s="1197">
        <f>IF(_EBF2&gt;0,IF(wohnen2,P44,0),0)</f>
        <v>0</v>
      </c>
      <c r="X47" s="1197">
        <f>IF(_EBF3&gt;0,IF(wohnen3,Q44,0),0)</f>
        <v>0</v>
      </c>
      <c r="Y47" s="1197">
        <f>IF(_EBF4&gt;0,IF(wohnen4,R44,0),0)</f>
        <v>0</v>
      </c>
      <c r="Z47" s="1474">
        <f>IF(S32&gt;0,(V47*O32+W47*P32+X47*Q32+Y47*R32)/(S32),0)</f>
        <v>0</v>
      </c>
    </row>
    <row r="48" spans="1:36" ht="22.15" customHeight="1">
      <c r="A48" s="1518" t="s">
        <v>2835</v>
      </c>
      <c r="B48" s="1176" t="str">
        <f>Uebersetzung!D408</f>
        <v>Eclairage: valeur moyenne SIA 387/4</v>
      </c>
      <c r="C48" s="1177"/>
      <c r="D48" s="1199" t="s">
        <v>3305</v>
      </c>
      <c r="E48" s="194" t="s">
        <v>524</v>
      </c>
      <c r="F48" s="1670"/>
      <c r="G48" s="1670"/>
      <c r="H48" s="1670"/>
      <c r="I48" s="1670"/>
      <c r="J48" s="183"/>
      <c r="K48" s="1278">
        <f>S92</f>
        <v>0</v>
      </c>
      <c r="L48" s="5"/>
      <c r="M48" s="456"/>
      <c r="N48" s="1142" t="s">
        <v>2586</v>
      </c>
      <c r="O48" s="1397">
        <f>IF(Kategorie1&gt;3,Entrées!O2,0)</f>
        <v>0</v>
      </c>
      <c r="P48" s="1444">
        <f>IF(Kategorie2&gt;3,Entrées!P2,0)</f>
        <v>0</v>
      </c>
      <c r="Q48" s="1444">
        <f>IF(Kategorie3&gt;3,Entrées!Q2,0)</f>
        <v>0</v>
      </c>
      <c r="R48" s="1444">
        <f>IF(Kategorie4&gt;3,Entrées!R2,0)</f>
        <v>0</v>
      </c>
      <c r="S48" s="957">
        <f>SUM(O48:R48)</f>
        <v>0</v>
      </c>
      <c r="T48" s="5" t="s">
        <v>321</v>
      </c>
      <c r="U48" s="1477" t="s">
        <v>1848</v>
      </c>
      <c r="V48" s="1197">
        <f>INDEX(Standardwerte!$AD$71:$AD$83,Kategorie1,1)</f>
        <v>0</v>
      </c>
      <c r="W48" s="1197">
        <f>INDEX(Standardwerte!$AD$71:$AD$83,Kategorie2,1)</f>
        <v>0</v>
      </c>
      <c r="X48" s="1197">
        <f>INDEX(Standardwerte!$AD$71:$AD$83,Kategorie3,1)</f>
        <v>0</v>
      </c>
      <c r="Y48" s="1197">
        <f>INDEX(Standardwerte!$AD$71:$AD$83,Kategorie4,1)</f>
        <v>0</v>
      </c>
      <c r="Z48" s="1474">
        <f>IF(EBF&gt;0,(V48*_EBF1+W48*_EBF2+X48*_EBF3+Y48*_EBF4)/(_EBF1+_EBF2+_EBF3+_EBF4),0)</f>
        <v>0</v>
      </c>
      <c r="AJ48" s="1545"/>
    </row>
    <row r="49" spans="1:36" ht="22.15" customHeight="1">
      <c r="A49" s="1518" t="s">
        <v>1900</v>
      </c>
      <c r="B49" s="1100" t="str">
        <f>Uebersetzung!D407</f>
        <v>Eclairage: valeur du projet SIA 387/4</v>
      </c>
      <c r="C49" s="1101"/>
      <c r="D49" s="1199" t="s">
        <v>3306</v>
      </c>
      <c r="E49" s="194" t="s">
        <v>524</v>
      </c>
      <c r="F49" s="1670"/>
      <c r="G49" s="1670"/>
      <c r="H49" s="1670"/>
      <c r="I49" s="1670"/>
      <c r="J49" s="183"/>
      <c r="K49" s="1278">
        <f>S93</f>
        <v>0</v>
      </c>
      <c r="L49" s="5"/>
      <c r="M49" s="456"/>
      <c r="N49" s="1660" t="s">
        <v>177</v>
      </c>
      <c r="O49" s="1661" t="str">
        <f>IF(O47,Uebersetzung!D25,Uebersetzung!D26)</f>
        <v>non</v>
      </c>
      <c r="P49" s="842" t="str">
        <f>IF(P47,Uebersetzung!D25,Uebersetzung!D26)</f>
        <v>non</v>
      </c>
      <c r="Q49" s="842" t="str">
        <f>IF(Q47,Uebersetzung!D25,Uebersetzung!D26)</f>
        <v>non</v>
      </c>
      <c r="R49" s="842" t="str">
        <f>IF(R47,Uebersetzung!D25,Uebersetzung!D26)</f>
        <v>non</v>
      </c>
      <c r="S49" s="1658"/>
      <c r="T49" s="593"/>
      <c r="U49" s="1478" t="s">
        <v>1851</v>
      </c>
      <c r="V49" s="1197">
        <f>O59</f>
        <v>0</v>
      </c>
      <c r="W49" s="1197">
        <f>P59</f>
        <v>0</v>
      </c>
      <c r="X49" s="1197">
        <f>Q59</f>
        <v>0</v>
      </c>
      <c r="Y49" s="1197">
        <f>R59</f>
        <v>0</v>
      </c>
      <c r="Z49" s="1480">
        <f>S59</f>
        <v>0</v>
      </c>
      <c r="AJ49" s="1545"/>
    </row>
    <row r="50" spans="1:36" ht="22.15" customHeight="1">
      <c r="A50" s="1518" t="s">
        <v>1901</v>
      </c>
      <c r="B50" s="2678" t="str">
        <f>Uebersetzung!D409</f>
        <v>Exigence éclairage respectée?</v>
      </c>
      <c r="C50" s="2679"/>
      <c r="D50" s="2773" t="str">
        <f>IF(S63=FALSE,$R$12,IF(AND(K48&gt;0,K49&gt;0),IF(ROUND(K49,1)&gt;ROUND(K48,1),$R$12,$Q$12),""))</f>
        <v/>
      </c>
      <c r="E50" s="2774"/>
      <c r="F50" s="1501">
        <f>(O100+O94+O56)/2</f>
        <v>0</v>
      </c>
      <c r="G50" s="1501">
        <f>(P100+P94+P56)/2</f>
        <v>0</v>
      </c>
      <c r="H50" s="1501">
        <f>(Q100+Q94+Q56)/2</f>
        <v>0</v>
      </c>
      <c r="I50" s="1501">
        <f>(R100+R94+R56)/2</f>
        <v>0</v>
      </c>
      <c r="J50" s="1499"/>
      <c r="K50" s="1544" t="str">
        <f>I116</f>
        <v>Valeur calculée</v>
      </c>
      <c r="L50" s="5"/>
      <c r="M50" s="456"/>
      <c r="N50" s="1552"/>
      <c r="O50" s="1452" t="str">
        <f>Uebersetzung!D26</f>
        <v>non</v>
      </c>
      <c r="P50" s="1303" t="str">
        <f>Uebersetzung!D26</f>
        <v>non</v>
      </c>
      <c r="Q50" s="1303" t="str">
        <f>Uebersetzung!D26</f>
        <v>non</v>
      </c>
      <c r="R50" s="1303" t="str">
        <f>Uebersetzung!D26</f>
        <v>non</v>
      </c>
      <c r="S50" s="1448"/>
      <c r="T50" s="593"/>
      <c r="U50" s="1479" t="s">
        <v>1853</v>
      </c>
      <c r="V50" s="1156">
        <f>O68</f>
        <v>0</v>
      </c>
      <c r="W50" s="1156">
        <f>P68</f>
        <v>0</v>
      </c>
      <c r="X50" s="1156">
        <f>Q68</f>
        <v>0</v>
      </c>
      <c r="Y50" s="1156">
        <f>R68</f>
        <v>0</v>
      </c>
      <c r="Z50" s="1262">
        <f>S68</f>
        <v>0</v>
      </c>
    </row>
    <row r="51" spans="1:36" ht="6" customHeight="1">
      <c r="A51" s="1518"/>
      <c r="B51" s="9"/>
      <c r="C51" s="9"/>
      <c r="D51" s="1096"/>
      <c r="E51" s="9"/>
      <c r="F51" s="9"/>
      <c r="G51" s="9"/>
      <c r="H51" s="9"/>
      <c r="I51" s="9"/>
      <c r="J51" s="9"/>
      <c r="K51" s="9"/>
      <c r="L51" s="5"/>
      <c r="M51" s="456"/>
      <c r="N51" s="751" t="s">
        <v>3141</v>
      </c>
      <c r="O51" s="751" t="b">
        <f>AND(Mieter1,F49&gt;0)</f>
        <v>0</v>
      </c>
      <c r="P51" s="673" t="b">
        <f>AND(Mieter2,G49&gt;0)</f>
        <v>0</v>
      </c>
      <c r="Q51" s="673" t="b">
        <f>AND(Mieter3,H49&gt;0)</f>
        <v>0</v>
      </c>
      <c r="R51" s="882" t="b">
        <f>AND(Mieter4,I49&gt;0)</f>
        <v>0</v>
      </c>
      <c r="S51" s="882"/>
    </row>
    <row r="52" spans="1:36" ht="20.100000000000001" hidden="1" customHeight="1">
      <c r="A52" s="1518"/>
      <c r="B52" s="9"/>
      <c r="C52" s="9"/>
      <c r="D52" s="1096"/>
      <c r="E52" s="9"/>
      <c r="F52" s="9"/>
      <c r="G52" s="9"/>
      <c r="H52" s="9"/>
      <c r="I52" s="9"/>
      <c r="J52" s="9"/>
      <c r="K52" s="9"/>
      <c r="L52" s="5"/>
      <c r="M52" s="456"/>
    </row>
    <row r="53" spans="1:36" ht="22.15" hidden="1" customHeight="1">
      <c r="L53" s="5"/>
      <c r="M53" s="456"/>
      <c r="N53" s="1174" t="s">
        <v>3121</v>
      </c>
      <c r="O53" s="1464" t="b">
        <f>IF(F45=Uebersetzung!$D$25,TRUE,FALSE)</f>
        <v>0</v>
      </c>
      <c r="P53" s="1465" t="b">
        <f>IF(G45=Uebersetzung!$D$25,TRUE,FALSE)</f>
        <v>0</v>
      </c>
      <c r="Q53" s="1465" t="b">
        <f>IF(H45=Uebersetzung!$D$25,TRUE,FALSE)</f>
        <v>0</v>
      </c>
      <c r="R53" s="1465" t="b">
        <f>IF(I45=Uebersetzung!$D$25,TRUE,FALSE)</f>
        <v>0</v>
      </c>
      <c r="S53" s="1466"/>
      <c r="T53" s="1287" t="s">
        <v>2563</v>
      </c>
    </row>
    <row r="54" spans="1:36" ht="13.9" hidden="1" customHeight="1">
      <c r="L54" s="5"/>
      <c r="M54" s="121"/>
      <c r="N54" s="1305" t="s">
        <v>2585</v>
      </c>
      <c r="O54" s="841">
        <f>IF(Mieter1=FALSE,IF(O97=FALSE,INDEX(Standardwerte!$AD$71:$AD$83,Kategorie1,1)/2*IF($S$88,1.2,1),0),)</f>
        <v>0</v>
      </c>
      <c r="P54" s="842">
        <f>IF(Mieter2=FALSE,IF(P97=FALSE,INDEX(Standardwerte!$AD$71:$AD$83,Kategorie2,1)/2*IF($S$88,1.2,1),0),0)</f>
        <v>0</v>
      </c>
      <c r="Q54" s="842">
        <f>IF(Mieter3=FALSE,IF(Q97=FALSE,INDEX(Standardwerte!$AD$71:$AD$83,Kategorie3,1)/2*IF($S$88,1.2,1),0),0)</f>
        <v>0</v>
      </c>
      <c r="R54" s="1445">
        <f>IF(Mieter4=FALSE,IF(R97=FALSE,INDEX(Standardwerte!$AD$71:$AD$83,Kategorie4,1)/2*IF($S$88,1.2,1),0),0)</f>
        <v>0</v>
      </c>
      <c r="S54" s="1447"/>
      <c r="T54" s="593" t="s">
        <v>524</v>
      </c>
    </row>
    <row r="55" spans="1:36" ht="18.95" hidden="1" customHeight="1">
      <c r="L55" s="5"/>
      <c r="M55" s="478"/>
      <c r="N55" s="1448" t="s">
        <v>493</v>
      </c>
      <c r="O55" s="1452">
        <f>IF(Mieter1=FALSE,_EBF1,0)</f>
        <v>0</v>
      </c>
      <c r="P55" s="1303">
        <f>IF(Mieter2=FALSE,_EBF2,0)</f>
        <v>0</v>
      </c>
      <c r="Q55" s="1303">
        <f>IF(Mieter3=FALSE,_EBF3,0)</f>
        <v>0</v>
      </c>
      <c r="R55" s="1453">
        <f>IF(Mieter4=FALSE,_EBF4,0)</f>
        <v>0</v>
      </c>
      <c r="S55" s="1448"/>
      <c r="T55" s="593" t="s">
        <v>321</v>
      </c>
    </row>
    <row r="56" spans="1:36" ht="24" hidden="1" customHeight="1">
      <c r="L56" s="5"/>
      <c r="M56" s="121"/>
      <c r="N56" s="1145" t="s">
        <v>2577</v>
      </c>
      <c r="O56" s="1459">
        <f>IF(O97=FALSE,O54*2,0)</f>
        <v>0</v>
      </c>
      <c r="P56" s="1140">
        <f>IF(P97=FALSE,P54*2,0)</f>
        <v>0</v>
      </c>
      <c r="Q56" s="1140">
        <f>IF(Q97=FALSE,Q54*2,0)</f>
        <v>0</v>
      </c>
      <c r="R56" s="1337">
        <f>IF(R97=FALSE,R54*2,0)</f>
        <v>0</v>
      </c>
      <c r="S56" s="1148">
        <f>IF(EBF&gt;0,(O54*O55+P54*P55+Q54*Q55+R54*R55)*2/(_EBF1+_EBF2+_EBF3+_EBF4),0)</f>
        <v>0</v>
      </c>
      <c r="T56" s="5" t="s">
        <v>524</v>
      </c>
      <c r="U56" s="298" t="s">
        <v>1932</v>
      </c>
      <c r="V56" s="27"/>
      <c r="W56" s="27"/>
      <c r="X56" s="27"/>
      <c r="Y56" s="27"/>
      <c r="Z56" s="27"/>
      <c r="AC56" s="298" t="s">
        <v>3001</v>
      </c>
    </row>
    <row r="57" spans="1:36" ht="20.100000000000001" hidden="1" customHeight="1">
      <c r="M57" s="121"/>
      <c r="N57" s="298" t="s">
        <v>1850</v>
      </c>
      <c r="U57" s="1117" t="s">
        <v>1815</v>
      </c>
      <c r="V57" s="1124">
        <v>1</v>
      </c>
      <c r="W57" s="1118">
        <v>2</v>
      </c>
      <c r="X57" s="1118">
        <v>3</v>
      </c>
      <c r="Y57" s="379">
        <v>4</v>
      </c>
      <c r="Z57" s="1261" t="s">
        <v>1834</v>
      </c>
      <c r="AC57" s="751"/>
      <c r="AD57" s="781" t="s">
        <v>3004</v>
      </c>
      <c r="AE57" s="781" t="s">
        <v>3005</v>
      </c>
      <c r="AF57" s="781" t="s">
        <v>3006</v>
      </c>
      <c r="AG57" s="781" t="s">
        <v>3007</v>
      </c>
      <c r="AH57" s="781" t="s">
        <v>3008</v>
      </c>
      <c r="AI57" s="1108" t="s">
        <v>490</v>
      </c>
    </row>
    <row r="58" spans="1:36" ht="24" hidden="1" customHeight="1">
      <c r="M58" s="5"/>
      <c r="N58" s="1159" t="s">
        <v>1850</v>
      </c>
      <c r="O58" s="1160"/>
      <c r="P58" s="1160"/>
      <c r="Q58" s="1161"/>
      <c r="R58" s="1161"/>
      <c r="S58" s="1162"/>
      <c r="U58" s="1305" t="s">
        <v>1921</v>
      </c>
      <c r="V58" s="811">
        <f>IF(_neu1,Entrées!O2,0)</f>
        <v>0</v>
      </c>
      <c r="W58" s="811">
        <f>IF(_neu2,Entrées!P2,0)</f>
        <v>0</v>
      </c>
      <c r="X58" s="811">
        <f>IF(_neu3,Entrées!Q2,0)</f>
        <v>0</v>
      </c>
      <c r="Y58" s="811">
        <f>IF(_neu4,Entrées!R2,0)</f>
        <v>0</v>
      </c>
      <c r="Z58" s="1307">
        <f>SUM(V58:Y58)</f>
        <v>0</v>
      </c>
      <c r="AA58" s="1287" t="s">
        <v>321</v>
      </c>
      <c r="AC58" s="1603" t="s">
        <v>3003</v>
      </c>
      <c r="AD58" s="1605">
        <f>WaermebedarfA</f>
        <v>0</v>
      </c>
      <c r="AE58" s="1198">
        <f>WaermebedarfB</f>
        <v>0</v>
      </c>
      <c r="AF58" s="1198">
        <f>WaermebedarfC</f>
        <v>0</v>
      </c>
      <c r="AG58" s="1198">
        <f>WaermebedarfD</f>
        <v>0</v>
      </c>
      <c r="AH58" s="1461">
        <f>WaermebedarfE</f>
        <v>0</v>
      </c>
      <c r="AI58" s="1461">
        <f>SUM(AD58:AH58)</f>
        <v>0</v>
      </c>
      <c r="AJ58" s="5" t="s">
        <v>524</v>
      </c>
    </row>
    <row r="59" spans="1:36" ht="18.95" hidden="1" customHeight="1">
      <c r="M59" s="870"/>
      <c r="N59" s="1159" t="s">
        <v>1851</v>
      </c>
      <c r="O59" s="1165">
        <f>INDEX(Standardwerte!$AE$71:$AE$83,Kategorie1,1)</f>
        <v>0</v>
      </c>
      <c r="P59" s="1163">
        <f>INDEX(Standardwerte!$AE$71:$AE$83,Kategorie2,1)</f>
        <v>0</v>
      </c>
      <c r="Q59" s="1163">
        <f>INDEX(Standardwerte!$AE$71:$AE$83,Kategorie3,1)</f>
        <v>0</v>
      </c>
      <c r="R59" s="1164">
        <f>INDEX(Standardwerte!$AE$71:$AE$83,Kategorie4,1)</f>
        <v>0</v>
      </c>
      <c r="S59" s="1148">
        <f>IF(EBF&gt;0,(O59*_EBF1+P59*_EBF2+Q59*_EBF3+R59*_EBF4)/(_EBF1+_EBF2+_EBF3+_EBF4),0)</f>
        <v>0</v>
      </c>
      <c r="T59" s="5" t="s">
        <v>524</v>
      </c>
      <c r="U59" s="1306" t="s">
        <v>1922</v>
      </c>
      <c r="V59" s="84">
        <f>Entrées!O2-V67</f>
        <v>0</v>
      </c>
      <c r="W59" s="84">
        <f>Entrées!P2-W67</f>
        <v>0</v>
      </c>
      <c r="X59" s="84">
        <f>Entrées!Q2-X67</f>
        <v>0</v>
      </c>
      <c r="Y59" s="84">
        <f>Entrées!R2-Y67</f>
        <v>0</v>
      </c>
      <c r="Z59" s="813">
        <f>SUM(V59:Y59)</f>
        <v>0</v>
      </c>
      <c r="AA59" s="1287" t="s">
        <v>321</v>
      </c>
      <c r="AC59" s="1087" t="s">
        <v>3009</v>
      </c>
      <c r="AD59" s="1087">
        <f>INDEX(Standardwerte!$AU$108:$AU$155,Justificatif!M8,1)</f>
        <v>0</v>
      </c>
      <c r="AE59" s="143">
        <f>INDEX(Standardwerte!$AU$108:$AU$155,Justificatif!M12,1)</f>
        <v>0</v>
      </c>
      <c r="AF59" s="143">
        <f>INDEX(Standardwerte!$AU$108:$AU$155,Justificatif!M16,1)</f>
        <v>0</v>
      </c>
      <c r="AG59" s="143">
        <f>INDEX(Standardwerte!$AU$108:$AU$155,Justificatif!M20,1)</f>
        <v>0</v>
      </c>
      <c r="AH59" s="1120" t="b">
        <v>0</v>
      </c>
      <c r="AI59" s="1120"/>
    </row>
    <row r="60" spans="1:36" ht="18" hidden="1" customHeight="1">
      <c r="A60" s="1518"/>
      <c r="M60" s="870"/>
      <c r="U60" s="1143"/>
      <c r="V60" s="151"/>
      <c r="W60" s="151"/>
      <c r="X60" s="151"/>
      <c r="Y60" s="151"/>
      <c r="Z60" s="1143"/>
      <c r="AC60" s="1087"/>
      <c r="AD60" s="1087"/>
      <c r="AE60" s="143"/>
      <c r="AF60" s="143"/>
      <c r="AG60" s="143"/>
      <c r="AH60" s="1120"/>
      <c r="AI60" s="1120"/>
    </row>
    <row r="61" spans="1:36" ht="6" customHeight="1">
      <c r="D61" s="98"/>
      <c r="E61" s="98"/>
      <c r="F61" s="179"/>
      <c r="G61" s="179"/>
      <c r="H61" s="179"/>
      <c r="I61" s="70"/>
      <c r="J61" s="9"/>
      <c r="K61" s="8"/>
      <c r="M61" s="456"/>
      <c r="N61" s="1467"/>
      <c r="U61" s="1141"/>
      <c r="V61" s="1117"/>
      <c r="W61" s="1006"/>
      <c r="X61" s="1006"/>
      <c r="Y61" s="1334"/>
      <c r="Z61" s="1141"/>
      <c r="AC61" s="1087"/>
      <c r="AD61" s="1087"/>
      <c r="AE61" s="143"/>
      <c r="AF61" s="143"/>
      <c r="AG61" s="143"/>
      <c r="AH61" s="1120"/>
      <c r="AI61" s="1120"/>
    </row>
    <row r="62" spans="1:36" ht="21.95" customHeight="1">
      <c r="B62" s="369" t="str">
        <f>Uebersetzung!D384</f>
        <v>Autres exigences</v>
      </c>
      <c r="C62" s="770"/>
      <c r="D62" s="371" t="str">
        <f>Uebersetzung!D385</f>
        <v>Autodéclaration/attestation</v>
      </c>
      <c r="E62" s="371"/>
      <c r="F62" s="370"/>
      <c r="G62" s="1311"/>
      <c r="H62" s="673"/>
      <c r="I62" s="2781" t="str">
        <f>Uebersetzung!D386</f>
        <v xml:space="preserve">Exigence remplie?    </v>
      </c>
      <c r="J62" s="2781"/>
      <c r="K62" s="2782"/>
      <c r="N62" s="298" t="s">
        <v>3146</v>
      </c>
      <c r="U62" s="1263" t="s">
        <v>1935</v>
      </c>
      <c r="V62" s="890"/>
      <c r="W62" s="151"/>
      <c r="X62" s="151"/>
      <c r="Y62" s="603"/>
      <c r="Z62" s="1263" t="b">
        <f>IF(OR(minergiea,Z58&gt;2000,AND(EBF&gt;2000,I70=N12)),TRUE,FALSE)</f>
        <v>0</v>
      </c>
      <c r="AA62" s="27"/>
      <c r="AC62" s="890" t="s">
        <v>3010</v>
      </c>
      <c r="AD62" s="1110">
        <f>IF(AND(AD59,$AI$58&gt;0),AD58/$AI$58,0)</f>
        <v>0</v>
      </c>
      <c r="AE62" s="1128">
        <f>IF(AND(AE59,$AI$58),AE58/$AI$58,0)</f>
        <v>0</v>
      </c>
      <c r="AF62" s="1128">
        <f>IF(AND(AF59,$AI$58&gt;0),AF58/$AI$58,0)</f>
        <v>0</v>
      </c>
      <c r="AG62" s="1128">
        <f>IF(AND(AG59,$AI$58&gt;0),AG58/$AI$58,0)</f>
        <v>0</v>
      </c>
      <c r="AH62" s="1129">
        <f>IF(AH59,AH58/$AI$58,0)</f>
        <v>0</v>
      </c>
      <c r="AI62" s="1604">
        <f>SUM(AD62:AH62)</f>
        <v>0</v>
      </c>
    </row>
    <row r="63" spans="1:36" ht="22.15" customHeight="1">
      <c r="A63" s="1518" t="s">
        <v>2601</v>
      </c>
      <c r="B63" s="2622" t="str">
        <f>IF(auswahl1&gt;0,INDEX(Standardwerte!$AF$5:$AF$13,2),"")</f>
        <v/>
      </c>
      <c r="C63" s="2623"/>
      <c r="D63" s="2724" t="str">
        <f>IF(auswahl1&gt;0,INDEX(Standardwerte!$BA$5:$BA$13,2),"")</f>
        <v/>
      </c>
      <c r="E63" s="2725"/>
      <c r="F63" s="2725"/>
      <c r="G63" s="2725"/>
      <c r="H63" s="2726"/>
      <c r="I63" s="1550"/>
      <c r="J63" s="2783">
        <f>IF(AND(B63&lt;&gt;"",I63=$N$13),$R$12,IF(OR(I63="",B63=""),,$Q$12))</f>
        <v>0</v>
      </c>
      <c r="K63" s="2784"/>
      <c r="M63" s="155"/>
      <c r="N63" s="1618" t="s">
        <v>3147</v>
      </c>
      <c r="O63" s="673" t="b">
        <f>IF(AND(O51=FALSE,Mieter1),FALSE,TRUE)</f>
        <v>1</v>
      </c>
      <c r="P63" s="673" t="b">
        <f>IF(AND(P51=FALSE,Mieter2),FALSE,TRUE)</f>
        <v>1</v>
      </c>
      <c r="Q63" s="673" t="b">
        <f>IF(AND(Q51=FALSE,Mieter3),FALSE,TRUE)</f>
        <v>1</v>
      </c>
      <c r="R63" s="673" t="b">
        <f>IF(AND(R51=FALSE,Mieter4),FALSE,TRUE)</f>
        <v>1</v>
      </c>
      <c r="S63" s="1618" t="b">
        <f>AND(O63,P63,Q63,R63)</f>
        <v>1</v>
      </c>
      <c r="U63" s="298" t="s">
        <v>1920</v>
      </c>
      <c r="AA63" s="27"/>
      <c r="AC63" s="1608" t="s">
        <v>3019</v>
      </c>
      <c r="AD63" s="1006"/>
      <c r="AE63" s="1006"/>
      <c r="AF63" s="1006"/>
      <c r="AG63" s="1006"/>
      <c r="AH63" s="1006"/>
      <c r="AI63" s="1606">
        <f>(Aperçu!K57+Aperçu!K59+Aperçu!K61+Aperçu!K63+S106+Justificatif!I47+Justificatif!I48+Justificatif!I49+Justificatif!I50+Justificatif!I51)/2</f>
        <v>0</v>
      </c>
      <c r="AJ63" s="5" t="s">
        <v>524</v>
      </c>
    </row>
    <row r="64" spans="1:36" ht="18" hidden="1" customHeight="1">
      <c r="A64" s="1518" t="s">
        <v>398</v>
      </c>
      <c r="B64" s="2626" t="str">
        <f>IF(auswahl2&gt;0,INDEX(Standardwerte!$AF$5:$AF$13,3),"")</f>
        <v/>
      </c>
      <c r="C64" s="2627"/>
      <c r="D64" s="2727" t="str">
        <f>IF(auswahl2&gt;0,INDEX(Standardwerte!$BA$5:$BA$13,3),"")</f>
        <v/>
      </c>
      <c r="E64" s="2728"/>
      <c r="F64" s="2728"/>
      <c r="G64" s="2729"/>
      <c r="H64" s="1551"/>
      <c r="I64" s="1302"/>
      <c r="J64" s="1513"/>
      <c r="K64" s="1548" t="str">
        <f>"1.6 m3/hm2"</f>
        <v>1.6 m3/hm2</v>
      </c>
      <c r="M64" s="155"/>
      <c r="N64" s="298" t="s">
        <v>1854</v>
      </c>
      <c r="AC64" s="1142"/>
      <c r="AD64" s="143"/>
      <c r="AE64" s="143"/>
      <c r="AF64" s="143"/>
      <c r="AG64" s="143"/>
      <c r="AH64" s="143"/>
      <c r="AI64" s="1142"/>
    </row>
    <row r="65" spans="1:37" ht="22.15" customHeight="1">
      <c r="A65" s="1518" t="s">
        <v>2602</v>
      </c>
      <c r="B65" s="2626" t="str">
        <f>IF(auswahl3&gt;0,INDEX(Standardwerte!$AF$5:$AF$13,4),"")</f>
        <v/>
      </c>
      <c r="C65" s="2627"/>
      <c r="D65" s="2727" t="str">
        <f>IF(auswahl3&gt;0,INDEX(Standardwerte!$BA$5:$BA$13,4),"")</f>
        <v/>
      </c>
      <c r="E65" s="2728"/>
      <c r="F65" s="2728"/>
      <c r="G65" s="2728"/>
      <c r="H65" s="2729"/>
      <c r="I65" s="1302"/>
      <c r="J65" s="2722">
        <f>IF(AND(B65&lt;&gt;"",I65=$N$13),$R$12,IF(OR(I65="",B65=""),,$Q$12))</f>
        <v>0</v>
      </c>
      <c r="K65" s="2723"/>
      <c r="M65" s="155"/>
      <c r="N65" s="1467" t="s">
        <v>2588</v>
      </c>
      <c r="U65" s="1117" t="s">
        <v>1815</v>
      </c>
      <c r="V65" s="717">
        <v>1</v>
      </c>
      <c r="W65" s="781">
        <v>2</v>
      </c>
      <c r="X65" s="781">
        <v>3</v>
      </c>
      <c r="Y65" s="1108">
        <v>4</v>
      </c>
      <c r="Z65" s="1261" t="s">
        <v>1834</v>
      </c>
      <c r="AC65" s="1142" t="s">
        <v>3020</v>
      </c>
      <c r="AD65" s="143"/>
      <c r="AE65" s="143"/>
      <c r="AF65" s="143"/>
      <c r="AG65" s="143"/>
      <c r="AH65" s="143"/>
      <c r="AI65" s="1480">
        <f>IF(EBF&gt;0,E117*G117/EBF,0)</f>
        <v>0</v>
      </c>
      <c r="AJ65" s="5" t="s">
        <v>524</v>
      </c>
    </row>
    <row r="66" spans="1:37" ht="18" hidden="1" customHeight="1">
      <c r="A66" s="1518" t="s">
        <v>2836</v>
      </c>
      <c r="B66" s="2626" t="str">
        <f>IF(auswahl4&gt;0,INDEX(Standardwerte!$AF$5:$AF$13,5),"")</f>
        <v/>
      </c>
      <c r="C66" s="2627"/>
      <c r="D66" s="2727" t="str">
        <f>IF(auswahl4&gt;0,INDEX(Standardwerte!$BA$5:$BA$13,5),"")</f>
        <v/>
      </c>
      <c r="E66" s="2728"/>
      <c r="F66" s="2728"/>
      <c r="G66" s="2729"/>
      <c r="H66" s="1551"/>
      <c r="I66" s="1312"/>
      <c r="J66" s="1512"/>
      <c r="K66" s="1549">
        <f>IF(AND(B66&lt;&gt;"",I66=$N$13),$R$12,IF(OR(I66="",B66=""),,$Q$12))</f>
        <v>0</v>
      </c>
      <c r="M66" s="155" t="b">
        <v>0</v>
      </c>
      <c r="U66" s="1305"/>
      <c r="V66" s="593"/>
      <c r="W66" s="593"/>
      <c r="X66" s="593"/>
      <c r="Y66" s="593"/>
      <c r="Z66" s="1547"/>
      <c r="AC66" s="1142"/>
      <c r="AD66" s="143"/>
      <c r="AE66" s="143"/>
      <c r="AF66" s="143"/>
      <c r="AG66" s="143"/>
      <c r="AH66" s="143"/>
      <c r="AI66" s="1142"/>
    </row>
    <row r="67" spans="1:37" ht="22.15" customHeight="1">
      <c r="A67" s="1518" t="s">
        <v>2701</v>
      </c>
      <c r="B67" s="2626" t="str">
        <f>IF(auswahl5&gt;0,INDEX(Standardwerte!$AF$5:$AF$13,6),"")</f>
        <v/>
      </c>
      <c r="C67" s="2627"/>
      <c r="D67" s="2727" t="str">
        <f>IF(auswahl5&gt;0,INDEX(Standardwerte!$BA$5:$BA$13,6),"")</f>
        <v/>
      </c>
      <c r="E67" s="2728"/>
      <c r="F67" s="2728"/>
      <c r="G67" s="2728"/>
      <c r="H67" s="2729"/>
      <c r="I67" s="1302"/>
      <c r="J67" s="2720"/>
      <c r="K67" s="2721"/>
      <c r="M67" s="155" t="b">
        <v>0</v>
      </c>
      <c r="N67" s="1159" t="s">
        <v>1852</v>
      </c>
      <c r="O67" s="1167"/>
      <c r="P67" s="1167"/>
      <c r="Q67" s="1168"/>
      <c r="R67" s="1168"/>
      <c r="S67" s="1162"/>
      <c r="U67" s="1306" t="s">
        <v>1921</v>
      </c>
      <c r="V67" s="841">
        <f>IF(_neu1,Entrées!O2,0)</f>
        <v>0</v>
      </c>
      <c r="W67" s="842">
        <f>IF(_neu2,Entrées!P2,0)</f>
        <v>0</v>
      </c>
      <c r="X67" s="842">
        <f>IF(_neu3,Entrées!Q2,0)</f>
        <v>0</v>
      </c>
      <c r="Y67" s="1445">
        <f>IF(_neu4,Entrées!R2,0)</f>
        <v>0</v>
      </c>
      <c r="Z67" s="813">
        <f>SUM(V67:Y67)</f>
        <v>0</v>
      </c>
      <c r="AA67" s="1287" t="s">
        <v>321</v>
      </c>
      <c r="AC67" s="1142" t="s">
        <v>3018</v>
      </c>
      <c r="AD67" s="143"/>
      <c r="AE67" s="143"/>
      <c r="AF67" s="143"/>
      <c r="AG67" s="143"/>
      <c r="AH67" s="143"/>
      <c r="AI67" s="1607">
        <f>IF(AI63&gt;0,AI65/AI63,0)</f>
        <v>0</v>
      </c>
    </row>
    <row r="68" spans="1:37" ht="22.15" customHeight="1">
      <c r="A68" s="1518" t="s">
        <v>2837</v>
      </c>
      <c r="B68" s="2626" t="str">
        <f>IF(auswahl6&gt;0,INDEX(Standardwerte!$AF$5:$AF$13,7),"")</f>
        <v/>
      </c>
      <c r="C68" s="2627"/>
      <c r="D68" s="2727" t="str">
        <f>IF(auswahl6&gt;0,INDEX(Standardwerte!$BA$5:$BA$13,7),"")</f>
        <v/>
      </c>
      <c r="E68" s="2728"/>
      <c r="F68" s="2728"/>
      <c r="G68" s="2728"/>
      <c r="H68" s="2729"/>
      <c r="I68" s="1313"/>
      <c r="J68" s="2720"/>
      <c r="K68" s="2721"/>
      <c r="M68" s="155" t="b">
        <v>1</v>
      </c>
      <c r="N68" s="1159" t="s">
        <v>1853</v>
      </c>
      <c r="O68" s="1165">
        <f>INDEX(Standardwerte!$AF$71:$AF$83,Kategorie1,1)</f>
        <v>0</v>
      </c>
      <c r="P68" s="1163">
        <f>INDEX(Standardwerte!$AF$71:$AF$83,Kategorie2,1)</f>
        <v>0</v>
      </c>
      <c r="Q68" s="1163">
        <f>INDEX(Standardwerte!$AF$71:$AF$83,Kategorie3,1)</f>
        <v>0</v>
      </c>
      <c r="R68" s="1164">
        <f>INDEX(Standardwerte!$AF$71:$AF$83,Kategorie4,1)</f>
        <v>0</v>
      </c>
      <c r="S68" s="1148">
        <f>IF(EBF&gt;0,(O68*_EBF1+P68*_EBF2+Q68*_EBF3+R68*_EBF4)/(_EBF1+_EBF2+_EBF3+_EBF4)+IF(S30=0,O109*J118*2/(_EBF1+_EBF2+_EBF3+_EBF4)),0)</f>
        <v>0</v>
      </c>
      <c r="T68" s="5" t="s">
        <v>524</v>
      </c>
      <c r="U68" s="1306" t="s">
        <v>1922</v>
      </c>
      <c r="V68" s="1452">
        <f>Entrées!O2-V67</f>
        <v>0</v>
      </c>
      <c r="W68" s="1303">
        <f>Entrées!P2-W67</f>
        <v>0</v>
      </c>
      <c r="X68" s="1303">
        <f>Entrées!Q2-X67</f>
        <v>0</v>
      </c>
      <c r="Y68" s="1453">
        <f>Entrées!R2-Y67</f>
        <v>0</v>
      </c>
      <c r="Z68" s="813">
        <f>SUM(V68:Y68)</f>
        <v>0</v>
      </c>
      <c r="AA68" s="1287" t="s">
        <v>321</v>
      </c>
      <c r="AC68" s="1143" t="s">
        <v>3021</v>
      </c>
      <c r="AD68" s="151"/>
      <c r="AE68" s="151"/>
      <c r="AF68" s="151"/>
      <c r="AG68" s="151"/>
      <c r="AH68" s="151"/>
      <c r="AI68" s="962">
        <f>IF(O109&gt;0,O109,0)</f>
        <v>0</v>
      </c>
      <c r="AJ68" s="5" t="s">
        <v>672</v>
      </c>
    </row>
    <row r="69" spans="1:37" ht="22.15" customHeight="1">
      <c r="A69" s="1518" t="s">
        <v>2840</v>
      </c>
      <c r="B69" s="2626" t="str">
        <f>IF(auswahl7&gt;0,INDEX(Standardwerte!$AF$5:$AF$13,8),"")</f>
        <v/>
      </c>
      <c r="C69" s="2627"/>
      <c r="D69" s="2733" t="str">
        <f>IF(auswahl7&gt;0,INDEX(Standardwerte!$BA$5:$BA$13,8),"")</f>
        <v/>
      </c>
      <c r="E69" s="2734"/>
      <c r="F69" s="2734"/>
      <c r="G69" s="2734"/>
      <c r="H69" s="2735"/>
      <c r="I69" s="1302"/>
      <c r="J69" s="2722">
        <f>IF(AND(B69&lt;&gt;"",I69=$N$13),$R$12,IF(OR(I69="",B69=""),,$Q$12))</f>
        <v>0</v>
      </c>
      <c r="K69" s="2723"/>
      <c r="M69" s="155"/>
      <c r="U69" s="1142"/>
      <c r="V69" s="1087"/>
      <c r="W69" s="143"/>
      <c r="X69" s="143"/>
      <c r="Y69" s="1120"/>
      <c r="Z69" s="1142"/>
      <c r="AC69" s="1603" t="s">
        <v>3035</v>
      </c>
      <c r="AD69" s="1006"/>
      <c r="AE69" s="1006"/>
      <c r="AF69" s="1006"/>
      <c r="AG69" s="1006"/>
      <c r="AH69" s="1006"/>
      <c r="AI69" s="1621">
        <f>IF(f_fr_PV=0,0,MIN(IF(OR(O109="",O109&lt;=5),(f_fr_PV^_x0*_a0+_b0+C_Bat*((f_fr_PV^_x5*_a5+_b5)-(f_fr_PV^_x0*_a0+_b0))/5)/100,(f_fr_PV^_x5*_a5+_b5+(C_Bat-5)*((f_fr_PV^_x10*_a10+_b10)-(f_fr_PV^_x5*_a5+_b5))/5)/100),0.8))</f>
        <v>0</v>
      </c>
    </row>
    <row r="70" spans="1:37" ht="22.15" customHeight="1">
      <c r="A70" s="1518" t="s">
        <v>2838</v>
      </c>
      <c r="B70" s="2626" t="str">
        <f>IF(auswahl8&gt;0,INDEX(Standardwerte!$AF$5:$AF$14,9),"")</f>
        <v/>
      </c>
      <c r="C70" s="2627"/>
      <c r="D70" s="2727" t="str">
        <f>IF(auswahl8&gt;0,INDEX(Standardwerte!$BA$5:$BA$14,9),"")</f>
        <v/>
      </c>
      <c r="E70" s="2728"/>
      <c r="F70" s="2728"/>
      <c r="G70" s="2728"/>
      <c r="H70" s="2729"/>
      <c r="I70" s="1302"/>
      <c r="J70" s="2720"/>
      <c r="K70" s="2721"/>
      <c r="M70" s="155"/>
      <c r="N70" s="1159" t="s">
        <v>1854</v>
      </c>
      <c r="O70" s="1160"/>
      <c r="P70" s="1160"/>
      <c r="Q70" s="1161"/>
      <c r="R70" s="1161"/>
      <c r="S70" s="1162"/>
      <c r="U70" s="1306" t="s">
        <v>1924</v>
      </c>
      <c r="V70" s="1451"/>
      <c r="W70" s="1449"/>
      <c r="X70" s="1449"/>
      <c r="Y70" s="1455"/>
      <c r="Z70" s="1308">
        <f>Justificatif!G59</f>
        <v>0</v>
      </c>
      <c r="AA70" s="5" t="s">
        <v>524</v>
      </c>
      <c r="AC70" s="1087" t="s">
        <v>3036</v>
      </c>
      <c r="AD70" s="143"/>
      <c r="AE70" s="143"/>
      <c r="AF70" s="143"/>
      <c r="AG70" s="143"/>
      <c r="AH70" s="143"/>
      <c r="AI70" s="1607">
        <f>IF(f_fr_PV=0,0,MIN(IF(OR(O109="",O109&lt;=5),(f_fr_PV^_x0WP*_a0WP+_b0WP+C_Bat*((f_fr_PV^_x5WP*_a5WP+_b5WP)-(f_fr_PV^_x0WP*_a0WP+_b0WP))/5)/100,(f_fr_PV^_x5WP*_a5WP+_b5WP+(C_Bat-5)*((f_fr_PV^_x10WP*_a10WP+_b10WP)-(f_fr_PV^_x5WP*_a5WP+_b5WP))/5)/100),0.8))</f>
        <v>0</v>
      </c>
    </row>
    <row r="71" spans="1:37" ht="22.15" customHeight="1">
      <c r="A71" s="1518" t="s">
        <v>2839</v>
      </c>
      <c r="B71" s="2626" t="str">
        <f>IF(auswahl9&gt;0,INDEX(Standardwerte!$AF$5:$AF$14,10),"")</f>
        <v/>
      </c>
      <c r="C71" s="2627"/>
      <c r="D71" s="2730" t="str">
        <f>IF(auswahl9&gt;0,INDEX(Standardwerte!$BA$5:$BA$14,10),"")</f>
        <v/>
      </c>
      <c r="E71" s="2731"/>
      <c r="F71" s="2731"/>
      <c r="G71" s="2731"/>
      <c r="H71" s="2732"/>
      <c r="I71" s="1720"/>
      <c r="J71" s="2722">
        <f>IF(AND(B71&lt;&gt;"",I71=$N$13),$R$12,IF(OR(I71="",B71=""),,$Q$12))</f>
        <v>0</v>
      </c>
      <c r="K71" s="2723"/>
      <c r="M71" s="155" t="b">
        <v>0</v>
      </c>
      <c r="N71" s="1169" t="s">
        <v>1856</v>
      </c>
      <c r="O71" s="27"/>
      <c r="P71" s="27"/>
      <c r="Q71" s="27"/>
      <c r="R71" s="27"/>
      <c r="S71" s="89">
        <f>IF(OR(EBF=0,AND(bern,EBF_neu=0)),0,G117*E117/IF(bern,EBF_neu,EBF)-Justificatif!Q28)*2*I117</f>
        <v>0</v>
      </c>
      <c r="T71" s="5" t="s">
        <v>524</v>
      </c>
      <c r="U71" s="1142" t="s">
        <v>99</v>
      </c>
      <c r="V71" s="1627" t="s">
        <v>3093</v>
      </c>
      <c r="W71" s="1640">
        <f>IF(EBF&gt;0,G117*E117/EBF,0)*2*I117</f>
        <v>0</v>
      </c>
      <c r="X71" s="1641" t="s">
        <v>3094</v>
      </c>
      <c r="Y71" s="1640">
        <f>IF(EBF&gt;0,G117*E117/EBF,0)*2*(1-I117)*0.4</f>
        <v>0</v>
      </c>
      <c r="Z71" s="1480">
        <f>W71+Y71</f>
        <v>0</v>
      </c>
      <c r="AA71" s="5" t="s">
        <v>524</v>
      </c>
      <c r="AC71" s="890" t="s">
        <v>3037</v>
      </c>
      <c r="AD71" s="151"/>
      <c r="AE71" s="151"/>
      <c r="AF71" s="151"/>
      <c r="AG71" s="151"/>
      <c r="AH71" s="1126"/>
      <c r="AI71" s="1620">
        <f>IF(OR(J117="",J117=0),IF(AI75,ROUND((AI70*Anteil_WP+AI69*(1-Anteil_WP))*20,0)/20,0.2),MIN(J117,1))</f>
        <v>0.2</v>
      </c>
      <c r="AK71" s="2411"/>
    </row>
    <row r="72" spans="1:37" s="27" customFormat="1" ht="22.15" customHeight="1">
      <c r="A72" s="1518" t="s">
        <v>3368</v>
      </c>
      <c r="B72" s="2678" t="str">
        <f>IF(auswahl10&gt;0,INDEX(Standardwerte!$AF$5:$AF$15,11),"")</f>
        <v/>
      </c>
      <c r="C72" s="2679"/>
      <c r="D72" s="2767" t="str">
        <f>IF(auswahl10&gt;0,INDEX(Standardwerte!$BA$5:$BA$15,11),"")</f>
        <v/>
      </c>
      <c r="E72" s="2768"/>
      <c r="F72" s="2768"/>
      <c r="G72" s="2768"/>
      <c r="H72" s="2769"/>
      <c r="I72" s="1711"/>
      <c r="J72" s="2770">
        <f>IF(AND(B72&lt;&gt;"",I72=$N$13),$R$12,IF(OR(I72="",B72=""),,$Q$12))</f>
        <v>0</v>
      </c>
      <c r="K72" s="2771"/>
      <c r="L72" s="300"/>
      <c r="M72" s="300"/>
      <c r="N72" s="555" t="s">
        <v>1857</v>
      </c>
      <c r="S72" s="1170">
        <f>IF(OR(EBF=0,AND(bern,EBF_neu=0)),0,G117*E117/IF(bern,EBF_neu,EBF)-Justificatif!Q28)*2*(1-I117)*0.4</f>
        <v>0</v>
      </c>
      <c r="T72" s="5" t="s">
        <v>524</v>
      </c>
      <c r="U72" s="1306" t="s">
        <v>3095</v>
      </c>
      <c r="V72" s="1451"/>
      <c r="W72" s="1449"/>
      <c r="X72" s="1449"/>
      <c r="Y72" s="1455"/>
      <c r="Z72" s="1308">
        <f>S75+Z71</f>
        <v>0</v>
      </c>
      <c r="AA72" s="5" t="s">
        <v>524</v>
      </c>
      <c r="AC72" s="1619"/>
      <c r="AD72" s="963" t="s">
        <v>555</v>
      </c>
      <c r="AE72" s="964" t="s">
        <v>556</v>
      </c>
      <c r="AF72" s="964" t="s">
        <v>234</v>
      </c>
      <c r="AG72" s="964" t="s">
        <v>235</v>
      </c>
      <c r="AH72" s="317"/>
      <c r="AI72" s="1619"/>
      <c r="AK72" s="2466"/>
    </row>
    <row r="73" spans="1:37" s="27" customFormat="1" ht="12" customHeight="1">
      <c r="A73" s="1522"/>
      <c r="B73" s="976">
        <f ca="1">NOW()</f>
        <v>46034.719198842591</v>
      </c>
      <c r="C73" s="5"/>
      <c r="D73" s="5"/>
      <c r="E73" s="5"/>
      <c r="F73" s="5"/>
      <c r="G73" s="5"/>
      <c r="H73" s="5"/>
      <c r="I73" s="5"/>
      <c r="J73" s="5"/>
      <c r="K73" s="779" t="str">
        <f>Entrées!C8&amp;" / "&amp;Entrées!C7&amp;" / "&amp;Entrées!H7&amp;" / "&amp;Entrées!J7&amp;" / "&amp;Entrées!J8&amp;" / "&amp;Entrées!G55&amp;" / "&amp;Entrées!G57</f>
        <v xml:space="preserve"> /  /  /  /  /  / </v>
      </c>
      <c r="L73" s="300"/>
      <c r="M73" s="300"/>
      <c r="N73" s="1159" t="s">
        <v>1855</v>
      </c>
      <c r="O73" s="1165"/>
      <c r="P73" s="1163"/>
      <c r="Q73" s="1163"/>
      <c r="R73" s="1164"/>
      <c r="S73" s="1166">
        <f>SUM(S71:S72)</f>
        <v>0</v>
      </c>
      <c r="T73" s="5" t="s">
        <v>524</v>
      </c>
      <c r="U73" s="1309" t="s">
        <v>1923</v>
      </c>
      <c r="V73" s="1552"/>
      <c r="W73" s="1304"/>
      <c r="X73" s="1304"/>
      <c r="Y73" s="1553"/>
      <c r="Z73" s="1310" t="b">
        <f>IF(EBF=0,FALSE,IF((Z70-Z72)&gt;=5,TRUE,IF(AND(Z67&gt;0,Z68=0),FALSE,IF(OR(Z67&lt;50,AND(Z67&lt;=1000,Z67/Z68&lt;0.2)),TRUE,FALSE))))</f>
        <v>0</v>
      </c>
      <c r="AC73" s="120" t="s">
        <v>333</v>
      </c>
      <c r="AD73" s="42" t="b">
        <f>IF(AND(Kategorie1 = 3,Entrées!O2&gt;0), TRUE,FALSE)</f>
        <v>0</v>
      </c>
      <c r="AE73" s="42" t="b">
        <f>IF(AND(Kategorie2 = 3,Entrées!P2&gt;0), TRUE,FALSE)</f>
        <v>0</v>
      </c>
      <c r="AF73" s="42" t="b">
        <f>IF(AND(Kategorie3 = 3,Entrées!Q2&gt;0), TRUE,FALSE)</f>
        <v>0</v>
      </c>
      <c r="AG73" s="42" t="b">
        <f>IF(AND(Kategorie4 = 3,Entrées!R2&gt;0), TRUE,FALSE)</f>
        <v>0</v>
      </c>
      <c r="AH73" s="42"/>
      <c r="AI73" s="120" t="b">
        <f>OR(AD73,AE73,AF73,AG73)</f>
        <v>0</v>
      </c>
    </row>
    <row r="74" spans="1:37" s="27" customFormat="1" ht="18" customHeight="1">
      <c r="A74" s="1522"/>
      <c r="F74" s="33"/>
      <c r="G74" s="33"/>
      <c r="H74" s="33"/>
      <c r="I74" s="33"/>
      <c r="L74" s="300"/>
      <c r="M74" s="300"/>
      <c r="N74" s="298" t="s">
        <v>2589</v>
      </c>
      <c r="O74" s="5"/>
      <c r="P74" s="5"/>
      <c r="Q74" s="5"/>
      <c r="R74" s="5"/>
      <c r="S74" s="5"/>
      <c r="T74" s="5"/>
      <c r="V74" s="1449"/>
      <c r="W74" s="1449"/>
      <c r="X74" s="1449"/>
      <c r="Y74" s="1449"/>
      <c r="AC74" s="120" t="s">
        <v>3071</v>
      </c>
      <c r="AD74" s="42" t="b">
        <f>IF(AND(OR(Kategorie1 = 2,Kategorie1&gt;3),Entrées!O2&gt;0,Kategorie1&lt;13), TRUE,FALSE)</f>
        <v>0</v>
      </c>
      <c r="AE74" s="42" t="b">
        <f>IF(AND(OR(Kategorie2 = 2,Kategorie2&gt;3),Entrées!P2&gt;0,Kategorie2&lt;13), TRUE,FALSE)</f>
        <v>0</v>
      </c>
      <c r="AF74" s="42" t="b">
        <f>IF(AND(OR(Kategorie3 = 2,Kategorie3&gt;3),Entrées!Q2&gt;0,Kategorie3&lt;13), TRUE,FALSE)</f>
        <v>0</v>
      </c>
      <c r="AG74" s="42" t="b">
        <f>IF(AND(OR(Kategorie4 = 2,Kategorie4&gt;3),Entrées!R2&gt;0,Kategorie4&lt;13), TRUE,FALSE)</f>
        <v>0</v>
      </c>
      <c r="AH74" s="42"/>
      <c r="AI74" s="120" t="b">
        <f>OR(AD74,AE74,AF74,AG74)</f>
        <v>0</v>
      </c>
    </row>
    <row r="75" spans="1:37" s="27" customFormat="1" ht="18" customHeight="1">
      <c r="A75" s="1522"/>
      <c r="F75" s="33"/>
      <c r="G75" s="33"/>
      <c r="H75" s="33"/>
      <c r="I75" s="33"/>
      <c r="L75" s="300"/>
      <c r="M75" s="300"/>
      <c r="N75" s="1174" t="s">
        <v>1860</v>
      </c>
      <c r="O75" s="1172"/>
      <c r="P75" s="1171"/>
      <c r="Q75" s="1171"/>
      <c r="R75" s="1173"/>
      <c r="S75" s="1175">
        <f>S15+S18+S44+S59+S68-S73+S56+S94+S100+Justificatif!N44</f>
        <v>0</v>
      </c>
      <c r="T75" s="5" t="s">
        <v>524</v>
      </c>
      <c r="U75" s="298" t="s">
        <v>3108</v>
      </c>
      <c r="V75" s="593"/>
      <c r="W75" s="593"/>
      <c r="X75" s="593"/>
      <c r="Y75" s="593"/>
      <c r="Z75" s="593"/>
      <c r="AC75" s="142" t="s">
        <v>3072</v>
      </c>
      <c r="AD75" s="60"/>
      <c r="AE75" s="60"/>
      <c r="AF75" s="60"/>
      <c r="AG75" s="60"/>
      <c r="AH75" s="60"/>
      <c r="AI75" s="1310" t="b">
        <f>IF(AND(AI73,AI74=FALSE),TRUE,FALSE)</f>
        <v>0</v>
      </c>
    </row>
    <row r="76" spans="1:37" s="27" customFormat="1" ht="18" customHeight="1">
      <c r="A76" s="1522"/>
      <c r="B76" s="599"/>
      <c r="C76" s="599"/>
      <c r="D76" s="599"/>
      <c r="E76" s="599"/>
      <c r="F76" s="599"/>
      <c r="G76" s="599"/>
      <c r="H76" s="599"/>
      <c r="I76" s="2410">
        <f>J118</f>
        <v>0</v>
      </c>
      <c r="J76" s="599"/>
      <c r="K76" s="599"/>
      <c r="L76" s="300"/>
      <c r="M76" s="300"/>
      <c r="N76" s="298" t="s">
        <v>2576</v>
      </c>
      <c r="O76" s="593"/>
      <c r="P76" s="593"/>
      <c r="Q76" s="593"/>
      <c r="R76" s="593"/>
      <c r="S76" s="593"/>
      <c r="T76" s="593"/>
      <c r="U76" s="751" t="s">
        <v>1815</v>
      </c>
      <c r="V76" s="1653">
        <v>1</v>
      </c>
      <c r="W76" s="1118">
        <v>2</v>
      </c>
      <c r="X76" s="1118">
        <v>3</v>
      </c>
      <c r="Y76" s="1652">
        <v>4</v>
      </c>
      <c r="Z76" s="1253" t="s">
        <v>1834</v>
      </c>
    </row>
    <row r="77" spans="1:37" s="27" customFormat="1" ht="18" customHeight="1">
      <c r="A77" s="1522"/>
      <c r="L77" s="300"/>
      <c r="M77" s="300"/>
      <c r="N77" s="751" t="s">
        <v>1815</v>
      </c>
      <c r="O77" s="717">
        <v>1</v>
      </c>
      <c r="P77" s="781">
        <v>2</v>
      </c>
      <c r="Q77" s="781">
        <v>3</v>
      </c>
      <c r="R77" s="1108">
        <v>4</v>
      </c>
      <c r="S77" s="1108" t="s">
        <v>2568</v>
      </c>
      <c r="T77" s="593"/>
      <c r="U77" s="127" t="s">
        <v>5099</v>
      </c>
      <c r="V77" s="1622">
        <f>IF(bern,Entrées!F23,F25)</f>
        <v>0</v>
      </c>
      <c r="W77" s="1623">
        <f>IF(bern,Entrées!G23,G25)</f>
        <v>0</v>
      </c>
      <c r="X77" s="1623">
        <f>IF(bern,Entrées!H23,H25)</f>
        <v>0</v>
      </c>
      <c r="Y77" s="1624">
        <f>IF(bern,Entrées!I23,I25)</f>
        <v>0</v>
      </c>
      <c r="Z77" s="2513">
        <f>SUM(V77:Y77)</f>
        <v>0</v>
      </c>
    </row>
    <row r="78" spans="1:37" s="27" customFormat="1" ht="18" customHeight="1">
      <c r="A78" s="1522"/>
      <c r="B78" s="599"/>
      <c r="C78" s="599"/>
      <c r="D78" s="599"/>
      <c r="E78" s="599"/>
      <c r="F78" s="599"/>
      <c r="G78" s="599"/>
      <c r="H78" s="599"/>
      <c r="I78" s="599"/>
      <c r="J78" s="599"/>
      <c r="K78" s="599"/>
      <c r="L78" s="300"/>
      <c r="M78" s="300"/>
      <c r="N78" s="1657" t="s">
        <v>2565</v>
      </c>
      <c r="O78" s="1454" t="b">
        <f>IF(Kategorie1&gt;3,TRUE,FALSE)</f>
        <v>0</v>
      </c>
      <c r="P78" s="1454" t="b">
        <f>IF(Kategorie2&gt;3,TRUE,FALSE)</f>
        <v>0</v>
      </c>
      <c r="Q78" s="1454" t="b">
        <f>IF(Kategorie3&gt;3,TRUE,FALSE)</f>
        <v>0</v>
      </c>
      <c r="R78" s="1454" t="b">
        <f>IF(Kategorie4&gt;3,TRUE,FALSE)</f>
        <v>0</v>
      </c>
      <c r="S78" s="1658"/>
      <c r="T78" s="593"/>
      <c r="U78" s="1603" t="s">
        <v>1830</v>
      </c>
      <c r="V78" s="2509">
        <f>IF(wohnen1,F23,0)</f>
        <v>0</v>
      </c>
      <c r="W78" s="2511">
        <f>IF(wohnen2,G23,0)</f>
        <v>0</v>
      </c>
      <c r="X78" s="2511">
        <f>IF(wohnen3,H23,0)</f>
        <v>0</v>
      </c>
      <c r="Y78" s="2510">
        <f>IF(wohnen4,I23,0)</f>
        <v>0</v>
      </c>
      <c r="Z78" s="1652">
        <f>SUM(V78:Y78)</f>
        <v>0</v>
      </c>
      <c r="AA78" s="143" t="s">
        <v>321</v>
      </c>
    </row>
    <row r="79" spans="1:37" s="593" customFormat="1" ht="18" customHeight="1">
      <c r="A79" s="1523"/>
      <c r="B79" s="599"/>
      <c r="C79" s="599"/>
      <c r="D79" s="599"/>
      <c r="E79" s="599"/>
      <c r="F79" s="599"/>
      <c r="G79" s="599"/>
      <c r="H79" s="599"/>
      <c r="I79" s="599"/>
      <c r="J79" s="599"/>
      <c r="K79" s="599"/>
      <c r="L79" s="600"/>
      <c r="M79" s="600"/>
      <c r="N79" s="1450" t="s">
        <v>2567</v>
      </c>
      <c r="O79" s="1449" t="b">
        <f>AND(_neu1,O78)</f>
        <v>0</v>
      </c>
      <c r="P79" s="1449" t="b">
        <f>AND(_neu2,P78)</f>
        <v>0</v>
      </c>
      <c r="Q79" s="1449" t="b">
        <f>AND(_neu3,Q78)</f>
        <v>0</v>
      </c>
      <c r="R79" s="1449" t="b">
        <f>AND(_neu4,R78)</f>
        <v>0</v>
      </c>
      <c r="S79" s="1450"/>
      <c r="U79" s="1651" t="s">
        <v>3109</v>
      </c>
      <c r="V79" s="1663">
        <f>IF(wohnen1,O25,0)</f>
        <v>0</v>
      </c>
      <c r="W79" s="1665">
        <f>IF(wohnen2,P25,0)</f>
        <v>0</v>
      </c>
      <c r="X79" s="1665">
        <f>IF(wohnen3,Q25,0)</f>
        <v>0</v>
      </c>
      <c r="Y79" s="1664">
        <f>IF(wohnen4,R25,0)</f>
        <v>0</v>
      </c>
      <c r="Z79" s="1654">
        <f>SUM(V79:Y79)</f>
        <v>0</v>
      </c>
    </row>
    <row r="80" spans="1:37" s="593" customFormat="1" ht="18" customHeight="1">
      <c r="A80" s="1523"/>
      <c r="B80" s="599"/>
      <c r="C80" s="599"/>
      <c r="D80" s="599"/>
      <c r="E80" s="599"/>
      <c r="F80" s="599"/>
      <c r="G80" s="599"/>
      <c r="H80" s="599"/>
      <c r="I80" s="599"/>
      <c r="J80" s="599"/>
      <c r="K80" s="599"/>
      <c r="L80" s="600"/>
      <c r="M80" s="600"/>
      <c r="N80" s="1450" t="s">
        <v>2572</v>
      </c>
      <c r="O80" s="1303">
        <f>IF(AND(_neu1,Kategorie1&gt;3),Entrées!O2,0)</f>
        <v>0</v>
      </c>
      <c r="P80" s="1303">
        <f>IF(AND(_neu2,Kategorie2&gt;3),Entrées!P2,0)</f>
        <v>0</v>
      </c>
      <c r="Q80" s="1303">
        <f>IF(AND(_neu3,Kategorie3&gt;3),Entrées!Q2,0)</f>
        <v>0</v>
      </c>
      <c r="R80" s="1303">
        <f>IF(AND(_neu4,Kategorie4&gt;3),Entrées!R2,0)</f>
        <v>0</v>
      </c>
      <c r="S80" s="813">
        <f>SUM(O80:R80)</f>
        <v>0</v>
      </c>
      <c r="T80" s="593" t="s">
        <v>321</v>
      </c>
      <c r="U80" s="1651" t="s">
        <v>3296</v>
      </c>
      <c r="V80" s="1666">
        <f>IF(V79&gt;0,V78/V79,V78)</f>
        <v>0</v>
      </c>
      <c r="W80" s="1667">
        <f>IF(W79&gt;0,W78/W79,W78)</f>
        <v>0</v>
      </c>
      <c r="X80" s="1667">
        <f>IF(X79&gt;0,X78/X79,X78)</f>
        <v>0</v>
      </c>
      <c r="Y80" s="1654">
        <f>IF(Y79&gt;0,Y78/Y79,Y78)</f>
        <v>0</v>
      </c>
      <c r="Z80" s="1705">
        <f>IF(Z79&gt;0,Z78/Z79,0)</f>
        <v>0</v>
      </c>
      <c r="AA80" s="1287" t="s">
        <v>3110</v>
      </c>
    </row>
    <row r="81" spans="1:27" s="593" customFormat="1" ht="18" customHeight="1">
      <c r="A81" s="1523"/>
      <c r="B81" s="599"/>
      <c r="C81" s="599"/>
      <c r="D81" s="599"/>
      <c r="E81" s="599"/>
      <c r="F81" s="599"/>
      <c r="G81" s="599"/>
      <c r="H81" s="599"/>
      <c r="I81" s="599"/>
      <c r="J81" s="599"/>
      <c r="K81" s="599"/>
      <c r="L81" s="600"/>
      <c r="M81" s="600"/>
      <c r="N81" s="1450" t="s">
        <v>2566</v>
      </c>
      <c r="O81" s="593" t="b">
        <f>AND($S$80&gt;250,O79)</f>
        <v>0</v>
      </c>
      <c r="P81" s="593" t="b">
        <f>AND($S$80&gt;250,P79)</f>
        <v>0</v>
      </c>
      <c r="Q81" s="593" t="b">
        <f>AND($S$80&gt;250,Q79)</f>
        <v>0</v>
      </c>
      <c r="R81" s="593" t="b">
        <f>AND($S$80&gt;250,R79)</f>
        <v>0</v>
      </c>
      <c r="S81" s="1450"/>
      <c r="T81" s="1287" t="s">
        <v>2578</v>
      </c>
      <c r="U81" s="1655" t="s">
        <v>3108</v>
      </c>
      <c r="V81" s="1663" t="b">
        <f>wohnen1</f>
        <v>0</v>
      </c>
      <c r="W81" s="1665" t="b">
        <f>wohnen2</f>
        <v>0</v>
      </c>
      <c r="X81" s="1665" t="b">
        <f>wohnen3</f>
        <v>0</v>
      </c>
      <c r="Y81" s="1664" t="b">
        <f>wohnen4</f>
        <v>0</v>
      </c>
      <c r="Z81" s="1458" t="b">
        <f>IF(AND(Z80&gt;=69,Z80&lt;=125),TRUE,FALSE)</f>
        <v>0</v>
      </c>
    </row>
    <row r="82" spans="1:27" s="593" customFormat="1" ht="18" customHeight="1">
      <c r="A82" s="1523"/>
      <c r="F82" s="599"/>
      <c r="G82" s="599"/>
      <c r="H82" s="599"/>
      <c r="I82" s="599"/>
      <c r="L82" s="600"/>
      <c r="M82" s="600"/>
      <c r="N82" s="1456" t="s">
        <v>3136</v>
      </c>
      <c r="O82" s="1457" t="b">
        <f>AND(O81,Mieter1=FALSE)</f>
        <v>0</v>
      </c>
      <c r="P82" s="1457" t="b">
        <f>AND(P81,Mieter2=FALSE)</f>
        <v>0</v>
      </c>
      <c r="Q82" s="1457" t="b">
        <f>AND(Q81,Mieter3=FALSE)</f>
        <v>0</v>
      </c>
      <c r="R82" s="1457" t="b">
        <f>AND(R81,Mieter4=FALSE)</f>
        <v>0</v>
      </c>
      <c r="S82" s="1456" t="b">
        <f>OR(O82,P82,Q82,R82)</f>
        <v>0</v>
      </c>
      <c r="U82" s="1657" t="s">
        <v>3112</v>
      </c>
      <c r="V82" s="1118">
        <f>IF(wohnen1,Standardwerte!AE65,0)</f>
        <v>0</v>
      </c>
      <c r="W82" s="1118">
        <f>IF(wohnen2,Standardwerte!AE66,0)</f>
        <v>0</v>
      </c>
      <c r="X82" s="1118">
        <f>IF(wohnen3,Standardwerte!AE67,0)</f>
        <v>0</v>
      </c>
      <c r="Y82" s="1118">
        <f>IF(wohnen4,Standardwerte!AE68,0)</f>
        <v>0</v>
      </c>
      <c r="Z82" s="1658"/>
      <c r="AA82" s="5" t="s">
        <v>524</v>
      </c>
    </row>
    <row r="83" spans="1:27" s="593" customFormat="1" ht="18" customHeight="1">
      <c r="A83" s="1523"/>
      <c r="F83" s="599"/>
      <c r="G83" s="599"/>
      <c r="H83" s="599"/>
      <c r="I83" s="599"/>
      <c r="L83" s="600"/>
      <c r="M83" s="600"/>
      <c r="N83" s="1450" t="s">
        <v>2571</v>
      </c>
      <c r="O83" s="1449" t="b">
        <f>AND(Kategorie1&gt;3,_neu1=FALSE)</f>
        <v>0</v>
      </c>
      <c r="P83" s="1449" t="b">
        <f>AND(Kategorie2&gt;3,_neu2=FALSE)</f>
        <v>0</v>
      </c>
      <c r="Q83" s="1449" t="b">
        <f>AND(Kategorie3&gt;3,_neu3=FALSE)</f>
        <v>0</v>
      </c>
      <c r="R83" s="1449" t="b">
        <f>AND(Kategorie4&gt;3,_neu4=FALSE)</f>
        <v>0</v>
      </c>
      <c r="S83" s="1450"/>
      <c r="U83" s="1306" t="s">
        <v>3113</v>
      </c>
      <c r="V83" s="1656">
        <f>IF(_EBF1&gt;0,IF(wohnen1,O44,0),0)</f>
        <v>0</v>
      </c>
      <c r="W83" s="1656">
        <f>IF(_EBF2&gt;0,IF(wohnen2,P44,0),0)</f>
        <v>0</v>
      </c>
      <c r="X83" s="1656">
        <f>IF(_EBF3&gt;0,IF(wohnen3,Q44,0),0)</f>
        <v>0</v>
      </c>
      <c r="Y83" s="1656">
        <f>IF(_EBF4&gt;0,IF(wohnen4,R44,0),0)</f>
        <v>0</v>
      </c>
      <c r="Z83" s="1450"/>
      <c r="AA83" s="5" t="s">
        <v>524</v>
      </c>
    </row>
    <row r="84" spans="1:27" s="593" customFormat="1" ht="18" customHeight="1">
      <c r="A84" s="1523"/>
      <c r="F84" s="599"/>
      <c r="G84" s="599"/>
      <c r="H84" s="599"/>
      <c r="I84" s="599"/>
      <c r="L84" s="600"/>
      <c r="M84" s="600"/>
      <c r="N84" s="1450" t="s">
        <v>3133</v>
      </c>
      <c r="O84" s="1303">
        <f>IF(AND(_neu1=FALSE,Kategorie1&gt;3),Entrées!O2,0)</f>
        <v>0</v>
      </c>
      <c r="P84" s="1303">
        <f>IF(AND(_neu2=FALSE,Kategorie2&gt;3),Entrées!P2,0)</f>
        <v>0</v>
      </c>
      <c r="Q84" s="1303">
        <f>IF(AND(_neu3=FALSE,Kategorie3&gt;3),Entrées!Q2,0)</f>
        <v>0</v>
      </c>
      <c r="R84" s="1303">
        <f>IF(AND(_neu4=FALSE,Kategorie4&gt;3),Entrées!R2,0)</f>
        <v>0</v>
      </c>
      <c r="S84" s="813">
        <f>SUM(O84:R84)</f>
        <v>0</v>
      </c>
      <c r="T84" s="593" t="s">
        <v>321</v>
      </c>
      <c r="U84" s="1415" t="s">
        <v>3246</v>
      </c>
      <c r="V84" s="1675">
        <f>IF(minergiea,INDEX(Standardwerte!$AI$71:$AI$83,Kategorie1,1),IF(minergiep,IF(_neu1,INDEX(Standardwerte!$Z$71:$Z$83,Kategorie1,1),INDEX(Standardwerte!$AA$71:$AA$83,Kategorie1,1)),IF(_neu1,INDEX(Standardwerte!$X$71:$X$83,Kategorie1,1),INDEX(Standardwerte!$Y$71:$Y$83,Kategorie1,1))))</f>
        <v>0</v>
      </c>
      <c r="W84" s="1675">
        <f>IF(minergiea,INDEX(Standardwerte!$AI$71:$AI$83,Kategorie2,1),IF(minergiep,IF(_neu2,INDEX(Standardwerte!$Z$71:$Z$83,Kategorie2,1),INDEX(Standardwerte!$AA$71:$AA$83,Kategorie2,1)),IF(_neu2,INDEX(Standardwerte!$X$71:$X$83,Kategorie2,1),INDEX(Standardwerte!$Y$71:$Y$83,Kategorie2,1))))</f>
        <v>0</v>
      </c>
      <c r="X84" s="1675">
        <f>IF(minergiea,INDEX(Standardwerte!$AI$71:$AI$83,Kategorie3,1),IF(minergiep,IF(_neu3,INDEX(Standardwerte!$Z$71:$Z$83,Kategorie3,1),INDEX(Standardwerte!$AA$71:$AA$83,Kategorie3,1)),IF(_neu3,INDEX(Standardwerte!$X$71:$X$83,Kategorie3,1),INDEX(Standardwerte!$Y$71:$Y$83,Kategorie3,1))))</f>
        <v>0</v>
      </c>
      <c r="Y84" s="1675">
        <f>IF(minergiea,INDEX(Standardwerte!$AI$71:$AI$83,Kategorie4,1),IF(minergiep,IF(_neu4,INDEX(Standardwerte!$Z$71:$Z$83,Kategorie4,1),INDEX(Standardwerte!$AA$71:$AA$83,Kategorie4,1)),IF(_neu4,INDEX(Standardwerte!$X$71:$X$83,Kategorie4,1),INDEX(Standardwerte!$Y$71:$Y$83,Kategorie4,1))))</f>
        <v>0</v>
      </c>
      <c r="Z84" s="1450"/>
      <c r="AA84" s="5" t="s">
        <v>3237</v>
      </c>
    </row>
    <row r="85" spans="1:27" s="593" customFormat="1" ht="18" customHeight="1">
      <c r="A85" s="1523"/>
      <c r="F85" s="599"/>
      <c r="G85" s="599"/>
      <c r="H85" s="599"/>
      <c r="I85" s="599"/>
      <c r="L85" s="600"/>
      <c r="M85" s="600"/>
      <c r="N85" s="1450" t="s">
        <v>3134</v>
      </c>
      <c r="O85" s="593" t="b">
        <f>AND($S$84&gt;250,O83)</f>
        <v>0</v>
      </c>
      <c r="P85" s="593" t="b">
        <f>AND($S$84&gt;250,P83)</f>
        <v>0</v>
      </c>
      <c r="Q85" s="593" t="b">
        <f>AND($S$84&gt;250,Q83)</f>
        <v>0</v>
      </c>
      <c r="R85" s="593" t="b">
        <f>AND($S$84&gt;250,R83)</f>
        <v>0</v>
      </c>
      <c r="S85" s="1450" t="b">
        <f>OR(O85,P85,Q85,R85)</f>
        <v>0</v>
      </c>
      <c r="U85" s="1415" t="s">
        <v>3421</v>
      </c>
      <c r="V85" s="1656">
        <f>IF(_EBF1&gt;0,IF(wohnen1,O26*(800/70+16)+100/70,0)*2+V82,0)</f>
        <v>0</v>
      </c>
      <c r="W85" s="1656">
        <f>IF(_EBF2&gt;0,IF(wohnen2,P26*(800/70+16)+100/70,0)*2+W82,0)</f>
        <v>0</v>
      </c>
      <c r="X85" s="1656">
        <f>IF(_EBF3&gt;0,IF(wohnen3,Q26*(800/70+16)+100/70,0)*2+X82,0)</f>
        <v>0</v>
      </c>
      <c r="Y85" s="1656">
        <f>IF(_EBF4&gt;0,IF(wohnen4,R26*(800/70+16)+100/70,0)*2+Y82,0)</f>
        <v>0</v>
      </c>
      <c r="Z85" s="1450"/>
      <c r="AA85" s="1287"/>
    </row>
    <row r="86" spans="1:27" s="593" customFormat="1" ht="18" customHeight="1">
      <c r="A86" s="1523"/>
      <c r="F86" s="599"/>
      <c r="G86" s="599"/>
      <c r="H86" s="599"/>
      <c r="I86" s="599"/>
      <c r="L86" s="600"/>
      <c r="M86" s="600"/>
      <c r="N86" s="1456" t="s">
        <v>2573</v>
      </c>
      <c r="O86" s="1457" t="b">
        <f>AND(O83=TRUE,F44=$N$12)</f>
        <v>0</v>
      </c>
      <c r="P86" s="1457" t="b">
        <f>AND(P83=TRUE,G44=$N$12)</f>
        <v>0</v>
      </c>
      <c r="Q86" s="1457" t="b">
        <f>AND(Q83=TRUE,H44=$N$12)</f>
        <v>0</v>
      </c>
      <c r="R86" s="1457" t="b">
        <f>AND(R83=TRUE,I44=$N$12)</f>
        <v>0</v>
      </c>
      <c r="S86" s="1456" t="b">
        <f>OR(O86,P86,Q86,R86)</f>
        <v>0</v>
      </c>
      <c r="T86" s="1287" t="s">
        <v>2579</v>
      </c>
      <c r="U86" s="1737" t="s">
        <v>3114</v>
      </c>
      <c r="V86" s="1668">
        <f>IF(V80&lt;70,V85,IF(V80&gt;125,V84,MAX(V84,V83+V82)))</f>
        <v>0</v>
      </c>
      <c r="W86" s="1668">
        <f>IF(W80&lt;70,W85,IF(W80&gt;125,W84,MAX(W84,W83+W82)))</f>
        <v>0</v>
      </c>
      <c r="X86" s="1668">
        <f>IF(X80&lt;70,X85,IF(X80&gt;125,X84,MAX(X84,X83+X82)))</f>
        <v>0</v>
      </c>
      <c r="Y86" s="1668">
        <f>IF(Y80&lt;70,Y85,IF(Y80&gt;125,Y84,MAX(Y84,Y83+Y82)))</f>
        <v>0</v>
      </c>
      <c r="Z86" s="1669"/>
      <c r="AA86" s="5" t="s">
        <v>524</v>
      </c>
    </row>
    <row r="87" spans="1:27" s="593" customFormat="1" ht="18" customHeight="1">
      <c r="A87" s="1523"/>
      <c r="F87" s="599"/>
      <c r="G87" s="599"/>
      <c r="H87" s="599"/>
      <c r="I87" s="599"/>
      <c r="L87" s="600"/>
      <c r="M87" s="600"/>
      <c r="N87" s="1450" t="s">
        <v>3136</v>
      </c>
      <c r="O87" s="593" t="b">
        <f>AND(O86,O97)</f>
        <v>0</v>
      </c>
      <c r="P87" s="593" t="b">
        <f>AND(P86,P97)</f>
        <v>0</v>
      </c>
      <c r="Q87" s="593" t="b">
        <f>AND(Q86,Q97)</f>
        <v>0</v>
      </c>
      <c r="R87" s="593" t="b">
        <f>AND(R86,R97)</f>
        <v>0</v>
      </c>
      <c r="S87" s="1450"/>
      <c r="U87" s="1736" t="s">
        <v>3423</v>
      </c>
      <c r="V87" s="1707">
        <f>IF(AND(wohnen1,_EBF1&gt;0),100/125*2,0)</f>
        <v>0</v>
      </c>
      <c r="W87" s="1707">
        <f>IF(AND(wohnen2,_EBF2&gt;0),100/125*2,0)</f>
        <v>0</v>
      </c>
      <c r="X87" s="1707">
        <f>IF(AND(wohnen3,_EBF3&gt;0),100/125*2,0)</f>
        <v>0</v>
      </c>
      <c r="Y87" s="1707">
        <f>IF(AND(wohnen4,_EBF4&gt;0),100/125*2,0)</f>
        <v>0</v>
      </c>
      <c r="Z87" s="1658"/>
      <c r="AA87" s="1287" t="s">
        <v>524</v>
      </c>
    </row>
    <row r="88" spans="1:27" s="593" customFormat="1" ht="18" customHeight="1">
      <c r="A88" s="1523"/>
      <c r="F88" s="599"/>
      <c r="G88" s="599"/>
      <c r="H88" s="599"/>
      <c r="I88" s="599"/>
      <c r="L88" s="600"/>
      <c r="M88" s="600"/>
      <c r="N88" s="1450" t="s">
        <v>3135</v>
      </c>
      <c r="O88" s="593" t="b">
        <f>OR(O82,O86)</f>
        <v>0</v>
      </c>
      <c r="P88" s="593" t="b">
        <f>OR(P82,P86)</f>
        <v>0</v>
      </c>
      <c r="Q88" s="593" t="b">
        <f>OR(Q82,Q86)</f>
        <v>0</v>
      </c>
      <c r="R88" s="593" t="b">
        <f>OR(R82,R86)</f>
        <v>0</v>
      </c>
      <c r="S88" s="1450" t="b">
        <f>OR(O88,P88,Q88,R88)</f>
        <v>0</v>
      </c>
      <c r="U88" s="1738" t="s">
        <v>3424</v>
      </c>
      <c r="V88" s="1656">
        <f>IF(AND(wohnen1,_EBF1&gt;0),100/70*2,0)</f>
        <v>0</v>
      </c>
      <c r="W88" s="1656">
        <f>IF(AND(wohnen2,_EBF2&gt;0),100/70*2,0)</f>
        <v>0</v>
      </c>
      <c r="X88" s="1656">
        <f>IF(AND(wohnen3,_EBF3&gt;0),100/70*2,0)</f>
        <v>0</v>
      </c>
      <c r="Y88" s="1656">
        <f>IF(AND(wohnen4,_EBF4&gt;0),100/70*2,0)</f>
        <v>0</v>
      </c>
      <c r="Z88" s="1450"/>
    </row>
    <row r="89" spans="1:27" s="593" customFormat="1" ht="18" customHeight="1">
      <c r="A89" s="1523"/>
      <c r="F89" s="599"/>
      <c r="G89" s="599"/>
      <c r="H89" s="599"/>
      <c r="I89" s="599"/>
      <c r="L89" s="600"/>
      <c r="M89" s="600"/>
      <c r="N89" s="1450" t="s">
        <v>2569</v>
      </c>
      <c r="O89" s="1449" t="b">
        <f>AND(O78,O82=FALSE,O86=FALSE,O53=TRUE)</f>
        <v>0</v>
      </c>
      <c r="P89" s="1449" t="b">
        <f>AND(P78,P82=FALSE,P86=FALSE,P53=TRUE)</f>
        <v>0</v>
      </c>
      <c r="Q89" s="1449" t="b">
        <f>AND(Q78,Q82=FALSE,Q86=FALSE,Q53=TRUE)</f>
        <v>0</v>
      </c>
      <c r="R89" s="1449" t="b">
        <f>AND(R78,R82=FALSE,R86=FALSE,R53=TRUE)</f>
        <v>0</v>
      </c>
      <c r="S89" s="1450"/>
      <c r="U89" s="1415" t="s">
        <v>3246</v>
      </c>
      <c r="V89" s="1656">
        <f>V84-V87-V82</f>
        <v>0</v>
      </c>
      <c r="W89" s="1656">
        <f>W84-W87-W82</f>
        <v>0</v>
      </c>
      <c r="X89" s="1656">
        <f>X84-X87-X82</f>
        <v>0</v>
      </c>
      <c r="Y89" s="1656">
        <f>Y84-Y87-Y82</f>
        <v>0</v>
      </c>
      <c r="Z89" s="1450"/>
      <c r="AA89" s="593" t="s">
        <v>3422</v>
      </c>
    </row>
    <row r="90" spans="1:27" s="593" customFormat="1" ht="18" customHeight="1">
      <c r="A90" s="1523"/>
      <c r="L90" s="600"/>
      <c r="M90" s="600"/>
      <c r="N90" s="1456" t="s">
        <v>2570</v>
      </c>
      <c r="O90" s="1457" t="b">
        <f>AND(O89,F48&gt;0,F49&gt;0)</f>
        <v>0</v>
      </c>
      <c r="P90" s="1457" t="b">
        <f>AND(P89,G48&gt;0,G49&gt;0)</f>
        <v>0</v>
      </c>
      <c r="Q90" s="1457" t="b">
        <f>AND(Q89,H48&gt;0,H49&gt;0)</f>
        <v>0</v>
      </c>
      <c r="R90" s="1457" t="b">
        <f>AND(R89,I48&gt;0,I49&gt;0)</f>
        <v>0</v>
      </c>
      <c r="S90" s="1456" t="b">
        <f>OR(O90,P90,Q90,R90)</f>
        <v>0</v>
      </c>
      <c r="T90" s="1287" t="s">
        <v>2580</v>
      </c>
      <c r="U90" s="1421" t="s">
        <v>3421</v>
      </c>
      <c r="V90" s="1706">
        <f>V85-V88-V82</f>
        <v>0</v>
      </c>
      <c r="W90" s="1706">
        <f>W85-W88-W82</f>
        <v>0</v>
      </c>
      <c r="X90" s="1706">
        <f>X85-X88-X82</f>
        <v>0</v>
      </c>
      <c r="Y90" s="1706">
        <f>Y85-Y88-Y82</f>
        <v>0</v>
      </c>
      <c r="Z90" s="1448"/>
      <c r="AA90" s="593" t="s">
        <v>3422</v>
      </c>
    </row>
    <row r="91" spans="1:27" s="593" customFormat="1" ht="18" customHeight="1">
      <c r="A91" s="1523"/>
      <c r="L91" s="600"/>
      <c r="M91" s="600"/>
      <c r="N91" s="1450" t="s">
        <v>2574</v>
      </c>
      <c r="O91" s="1303">
        <f>IF(OR(O82,O86,O90),Entrées!O2,0)</f>
        <v>0</v>
      </c>
      <c r="P91" s="1303">
        <f>IF(OR(P82,P86,P90),Entrées!P2,0)</f>
        <v>0</v>
      </c>
      <c r="Q91" s="1303">
        <f>IF(OR(Q82,Q86,Q90),Entrées!Q2,0)</f>
        <v>0</v>
      </c>
      <c r="R91" s="1303">
        <f>IF(OR(R82,R86,R90),Entrées!R2,0)</f>
        <v>0</v>
      </c>
      <c r="S91" s="813">
        <f>SUM(O91:R91)</f>
        <v>0</v>
      </c>
      <c r="T91" s="593" t="s">
        <v>321</v>
      </c>
      <c r="U91" s="1415" t="s">
        <v>5190</v>
      </c>
      <c r="V91" s="1656">
        <f>IF(AND(_EBF1&gt;0,wohnen1),(O26*(O25*800+125*0.8*20*O25)*(1-O43)+O33)/125/IF(O25&gt;0,O25,1)*2,0)</f>
        <v>0</v>
      </c>
      <c r="W91" s="1656">
        <f>IF(AND(_EBF2&gt;0,wohnen2),(P26*(P25*800+125*0.8*20*P25)*(1-P43)+P33)/125/IF(P25&gt;0,P25,1)*2,0)</f>
        <v>0</v>
      </c>
      <c r="X91" s="1656">
        <f>IF(AND(_EBF3&gt;0,wohnen3),(Q26*(Q25*800+125*0.8*20*Q25)*(1-Q43)+Q33)/125/IF(Q25&gt;0,Q25,1)*2,0)</f>
        <v>0</v>
      </c>
      <c r="Y91" s="1656">
        <f>IF(AND(_EBF1&gt;0,wohnen4),(R26*(R25*800+125*0.8*20*R25)*(1-R43)+R33)/125/IF(R25&gt;0,R25,1)*2,0)</f>
        <v>0</v>
      </c>
      <c r="Z91" s="1306"/>
    </row>
    <row r="92" spans="1:27" s="593" customFormat="1" ht="18" customHeight="1">
      <c r="A92" s="1523"/>
      <c r="L92" s="600"/>
      <c r="M92" s="600"/>
      <c r="N92" s="1306" t="s">
        <v>2583</v>
      </c>
      <c r="O92" s="1303">
        <f>IF(O91&gt;0,F48,0)</f>
        <v>0</v>
      </c>
      <c r="P92" s="1303">
        <f>IF(P91&gt;0,G48,0)</f>
        <v>0</v>
      </c>
      <c r="Q92" s="1303">
        <f>IF(Q91&gt;0,H48,0)</f>
        <v>0</v>
      </c>
      <c r="R92" s="1303">
        <f>IF(R91&gt;0,I48,0)</f>
        <v>0</v>
      </c>
      <c r="S92" s="813">
        <f>IF(S91&gt;0,(O91*O92+P91*P92+Q91*Q92+R91*R92)/S91,0)</f>
        <v>0</v>
      </c>
      <c r="T92" s="593" t="s">
        <v>524</v>
      </c>
      <c r="U92" s="1421" t="s">
        <v>5191</v>
      </c>
      <c r="V92" s="1706">
        <f>IF(AND(_EBF1&gt;0,wohnen1,O25&gt;0),(O26*(O25*800+70*0.8*20*O25)*(1-O43)+O33)/70/IF(O25&gt;0,O25,1)*2,0)</f>
        <v>0</v>
      </c>
      <c r="W92" s="1706">
        <f>IF(AND(_EBF2&gt;0,wohnen2,P25&gt;0),(P26*(P25*800+70*0.8*20*P25)*(1-P43)+P33)/70/IF(P25&gt;0,P25,1)*2,0)</f>
        <v>0</v>
      </c>
      <c r="X92" s="1706">
        <f>IF(AND(_EBF3&gt;0,wohnen3,Q25&gt;0),(Q26*(Q25*800+70*0.8*20*Q25)*(1-Q43)+Q33)/70/IF(Q25&gt;0,Q25,1)*2,0)</f>
        <v>0</v>
      </c>
      <c r="Y92" s="1706">
        <f>IF(AND(_EBF1&gt;0,wohnen4,R25&gt;0),(R26*(R25*800+70*0.8*20*R25)*(1-R43)+R33)/70/IF(R25&gt;0,R25,1)*2,0)</f>
        <v>0</v>
      </c>
      <c r="Z92" s="1460"/>
    </row>
    <row r="93" spans="1:27" s="593" customFormat="1" ht="18" customHeight="1">
      <c r="A93" s="1523"/>
      <c r="L93" s="600"/>
      <c r="M93" s="600"/>
      <c r="N93" s="1460" t="s">
        <v>2584</v>
      </c>
      <c r="O93" s="1446">
        <f>IF(O91&gt;0,F49,0)</f>
        <v>0</v>
      </c>
      <c r="P93" s="1446">
        <f>IF(P91&gt;0,G49,0)</f>
        <v>0</v>
      </c>
      <c r="Q93" s="1446">
        <f>IF(Q91&gt;0,H49,0)</f>
        <v>0</v>
      </c>
      <c r="R93" s="1446">
        <f>IF(R91&gt;0,I49,0)</f>
        <v>0</v>
      </c>
      <c r="S93" s="814">
        <f>IF(S91&gt;0,(O91*O93+P91*P93+Q91*Q93+R91*R93)/S91,0)</f>
        <v>0</v>
      </c>
      <c r="T93" s="593" t="s">
        <v>524</v>
      </c>
    </row>
    <row r="94" spans="1:27" s="593" customFormat="1" ht="18" customHeight="1">
      <c r="A94" s="1523"/>
      <c r="F94" s="599"/>
      <c r="G94" s="599"/>
      <c r="H94" s="599"/>
      <c r="I94" s="599"/>
      <c r="L94" s="600"/>
      <c r="M94" s="600"/>
      <c r="N94" s="1149" t="s">
        <v>1846</v>
      </c>
      <c r="O94" s="1198">
        <f>IF(Kategorie1&lt;&gt;13,IF(OR(O82,O86,O90),O93*2,0),0)</f>
        <v>0</v>
      </c>
      <c r="P94" s="1198">
        <f>IF(Kategorie2&lt;&gt;13,IF(OR(P82,P86,P90),P93*2,0),0)</f>
        <v>0</v>
      </c>
      <c r="Q94" s="1198">
        <f>IF(Kategorie3&lt;&gt;13,IF(OR(Q82,Q86,Q90),Q93*2,0),0)</f>
        <v>0</v>
      </c>
      <c r="R94" s="1198">
        <f>IF(Kategorie4&lt;&gt;13,IF(OR(R82,R86,R90),R93*2,0),0)</f>
        <v>0</v>
      </c>
      <c r="S94" s="1150">
        <f>IF(SUM(O94:R94)&gt;0,IF(EBF&gt;0,(IF(Kategorie1&lt;&gt;13,O91*O93,0)+IF(Kategorie2&lt;&gt;13,P91*P93,0)+IF(Kategorie3&lt;&gt;13,Q91*Q93,0)+IF(Kategorie4&lt;&gt;13,R91*R93,0))*2/(IF(Kategorie1&lt;&gt;13,_EBF1,0)+IF(Kategorie2&lt;&gt;13,_EBF2,0)+IF(Kategorie3&lt;&gt;13,_EBF3,0)+IF(Kategorie4&lt;&gt;13,_EBF4,0)),0),0)</f>
        <v>0</v>
      </c>
      <c r="T94" s="5" t="s">
        <v>524</v>
      </c>
    </row>
    <row r="95" spans="1:27" s="593" customFormat="1" ht="18" customHeight="1">
      <c r="A95" s="1523"/>
      <c r="F95" s="599"/>
      <c r="G95" s="599"/>
      <c r="H95" s="599"/>
      <c r="I95" s="599"/>
      <c r="L95" s="600"/>
      <c r="M95" s="600"/>
      <c r="N95" s="1844" t="s">
        <v>2582</v>
      </c>
      <c r="O95" s="1856">
        <f>INDEX(Standardwerte!$AD$71:$AD$83,Kategorie1,1)/2</f>
        <v>0</v>
      </c>
      <c r="P95" s="1856">
        <f>INDEX(Standardwerte!$AD$71:$AD$83,Kategorie2,1)/2</f>
        <v>0</v>
      </c>
      <c r="Q95" s="1856">
        <f>INDEX(Standardwerte!$AD$71:$AD$83,Kategorie3,1)/2</f>
        <v>0</v>
      </c>
      <c r="R95" s="1856">
        <f>INDEX(Standardwerte!$AD$71:$AD$83,Kategorie4,1)/2</f>
        <v>0</v>
      </c>
      <c r="S95" s="1669"/>
      <c r="T95" s="5" t="s">
        <v>524</v>
      </c>
    </row>
    <row r="96" spans="1:27" s="593" customFormat="1" ht="18" customHeight="1">
      <c r="A96" s="1523"/>
      <c r="F96" s="599"/>
      <c r="G96" s="599"/>
      <c r="H96" s="599"/>
      <c r="I96" s="599"/>
      <c r="L96" s="600"/>
      <c r="M96" s="600"/>
      <c r="N96" s="1310" t="s">
        <v>3924</v>
      </c>
      <c r="O96" s="1855" t="b">
        <f>AND(O78,O86,Mieter1=FALSE)</f>
        <v>0</v>
      </c>
      <c r="P96" s="1855" t="b">
        <f>AND(P78,P86,Mieter2=FALSE)</f>
        <v>0</v>
      </c>
      <c r="Q96" s="1855" t="b">
        <f>AND(Q78,Q86,Mieter3=FALSE)</f>
        <v>0</v>
      </c>
      <c r="R96" s="1855" t="b">
        <f>AND(R78,R86,Mieter4=FALSE)</f>
        <v>0</v>
      </c>
      <c r="S96" s="1310"/>
    </row>
    <row r="97" spans="1:20" s="593" customFormat="1" ht="18" customHeight="1">
      <c r="A97" s="1523"/>
      <c r="F97" s="599"/>
      <c r="G97" s="599"/>
      <c r="H97" s="599"/>
      <c r="I97" s="599"/>
      <c r="L97" s="600"/>
      <c r="M97" s="600"/>
      <c r="N97" s="1659" t="s">
        <v>3137</v>
      </c>
      <c r="O97" s="1457" t="b">
        <f>IF(Mieter1,FALSE,AND(O78,O82=FALSE,O86=FALSE,O90=FALSE))</f>
        <v>0</v>
      </c>
      <c r="P97" s="1457" t="b">
        <f>IF(Mieter2,FALSE,AND(P78,P82=FALSE,P86=FALSE,P90=FALSE))</f>
        <v>0</v>
      </c>
      <c r="Q97" s="1457" t="b">
        <f>IF(Mieter3,FALSE,AND(Q78,Q82=FALSE,Q86=FALSE,Q90=FALSE))</f>
        <v>0</v>
      </c>
      <c r="R97" s="1457" t="b">
        <f>IF(Mieter4,FALSE,AND(R78,R82=FALSE,R86=FALSE,R90=FALSE))</f>
        <v>0</v>
      </c>
      <c r="S97" s="1456"/>
      <c r="T97" s="1287" t="s">
        <v>2581</v>
      </c>
    </row>
    <row r="98" spans="1:20" s="593" customFormat="1" ht="18" customHeight="1">
      <c r="A98" s="1523"/>
      <c r="F98" s="599"/>
      <c r="G98" s="599"/>
      <c r="H98" s="599"/>
      <c r="I98" s="599"/>
      <c r="L98" s="600"/>
      <c r="M98" s="600"/>
      <c r="N98" s="1450" t="s">
        <v>2575</v>
      </c>
      <c r="O98" s="1303">
        <f>IF(OR(O97,AND(O51=FALSE,O56=0)),Entrées!O2,0)</f>
        <v>0</v>
      </c>
      <c r="P98" s="1303">
        <f>IF(OR(P97,AND(P51=FALSE,P56=0)),Entrées!P2,0)</f>
        <v>0</v>
      </c>
      <c r="Q98" s="1303">
        <f>IF(OR(Q97,AND(Q51=FALSE,Q56=0)),Entrées!Q2,0)</f>
        <v>0</v>
      </c>
      <c r="R98" s="1303">
        <f>IF(OR(R97,AND(R51=FALSE,R56=0)),Entrées!R2,0)</f>
        <v>0</v>
      </c>
      <c r="S98" s="813">
        <f>SUM(O98:R98)</f>
        <v>0</v>
      </c>
    </row>
    <row r="99" spans="1:20" s="593" customFormat="1" ht="18" customHeight="1">
      <c r="A99" s="1523"/>
      <c r="F99" s="599"/>
      <c r="G99" s="599"/>
      <c r="H99" s="599"/>
      <c r="I99" s="599"/>
      <c r="L99" s="600"/>
      <c r="M99" s="600"/>
      <c r="N99" s="1143" t="s">
        <v>1847</v>
      </c>
      <c r="O99" s="1126">
        <f>IF(O97,IF(F46=$N$12,0.8,1)*IF(F47=$N$12,0.8,1),1)</f>
        <v>1</v>
      </c>
      <c r="P99" s="1126">
        <f>IF(P97,IF(G46=$N$12,0.8,1)*IF(G47=$N$12,0.8,1),1)</f>
        <v>1</v>
      </c>
      <c r="Q99" s="1126">
        <f>IF(Q97,IF(H46=$N$12,0.8,1)*IF(H47=$N$12,0.8,1),1)</f>
        <v>1</v>
      </c>
      <c r="R99" s="1126">
        <f>IF(R97,IF(I46=$N$12,0.8,1)*IF(I47=$N$12,0.8,1),1)</f>
        <v>1</v>
      </c>
      <c r="S99" s="1143"/>
    </row>
    <row r="100" spans="1:20" s="593" customFormat="1" ht="18" customHeight="1">
      <c r="A100" s="1523"/>
      <c r="F100" s="599"/>
      <c r="G100" s="599"/>
      <c r="H100" s="599"/>
      <c r="I100" s="599"/>
      <c r="L100" s="600"/>
      <c r="M100" s="600"/>
      <c r="N100" s="1145" t="s">
        <v>1848</v>
      </c>
      <c r="O100" s="1155">
        <f>IF(O97,O99*O95,0)*2</f>
        <v>0</v>
      </c>
      <c r="P100" s="1156">
        <f>IF(P97,P99*P95,0)*2</f>
        <v>0</v>
      </c>
      <c r="Q100" s="1156">
        <f>IF(Q97,Q99*Q95,0)*2</f>
        <v>0</v>
      </c>
      <c r="R100" s="1121">
        <f>IF(R97,R99*R95,0)*2</f>
        <v>0</v>
      </c>
      <c r="S100" s="1148">
        <f>IF(EBF&gt;0,(IF(O97,O95*O98*O99,0)+IF(P97,P95*P98*P99,0)+IF(Q97,Q95*Q98*Q99,0)+IF(R97,R95*R98*R99,0))*2/(_EBF1+_EBF2+_EBF3+_EBF4),0)</f>
        <v>0</v>
      </c>
      <c r="T100" s="5" t="s">
        <v>524</v>
      </c>
    </row>
    <row r="101" spans="1:20" s="593" customFormat="1" ht="18" customHeight="1">
      <c r="A101" s="1523"/>
      <c r="F101" s="599"/>
      <c r="G101" s="599"/>
      <c r="H101" s="599"/>
      <c r="I101" s="599"/>
      <c r="L101" s="600"/>
      <c r="M101" s="600"/>
      <c r="N101" s="1468" t="s">
        <v>2590</v>
      </c>
    </row>
    <row r="102" spans="1:20" s="593" customFormat="1" ht="18" customHeight="1">
      <c r="A102" s="1523"/>
      <c r="F102" s="599"/>
      <c r="G102" s="599"/>
      <c r="H102" s="599"/>
      <c r="I102" s="599"/>
      <c r="L102" s="600"/>
      <c r="M102" s="600"/>
      <c r="N102" s="1117" t="s">
        <v>1815</v>
      </c>
      <c r="O102" s="717">
        <v>1</v>
      </c>
      <c r="P102" s="781">
        <v>2</v>
      </c>
      <c r="Q102" s="781">
        <v>3</v>
      </c>
      <c r="R102" s="1108">
        <v>4</v>
      </c>
      <c r="S102" s="1443" t="s">
        <v>2568</v>
      </c>
    </row>
    <row r="103" spans="1:20" s="593" customFormat="1" ht="18" customHeight="1">
      <c r="A103" s="1523"/>
      <c r="F103" s="599"/>
      <c r="G103" s="599"/>
      <c r="H103" s="599"/>
      <c r="I103" s="599"/>
      <c r="L103" s="600"/>
      <c r="M103" s="600"/>
      <c r="N103" s="1420" t="s">
        <v>2591</v>
      </c>
      <c r="O103" s="1469">
        <f>IF(Kategorie1&lt;&gt;13,Justificatif!G34*Justificatif!$N$52,0)</f>
        <v>0</v>
      </c>
      <c r="P103" s="1472">
        <f>IF(Kategorie2&lt;&gt;13,Justificatif!H34*Justificatif!$N$52,0)</f>
        <v>0</v>
      </c>
      <c r="Q103" s="1472">
        <f>IF(Kategorie3&lt;&gt;13,Justificatif!I34*Justificatif!$N$52,)</f>
        <v>0</v>
      </c>
      <c r="R103" s="1472">
        <f>IF(Kategorie4&lt;&gt;13,Justificatif!J34*Justificatif!$N$52,0)</f>
        <v>0</v>
      </c>
      <c r="S103" s="1473">
        <f>IF(OR(EBF=0,AND(MUKEN,EBF_MUKEN=0),AND(bern,EBF_MUKEN=0)),0,(O103*_EBF1+P103*_EBF2+Q103*_EBF3+R103*_EBF4)/IF(OR(MUKEN,bern),EBF_MUKEN,(_EBF1+_EBF2+_EBF3+_EBF4)))</f>
        <v>0</v>
      </c>
    </row>
    <row r="104" spans="1:20" s="593" customFormat="1" ht="18" customHeight="1">
      <c r="A104" s="1523"/>
      <c r="F104" s="599"/>
      <c r="G104" s="599"/>
      <c r="H104" s="599"/>
      <c r="I104" s="599"/>
      <c r="L104" s="600"/>
      <c r="M104" s="600"/>
      <c r="N104" s="1415" t="s">
        <v>2592</v>
      </c>
      <c r="O104" s="837">
        <f>IF(Kategorie1&lt;&gt;13,(Justificatif!G39+Justificatif!G40)*2,0)</f>
        <v>0</v>
      </c>
      <c r="P104" s="840">
        <f>IF(Kategorie2&lt;&gt;13,(Justificatif!H39+Justificatif!H40)*2,0)</f>
        <v>0</v>
      </c>
      <c r="Q104" s="840">
        <f>IF(Kategorie3&lt;&gt;13,(Justificatif!I39+Justificatif!I40)*2,0)</f>
        <v>0</v>
      </c>
      <c r="R104" s="840">
        <f>IF(Kategorie4&lt;&gt;13,(Justificatif!J39+Justificatif!J40)*2,0)</f>
        <v>0</v>
      </c>
      <c r="S104" s="1474">
        <f>IF(OR(EBF=0,AND(MUKEN,EBF_MUKEN=0),AND(bern,EBF_MUKEN=0)),0,(O104*_EBF1+P104*_EBF2+Q104*_EBF3+R104*_EBF4)/IF(OR(MUKEN,bern),EBF_MUKEN,(_EBF1+_EBF2+_EBF3+_EBF4)))</f>
        <v>0</v>
      </c>
    </row>
    <row r="105" spans="1:20" s="593" customFormat="1" ht="18" customHeight="1">
      <c r="A105" s="1523"/>
      <c r="F105" s="599"/>
      <c r="G105" s="599"/>
      <c r="H105" s="599"/>
      <c r="I105" s="599"/>
      <c r="L105" s="600"/>
      <c r="M105" s="600"/>
      <c r="N105" s="1421" t="s">
        <v>1814</v>
      </c>
      <c r="O105" s="1470">
        <f>O103+O104</f>
        <v>0</v>
      </c>
      <c r="P105" s="1471">
        <f>P103+P104</f>
        <v>0</v>
      </c>
      <c r="Q105" s="1471">
        <f>Q103+Q104</f>
        <v>0</v>
      </c>
      <c r="R105" s="1471">
        <f>R103+R104</f>
        <v>0</v>
      </c>
      <c r="S105" s="1475">
        <f>IF(OR(EBF=0,AND(MUKEN,EBF_MUKEN=0),AND(bern,EBF_MUKEN=0)),0,(O105*_EBF1+P105*_EBF2+Q105*_EBF3+R105*_EBF4)/IF(OR(MUKEN,bern),EBF_MUKEN,(_EBF1+_EBF2+_EBF3+_EBF4)))</f>
        <v>0</v>
      </c>
    </row>
    <row r="106" spans="1:20" s="593" customFormat="1" ht="18" customHeight="1">
      <c r="A106" s="1523"/>
      <c r="F106" s="599"/>
      <c r="G106" s="599"/>
      <c r="H106" s="599"/>
      <c r="I106" s="599"/>
      <c r="L106" s="600"/>
      <c r="M106" s="600"/>
      <c r="N106" s="1597" t="s">
        <v>3017</v>
      </c>
      <c r="O106" s="1598">
        <f>IF(Kategorie1&lt;&gt;13,(Justificatif!G39)*2,0)</f>
        <v>0</v>
      </c>
      <c r="P106" s="1599">
        <f>IF(Kategorie2&lt;&gt;13,(Justificatif!H39)*2,0)</f>
        <v>0</v>
      </c>
      <c r="Q106" s="1599">
        <f>IF(Kategorie3&lt;&gt;13,(Justificatif!I39)*2,0)</f>
        <v>0</v>
      </c>
      <c r="R106" s="1599">
        <f>IF(Kategorie4&lt;&gt;13,(Justificatif!J39)*2,0)</f>
        <v>0</v>
      </c>
      <c r="S106" s="1463">
        <f>IF(OR(EBF=0,AND(MUKEN,EBF_MUKEN=0),AND(bern,EBF_MUKEN=0)),0,(O106*_EBF1+P106*_EBF2+Q106*_EBF3+R106*_EBF4)/IF(OR(MUKEN,bern),EBF_MUKEN,(_EBF1+_EBF2+_EBF3+_EBF4)))</f>
        <v>0</v>
      </c>
    </row>
    <row r="107" spans="1:20" s="593" customFormat="1" ht="18" customHeight="1">
      <c r="A107" s="1523"/>
      <c r="F107" s="599"/>
      <c r="G107" s="599"/>
      <c r="H107" s="599"/>
      <c r="I107" s="599"/>
      <c r="L107" s="600"/>
      <c r="M107" s="600"/>
    </row>
    <row r="108" spans="1:20" s="593" customFormat="1" ht="18" customHeight="1">
      <c r="A108" s="1523"/>
      <c r="F108" s="599"/>
      <c r="G108" s="599"/>
      <c r="H108" s="599"/>
      <c r="I108" s="599"/>
      <c r="L108" s="600"/>
      <c r="M108" s="600"/>
      <c r="N108" s="1669" t="s">
        <v>3787</v>
      </c>
      <c r="O108" s="1171" t="b">
        <f>OR(Kategorie1=3,Kategorie2=3,Kategorie3=3,Kategorie4=3)</f>
        <v>0</v>
      </c>
      <c r="P108" s="1171" t="s">
        <v>3788</v>
      </c>
      <c r="Q108" s="1171"/>
      <c r="R108" s="1173"/>
    </row>
    <row r="109" spans="1:20" s="593" customFormat="1" ht="18" customHeight="1">
      <c r="A109" s="1523"/>
      <c r="F109" s="599"/>
      <c r="G109" s="599"/>
      <c r="H109" s="599"/>
      <c r="I109" s="599"/>
      <c r="L109" s="600"/>
      <c r="M109" s="600"/>
      <c r="N109" s="1844" t="s">
        <v>3789</v>
      </c>
      <c r="O109" s="1491">
        <f>IF(KategorieEFH,H118,0)</f>
        <v>0</v>
      </c>
      <c r="P109" s="1287" t="s">
        <v>672</v>
      </c>
    </row>
    <row r="110" spans="1:20" s="593" customFormat="1" ht="18" customHeight="1">
      <c r="A110" s="1523"/>
      <c r="F110" s="599"/>
      <c r="G110" s="599"/>
      <c r="H110" s="599"/>
      <c r="I110" s="599"/>
      <c r="L110" s="600"/>
      <c r="M110" s="600"/>
      <c r="N110" s="1844" t="s">
        <v>3790</v>
      </c>
      <c r="O110" s="1669" t="b">
        <v>1</v>
      </c>
    </row>
    <row r="111" spans="1:20" s="593" customFormat="1" ht="18" customHeight="1">
      <c r="A111" s="1523"/>
      <c r="F111" s="599"/>
      <c r="G111" s="599"/>
      <c r="H111" s="599"/>
      <c r="I111" s="599"/>
      <c r="L111" s="600"/>
      <c r="M111" s="600"/>
    </row>
    <row r="112" spans="1:20" s="593" customFormat="1" ht="18" customHeight="1">
      <c r="A112" s="1523"/>
      <c r="F112" s="599"/>
      <c r="G112" s="599"/>
      <c r="H112" s="599"/>
      <c r="I112" s="599"/>
      <c r="L112" s="600"/>
      <c r="M112" s="600"/>
    </row>
    <row r="113" spans="1:14" s="593" customFormat="1" ht="18" customHeight="1">
      <c r="A113" s="1523"/>
      <c r="F113" s="599"/>
      <c r="G113" s="599"/>
      <c r="H113" s="599"/>
      <c r="I113" s="599"/>
      <c r="L113" s="600"/>
      <c r="M113" s="600"/>
    </row>
    <row r="114" spans="1:14" s="593" customFormat="1" ht="18" hidden="1" customHeight="1">
      <c r="A114" s="1523"/>
      <c r="F114" s="599"/>
      <c r="G114" s="599"/>
      <c r="H114" s="599"/>
      <c r="I114" s="599"/>
      <c r="L114" s="600"/>
      <c r="M114" s="600"/>
    </row>
    <row r="115" spans="1:14" s="593" customFormat="1" ht="18" hidden="1" customHeight="1">
      <c r="A115" s="1520"/>
      <c r="B115" s="2746" t="str">
        <f>Uebersetzung!D463</f>
        <v>Autoproduction d‘électricité</v>
      </c>
      <c r="C115" s="2747"/>
      <c r="D115" s="2747"/>
      <c r="E115" s="2747"/>
      <c r="F115" s="2748"/>
      <c r="G115" s="2741" t="str">
        <f>Uebersetzung!D413</f>
        <v>Apport annuel spécifique [kWh/kWp]</v>
      </c>
      <c r="H115" s="2742"/>
      <c r="I115" s="2743" t="str">
        <f>Uebersetzung!D381</f>
        <v>Besoins personnels [%]</v>
      </c>
      <c r="J115" s="2744"/>
      <c r="K115" s="2745"/>
      <c r="L115" s="600"/>
      <c r="M115" s="600"/>
    </row>
    <row r="116" spans="1:14" s="593" customFormat="1" ht="18" hidden="1" customHeight="1">
      <c r="A116" s="1525"/>
      <c r="B116" s="5"/>
      <c r="C116" s="5"/>
      <c r="D116" s="5"/>
      <c r="E116" s="5"/>
      <c r="F116" s="5"/>
      <c r="G116" s="1494" t="str">
        <f>Justificatif!I7</f>
        <v>Valeur calculée</v>
      </c>
      <c r="H116" s="1496" t="str">
        <f>Justificatif!H7</f>
        <v>Entrée</v>
      </c>
      <c r="I116" s="1497" t="str">
        <f>G116</f>
        <v>Valeur calculée</v>
      </c>
      <c r="J116" s="2757" t="str">
        <f>H116</f>
        <v>Entrée</v>
      </c>
      <c r="K116" s="2758"/>
      <c r="L116" s="600"/>
      <c r="M116" s="600"/>
    </row>
    <row r="117" spans="1:14" s="593" customFormat="1" ht="18" hidden="1" customHeight="1">
      <c r="A117" s="1538" t="s">
        <v>1905</v>
      </c>
      <c r="B117" s="2761" t="str">
        <f>Uebersetzung!D382</f>
        <v>Puissance installée (sans CCF) [kWp]</v>
      </c>
      <c r="C117" s="2762"/>
      <c r="D117" s="2763"/>
      <c r="E117" s="2427">
        <f>Entrées!F51</f>
        <v>0</v>
      </c>
      <c r="F117" s="1441" t="s">
        <v>1858</v>
      </c>
      <c r="G117" s="1495">
        <f>IF(OR(H117="",H117=0),800,H117)</f>
        <v>800</v>
      </c>
      <c r="H117" s="2428">
        <f>Entrées!F53</f>
        <v>0</v>
      </c>
      <c r="I117" s="1498">
        <f>AI71</f>
        <v>0.2</v>
      </c>
      <c r="J117" s="2759">
        <f>Entrées!J53</f>
        <v>0</v>
      </c>
      <c r="K117" s="2760"/>
      <c r="L117" s="600"/>
      <c r="M117" s="600"/>
      <c r="N117" s="2465"/>
    </row>
    <row r="118" spans="1:14" s="593" customFormat="1" ht="18" hidden="1" customHeight="1">
      <c r="A118" s="1529" t="s">
        <v>2603</v>
      </c>
      <c r="B118" s="2764" t="str">
        <f>Uebersetzung!D414</f>
        <v>Puissance installée spécifique, par m2 SRE [W/m2] :</v>
      </c>
      <c r="C118" s="2765"/>
      <c r="D118" s="2766"/>
      <c r="E118" s="1489">
        <f>IF(EBF&gt;0,E117*1000/EBF,0)</f>
        <v>0</v>
      </c>
      <c r="F118" s="1490" t="s">
        <v>1859</v>
      </c>
      <c r="G118" s="1503" t="str">
        <f>Uebersetzung!D475</f>
        <v>Capacité de la batterie [kWh]</v>
      </c>
      <c r="H118" s="2429">
        <f>Entrées!J52</f>
        <v>0</v>
      </c>
      <c r="I118" s="1502" t="str">
        <f>Uebersetzung!D476</f>
        <v>Pertes de la batterie [%]:</v>
      </c>
      <c r="J118" s="2755">
        <v>0</v>
      </c>
      <c r="K118" s="2756"/>
      <c r="L118" s="600"/>
      <c r="M118" s="600"/>
    </row>
    <row r="119" spans="1:14" s="593" customFormat="1" ht="18" hidden="1" customHeight="1">
      <c r="A119" s="1539" t="s">
        <v>1906</v>
      </c>
      <c r="B119" s="2752" t="str">
        <f>Uebersetzung!D452</f>
        <v>Taille min. de l'installation d’autoproduction d’électricité [kWp]:</v>
      </c>
      <c r="C119" s="2753"/>
      <c r="D119" s="2754"/>
      <c r="E119" s="1492">
        <f>IF(Z73,"0",MIN(30,MAX(Z67*0.01+Justificatif!Q28*EBF/G117,0)))</f>
        <v>0</v>
      </c>
      <c r="F119" s="1493" t="s">
        <v>1858</v>
      </c>
      <c r="G119" s="1335"/>
      <c r="H119" s="1336" t="str">
        <f>Uebersetzung!D386</f>
        <v xml:space="preserve">Exigence remplie?    </v>
      </c>
      <c r="I119" s="2701" t="str">
        <f>IF(wkk,Uebersetzung!D25,IF(EBF=0,"",IF(E119="0",Uebersetzung!$D$25,IF(ROUND(E117,2)&gt;=ROUND(E119,2),Uebersetzung!$D$25,Uebersetzung!$D$26))))</f>
        <v/>
      </c>
      <c r="J119" s="2702"/>
      <c r="K119" s="2703"/>
      <c r="L119" s="600"/>
      <c r="M119" s="600"/>
    </row>
    <row r="120" spans="1:14" s="593" customFormat="1" ht="18" hidden="1" customHeight="1">
      <c r="A120" s="1525"/>
      <c r="B120" s="1386" t="s">
        <v>2214</v>
      </c>
      <c r="C120" s="1367"/>
      <c r="D120" s="1367"/>
      <c r="E120" s="1367"/>
      <c r="F120" s="1385"/>
      <c r="G120" s="1389" t="str">
        <f>Uebersetzung!D456</f>
        <v>Indice partiel
Besoins</v>
      </c>
      <c r="H120" s="1390" t="str">
        <f>Uebersetzung!D457</f>
        <v>Production PV
(pondérée)</v>
      </c>
      <c r="I120" s="1391"/>
      <c r="J120" s="1391"/>
      <c r="K120" s="1392"/>
      <c r="L120" s="600"/>
      <c r="M120" s="600"/>
    </row>
    <row r="121" spans="1:14" s="593" customFormat="1" ht="18" hidden="1" customHeight="1">
      <c r="A121" s="1527" t="s">
        <v>1910</v>
      </c>
      <c r="B121" s="2749" t="str">
        <f>Uebersetzung!D455</f>
        <v>Les besoins sont couverts par la production d’électricité:</v>
      </c>
      <c r="C121" s="2750"/>
      <c r="D121" s="2750"/>
      <c r="E121" s="2751"/>
      <c r="F121" s="1338" t="s">
        <v>524</v>
      </c>
      <c r="G121" s="1387">
        <f>S15+S18+S44+S56+S59+S68+S94+S100+S19</f>
        <v>0</v>
      </c>
      <c r="H121" s="1388">
        <f>IF(EBF&gt;0,G117*E117/EBF-Justificatif!Q28,0)*2</f>
        <v>0</v>
      </c>
      <c r="I121" s="2738" t="str">
        <f>IF(EBF=0,"",IF(H121="0",Uebersetzung!$D$25,IF(ROUND(H121,1)&gt;=ROUND(G121,1),Uebersetzung!$D$25,Uebersetzung!$D$26)))</f>
        <v/>
      </c>
      <c r="J121" s="2739"/>
      <c r="K121" s="2740"/>
      <c r="L121" s="600"/>
      <c r="M121" s="600"/>
    </row>
    <row r="122" spans="1:14" s="593" customFormat="1" ht="18" hidden="1" customHeight="1">
      <c r="A122" s="1523"/>
      <c r="F122" s="599"/>
      <c r="G122" s="599"/>
      <c r="H122" s="599"/>
      <c r="I122" s="599"/>
      <c r="L122" s="600"/>
      <c r="M122" s="600"/>
    </row>
    <row r="123" spans="1:14" s="593" customFormat="1" ht="18" hidden="1" customHeight="1">
      <c r="A123" s="1523"/>
      <c r="F123" s="599"/>
      <c r="G123" s="599"/>
      <c r="H123" s="599"/>
      <c r="I123" s="599"/>
      <c r="L123" s="600"/>
      <c r="M123" s="600"/>
    </row>
    <row r="124" spans="1:14" s="593" customFormat="1" ht="18" customHeight="1">
      <c r="A124" s="1523"/>
      <c r="F124" s="599"/>
      <c r="G124" s="599"/>
      <c r="H124" s="599"/>
      <c r="I124" s="599"/>
      <c r="L124" s="600"/>
      <c r="M124" s="600"/>
    </row>
    <row r="125" spans="1:14" s="593" customFormat="1" ht="18" customHeight="1">
      <c r="A125" s="1523"/>
      <c r="F125" s="599"/>
      <c r="G125" s="599"/>
      <c r="H125" s="599"/>
      <c r="I125" s="599"/>
      <c r="L125" s="600"/>
      <c r="M125" s="600"/>
    </row>
    <row r="126" spans="1:14" s="593" customFormat="1" ht="18" customHeight="1">
      <c r="A126" s="1523"/>
      <c r="F126" s="599"/>
      <c r="G126" s="599"/>
      <c r="H126" s="599"/>
      <c r="I126" s="599"/>
      <c r="L126" s="600"/>
      <c r="M126" s="600"/>
    </row>
    <row r="127" spans="1:14" s="593" customFormat="1" ht="18" customHeight="1">
      <c r="A127" s="1523"/>
      <c r="F127" s="599"/>
      <c r="G127" s="599"/>
      <c r="H127" s="599"/>
      <c r="I127" s="599"/>
      <c r="L127" s="600"/>
      <c r="M127" s="600"/>
    </row>
    <row r="128" spans="1:14" s="593" customFormat="1" ht="18" customHeight="1">
      <c r="A128" s="1523"/>
      <c r="F128" s="599"/>
      <c r="G128" s="599"/>
      <c r="H128" s="599"/>
      <c r="I128" s="599"/>
      <c r="L128" s="600"/>
      <c r="M128" s="600"/>
    </row>
    <row r="129" spans="1:13" s="593" customFormat="1" ht="18" customHeight="1">
      <c r="A129" s="1523"/>
      <c r="F129" s="599"/>
      <c r="G129" s="599"/>
      <c r="H129" s="599"/>
      <c r="I129" s="599"/>
      <c r="L129" s="600"/>
      <c r="M129" s="600"/>
    </row>
    <row r="130" spans="1:13" s="593" customFormat="1" ht="18" customHeight="1">
      <c r="A130" s="1523"/>
      <c r="F130" s="599"/>
      <c r="G130" s="599"/>
      <c r="H130" s="599"/>
      <c r="I130" s="599"/>
      <c r="L130" s="600"/>
      <c r="M130" s="600"/>
    </row>
    <row r="131" spans="1:13" s="593" customFormat="1" ht="18" customHeight="1">
      <c r="A131" s="1523"/>
      <c r="F131" s="599"/>
      <c r="G131" s="599"/>
      <c r="H131" s="599"/>
      <c r="I131" s="599"/>
      <c r="L131" s="600"/>
      <c r="M131" s="600"/>
    </row>
    <row r="132" spans="1:13" s="593" customFormat="1" ht="18" customHeight="1">
      <c r="A132" s="1523"/>
      <c r="F132" s="599"/>
      <c r="G132" s="599"/>
      <c r="H132" s="599"/>
      <c r="I132" s="599"/>
      <c r="L132" s="600"/>
      <c r="M132" s="600"/>
    </row>
    <row r="133" spans="1:13" s="593" customFormat="1" ht="18" customHeight="1">
      <c r="A133" s="1523"/>
      <c r="F133" s="599"/>
      <c r="G133" s="599"/>
      <c r="H133" s="599"/>
      <c r="I133" s="599"/>
      <c r="L133" s="600"/>
      <c r="M133" s="600"/>
    </row>
    <row r="134" spans="1:13" s="593" customFormat="1" ht="18" customHeight="1">
      <c r="A134" s="1523"/>
      <c r="F134" s="599"/>
      <c r="G134" s="599"/>
      <c r="H134" s="599"/>
      <c r="I134" s="599"/>
      <c r="L134" s="600"/>
      <c r="M134" s="600"/>
    </row>
    <row r="135" spans="1:13" s="593" customFormat="1" ht="18" customHeight="1">
      <c r="A135" s="1523"/>
      <c r="F135" s="599"/>
      <c r="G135" s="599"/>
      <c r="H135" s="599"/>
      <c r="I135" s="599"/>
      <c r="L135" s="600"/>
      <c r="M135" s="600"/>
    </row>
    <row r="136" spans="1:13" s="593" customFormat="1" ht="18" customHeight="1">
      <c r="A136" s="1523"/>
      <c r="F136" s="599"/>
      <c r="G136" s="599"/>
      <c r="H136" s="599"/>
      <c r="I136" s="599"/>
      <c r="L136" s="600"/>
      <c r="M136" s="600"/>
    </row>
    <row r="137" spans="1:13" s="593" customFormat="1" ht="18" customHeight="1">
      <c r="A137" s="1523"/>
      <c r="F137" s="599"/>
      <c r="G137" s="599"/>
      <c r="H137" s="599"/>
      <c r="I137" s="599"/>
      <c r="L137" s="600"/>
      <c r="M137" s="600"/>
    </row>
    <row r="138" spans="1:13" s="593" customFormat="1" ht="18" customHeight="1">
      <c r="A138" s="1523"/>
      <c r="F138" s="599"/>
      <c r="G138" s="599"/>
      <c r="H138" s="599"/>
      <c r="I138" s="599"/>
      <c r="L138" s="600"/>
      <c r="M138" s="600"/>
    </row>
    <row r="139" spans="1:13" s="593" customFormat="1" ht="18" customHeight="1">
      <c r="A139" s="1523"/>
      <c r="F139" s="599"/>
      <c r="G139" s="599"/>
      <c r="H139" s="599"/>
      <c r="I139" s="599"/>
      <c r="L139" s="600"/>
      <c r="M139" s="600"/>
    </row>
    <row r="140" spans="1:13" s="593" customFormat="1" ht="18" customHeight="1">
      <c r="A140" s="1523"/>
      <c r="F140" s="599"/>
      <c r="G140" s="599"/>
      <c r="H140" s="599"/>
      <c r="I140" s="599"/>
      <c r="L140" s="600"/>
      <c r="M140" s="600"/>
    </row>
    <row r="141" spans="1:13" s="593" customFormat="1" ht="18" customHeight="1">
      <c r="A141" s="1523"/>
      <c r="F141" s="599"/>
      <c r="G141" s="599"/>
      <c r="H141" s="599"/>
      <c r="I141" s="599"/>
      <c r="L141" s="600"/>
      <c r="M141" s="600"/>
    </row>
    <row r="142" spans="1:13" s="593" customFormat="1" ht="18" customHeight="1">
      <c r="A142" s="1523"/>
      <c r="F142" s="599"/>
      <c r="G142" s="599"/>
      <c r="H142" s="599"/>
      <c r="I142" s="599"/>
      <c r="L142" s="600"/>
      <c r="M142" s="600"/>
    </row>
    <row r="143" spans="1:13" s="593" customFormat="1" ht="18" customHeight="1">
      <c r="A143" s="1523"/>
      <c r="F143" s="599"/>
      <c r="G143" s="599"/>
      <c r="H143" s="599"/>
      <c r="I143" s="599"/>
      <c r="L143" s="600"/>
      <c r="M143" s="600"/>
    </row>
    <row r="144" spans="1:13" s="593" customFormat="1" ht="18" customHeight="1">
      <c r="A144" s="1523"/>
      <c r="F144" s="599"/>
      <c r="G144" s="599"/>
      <c r="H144" s="599"/>
      <c r="I144" s="599"/>
      <c r="L144" s="600"/>
      <c r="M144" s="600"/>
    </row>
    <row r="145" spans="1:13" s="593" customFormat="1" ht="18" customHeight="1">
      <c r="A145" s="1523"/>
      <c r="F145" s="599"/>
      <c r="G145" s="599"/>
      <c r="H145" s="599"/>
      <c r="I145" s="599"/>
      <c r="L145" s="600"/>
      <c r="M145" s="600"/>
    </row>
    <row r="146" spans="1:13" s="593" customFormat="1" ht="18" customHeight="1">
      <c r="A146" s="1523"/>
      <c r="F146" s="599"/>
      <c r="G146" s="599"/>
      <c r="H146" s="599"/>
      <c r="I146" s="599"/>
      <c r="L146" s="600"/>
      <c r="M146" s="600"/>
    </row>
    <row r="147" spans="1:13" s="593" customFormat="1" ht="18" customHeight="1">
      <c r="A147" s="1523"/>
      <c r="F147" s="599"/>
      <c r="G147" s="599"/>
      <c r="H147" s="599"/>
      <c r="I147" s="599"/>
      <c r="L147" s="600"/>
      <c r="M147" s="600"/>
    </row>
    <row r="148" spans="1:13" s="593" customFormat="1" ht="18" customHeight="1">
      <c r="A148" s="1523"/>
      <c r="F148" s="599"/>
      <c r="G148" s="599"/>
      <c r="H148" s="599"/>
      <c r="I148" s="599"/>
      <c r="L148" s="600"/>
      <c r="M148" s="600"/>
    </row>
    <row r="149" spans="1:13" s="593" customFormat="1" ht="18" customHeight="1">
      <c r="A149" s="1523"/>
      <c r="F149" s="599"/>
      <c r="G149" s="599"/>
      <c r="H149" s="599"/>
      <c r="I149" s="599"/>
      <c r="L149" s="600"/>
      <c r="M149" s="600"/>
    </row>
    <row r="150" spans="1:13" s="593" customFormat="1" ht="18" customHeight="1">
      <c r="A150" s="1523"/>
      <c r="F150" s="599"/>
      <c r="G150" s="599"/>
      <c r="H150" s="599"/>
      <c r="I150" s="599"/>
      <c r="L150" s="600"/>
      <c r="M150" s="600"/>
    </row>
    <row r="151" spans="1:13" s="593" customFormat="1" ht="18" customHeight="1">
      <c r="A151" s="1523"/>
      <c r="F151" s="599"/>
      <c r="G151" s="599"/>
      <c r="H151" s="599"/>
      <c r="I151" s="599"/>
      <c r="L151" s="600"/>
      <c r="M151" s="600"/>
    </row>
    <row r="152" spans="1:13" s="593" customFormat="1" ht="18" customHeight="1">
      <c r="A152" s="1523"/>
      <c r="F152" s="599"/>
      <c r="G152" s="599"/>
      <c r="H152" s="599"/>
      <c r="I152" s="599"/>
      <c r="L152" s="600"/>
      <c r="M152" s="600"/>
    </row>
    <row r="153" spans="1:13" s="593" customFormat="1" ht="18" customHeight="1">
      <c r="A153" s="1523"/>
      <c r="F153" s="599"/>
      <c r="G153" s="599"/>
      <c r="H153" s="599"/>
      <c r="I153" s="599"/>
      <c r="L153" s="600"/>
      <c r="M153" s="600"/>
    </row>
    <row r="154" spans="1:13" s="593" customFormat="1" ht="18" customHeight="1">
      <c r="A154" s="1523"/>
      <c r="F154" s="599"/>
      <c r="G154" s="599"/>
      <c r="H154" s="599"/>
      <c r="I154" s="599"/>
      <c r="L154" s="600"/>
      <c r="M154" s="600"/>
    </row>
    <row r="155" spans="1:13" s="593" customFormat="1" ht="18" customHeight="1">
      <c r="A155" s="1523"/>
      <c r="F155" s="599"/>
      <c r="G155" s="599"/>
      <c r="H155" s="599"/>
      <c r="I155" s="599"/>
      <c r="L155" s="600"/>
      <c r="M155" s="600"/>
    </row>
    <row r="156" spans="1:13" s="593" customFormat="1" ht="18" customHeight="1">
      <c r="A156" s="1523"/>
      <c r="F156" s="599"/>
      <c r="G156" s="599"/>
      <c r="H156" s="599"/>
      <c r="I156" s="599"/>
      <c r="L156" s="600"/>
      <c r="M156" s="600"/>
    </row>
    <row r="157" spans="1:13" s="593" customFormat="1" ht="18" customHeight="1">
      <c r="A157" s="1523"/>
      <c r="F157" s="599"/>
      <c r="G157" s="599"/>
      <c r="H157" s="599"/>
      <c r="I157" s="599"/>
      <c r="L157" s="600"/>
      <c r="M157" s="600"/>
    </row>
    <row r="158" spans="1:13" s="593" customFormat="1" ht="18" customHeight="1">
      <c r="A158" s="1523"/>
      <c r="F158" s="599"/>
      <c r="G158" s="599"/>
      <c r="H158" s="599"/>
      <c r="I158" s="599"/>
      <c r="L158" s="600"/>
      <c r="M158" s="600"/>
    </row>
    <row r="159" spans="1:13" s="593" customFormat="1" ht="18" customHeight="1">
      <c r="A159" s="1523"/>
      <c r="F159" s="599"/>
      <c r="G159" s="599"/>
      <c r="H159" s="599"/>
      <c r="I159" s="599"/>
      <c r="L159" s="600"/>
      <c r="M159" s="600"/>
    </row>
    <row r="160" spans="1:13" s="593" customFormat="1" ht="18" customHeight="1">
      <c r="A160" s="1523"/>
      <c r="F160" s="599"/>
      <c r="G160" s="599"/>
      <c r="H160" s="599"/>
      <c r="I160" s="599"/>
      <c r="L160" s="600"/>
      <c r="M160" s="600"/>
    </row>
    <row r="161" spans="1:13" s="593" customFormat="1" ht="18" customHeight="1">
      <c r="A161" s="1523"/>
      <c r="F161" s="599"/>
      <c r="G161" s="599"/>
      <c r="H161" s="599"/>
      <c r="I161" s="599"/>
      <c r="L161" s="600"/>
      <c r="M161" s="600"/>
    </row>
    <row r="162" spans="1:13" s="593" customFormat="1" ht="18" customHeight="1">
      <c r="A162" s="1523"/>
      <c r="F162" s="599"/>
      <c r="G162" s="599"/>
      <c r="H162" s="599"/>
      <c r="I162" s="599"/>
      <c r="L162" s="600"/>
      <c r="M162" s="600"/>
    </row>
    <row r="163" spans="1:13" s="593" customFormat="1" ht="18" customHeight="1">
      <c r="A163" s="1523"/>
      <c r="F163" s="599"/>
      <c r="G163" s="599"/>
      <c r="H163" s="599"/>
      <c r="I163" s="599"/>
      <c r="L163" s="600"/>
      <c r="M163" s="600"/>
    </row>
    <row r="164" spans="1:13" s="593" customFormat="1" ht="18" customHeight="1">
      <c r="A164" s="1523"/>
      <c r="F164" s="599"/>
      <c r="G164" s="599"/>
      <c r="H164" s="599"/>
      <c r="I164" s="599"/>
      <c r="L164" s="600"/>
      <c r="M164" s="600"/>
    </row>
    <row r="165" spans="1:13" s="593" customFormat="1" ht="18" customHeight="1">
      <c r="A165" s="1523"/>
      <c r="F165" s="599"/>
      <c r="G165" s="599"/>
      <c r="H165" s="599"/>
      <c r="I165" s="599"/>
      <c r="L165" s="600"/>
      <c r="M165" s="600"/>
    </row>
    <row r="166" spans="1:13" s="593" customFormat="1" ht="18" customHeight="1">
      <c r="A166" s="1523"/>
      <c r="F166" s="599"/>
      <c r="G166" s="599"/>
      <c r="H166" s="599"/>
      <c r="I166" s="599"/>
      <c r="L166" s="600"/>
      <c r="M166" s="600"/>
    </row>
    <row r="167" spans="1:13" s="593" customFormat="1" ht="18" customHeight="1">
      <c r="A167" s="1523"/>
      <c r="F167" s="599"/>
      <c r="G167" s="599"/>
      <c r="H167" s="599"/>
      <c r="I167" s="599"/>
      <c r="L167" s="600"/>
      <c r="M167" s="600"/>
    </row>
    <row r="168" spans="1:13" s="593" customFormat="1" ht="18" customHeight="1">
      <c r="A168" s="1523"/>
      <c r="F168" s="599"/>
      <c r="G168" s="599"/>
      <c r="H168" s="599"/>
      <c r="I168" s="599"/>
      <c r="L168" s="600"/>
      <c r="M168" s="600"/>
    </row>
    <row r="169" spans="1:13" s="593" customFormat="1" ht="18" customHeight="1">
      <c r="A169" s="1523"/>
      <c r="F169" s="599"/>
      <c r="G169" s="599"/>
      <c r="H169" s="599"/>
      <c r="I169" s="599"/>
      <c r="L169" s="600"/>
      <c r="M169" s="600"/>
    </row>
    <row r="170" spans="1:13" s="593" customFormat="1" ht="18" customHeight="1">
      <c r="A170" s="1523"/>
      <c r="F170" s="599"/>
      <c r="G170" s="599"/>
      <c r="H170" s="599"/>
      <c r="I170" s="599"/>
      <c r="L170" s="600"/>
      <c r="M170" s="600"/>
    </row>
    <row r="171" spans="1:13" s="593" customFormat="1" ht="18" customHeight="1">
      <c r="A171" s="1523"/>
      <c r="F171" s="599"/>
      <c r="G171" s="599"/>
      <c r="H171" s="599"/>
      <c r="I171" s="599"/>
      <c r="L171" s="600"/>
      <c r="M171" s="600"/>
    </row>
    <row r="172" spans="1:13" s="593" customFormat="1" ht="18" customHeight="1">
      <c r="A172" s="1523"/>
      <c r="F172" s="599"/>
      <c r="G172" s="599"/>
      <c r="H172" s="599"/>
      <c r="I172" s="599"/>
      <c r="L172" s="600"/>
      <c r="M172" s="600"/>
    </row>
    <row r="173" spans="1:13" s="593" customFormat="1" ht="18" customHeight="1">
      <c r="A173" s="1523"/>
      <c r="F173" s="599"/>
      <c r="G173" s="599"/>
      <c r="H173" s="599"/>
      <c r="I173" s="599"/>
      <c r="L173" s="600"/>
      <c r="M173" s="600"/>
    </row>
    <row r="174" spans="1:13" s="593" customFormat="1" ht="18" customHeight="1">
      <c r="A174" s="1523"/>
      <c r="F174" s="599"/>
      <c r="G174" s="599"/>
      <c r="H174" s="599"/>
      <c r="I174" s="599"/>
      <c r="L174" s="600"/>
      <c r="M174" s="600"/>
    </row>
    <row r="175" spans="1:13" s="593" customFormat="1" ht="18" customHeight="1">
      <c r="A175" s="1523"/>
      <c r="F175" s="599"/>
      <c r="G175" s="599"/>
      <c r="H175" s="599"/>
      <c r="I175" s="599"/>
      <c r="L175" s="600"/>
      <c r="M175" s="600"/>
    </row>
    <row r="176" spans="1:13" s="593" customFormat="1" ht="18" customHeight="1">
      <c r="A176" s="1523"/>
      <c r="F176" s="599"/>
      <c r="G176" s="599"/>
      <c r="H176" s="599"/>
      <c r="I176" s="599"/>
      <c r="L176" s="600"/>
      <c r="M176" s="600"/>
    </row>
    <row r="177" spans="1:13" s="593" customFormat="1" ht="18" customHeight="1">
      <c r="A177" s="1523"/>
      <c r="F177" s="599"/>
      <c r="G177" s="599"/>
      <c r="H177" s="599"/>
      <c r="I177" s="599"/>
      <c r="L177" s="600"/>
      <c r="M177" s="600"/>
    </row>
    <row r="178" spans="1:13" s="593" customFormat="1" ht="18" customHeight="1">
      <c r="A178" s="1523"/>
      <c r="F178" s="599"/>
      <c r="G178" s="599"/>
      <c r="H178" s="599"/>
      <c r="I178" s="599"/>
      <c r="L178" s="600"/>
      <c r="M178" s="600"/>
    </row>
    <row r="179" spans="1:13" s="593" customFormat="1" ht="18" customHeight="1">
      <c r="A179" s="1523"/>
      <c r="F179" s="599"/>
      <c r="G179" s="599"/>
      <c r="H179" s="599"/>
      <c r="I179" s="599"/>
      <c r="L179" s="600"/>
      <c r="M179" s="600"/>
    </row>
    <row r="180" spans="1:13" s="593" customFormat="1" ht="18" customHeight="1">
      <c r="A180" s="1523"/>
      <c r="F180" s="599"/>
      <c r="G180" s="599"/>
      <c r="H180" s="599"/>
      <c r="I180" s="599"/>
      <c r="L180" s="600"/>
      <c r="M180" s="600"/>
    </row>
    <row r="181" spans="1:13" s="593" customFormat="1" ht="18" customHeight="1">
      <c r="A181" s="1523"/>
      <c r="F181" s="599"/>
      <c r="G181" s="599"/>
      <c r="H181" s="599"/>
      <c r="I181" s="599"/>
      <c r="L181" s="600"/>
      <c r="M181" s="600"/>
    </row>
    <row r="182" spans="1:13" s="593" customFormat="1" ht="18" customHeight="1">
      <c r="A182" s="1523"/>
      <c r="F182" s="599"/>
      <c r="G182" s="599"/>
      <c r="H182" s="599"/>
      <c r="I182" s="599"/>
      <c r="L182" s="600"/>
      <c r="M182" s="600"/>
    </row>
    <row r="183" spans="1:13" s="593" customFormat="1" ht="18" customHeight="1">
      <c r="A183" s="1523"/>
      <c r="F183" s="599"/>
      <c r="G183" s="599"/>
      <c r="H183" s="599"/>
      <c r="I183" s="599"/>
      <c r="L183" s="600"/>
      <c r="M183" s="600"/>
    </row>
    <row r="184" spans="1:13" s="593" customFormat="1" ht="18" customHeight="1">
      <c r="A184" s="1523"/>
      <c r="F184" s="599"/>
      <c r="G184" s="599"/>
      <c r="H184" s="599"/>
      <c r="I184" s="599"/>
      <c r="L184" s="600"/>
      <c r="M184" s="600"/>
    </row>
    <row r="185" spans="1:13" s="593" customFormat="1" ht="18" customHeight="1">
      <c r="A185" s="1523"/>
      <c r="F185" s="599"/>
      <c r="G185" s="599"/>
      <c r="H185" s="599"/>
      <c r="I185" s="599"/>
      <c r="L185" s="600"/>
      <c r="M185" s="600"/>
    </row>
    <row r="186" spans="1:13" s="593" customFormat="1" ht="18" customHeight="1">
      <c r="A186" s="1523"/>
      <c r="F186" s="599"/>
      <c r="G186" s="599"/>
      <c r="H186" s="599"/>
      <c r="I186" s="599"/>
      <c r="L186" s="600"/>
      <c r="M186" s="600"/>
    </row>
    <row r="187" spans="1:13" s="593" customFormat="1" ht="18" customHeight="1">
      <c r="A187" s="1523"/>
      <c r="F187" s="599"/>
      <c r="G187" s="599"/>
      <c r="H187" s="599"/>
      <c r="I187" s="599"/>
      <c r="L187" s="600"/>
      <c r="M187" s="600"/>
    </row>
    <row r="188" spans="1:13" s="593" customFormat="1" ht="18" customHeight="1">
      <c r="A188" s="1523"/>
      <c r="F188" s="599"/>
      <c r="G188" s="599"/>
      <c r="H188" s="599"/>
      <c r="I188" s="599"/>
      <c r="L188" s="600"/>
      <c r="M188" s="600"/>
    </row>
    <row r="189" spans="1:13" s="593" customFormat="1" ht="18" customHeight="1">
      <c r="A189" s="1523"/>
      <c r="F189" s="599"/>
      <c r="G189" s="599"/>
      <c r="H189" s="599"/>
      <c r="I189" s="599"/>
      <c r="L189" s="600"/>
      <c r="M189" s="600"/>
    </row>
    <row r="190" spans="1:13" s="593" customFormat="1" ht="18" customHeight="1">
      <c r="A190" s="1523"/>
      <c r="F190" s="599"/>
      <c r="G190" s="599"/>
      <c r="H190" s="599"/>
      <c r="I190" s="599"/>
      <c r="L190" s="600"/>
      <c r="M190" s="600"/>
    </row>
    <row r="191" spans="1:13" s="593" customFormat="1" ht="18" customHeight="1">
      <c r="A191" s="1523"/>
      <c r="F191" s="599"/>
      <c r="G191" s="599"/>
      <c r="H191" s="599"/>
      <c r="I191" s="599"/>
      <c r="L191" s="600"/>
      <c r="M191" s="600"/>
    </row>
    <row r="192" spans="1:13" s="593" customFormat="1" ht="18" customHeight="1">
      <c r="A192" s="1523"/>
      <c r="F192" s="599"/>
      <c r="G192" s="599"/>
      <c r="H192" s="599"/>
      <c r="I192" s="599"/>
      <c r="L192" s="600"/>
      <c r="M192" s="600"/>
    </row>
    <row r="193" spans="1:13" s="593" customFormat="1" ht="18" customHeight="1">
      <c r="A193" s="1523"/>
      <c r="F193" s="599"/>
      <c r="G193" s="599"/>
      <c r="H193" s="599"/>
      <c r="I193" s="599"/>
      <c r="L193" s="600"/>
      <c r="M193" s="600"/>
    </row>
    <row r="194" spans="1:13" s="593" customFormat="1" ht="18" customHeight="1">
      <c r="A194" s="1523"/>
      <c r="F194" s="599"/>
      <c r="G194" s="599"/>
      <c r="H194" s="599"/>
      <c r="I194" s="599"/>
      <c r="L194" s="600"/>
      <c r="M194" s="600"/>
    </row>
    <row r="195" spans="1:13" s="593" customFormat="1" ht="18" customHeight="1">
      <c r="A195" s="1523"/>
      <c r="F195" s="599"/>
      <c r="G195" s="599"/>
      <c r="H195" s="599"/>
      <c r="I195" s="599"/>
      <c r="L195" s="600"/>
      <c r="M195" s="600"/>
    </row>
    <row r="196" spans="1:13" s="593" customFormat="1" ht="18" customHeight="1">
      <c r="A196" s="1523"/>
      <c r="F196" s="599"/>
      <c r="G196" s="599"/>
      <c r="H196" s="599"/>
      <c r="I196" s="599"/>
      <c r="L196" s="600"/>
      <c r="M196" s="600"/>
    </row>
    <row r="197" spans="1:13" s="593" customFormat="1" ht="18" customHeight="1">
      <c r="A197" s="1523"/>
      <c r="F197" s="599"/>
      <c r="G197" s="599"/>
      <c r="H197" s="599"/>
      <c r="I197" s="599"/>
      <c r="L197" s="600"/>
      <c r="M197" s="600"/>
    </row>
    <row r="198" spans="1:13" s="593" customFormat="1" ht="18" customHeight="1">
      <c r="A198" s="1523"/>
      <c r="F198" s="599"/>
      <c r="G198" s="599"/>
      <c r="H198" s="599"/>
      <c r="I198" s="599"/>
      <c r="L198" s="600"/>
      <c r="M198" s="600"/>
    </row>
    <row r="199" spans="1:13" s="593" customFormat="1" ht="18" customHeight="1">
      <c r="A199" s="1523"/>
      <c r="F199" s="599"/>
      <c r="G199" s="599"/>
      <c r="H199" s="599"/>
      <c r="I199" s="599"/>
      <c r="L199" s="600"/>
      <c r="M199" s="600"/>
    </row>
    <row r="200" spans="1:13" s="593" customFormat="1" ht="18" customHeight="1">
      <c r="A200" s="1523"/>
      <c r="F200" s="599"/>
      <c r="G200" s="599"/>
      <c r="H200" s="599"/>
      <c r="I200" s="599"/>
      <c r="L200" s="600"/>
      <c r="M200" s="600"/>
    </row>
    <row r="201" spans="1:13" s="593" customFormat="1" ht="18" customHeight="1">
      <c r="A201" s="1523"/>
      <c r="F201" s="599"/>
      <c r="G201" s="599"/>
      <c r="H201" s="599"/>
      <c r="I201" s="599"/>
      <c r="L201" s="600"/>
      <c r="M201" s="600"/>
    </row>
    <row r="202" spans="1:13" s="593" customFormat="1" ht="18" customHeight="1">
      <c r="A202" s="1523"/>
      <c r="F202" s="599"/>
      <c r="G202" s="599"/>
      <c r="H202" s="599"/>
      <c r="I202" s="599"/>
      <c r="L202" s="600"/>
      <c r="M202" s="600"/>
    </row>
    <row r="203" spans="1:13" s="593" customFormat="1" ht="18" customHeight="1">
      <c r="A203" s="1523"/>
      <c r="F203" s="599"/>
      <c r="G203" s="599"/>
      <c r="H203" s="599"/>
      <c r="I203" s="599"/>
      <c r="L203" s="600"/>
      <c r="M203" s="600"/>
    </row>
    <row r="204" spans="1:13" s="593" customFormat="1" ht="18" customHeight="1">
      <c r="A204" s="1523"/>
      <c r="F204" s="599"/>
      <c r="G204" s="599"/>
      <c r="H204" s="599"/>
      <c r="I204" s="599"/>
      <c r="L204" s="600"/>
      <c r="M204" s="600"/>
    </row>
    <row r="205" spans="1:13" s="593" customFormat="1" ht="18" customHeight="1">
      <c r="A205" s="1523"/>
      <c r="F205" s="599"/>
      <c r="G205" s="599"/>
      <c r="H205" s="599"/>
      <c r="I205" s="599"/>
      <c r="L205" s="600"/>
      <c r="M205" s="600"/>
    </row>
    <row r="206" spans="1:13" s="593" customFormat="1" ht="18" customHeight="1">
      <c r="A206" s="1523"/>
      <c r="F206" s="599"/>
      <c r="G206" s="599"/>
      <c r="H206" s="599"/>
      <c r="I206" s="599"/>
      <c r="L206" s="600"/>
      <c r="M206" s="600"/>
    </row>
    <row r="207" spans="1:13" s="593" customFormat="1" ht="18" customHeight="1">
      <c r="A207" s="1523"/>
      <c r="F207" s="599"/>
      <c r="G207" s="599"/>
      <c r="H207" s="599"/>
      <c r="I207" s="599"/>
      <c r="L207" s="600"/>
      <c r="M207" s="600"/>
    </row>
    <row r="208" spans="1:13" s="593" customFormat="1" ht="18" customHeight="1">
      <c r="A208" s="1523"/>
      <c r="F208" s="599"/>
      <c r="G208" s="599"/>
      <c r="H208" s="599"/>
      <c r="I208" s="599"/>
      <c r="L208" s="600"/>
      <c r="M208" s="600"/>
    </row>
    <row r="209" spans="1:13" s="593" customFormat="1" ht="18" customHeight="1">
      <c r="A209" s="1523"/>
      <c r="F209" s="599"/>
      <c r="G209" s="599"/>
      <c r="H209" s="599"/>
      <c r="I209" s="599"/>
      <c r="L209" s="600"/>
      <c r="M209" s="600"/>
    </row>
    <row r="210" spans="1:13" s="593" customFormat="1" ht="18" customHeight="1">
      <c r="A210" s="1523"/>
      <c r="F210" s="599"/>
      <c r="G210" s="599"/>
      <c r="H210" s="599"/>
      <c r="I210" s="599"/>
      <c r="L210" s="600"/>
      <c r="M210" s="600"/>
    </row>
    <row r="211" spans="1:13" s="593" customFormat="1" ht="18" customHeight="1">
      <c r="A211" s="1523"/>
      <c r="F211" s="599"/>
      <c r="G211" s="599"/>
      <c r="H211" s="599"/>
      <c r="I211" s="599"/>
      <c r="L211" s="600"/>
      <c r="M211" s="600"/>
    </row>
    <row r="212" spans="1:13" s="593" customFormat="1" ht="18" customHeight="1">
      <c r="A212" s="1523"/>
      <c r="F212" s="599"/>
      <c r="G212" s="599"/>
      <c r="H212" s="599"/>
      <c r="I212" s="599"/>
      <c r="L212" s="600"/>
      <c r="M212" s="600"/>
    </row>
    <row r="213" spans="1:13" s="593" customFormat="1" ht="18" customHeight="1">
      <c r="A213" s="1523"/>
      <c r="F213" s="599"/>
      <c r="G213" s="599"/>
      <c r="H213" s="599"/>
      <c r="I213" s="599"/>
      <c r="L213" s="600"/>
      <c r="M213" s="600"/>
    </row>
    <row r="214" spans="1:13" s="593" customFormat="1" ht="18" customHeight="1">
      <c r="A214" s="1523"/>
      <c r="F214" s="599"/>
      <c r="G214" s="599"/>
      <c r="H214" s="599"/>
      <c r="I214" s="599"/>
      <c r="L214" s="600"/>
      <c r="M214" s="600"/>
    </row>
    <row r="215" spans="1:13" s="593" customFormat="1" ht="18" customHeight="1">
      <c r="A215" s="1523"/>
      <c r="F215" s="599"/>
      <c r="G215" s="599"/>
      <c r="H215" s="599"/>
      <c r="I215" s="599"/>
      <c r="L215" s="600"/>
      <c r="M215" s="600"/>
    </row>
    <row r="216" spans="1:13" s="593" customFormat="1" ht="18" customHeight="1">
      <c r="A216" s="1523"/>
      <c r="F216" s="599"/>
      <c r="G216" s="599"/>
      <c r="H216" s="599"/>
      <c r="I216" s="599"/>
      <c r="L216" s="600"/>
      <c r="M216" s="600"/>
    </row>
    <row r="217" spans="1:13" s="593" customFormat="1" ht="18" customHeight="1">
      <c r="A217" s="1523"/>
      <c r="F217" s="599"/>
      <c r="G217" s="599"/>
      <c r="H217" s="599"/>
      <c r="I217" s="599"/>
      <c r="L217" s="600"/>
      <c r="M217" s="600"/>
    </row>
    <row r="218" spans="1:13" s="593" customFormat="1" ht="18" customHeight="1">
      <c r="A218" s="1523"/>
      <c r="F218" s="599"/>
      <c r="G218" s="599"/>
      <c r="H218" s="599"/>
      <c r="I218" s="599"/>
      <c r="L218" s="600"/>
      <c r="M218" s="600"/>
    </row>
    <row r="219" spans="1:13" s="593" customFormat="1" ht="18" customHeight="1">
      <c r="A219" s="1523"/>
      <c r="F219" s="599"/>
      <c r="G219" s="599"/>
      <c r="H219" s="599"/>
      <c r="I219" s="599"/>
      <c r="L219" s="600"/>
      <c r="M219" s="600"/>
    </row>
    <row r="220" spans="1:13" s="593" customFormat="1" ht="18" customHeight="1">
      <c r="A220" s="1523"/>
      <c r="F220" s="599"/>
      <c r="G220" s="599"/>
      <c r="H220" s="599"/>
      <c r="I220" s="599"/>
      <c r="L220" s="600"/>
      <c r="M220" s="600"/>
    </row>
    <row r="221" spans="1:13" s="593" customFormat="1" ht="18" customHeight="1">
      <c r="A221" s="1523"/>
      <c r="F221" s="599"/>
      <c r="G221" s="599"/>
      <c r="H221" s="599"/>
      <c r="I221" s="599"/>
      <c r="L221" s="600"/>
      <c r="M221" s="600"/>
    </row>
    <row r="222" spans="1:13" s="593" customFormat="1" ht="18" customHeight="1">
      <c r="A222" s="1523"/>
      <c r="F222" s="599"/>
      <c r="G222" s="599"/>
      <c r="H222" s="599"/>
      <c r="I222" s="599"/>
      <c r="L222" s="600"/>
      <c r="M222" s="600"/>
    </row>
    <row r="223" spans="1:13" s="593" customFormat="1" ht="18" customHeight="1">
      <c r="A223" s="1523"/>
      <c r="F223" s="599"/>
      <c r="G223" s="599"/>
      <c r="H223" s="599"/>
      <c r="I223" s="599"/>
      <c r="L223" s="600"/>
      <c r="M223" s="600"/>
    </row>
    <row r="224" spans="1:13" s="593" customFormat="1" ht="18" customHeight="1">
      <c r="A224" s="1523"/>
      <c r="F224" s="599"/>
      <c r="G224" s="599"/>
      <c r="H224" s="599"/>
      <c r="I224" s="599"/>
      <c r="L224" s="600"/>
      <c r="M224" s="600"/>
    </row>
    <row r="225" spans="1:13" s="593" customFormat="1" ht="18" customHeight="1">
      <c r="A225" s="1523"/>
      <c r="F225" s="599"/>
      <c r="G225" s="599"/>
      <c r="H225" s="599"/>
      <c r="I225" s="599"/>
      <c r="L225" s="600"/>
      <c r="M225" s="600"/>
    </row>
    <row r="226" spans="1:13" s="593" customFormat="1" ht="18" customHeight="1">
      <c r="A226" s="1523"/>
      <c r="F226" s="599"/>
      <c r="G226" s="599"/>
      <c r="H226" s="599"/>
      <c r="I226" s="599"/>
      <c r="L226" s="600"/>
      <c r="M226" s="600"/>
    </row>
    <row r="227" spans="1:13" s="593" customFormat="1" ht="18" customHeight="1">
      <c r="A227" s="1523"/>
      <c r="F227" s="599"/>
      <c r="G227" s="599"/>
      <c r="H227" s="599"/>
      <c r="I227" s="599"/>
      <c r="L227" s="600"/>
      <c r="M227" s="600"/>
    </row>
    <row r="228" spans="1:13" s="593" customFormat="1" ht="18" customHeight="1">
      <c r="A228" s="1523"/>
      <c r="F228" s="599"/>
      <c r="G228" s="599"/>
      <c r="H228" s="599"/>
      <c r="I228" s="599"/>
      <c r="L228" s="600"/>
      <c r="M228" s="600"/>
    </row>
    <row r="229" spans="1:13" s="593" customFormat="1" ht="18" customHeight="1">
      <c r="A229" s="1523"/>
      <c r="F229" s="599"/>
      <c r="G229" s="599"/>
      <c r="H229" s="599"/>
      <c r="I229" s="599"/>
      <c r="L229" s="600"/>
      <c r="M229" s="600"/>
    </row>
    <row r="230" spans="1:13" s="593" customFormat="1" ht="18" customHeight="1">
      <c r="A230" s="1523"/>
      <c r="F230" s="599"/>
      <c r="G230" s="599"/>
      <c r="H230" s="599"/>
      <c r="I230" s="599"/>
      <c r="L230" s="600"/>
      <c r="M230" s="600"/>
    </row>
    <row r="231" spans="1:13" s="593" customFormat="1" ht="18" customHeight="1">
      <c r="A231" s="1523"/>
      <c r="F231" s="599"/>
      <c r="G231" s="599"/>
      <c r="H231" s="599"/>
      <c r="I231" s="599"/>
      <c r="L231" s="600"/>
      <c r="M231" s="600"/>
    </row>
    <row r="232" spans="1:13" s="593" customFormat="1" ht="18" customHeight="1">
      <c r="A232" s="1523"/>
      <c r="F232" s="599"/>
      <c r="G232" s="599"/>
      <c r="H232" s="599"/>
      <c r="I232" s="599"/>
      <c r="L232" s="600"/>
      <c r="M232" s="600"/>
    </row>
    <row r="233" spans="1:13" s="593" customFormat="1" ht="18" customHeight="1">
      <c r="A233" s="1523"/>
      <c r="F233" s="599"/>
      <c r="G233" s="599"/>
      <c r="H233" s="599"/>
      <c r="I233" s="599"/>
      <c r="L233" s="600"/>
      <c r="M233" s="600"/>
    </row>
    <row r="234" spans="1:13" s="593" customFormat="1" ht="18" customHeight="1">
      <c r="A234" s="1523"/>
      <c r="F234" s="599"/>
      <c r="G234" s="599"/>
      <c r="H234" s="599"/>
      <c r="I234" s="599"/>
      <c r="L234" s="600"/>
      <c r="M234" s="600"/>
    </row>
    <row r="235" spans="1:13" s="593" customFormat="1" ht="18" customHeight="1">
      <c r="A235" s="1523"/>
      <c r="F235" s="599"/>
      <c r="G235" s="599"/>
      <c r="H235" s="599"/>
      <c r="I235" s="599"/>
      <c r="L235" s="600"/>
      <c r="M235" s="600"/>
    </row>
    <row r="236" spans="1:13" s="593" customFormat="1" ht="18" customHeight="1">
      <c r="A236" s="1523"/>
      <c r="F236" s="599"/>
      <c r="G236" s="599"/>
      <c r="H236" s="599"/>
      <c r="I236" s="599"/>
      <c r="L236" s="600"/>
      <c r="M236" s="600"/>
    </row>
    <row r="237" spans="1:13" s="593" customFormat="1" ht="18" customHeight="1">
      <c r="A237" s="1523"/>
      <c r="F237" s="599"/>
      <c r="G237" s="599"/>
      <c r="H237" s="599"/>
      <c r="I237" s="599"/>
      <c r="L237" s="600"/>
      <c r="M237" s="600"/>
    </row>
    <row r="238" spans="1:13" s="593" customFormat="1" ht="18" customHeight="1">
      <c r="A238" s="1523"/>
      <c r="F238" s="599"/>
      <c r="G238" s="599"/>
      <c r="H238" s="599"/>
      <c r="I238" s="599"/>
      <c r="L238" s="600"/>
      <c r="M238" s="600"/>
    </row>
    <row r="239" spans="1:13" s="593" customFormat="1" ht="18" customHeight="1">
      <c r="A239" s="1523"/>
      <c r="F239" s="599"/>
      <c r="G239" s="599"/>
      <c r="H239" s="599"/>
      <c r="I239" s="599"/>
      <c r="L239" s="600"/>
      <c r="M239" s="600"/>
    </row>
    <row r="240" spans="1:13" s="593" customFormat="1" ht="18" customHeight="1">
      <c r="A240" s="1523"/>
      <c r="F240" s="599"/>
      <c r="G240" s="599"/>
      <c r="H240" s="599"/>
      <c r="I240" s="599"/>
      <c r="L240" s="600"/>
      <c r="M240" s="600"/>
    </row>
    <row r="241" spans="1:13" s="593" customFormat="1" ht="18" customHeight="1">
      <c r="A241" s="1523"/>
      <c r="F241" s="599"/>
      <c r="G241" s="599"/>
      <c r="H241" s="599"/>
      <c r="I241" s="599"/>
      <c r="L241" s="600"/>
      <c r="M241" s="600"/>
    </row>
    <row r="242" spans="1:13" s="593" customFormat="1" ht="18" customHeight="1">
      <c r="A242" s="1523"/>
      <c r="F242" s="599"/>
      <c r="G242" s="599"/>
      <c r="H242" s="599"/>
      <c r="I242" s="599"/>
      <c r="L242" s="600"/>
      <c r="M242" s="600"/>
    </row>
    <row r="243" spans="1:13" s="593" customFormat="1" ht="18" customHeight="1">
      <c r="A243" s="1523"/>
      <c r="F243" s="599"/>
      <c r="G243" s="599"/>
      <c r="H243" s="599"/>
      <c r="I243" s="599"/>
      <c r="L243" s="600"/>
      <c r="M243" s="600"/>
    </row>
    <row r="244" spans="1:13" s="593" customFormat="1" ht="18" customHeight="1">
      <c r="A244" s="1523"/>
      <c r="F244" s="599"/>
      <c r="G244" s="599"/>
      <c r="H244" s="599"/>
      <c r="I244" s="599"/>
      <c r="L244" s="600"/>
      <c r="M244" s="600"/>
    </row>
    <row r="245" spans="1:13" s="593" customFormat="1" ht="18" customHeight="1">
      <c r="A245" s="1523"/>
      <c r="F245" s="599"/>
      <c r="G245" s="599"/>
      <c r="H245" s="599"/>
      <c r="I245" s="599"/>
      <c r="L245" s="600"/>
      <c r="M245" s="600"/>
    </row>
    <row r="246" spans="1:13" s="593" customFormat="1" ht="18" customHeight="1">
      <c r="A246" s="1523"/>
      <c r="F246" s="599"/>
      <c r="G246" s="599"/>
      <c r="H246" s="599"/>
      <c r="I246" s="599"/>
      <c r="L246" s="600"/>
      <c r="M246" s="600"/>
    </row>
    <row r="247" spans="1:13" s="593" customFormat="1" ht="18" customHeight="1">
      <c r="A247" s="1523"/>
      <c r="F247" s="599"/>
      <c r="G247" s="599"/>
      <c r="H247" s="599"/>
      <c r="I247" s="599"/>
      <c r="L247" s="600"/>
      <c r="M247" s="600"/>
    </row>
    <row r="248" spans="1:13" s="593" customFormat="1" ht="18" customHeight="1">
      <c r="A248" s="1523"/>
      <c r="F248" s="599"/>
      <c r="G248" s="599"/>
      <c r="H248" s="599"/>
      <c r="I248" s="599"/>
      <c r="L248" s="600"/>
      <c r="M248" s="600"/>
    </row>
    <row r="249" spans="1:13" s="593" customFormat="1" ht="18" customHeight="1">
      <c r="A249" s="1523"/>
      <c r="F249" s="599"/>
      <c r="G249" s="599"/>
      <c r="H249" s="599"/>
      <c r="I249" s="599"/>
      <c r="L249" s="600"/>
      <c r="M249" s="600"/>
    </row>
    <row r="250" spans="1:13" s="593" customFormat="1" ht="18" customHeight="1">
      <c r="A250" s="1523"/>
      <c r="F250" s="599"/>
      <c r="G250" s="599"/>
      <c r="H250" s="599"/>
      <c r="I250" s="599"/>
      <c r="L250" s="600"/>
      <c r="M250" s="600"/>
    </row>
    <row r="251" spans="1:13" s="593" customFormat="1" ht="18" customHeight="1">
      <c r="A251" s="1523"/>
      <c r="F251" s="599"/>
      <c r="G251" s="599"/>
      <c r="H251" s="599"/>
      <c r="I251" s="599"/>
      <c r="L251" s="600"/>
      <c r="M251" s="600"/>
    </row>
    <row r="252" spans="1:13" s="593" customFormat="1" ht="18" customHeight="1">
      <c r="A252" s="1523"/>
      <c r="F252" s="599"/>
      <c r="G252" s="599"/>
      <c r="H252" s="599"/>
      <c r="I252" s="599"/>
      <c r="L252" s="600"/>
      <c r="M252" s="600"/>
    </row>
    <row r="253" spans="1:13" s="593" customFormat="1" ht="18" customHeight="1">
      <c r="A253" s="1523"/>
      <c r="F253" s="599"/>
      <c r="G253" s="599"/>
      <c r="H253" s="599"/>
      <c r="I253" s="599"/>
      <c r="L253" s="600"/>
      <c r="M253" s="600"/>
    </row>
    <row r="254" spans="1:13" s="593" customFormat="1" ht="18" customHeight="1">
      <c r="A254" s="1523"/>
      <c r="F254" s="599"/>
      <c r="G254" s="599"/>
      <c r="H254" s="599"/>
      <c r="I254" s="599"/>
      <c r="L254" s="600"/>
      <c r="M254" s="600"/>
    </row>
    <row r="255" spans="1:13" s="593" customFormat="1" ht="18" customHeight="1">
      <c r="A255" s="1523"/>
      <c r="F255" s="599"/>
      <c r="G255" s="599"/>
      <c r="H255" s="599"/>
      <c r="I255" s="599"/>
      <c r="L255" s="600"/>
      <c r="M255" s="600"/>
    </row>
    <row r="256" spans="1:13" s="593" customFormat="1" ht="18" customHeight="1">
      <c r="A256" s="1523"/>
      <c r="F256" s="599"/>
      <c r="G256" s="599"/>
      <c r="H256" s="599"/>
      <c r="I256" s="599"/>
      <c r="L256" s="600"/>
      <c r="M256" s="600"/>
    </row>
    <row r="257" spans="1:13" s="593" customFormat="1" ht="18" customHeight="1">
      <c r="A257" s="1523"/>
      <c r="F257" s="599"/>
      <c r="G257" s="599"/>
      <c r="H257" s="599"/>
      <c r="I257" s="599"/>
      <c r="L257" s="600"/>
      <c r="M257" s="600"/>
    </row>
    <row r="258" spans="1:13" s="593" customFormat="1" ht="18" customHeight="1">
      <c r="A258" s="1523"/>
      <c r="F258" s="599"/>
      <c r="G258" s="599"/>
      <c r="H258" s="599"/>
      <c r="I258" s="599"/>
      <c r="L258" s="600"/>
      <c r="M258" s="600"/>
    </row>
    <row r="259" spans="1:13" s="593" customFormat="1" ht="18" customHeight="1">
      <c r="A259" s="1523"/>
      <c r="F259" s="599"/>
      <c r="G259" s="599"/>
      <c r="H259" s="599"/>
      <c r="I259" s="599"/>
      <c r="L259" s="600"/>
      <c r="M259" s="600"/>
    </row>
    <row r="260" spans="1:13" s="593" customFormat="1" ht="18" customHeight="1">
      <c r="A260" s="1523"/>
      <c r="F260" s="599"/>
      <c r="G260" s="599"/>
      <c r="H260" s="599"/>
      <c r="I260" s="599"/>
      <c r="L260" s="600"/>
      <c r="M260" s="600"/>
    </row>
    <row r="261" spans="1:13" s="593" customFormat="1" ht="18" customHeight="1">
      <c r="A261" s="1523"/>
      <c r="F261" s="599"/>
      <c r="G261" s="599"/>
      <c r="H261" s="599"/>
      <c r="I261" s="599"/>
      <c r="L261" s="600"/>
      <c r="M261" s="600"/>
    </row>
    <row r="262" spans="1:13" s="593" customFormat="1" ht="18" customHeight="1">
      <c r="A262" s="1523"/>
      <c r="F262" s="599"/>
      <c r="G262" s="599"/>
      <c r="H262" s="599"/>
      <c r="I262" s="599"/>
      <c r="L262" s="600"/>
      <c r="M262" s="600"/>
    </row>
    <row r="263" spans="1:13" s="593" customFormat="1" ht="18" customHeight="1">
      <c r="A263" s="1523"/>
      <c r="F263" s="599"/>
      <c r="G263" s="599"/>
      <c r="H263" s="599"/>
      <c r="I263" s="599"/>
      <c r="L263" s="600"/>
      <c r="M263" s="600"/>
    </row>
    <row r="264" spans="1:13" s="593" customFormat="1" ht="18" customHeight="1">
      <c r="A264" s="1523"/>
      <c r="F264" s="599"/>
      <c r="G264" s="599"/>
      <c r="H264" s="599"/>
      <c r="I264" s="599"/>
      <c r="L264" s="600"/>
      <c r="M264" s="600"/>
    </row>
    <row r="265" spans="1:13" s="593" customFormat="1" ht="18" customHeight="1">
      <c r="A265" s="1523"/>
      <c r="F265" s="599"/>
      <c r="G265" s="599"/>
      <c r="H265" s="599"/>
      <c r="I265" s="599"/>
      <c r="L265" s="600"/>
      <c r="M265" s="600"/>
    </row>
    <row r="266" spans="1:13" s="593" customFormat="1" ht="18" customHeight="1">
      <c r="A266" s="1523"/>
      <c r="F266" s="599"/>
      <c r="G266" s="599"/>
      <c r="H266" s="599"/>
      <c r="I266" s="599"/>
      <c r="L266" s="600"/>
      <c r="M266" s="600"/>
    </row>
    <row r="267" spans="1:13" s="593" customFormat="1" ht="18" customHeight="1">
      <c r="A267" s="1523"/>
      <c r="F267" s="599"/>
      <c r="G267" s="599"/>
      <c r="H267" s="599"/>
      <c r="I267" s="599"/>
      <c r="L267" s="600"/>
      <c r="M267" s="600"/>
    </row>
    <row r="268" spans="1:13" s="593" customFormat="1" ht="18" customHeight="1">
      <c r="A268" s="1523"/>
      <c r="F268" s="599"/>
      <c r="G268" s="599"/>
      <c r="H268" s="599"/>
      <c r="I268" s="599"/>
      <c r="L268" s="600"/>
      <c r="M268" s="600"/>
    </row>
    <row r="269" spans="1:13" s="593" customFormat="1" ht="18" customHeight="1">
      <c r="A269" s="1523"/>
      <c r="F269" s="599"/>
      <c r="G269" s="599"/>
      <c r="H269" s="599"/>
      <c r="I269" s="599"/>
      <c r="L269" s="600"/>
      <c r="M269" s="600"/>
    </row>
    <row r="270" spans="1:13" s="593" customFormat="1" ht="18" customHeight="1">
      <c r="A270" s="1523"/>
      <c r="F270" s="599"/>
      <c r="G270" s="599"/>
      <c r="H270" s="599"/>
      <c r="I270" s="599"/>
      <c r="L270" s="600"/>
      <c r="M270" s="600"/>
    </row>
    <row r="271" spans="1:13" s="593" customFormat="1" ht="18" customHeight="1">
      <c r="A271" s="1523"/>
      <c r="F271" s="599"/>
      <c r="G271" s="599"/>
      <c r="H271" s="599"/>
      <c r="I271" s="599"/>
      <c r="L271" s="600"/>
      <c r="M271" s="600"/>
    </row>
    <row r="272" spans="1:13" s="593" customFormat="1" ht="18" customHeight="1">
      <c r="A272" s="1523"/>
      <c r="F272" s="599"/>
      <c r="G272" s="599"/>
      <c r="H272" s="599"/>
      <c r="I272" s="599"/>
      <c r="L272" s="600"/>
      <c r="M272" s="600"/>
    </row>
    <row r="273" spans="1:13" s="593" customFormat="1" ht="18" customHeight="1">
      <c r="A273" s="1523"/>
      <c r="F273" s="599"/>
      <c r="G273" s="599"/>
      <c r="H273" s="599"/>
      <c r="I273" s="599"/>
      <c r="L273" s="600"/>
      <c r="M273" s="600"/>
    </row>
    <row r="274" spans="1:13" s="593" customFormat="1" ht="18" customHeight="1">
      <c r="A274" s="1523"/>
      <c r="F274" s="599"/>
      <c r="G274" s="599"/>
      <c r="H274" s="599"/>
      <c r="I274" s="599"/>
      <c r="L274" s="600"/>
      <c r="M274" s="600"/>
    </row>
    <row r="275" spans="1:13" s="593" customFormat="1" ht="18" customHeight="1">
      <c r="A275" s="1523"/>
      <c r="F275" s="599"/>
      <c r="G275" s="599"/>
      <c r="H275" s="599"/>
      <c r="I275" s="599"/>
      <c r="L275" s="600"/>
      <c r="M275" s="600"/>
    </row>
    <row r="276" spans="1:13" s="593" customFormat="1" ht="18" customHeight="1">
      <c r="A276" s="1523"/>
      <c r="F276" s="599"/>
      <c r="G276" s="599"/>
      <c r="H276" s="599"/>
      <c r="I276" s="599"/>
      <c r="L276" s="600"/>
      <c r="M276" s="600"/>
    </row>
    <row r="277" spans="1:13" s="593" customFormat="1" ht="18" customHeight="1">
      <c r="A277" s="1523"/>
      <c r="F277" s="599"/>
      <c r="G277" s="599"/>
      <c r="H277" s="599"/>
      <c r="I277" s="599"/>
      <c r="L277" s="600"/>
      <c r="M277" s="600"/>
    </row>
    <row r="278" spans="1:13" s="593" customFormat="1" ht="18" customHeight="1">
      <c r="A278" s="1523"/>
      <c r="F278" s="599"/>
      <c r="G278" s="599"/>
      <c r="H278" s="599"/>
      <c r="I278" s="599"/>
      <c r="L278" s="600"/>
      <c r="M278" s="600"/>
    </row>
    <row r="279" spans="1:13" s="593" customFormat="1" ht="18" customHeight="1">
      <c r="A279" s="1523"/>
      <c r="F279" s="599"/>
      <c r="G279" s="599"/>
      <c r="H279" s="599"/>
      <c r="I279" s="599"/>
      <c r="L279" s="600"/>
      <c r="M279" s="600"/>
    </row>
    <row r="280" spans="1:13" s="593" customFormat="1" ht="18" customHeight="1">
      <c r="A280" s="1523"/>
      <c r="F280" s="599"/>
      <c r="G280" s="599"/>
      <c r="H280" s="599"/>
      <c r="I280" s="599"/>
      <c r="L280" s="600"/>
      <c r="M280" s="600"/>
    </row>
    <row r="281" spans="1:13" s="593" customFormat="1" ht="18" customHeight="1">
      <c r="A281" s="1523"/>
      <c r="F281" s="599"/>
      <c r="G281" s="599"/>
      <c r="H281" s="599"/>
      <c r="I281" s="599"/>
      <c r="L281" s="600"/>
      <c r="M281" s="600"/>
    </row>
    <row r="282" spans="1:13" s="593" customFormat="1" ht="18" customHeight="1">
      <c r="A282" s="1523"/>
      <c r="F282" s="599"/>
      <c r="G282" s="599"/>
      <c r="H282" s="599"/>
      <c r="I282" s="599"/>
      <c r="L282" s="600"/>
      <c r="M282" s="600"/>
    </row>
    <row r="283" spans="1:13" s="593" customFormat="1" ht="18" customHeight="1">
      <c r="A283" s="1523"/>
      <c r="F283" s="599"/>
      <c r="G283" s="599"/>
      <c r="H283" s="599"/>
      <c r="I283" s="599"/>
      <c r="L283" s="600"/>
      <c r="M283" s="600"/>
    </row>
    <row r="284" spans="1:13" s="593" customFormat="1" ht="18" customHeight="1">
      <c r="A284" s="1523"/>
      <c r="F284" s="599"/>
      <c r="G284" s="599"/>
      <c r="H284" s="599"/>
      <c r="I284" s="599"/>
      <c r="L284" s="600"/>
      <c r="M284" s="600"/>
    </row>
    <row r="285" spans="1:13" s="593" customFormat="1" ht="18" customHeight="1">
      <c r="A285" s="1523"/>
      <c r="F285" s="599"/>
      <c r="G285" s="599"/>
      <c r="H285" s="599"/>
      <c r="I285" s="599"/>
      <c r="L285" s="600"/>
      <c r="M285" s="600"/>
    </row>
    <row r="286" spans="1:13" s="593" customFormat="1" ht="18" customHeight="1">
      <c r="A286" s="1523"/>
      <c r="F286" s="599"/>
      <c r="G286" s="599"/>
      <c r="H286" s="599"/>
      <c r="I286" s="599"/>
      <c r="L286" s="600"/>
      <c r="M286" s="600"/>
    </row>
    <row r="287" spans="1:13" s="593" customFormat="1" ht="18" customHeight="1">
      <c r="A287" s="1523"/>
      <c r="F287" s="599"/>
      <c r="G287" s="599"/>
      <c r="H287" s="599"/>
      <c r="I287" s="599"/>
      <c r="L287" s="600"/>
      <c r="M287" s="600"/>
    </row>
    <row r="288" spans="1:13" s="593" customFormat="1" ht="18" customHeight="1">
      <c r="A288" s="1523"/>
      <c r="F288" s="599"/>
      <c r="G288" s="599"/>
      <c r="H288" s="599"/>
      <c r="I288" s="599"/>
      <c r="L288" s="600"/>
      <c r="M288" s="600"/>
    </row>
    <row r="289" spans="1:13" s="593" customFormat="1" ht="18" customHeight="1">
      <c r="A289" s="1523"/>
      <c r="F289" s="599"/>
      <c r="G289" s="599"/>
      <c r="H289" s="599"/>
      <c r="I289" s="599"/>
      <c r="L289" s="600"/>
      <c r="M289" s="600"/>
    </row>
    <row r="290" spans="1:13" s="593" customFormat="1" ht="18" customHeight="1">
      <c r="A290" s="1523"/>
      <c r="F290" s="599"/>
      <c r="G290" s="599"/>
      <c r="H290" s="599"/>
      <c r="I290" s="599"/>
      <c r="L290" s="600"/>
      <c r="M290" s="600"/>
    </row>
    <row r="291" spans="1:13" s="593" customFormat="1" ht="18" customHeight="1">
      <c r="A291" s="1523"/>
      <c r="F291" s="599"/>
      <c r="G291" s="599"/>
      <c r="H291" s="599"/>
      <c r="I291" s="599"/>
      <c r="L291" s="600"/>
      <c r="M291" s="600"/>
    </row>
    <row r="292" spans="1:13" s="593" customFormat="1" ht="18" customHeight="1">
      <c r="A292" s="1523"/>
      <c r="F292" s="599"/>
      <c r="G292" s="599"/>
      <c r="H292" s="599"/>
      <c r="I292" s="599"/>
      <c r="L292" s="600"/>
      <c r="M292" s="600"/>
    </row>
    <row r="293" spans="1:13" s="593" customFormat="1" ht="18" customHeight="1">
      <c r="A293" s="1523"/>
      <c r="F293" s="599"/>
      <c r="G293" s="599"/>
      <c r="H293" s="599"/>
      <c r="I293" s="599"/>
      <c r="L293" s="600"/>
      <c r="M293" s="600"/>
    </row>
    <row r="294" spans="1:13" s="593" customFormat="1" ht="18" customHeight="1">
      <c r="A294" s="1523"/>
      <c r="F294" s="599"/>
      <c r="G294" s="599"/>
      <c r="H294" s="599"/>
      <c r="I294" s="599"/>
      <c r="L294" s="600"/>
      <c r="M294" s="600"/>
    </row>
    <row r="295" spans="1:13" s="593" customFormat="1" ht="18" customHeight="1">
      <c r="A295" s="1523"/>
      <c r="F295" s="599"/>
      <c r="G295" s="599"/>
      <c r="H295" s="599"/>
      <c r="I295" s="599"/>
      <c r="L295" s="600"/>
      <c r="M295" s="600"/>
    </row>
    <row r="296" spans="1:13" s="593" customFormat="1" ht="18" customHeight="1">
      <c r="A296" s="1523"/>
      <c r="F296" s="599"/>
      <c r="G296" s="599"/>
      <c r="H296" s="599"/>
      <c r="I296" s="599"/>
      <c r="L296" s="600"/>
      <c r="M296" s="600"/>
    </row>
    <row r="297" spans="1:13" s="593" customFormat="1" ht="18" customHeight="1">
      <c r="A297" s="1523"/>
      <c r="F297" s="599"/>
      <c r="G297" s="599"/>
      <c r="H297" s="599"/>
      <c r="I297" s="599"/>
      <c r="L297" s="600"/>
      <c r="M297" s="600"/>
    </row>
    <row r="298" spans="1:13" s="593" customFormat="1" ht="12.75">
      <c r="A298" s="1523"/>
      <c r="F298" s="599"/>
      <c r="G298" s="599"/>
      <c r="H298" s="599"/>
      <c r="I298" s="599"/>
      <c r="L298" s="600"/>
      <c r="M298" s="600"/>
    </row>
    <row r="299" spans="1:13" s="593" customFormat="1" ht="12.75">
      <c r="A299" s="1523"/>
      <c r="F299" s="599"/>
      <c r="G299" s="599"/>
      <c r="H299" s="599"/>
      <c r="I299" s="599"/>
      <c r="L299" s="600"/>
      <c r="M299" s="600"/>
    </row>
    <row r="300" spans="1:13" s="593" customFormat="1" ht="12.75">
      <c r="A300" s="1523"/>
      <c r="F300" s="599"/>
      <c r="G300" s="599"/>
      <c r="H300" s="599"/>
      <c r="I300" s="599"/>
      <c r="L300" s="600"/>
      <c r="M300" s="600"/>
    </row>
    <row r="301" spans="1:13" s="593" customFormat="1" ht="12.75">
      <c r="A301" s="1523"/>
      <c r="F301" s="599"/>
      <c r="G301" s="599"/>
      <c r="H301" s="599"/>
      <c r="I301" s="599"/>
      <c r="L301" s="600"/>
      <c r="M301" s="600"/>
    </row>
    <row r="302" spans="1:13" s="593" customFormat="1" ht="12.75">
      <c r="A302" s="1523"/>
      <c r="F302" s="599"/>
      <c r="G302" s="599"/>
      <c r="H302" s="599"/>
      <c r="I302" s="599"/>
      <c r="L302" s="600"/>
      <c r="M302" s="600"/>
    </row>
    <row r="303" spans="1:13" s="593" customFormat="1" ht="12.75">
      <c r="A303" s="1523"/>
      <c r="F303" s="599"/>
      <c r="G303" s="599"/>
      <c r="H303" s="599"/>
      <c r="I303" s="599"/>
      <c r="L303" s="600"/>
      <c r="M303" s="600"/>
    </row>
    <row r="304" spans="1:13" s="593" customFormat="1" ht="12.75">
      <c r="A304" s="1523"/>
      <c r="F304" s="599"/>
      <c r="G304" s="599"/>
      <c r="H304" s="599"/>
      <c r="I304" s="599"/>
      <c r="L304" s="600"/>
      <c r="M304" s="600"/>
    </row>
    <row r="305" spans="1:13" s="593" customFormat="1" ht="12.75">
      <c r="A305" s="1523"/>
      <c r="F305" s="599"/>
      <c r="G305" s="599"/>
      <c r="H305" s="599"/>
      <c r="I305" s="599"/>
      <c r="L305" s="600"/>
      <c r="M305" s="600"/>
    </row>
    <row r="306" spans="1:13" s="593" customFormat="1" ht="12.75">
      <c r="A306" s="1523"/>
      <c r="F306" s="599"/>
      <c r="G306" s="599"/>
      <c r="H306" s="599"/>
      <c r="I306" s="599"/>
      <c r="L306" s="600"/>
      <c r="M306" s="600"/>
    </row>
    <row r="307" spans="1:13" s="593" customFormat="1" ht="12.75">
      <c r="A307" s="1523"/>
      <c r="F307" s="599"/>
      <c r="G307" s="599"/>
      <c r="H307" s="599"/>
      <c r="I307" s="599"/>
      <c r="L307" s="600"/>
      <c r="M307" s="600"/>
    </row>
    <row r="308" spans="1:13" s="593" customFormat="1" ht="12.75">
      <c r="A308" s="1523"/>
      <c r="F308" s="599"/>
      <c r="G308" s="599"/>
      <c r="H308" s="599"/>
      <c r="I308" s="599"/>
      <c r="L308" s="600"/>
      <c r="M308" s="600"/>
    </row>
    <row r="309" spans="1:13" s="593" customFormat="1" ht="12.75">
      <c r="A309" s="1523"/>
      <c r="F309" s="599"/>
      <c r="G309" s="599"/>
      <c r="H309" s="599"/>
      <c r="I309" s="599"/>
      <c r="L309" s="600"/>
      <c r="M309" s="600"/>
    </row>
    <row r="310" spans="1:13" s="593" customFormat="1" ht="12.75">
      <c r="A310" s="1523"/>
      <c r="F310" s="599"/>
      <c r="G310" s="599"/>
      <c r="H310" s="599"/>
      <c r="I310" s="599"/>
      <c r="L310" s="600"/>
      <c r="M310" s="600"/>
    </row>
    <row r="311" spans="1:13" customFormat="1" ht="12.75">
      <c r="A311" s="1524"/>
      <c r="F311" s="1"/>
      <c r="G311" s="1"/>
      <c r="H311" s="1"/>
      <c r="I311" s="1"/>
      <c r="L311" s="301"/>
      <c r="M311" s="301"/>
    </row>
    <row r="312" spans="1:13" customFormat="1" ht="12.75">
      <c r="A312" s="1524"/>
      <c r="F312" s="1"/>
      <c r="G312" s="1"/>
      <c r="H312" s="1"/>
      <c r="I312" s="1"/>
      <c r="L312" s="301"/>
      <c r="M312" s="301"/>
    </row>
    <row r="313" spans="1:13" customFormat="1" ht="12.75">
      <c r="A313" s="1524"/>
      <c r="F313" s="1"/>
      <c r="G313" s="1"/>
      <c r="H313" s="1"/>
      <c r="I313" s="1"/>
      <c r="L313" s="301"/>
      <c r="M313" s="301"/>
    </row>
    <row r="314" spans="1:13" customFormat="1" ht="12.75">
      <c r="A314" s="1524"/>
      <c r="F314" s="1"/>
      <c r="G314" s="1"/>
      <c r="H314" s="1"/>
      <c r="I314" s="1"/>
      <c r="L314" s="301"/>
      <c r="M314" s="301"/>
    </row>
    <row r="315" spans="1:13" customFormat="1" ht="12.75">
      <c r="A315" s="1524"/>
      <c r="F315" s="1"/>
      <c r="G315" s="1"/>
      <c r="H315" s="1"/>
      <c r="I315" s="1"/>
      <c r="L315" s="301"/>
      <c r="M315" s="301"/>
    </row>
    <row r="316" spans="1:13" customFormat="1" ht="12.75">
      <c r="A316" s="1524"/>
      <c r="F316" s="1"/>
      <c r="G316" s="1"/>
      <c r="H316" s="1"/>
      <c r="I316" s="1"/>
      <c r="L316" s="301"/>
      <c r="M316" s="301"/>
    </row>
    <row r="317" spans="1:13" customFormat="1" ht="12.75">
      <c r="A317" s="1524"/>
      <c r="F317" s="1"/>
      <c r="G317" s="1"/>
      <c r="H317" s="1"/>
      <c r="I317" s="1"/>
      <c r="L317" s="301"/>
      <c r="M317" s="301"/>
    </row>
    <row r="318" spans="1:13" customFormat="1" ht="12.75">
      <c r="A318" s="1524"/>
      <c r="F318" s="1"/>
      <c r="G318" s="1"/>
      <c r="H318" s="1"/>
      <c r="I318" s="1"/>
      <c r="L318" s="301"/>
      <c r="M318" s="301"/>
    </row>
    <row r="319" spans="1:13" customFormat="1" ht="12.75">
      <c r="A319" s="1524"/>
      <c r="F319" s="1"/>
      <c r="G319" s="1"/>
      <c r="H319" s="1"/>
      <c r="I319" s="1"/>
      <c r="L319" s="301"/>
      <c r="M319" s="301"/>
    </row>
    <row r="320" spans="1:13" customFormat="1" ht="12.75">
      <c r="A320" s="1524"/>
      <c r="F320" s="1"/>
      <c r="G320" s="1"/>
      <c r="H320" s="1"/>
      <c r="I320" s="1"/>
      <c r="L320" s="301"/>
      <c r="M320" s="301"/>
    </row>
    <row r="321" spans="1:13" customFormat="1" ht="12.75">
      <c r="A321" s="1524"/>
      <c r="F321" s="1"/>
      <c r="G321" s="1"/>
      <c r="H321" s="1"/>
      <c r="I321" s="1"/>
      <c r="L321" s="301"/>
      <c r="M321" s="301"/>
    </row>
    <row r="322" spans="1:13" customFormat="1" ht="12.75">
      <c r="A322" s="1524"/>
      <c r="F322" s="1"/>
      <c r="G322" s="1"/>
      <c r="H322" s="1"/>
      <c r="I322" s="1"/>
      <c r="L322" s="301"/>
      <c r="M322" s="301"/>
    </row>
    <row r="323" spans="1:13" customFormat="1" ht="12.75">
      <c r="A323" s="1524"/>
      <c r="F323" s="1"/>
      <c r="G323" s="1"/>
      <c r="H323" s="1"/>
      <c r="I323" s="1"/>
      <c r="L323" s="301"/>
      <c r="M323" s="301"/>
    </row>
    <row r="324" spans="1:13" customFormat="1" ht="12.75">
      <c r="A324" s="1524"/>
      <c r="F324" s="1"/>
      <c r="G324" s="1"/>
      <c r="H324" s="1"/>
      <c r="I324" s="1"/>
      <c r="L324" s="301"/>
      <c r="M324" s="301"/>
    </row>
    <row r="325" spans="1:13" customFormat="1" ht="12.75">
      <c r="A325" s="1524"/>
      <c r="F325" s="1"/>
      <c r="G325" s="1"/>
      <c r="H325" s="1"/>
      <c r="I325" s="1"/>
      <c r="L325" s="301"/>
      <c r="M325" s="301"/>
    </row>
    <row r="326" spans="1:13" customFormat="1" ht="12.75">
      <c r="A326" s="1524"/>
      <c r="F326" s="1"/>
      <c r="G326" s="1"/>
      <c r="H326" s="1"/>
      <c r="I326" s="1"/>
      <c r="L326" s="301"/>
      <c r="M326" s="301"/>
    </row>
    <row r="327" spans="1:13" customFormat="1" ht="12.75">
      <c r="A327" s="1524"/>
      <c r="F327" s="1"/>
      <c r="G327" s="1"/>
      <c r="H327" s="1"/>
      <c r="I327" s="1"/>
      <c r="L327" s="301"/>
      <c r="M327" s="301"/>
    </row>
    <row r="328" spans="1:13" customFormat="1" ht="12.75">
      <c r="A328" s="1524"/>
      <c r="F328" s="1"/>
      <c r="G328" s="1"/>
      <c r="H328" s="1"/>
      <c r="I328" s="1"/>
      <c r="L328" s="301"/>
      <c r="M328" s="301"/>
    </row>
    <row r="329" spans="1:13" customFormat="1" ht="12.75">
      <c r="A329" s="1524"/>
      <c r="F329" s="1"/>
      <c r="G329" s="1"/>
      <c r="H329" s="1"/>
      <c r="I329" s="1"/>
      <c r="L329" s="301"/>
      <c r="M329" s="301"/>
    </row>
    <row r="330" spans="1:13" customFormat="1" ht="12.75">
      <c r="A330" s="1524"/>
      <c r="F330" s="1"/>
      <c r="G330" s="1"/>
      <c r="H330" s="1"/>
      <c r="I330" s="1"/>
      <c r="L330" s="301"/>
      <c r="M330" s="301"/>
    </row>
    <row r="331" spans="1:13" customFormat="1" ht="12.75">
      <c r="A331" s="1524"/>
      <c r="F331" s="1"/>
      <c r="G331" s="1"/>
      <c r="H331" s="1"/>
      <c r="I331" s="1"/>
      <c r="L331" s="301"/>
      <c r="M331" s="301"/>
    </row>
    <row r="332" spans="1:13" customFormat="1" ht="12.75">
      <c r="A332" s="1524"/>
      <c r="F332" s="1"/>
      <c r="G332" s="1"/>
      <c r="H332" s="1"/>
      <c r="I332" s="1"/>
      <c r="L332" s="301"/>
      <c r="M332" s="301"/>
    </row>
    <row r="333" spans="1:13" customFormat="1" ht="12.75">
      <c r="A333" s="1524"/>
      <c r="F333" s="1"/>
      <c r="G333" s="1"/>
      <c r="H333" s="1"/>
      <c r="I333" s="1"/>
      <c r="L333" s="301"/>
      <c r="M333" s="301"/>
    </row>
    <row r="334" spans="1:13" customFormat="1" ht="12.75">
      <c r="A334" s="1524"/>
      <c r="F334" s="1"/>
      <c r="G334" s="1"/>
      <c r="H334" s="1"/>
      <c r="I334" s="1"/>
      <c r="L334" s="301"/>
      <c r="M334" s="301"/>
    </row>
    <row r="335" spans="1:13" customFormat="1" ht="12.75">
      <c r="A335" s="1524"/>
      <c r="F335" s="1"/>
      <c r="G335" s="1"/>
      <c r="H335" s="1"/>
      <c r="I335" s="1"/>
      <c r="L335" s="301"/>
      <c r="M335" s="301"/>
    </row>
    <row r="336" spans="1:13" customFormat="1" ht="12.75">
      <c r="A336" s="1524"/>
      <c r="F336" s="1"/>
      <c r="G336" s="1"/>
      <c r="H336" s="1"/>
      <c r="I336" s="1"/>
      <c r="L336" s="301"/>
      <c r="M336" s="301"/>
    </row>
    <row r="337" spans="1:13" customFormat="1" ht="12.75">
      <c r="A337" s="1524"/>
      <c r="F337" s="1"/>
      <c r="G337" s="1"/>
      <c r="H337" s="1"/>
      <c r="I337" s="1"/>
      <c r="L337" s="301"/>
      <c r="M337" s="301"/>
    </row>
    <row r="338" spans="1:13" customFormat="1" ht="12.75">
      <c r="A338" s="1524"/>
      <c r="F338" s="1"/>
      <c r="G338" s="1"/>
      <c r="H338" s="1"/>
      <c r="I338" s="1"/>
      <c r="L338" s="301"/>
      <c r="M338" s="301"/>
    </row>
    <row r="339" spans="1:13" customFormat="1" ht="12.75">
      <c r="A339" s="1524"/>
      <c r="F339" s="1"/>
      <c r="G339" s="1"/>
      <c r="H339" s="1"/>
      <c r="I339" s="1"/>
      <c r="L339" s="301"/>
      <c r="M339" s="301"/>
    </row>
    <row r="340" spans="1:13" customFormat="1" ht="12.75">
      <c r="A340" s="1524"/>
      <c r="F340" s="1"/>
      <c r="G340" s="1"/>
      <c r="H340" s="1"/>
      <c r="I340" s="1"/>
      <c r="L340" s="301"/>
      <c r="M340" s="301"/>
    </row>
    <row r="341" spans="1:13" customFormat="1" ht="12.75">
      <c r="A341" s="1524"/>
      <c r="F341" s="1"/>
      <c r="G341" s="1"/>
      <c r="H341" s="1"/>
      <c r="I341" s="1"/>
      <c r="L341" s="301"/>
      <c r="M341" s="301"/>
    </row>
    <row r="342" spans="1:13" customFormat="1" ht="12.75">
      <c r="A342" s="1524"/>
      <c r="F342" s="1"/>
      <c r="G342" s="1"/>
      <c r="H342" s="1"/>
      <c r="I342" s="1"/>
      <c r="L342" s="301"/>
      <c r="M342" s="301"/>
    </row>
    <row r="343" spans="1:13" customFormat="1" ht="12.75">
      <c r="A343" s="1524"/>
      <c r="F343" s="1"/>
      <c r="G343" s="1"/>
      <c r="H343" s="1"/>
      <c r="I343" s="1"/>
      <c r="L343" s="301"/>
      <c r="M343" s="301"/>
    </row>
    <row r="344" spans="1:13" customFormat="1" ht="12.75">
      <c r="A344" s="1524"/>
      <c r="F344" s="1"/>
      <c r="G344" s="1"/>
      <c r="H344" s="1"/>
      <c r="I344" s="1"/>
      <c r="L344" s="301"/>
      <c r="M344" s="301"/>
    </row>
    <row r="345" spans="1:13" customFormat="1" ht="12.75">
      <c r="A345" s="1524"/>
      <c r="F345" s="1"/>
      <c r="G345" s="1"/>
      <c r="H345" s="1"/>
      <c r="I345" s="1"/>
      <c r="L345" s="301"/>
      <c r="M345" s="301"/>
    </row>
    <row r="346" spans="1:13" customFormat="1" ht="12.75">
      <c r="A346" s="1524"/>
      <c r="F346" s="1"/>
      <c r="G346" s="1"/>
      <c r="H346" s="1"/>
      <c r="I346" s="1"/>
      <c r="L346" s="301"/>
      <c r="M346" s="301"/>
    </row>
    <row r="347" spans="1:13" customFormat="1" ht="12.75">
      <c r="A347" s="1524"/>
      <c r="F347" s="1"/>
      <c r="G347" s="1"/>
      <c r="H347" s="1"/>
      <c r="I347" s="1"/>
      <c r="L347" s="301"/>
      <c r="M347" s="301"/>
    </row>
    <row r="348" spans="1:13" customFormat="1" ht="12.75">
      <c r="A348" s="1524"/>
      <c r="F348" s="1"/>
      <c r="G348" s="1"/>
      <c r="H348" s="1"/>
      <c r="I348" s="1"/>
      <c r="L348" s="301"/>
      <c r="M348" s="301"/>
    </row>
    <row r="349" spans="1:13" customFormat="1" ht="12.75">
      <c r="A349" s="1524"/>
      <c r="F349" s="1"/>
      <c r="G349" s="1"/>
      <c r="H349" s="1"/>
      <c r="I349" s="1"/>
      <c r="L349" s="301"/>
      <c r="M349" s="301"/>
    </row>
    <row r="350" spans="1:13" customFormat="1" ht="12.75">
      <c r="A350" s="1524"/>
      <c r="F350" s="1"/>
      <c r="G350" s="1"/>
      <c r="H350" s="1"/>
      <c r="I350" s="1"/>
      <c r="L350" s="301"/>
      <c r="M350" s="301"/>
    </row>
    <row r="351" spans="1:13" customFormat="1" ht="12.75">
      <c r="A351" s="1524"/>
      <c r="F351" s="1"/>
      <c r="G351" s="1"/>
      <c r="H351" s="1"/>
      <c r="I351" s="1"/>
      <c r="L351" s="301"/>
      <c r="M351" s="301"/>
    </row>
    <row r="352" spans="1:13" customFormat="1" ht="12.75">
      <c r="A352" s="1524"/>
      <c r="F352" s="1"/>
      <c r="G352" s="1"/>
      <c r="H352" s="1"/>
      <c r="I352" s="1"/>
      <c r="L352" s="301"/>
      <c r="M352" s="301"/>
    </row>
    <row r="353" spans="1:13" customFormat="1" ht="12.75">
      <c r="A353" s="1524"/>
      <c r="F353" s="1"/>
      <c r="G353" s="1"/>
      <c r="H353" s="1"/>
      <c r="I353" s="1"/>
      <c r="L353" s="301"/>
      <c r="M353" s="301"/>
    </row>
    <row r="354" spans="1:13" customFormat="1" ht="12.75">
      <c r="A354" s="1524"/>
      <c r="F354" s="1"/>
      <c r="G354" s="1"/>
      <c r="H354" s="1"/>
      <c r="I354" s="1"/>
      <c r="L354" s="301"/>
      <c r="M354" s="301"/>
    </row>
    <row r="355" spans="1:13" customFormat="1" ht="12.75">
      <c r="A355" s="1524"/>
      <c r="F355" s="1"/>
      <c r="G355" s="1"/>
      <c r="H355" s="1"/>
      <c r="I355" s="1"/>
      <c r="L355" s="301"/>
      <c r="M355" s="301"/>
    </row>
    <row r="356" spans="1:13" customFormat="1" ht="12.75">
      <c r="A356" s="1524"/>
      <c r="F356" s="1"/>
      <c r="G356" s="1"/>
      <c r="H356" s="1"/>
      <c r="I356" s="1"/>
      <c r="L356" s="301"/>
      <c r="M356" s="301"/>
    </row>
    <row r="357" spans="1:13" customFormat="1" ht="12.75">
      <c r="A357" s="1524"/>
      <c r="F357" s="1"/>
      <c r="G357" s="1"/>
      <c r="H357" s="1"/>
      <c r="I357" s="1"/>
      <c r="L357" s="301"/>
      <c r="M357" s="301"/>
    </row>
    <row r="358" spans="1:13" customFormat="1" ht="12.75">
      <c r="A358" s="1524"/>
      <c r="F358" s="1"/>
      <c r="G358" s="1"/>
      <c r="H358" s="1"/>
      <c r="I358" s="1"/>
      <c r="L358" s="301"/>
      <c r="M358" s="301"/>
    </row>
    <row r="359" spans="1:13" customFormat="1" ht="12.75">
      <c r="A359" s="1524"/>
      <c r="F359" s="1"/>
      <c r="G359" s="1"/>
      <c r="H359" s="1"/>
      <c r="I359" s="1"/>
      <c r="L359" s="301"/>
      <c r="M359" s="301"/>
    </row>
    <row r="360" spans="1:13" customFormat="1" ht="12.75">
      <c r="A360" s="1524"/>
      <c r="F360" s="1"/>
      <c r="G360" s="1"/>
      <c r="H360" s="1"/>
      <c r="I360" s="1"/>
      <c r="L360" s="301"/>
      <c r="M360" s="301"/>
    </row>
    <row r="361" spans="1:13" customFormat="1" ht="12.75">
      <c r="A361" s="1524"/>
      <c r="F361" s="1"/>
      <c r="G361" s="1"/>
      <c r="H361" s="1"/>
      <c r="I361" s="1"/>
      <c r="L361" s="301"/>
      <c r="M361" s="301"/>
    </row>
    <row r="362" spans="1:13" customFormat="1" ht="12.75">
      <c r="A362" s="1524"/>
      <c r="F362" s="1"/>
      <c r="G362" s="1"/>
      <c r="H362" s="1"/>
      <c r="I362" s="1"/>
      <c r="L362" s="301"/>
      <c r="M362" s="301"/>
    </row>
    <row r="363" spans="1:13" customFormat="1" ht="12.75">
      <c r="A363" s="1524"/>
      <c r="F363" s="1"/>
      <c r="G363" s="1"/>
      <c r="H363" s="1"/>
      <c r="I363" s="1"/>
      <c r="L363" s="301"/>
      <c r="M363" s="301"/>
    </row>
    <row r="364" spans="1:13" customFormat="1" ht="12.75">
      <c r="A364" s="1524"/>
      <c r="F364" s="1"/>
      <c r="G364" s="1"/>
      <c r="H364" s="1"/>
      <c r="I364" s="1"/>
      <c r="L364" s="301"/>
      <c r="M364" s="301"/>
    </row>
    <row r="365" spans="1:13" customFormat="1" ht="12.75">
      <c r="A365" s="1524"/>
      <c r="F365" s="1"/>
      <c r="G365" s="1"/>
      <c r="H365" s="1"/>
      <c r="I365" s="1"/>
      <c r="L365" s="301"/>
      <c r="M365" s="301"/>
    </row>
    <row r="366" spans="1:13" customFormat="1" ht="12.75">
      <c r="A366" s="1524"/>
      <c r="F366" s="1"/>
      <c r="G366" s="1"/>
      <c r="H366" s="1"/>
      <c r="I366" s="1"/>
      <c r="L366" s="301"/>
      <c r="M366" s="301"/>
    </row>
    <row r="367" spans="1:13" customFormat="1" ht="12.75">
      <c r="A367" s="1524"/>
      <c r="F367" s="1"/>
      <c r="G367" s="1"/>
      <c r="H367" s="1"/>
      <c r="I367" s="1"/>
      <c r="L367" s="301"/>
      <c r="M367" s="301"/>
    </row>
    <row r="368" spans="1:13" customFormat="1" ht="12.75">
      <c r="A368" s="1524"/>
      <c r="F368" s="1"/>
      <c r="G368" s="1"/>
      <c r="H368" s="1"/>
      <c r="I368" s="1"/>
      <c r="L368" s="301"/>
      <c r="M368" s="301"/>
    </row>
    <row r="369" spans="1:13" customFormat="1" ht="12.75">
      <c r="A369" s="1524"/>
      <c r="F369" s="1"/>
      <c r="G369" s="1"/>
      <c r="H369" s="1"/>
      <c r="I369" s="1"/>
      <c r="L369" s="301"/>
      <c r="M369" s="301"/>
    </row>
    <row r="370" spans="1:13" customFormat="1" ht="12.75">
      <c r="A370" s="1524"/>
      <c r="F370" s="1"/>
      <c r="G370" s="1"/>
      <c r="H370" s="1"/>
      <c r="I370" s="1"/>
      <c r="L370" s="301"/>
      <c r="M370" s="301"/>
    </row>
    <row r="371" spans="1:13" customFormat="1" ht="12.75">
      <c r="A371" s="1524"/>
      <c r="F371" s="1"/>
      <c r="G371" s="1"/>
      <c r="H371" s="1"/>
      <c r="I371" s="1"/>
      <c r="L371" s="301"/>
      <c r="M371" s="301"/>
    </row>
    <row r="372" spans="1:13" customFormat="1" ht="12.75">
      <c r="A372" s="1524"/>
      <c r="F372" s="1"/>
      <c r="G372" s="1"/>
      <c r="H372" s="1"/>
      <c r="I372" s="1"/>
      <c r="L372" s="301"/>
      <c r="M372" s="301"/>
    </row>
    <row r="373" spans="1:13" customFormat="1" ht="12.75">
      <c r="A373" s="1524"/>
      <c r="F373" s="1"/>
      <c r="G373" s="1"/>
      <c r="H373" s="1"/>
      <c r="I373" s="1"/>
      <c r="L373" s="301"/>
      <c r="M373" s="301"/>
    </row>
    <row r="374" spans="1:13" customFormat="1" ht="12.75">
      <c r="A374" s="1524"/>
      <c r="F374" s="1"/>
      <c r="G374" s="1"/>
      <c r="H374" s="1"/>
      <c r="I374" s="1"/>
      <c r="L374" s="301"/>
      <c r="M374" s="301"/>
    </row>
    <row r="375" spans="1:13" customFormat="1" ht="12.75">
      <c r="A375" s="1524"/>
      <c r="F375" s="1"/>
      <c r="G375" s="1"/>
      <c r="H375" s="1"/>
      <c r="I375" s="1"/>
      <c r="L375" s="301"/>
      <c r="M375" s="301"/>
    </row>
    <row r="376" spans="1:13" customFormat="1" ht="12.75">
      <c r="A376" s="1524"/>
      <c r="F376" s="1"/>
      <c r="G376" s="1"/>
      <c r="H376" s="1"/>
      <c r="I376" s="1"/>
      <c r="L376" s="301"/>
      <c r="M376" s="301"/>
    </row>
    <row r="377" spans="1:13" customFormat="1" ht="12.75">
      <c r="A377" s="1524"/>
      <c r="F377" s="1"/>
      <c r="G377" s="1"/>
      <c r="H377" s="1"/>
      <c r="I377" s="1"/>
      <c r="L377" s="301"/>
      <c r="M377" s="301"/>
    </row>
    <row r="378" spans="1:13" customFormat="1" ht="12.75">
      <c r="A378" s="1524"/>
      <c r="F378" s="1"/>
      <c r="G378" s="1"/>
      <c r="H378" s="1"/>
      <c r="I378" s="1"/>
      <c r="L378" s="301"/>
      <c r="M378" s="301"/>
    </row>
    <row r="379" spans="1:13" customFormat="1" ht="12.75">
      <c r="A379" s="1524"/>
      <c r="F379" s="1"/>
      <c r="G379" s="1"/>
      <c r="H379" s="1"/>
      <c r="I379" s="1"/>
      <c r="L379" s="301"/>
      <c r="M379" s="301"/>
    </row>
    <row r="380" spans="1:13" customFormat="1" ht="12.75">
      <c r="A380" s="1524"/>
      <c r="F380" s="1"/>
      <c r="G380" s="1"/>
      <c r="H380" s="1"/>
      <c r="I380" s="1"/>
      <c r="L380" s="301"/>
      <c r="M380" s="301"/>
    </row>
    <row r="381" spans="1:13" customFormat="1" ht="12.75">
      <c r="A381" s="1524"/>
      <c r="F381" s="1"/>
      <c r="G381" s="1"/>
      <c r="H381" s="1"/>
      <c r="I381" s="1"/>
      <c r="L381" s="301"/>
      <c r="M381" s="301"/>
    </row>
    <row r="382" spans="1:13" customFormat="1" ht="12.75">
      <c r="A382" s="1524"/>
      <c r="F382" s="1"/>
      <c r="G382" s="1"/>
      <c r="H382" s="1"/>
      <c r="I382" s="1"/>
      <c r="L382" s="301"/>
      <c r="M382" s="301"/>
    </row>
    <row r="383" spans="1:13" customFormat="1" ht="12.75">
      <c r="A383" s="1524"/>
      <c r="F383" s="1"/>
      <c r="G383" s="1"/>
      <c r="H383" s="1"/>
      <c r="I383" s="1"/>
      <c r="L383" s="301"/>
      <c r="M383" s="301"/>
    </row>
    <row r="384" spans="1:13" customFormat="1" ht="12.75">
      <c r="A384" s="1524"/>
      <c r="F384" s="1"/>
      <c r="G384" s="1"/>
      <c r="H384" s="1"/>
      <c r="I384" s="1"/>
      <c r="L384" s="301"/>
      <c r="M384" s="301"/>
    </row>
    <row r="385" spans="1:13" customFormat="1" ht="12.75">
      <c r="A385" s="1524"/>
      <c r="F385" s="1"/>
      <c r="G385" s="1"/>
      <c r="H385" s="1"/>
      <c r="I385" s="1"/>
      <c r="L385" s="301"/>
      <c r="M385" s="301"/>
    </row>
    <row r="386" spans="1:13" customFormat="1" ht="12.75">
      <c r="A386" s="1524"/>
      <c r="F386" s="1"/>
      <c r="G386" s="1"/>
      <c r="H386" s="1"/>
      <c r="I386" s="1"/>
      <c r="L386" s="301"/>
      <c r="M386" s="301"/>
    </row>
    <row r="387" spans="1:13" customFormat="1" ht="12.75">
      <c r="A387" s="1524"/>
      <c r="F387" s="1"/>
      <c r="G387" s="1"/>
      <c r="H387" s="1"/>
      <c r="I387" s="1"/>
      <c r="L387" s="301"/>
      <c r="M387" s="301"/>
    </row>
    <row r="388" spans="1:13" customFormat="1" ht="12.75">
      <c r="A388" s="1524"/>
      <c r="F388" s="1"/>
      <c r="G388" s="1"/>
      <c r="H388" s="1"/>
      <c r="I388" s="1"/>
      <c r="L388" s="301"/>
      <c r="M388" s="301"/>
    </row>
    <row r="389" spans="1:13" customFormat="1" ht="12.75">
      <c r="A389" s="1524"/>
      <c r="F389" s="1"/>
      <c r="G389" s="1"/>
      <c r="H389" s="1"/>
      <c r="I389" s="1"/>
      <c r="L389" s="301"/>
      <c r="M389" s="301"/>
    </row>
    <row r="390" spans="1:13" customFormat="1" ht="12.75">
      <c r="A390" s="1524"/>
      <c r="F390" s="1"/>
      <c r="G390" s="1"/>
      <c r="H390" s="1"/>
      <c r="I390" s="1"/>
      <c r="L390" s="301"/>
      <c r="M390" s="301"/>
    </row>
    <row r="391" spans="1:13" customFormat="1" ht="12.75">
      <c r="A391" s="1524"/>
      <c r="F391" s="1"/>
      <c r="G391" s="1"/>
      <c r="H391" s="1"/>
      <c r="I391" s="1"/>
      <c r="L391" s="301"/>
      <c r="M391" s="301"/>
    </row>
    <row r="392" spans="1:13" customFormat="1" ht="12.75">
      <c r="A392" s="1524"/>
      <c r="F392" s="1"/>
      <c r="G392" s="1"/>
      <c r="H392" s="1"/>
      <c r="I392" s="1"/>
      <c r="L392" s="301"/>
      <c r="M392" s="301"/>
    </row>
    <row r="393" spans="1:13" customFormat="1" ht="12.75">
      <c r="A393" s="1524"/>
      <c r="F393" s="1"/>
      <c r="G393" s="1"/>
      <c r="H393" s="1"/>
      <c r="I393" s="1"/>
      <c r="L393" s="301"/>
      <c r="M393" s="301"/>
    </row>
    <row r="394" spans="1:13" customFormat="1" ht="12.75">
      <c r="A394" s="1524"/>
      <c r="F394" s="1"/>
      <c r="G394" s="1"/>
      <c r="H394" s="1"/>
      <c r="I394" s="1"/>
      <c r="L394" s="301"/>
      <c r="M394" s="301"/>
    </row>
    <row r="395" spans="1:13" customFormat="1" ht="12.75">
      <c r="A395" s="1524"/>
      <c r="F395" s="1"/>
      <c r="G395" s="1"/>
      <c r="H395" s="1"/>
      <c r="I395" s="1"/>
      <c r="L395" s="301"/>
      <c r="M395" s="301"/>
    </row>
    <row r="396" spans="1:13" customFormat="1" ht="12.75">
      <c r="A396" s="1524"/>
      <c r="F396" s="1"/>
      <c r="G396" s="1"/>
      <c r="H396" s="1"/>
      <c r="I396" s="1"/>
      <c r="L396" s="301"/>
      <c r="M396" s="301"/>
    </row>
    <row r="397" spans="1:13" customFormat="1" ht="12.75">
      <c r="A397" s="1524"/>
      <c r="F397" s="1"/>
      <c r="G397" s="1"/>
      <c r="H397" s="1"/>
      <c r="I397" s="1"/>
      <c r="L397" s="301"/>
      <c r="M397" s="301"/>
    </row>
    <row r="398" spans="1:13" customFormat="1" ht="12.75">
      <c r="A398" s="1524"/>
      <c r="F398" s="1"/>
      <c r="G398" s="1"/>
      <c r="H398" s="1"/>
      <c r="I398" s="1"/>
      <c r="L398" s="301"/>
      <c r="M398" s="301"/>
    </row>
    <row r="399" spans="1:13" customFormat="1" ht="12.75">
      <c r="A399" s="1524"/>
      <c r="F399" s="1"/>
      <c r="G399" s="1"/>
      <c r="H399" s="1"/>
      <c r="I399" s="1"/>
      <c r="L399" s="301"/>
      <c r="M399" s="301"/>
    </row>
    <row r="400" spans="1:13" customFormat="1" ht="12.75">
      <c r="A400" s="1524"/>
      <c r="F400" s="1"/>
      <c r="G400" s="1"/>
      <c r="H400" s="1"/>
      <c r="I400" s="1"/>
      <c r="L400" s="301"/>
      <c r="M400" s="301"/>
    </row>
    <row r="401" spans="1:13" customFormat="1" ht="12.75">
      <c r="A401" s="1524"/>
      <c r="F401" s="1"/>
      <c r="G401" s="1"/>
      <c r="H401" s="1"/>
      <c r="I401" s="1"/>
      <c r="L401" s="301"/>
      <c r="M401" s="301"/>
    </row>
    <row r="402" spans="1:13" customFormat="1" ht="12.75">
      <c r="A402" s="1524"/>
      <c r="F402" s="1"/>
      <c r="G402" s="1"/>
      <c r="H402" s="1"/>
      <c r="I402" s="1"/>
      <c r="L402" s="301"/>
      <c r="M402" s="301"/>
    </row>
    <row r="403" spans="1:13" customFormat="1" ht="12.75">
      <c r="A403" s="1524"/>
      <c r="F403" s="1"/>
      <c r="G403" s="1"/>
      <c r="H403" s="1"/>
      <c r="I403" s="1"/>
      <c r="L403" s="301"/>
      <c r="M403" s="301"/>
    </row>
    <row r="404" spans="1:13" customFormat="1" ht="12.75">
      <c r="A404" s="1524"/>
      <c r="F404" s="1"/>
      <c r="G404" s="1"/>
      <c r="H404" s="1"/>
      <c r="I404" s="1"/>
      <c r="L404" s="301"/>
      <c r="M404" s="301"/>
    </row>
    <row r="405" spans="1:13" customFormat="1" ht="12.75">
      <c r="A405" s="1524"/>
      <c r="F405" s="1"/>
      <c r="G405" s="1"/>
      <c r="H405" s="1"/>
      <c r="I405" s="1"/>
      <c r="L405" s="301"/>
      <c r="M405" s="301"/>
    </row>
    <row r="406" spans="1:13" customFormat="1" ht="12.75">
      <c r="A406" s="1524"/>
      <c r="F406" s="1"/>
      <c r="G406" s="1"/>
      <c r="H406" s="1"/>
      <c r="I406" s="1"/>
      <c r="L406" s="301"/>
      <c r="M406" s="301"/>
    </row>
    <row r="407" spans="1:13" customFormat="1" ht="12.75">
      <c r="A407" s="1524"/>
      <c r="F407" s="1"/>
      <c r="G407" s="1"/>
      <c r="H407" s="1"/>
      <c r="I407" s="1"/>
      <c r="L407" s="301"/>
      <c r="M407" s="301"/>
    </row>
    <row r="408" spans="1:13" customFormat="1" ht="12.75">
      <c r="A408" s="1524"/>
      <c r="F408" s="1"/>
      <c r="G408" s="1"/>
      <c r="H408" s="1"/>
      <c r="I408" s="1"/>
      <c r="L408" s="301"/>
      <c r="M408" s="301"/>
    </row>
    <row r="409" spans="1:13" customFormat="1" ht="12.75">
      <c r="A409" s="1524"/>
      <c r="F409" s="1"/>
      <c r="G409" s="1"/>
      <c r="H409" s="1"/>
      <c r="I409" s="1"/>
      <c r="L409" s="301"/>
      <c r="M409" s="301"/>
    </row>
    <row r="410" spans="1:13" customFormat="1" ht="12.75">
      <c r="A410" s="1524"/>
      <c r="F410" s="1"/>
      <c r="G410" s="1"/>
      <c r="H410" s="1"/>
      <c r="I410" s="1"/>
      <c r="L410" s="301"/>
      <c r="M410" s="301"/>
    </row>
    <row r="411" spans="1:13" customFormat="1" ht="12.75">
      <c r="A411" s="1524"/>
      <c r="F411" s="1"/>
      <c r="G411" s="1"/>
      <c r="H411" s="1"/>
      <c r="I411" s="1"/>
      <c r="L411" s="301"/>
      <c r="M411" s="301"/>
    </row>
    <row r="412" spans="1:13" customFormat="1" ht="12.75">
      <c r="A412" s="1524"/>
      <c r="F412" s="1"/>
      <c r="G412" s="1"/>
      <c r="H412" s="1"/>
      <c r="I412" s="1"/>
      <c r="L412" s="301"/>
      <c r="M412" s="301"/>
    </row>
    <row r="413" spans="1:13" customFormat="1" ht="12.75">
      <c r="A413" s="1524"/>
      <c r="F413" s="1"/>
      <c r="G413" s="1"/>
      <c r="H413" s="1"/>
      <c r="I413" s="1"/>
      <c r="L413" s="301"/>
      <c r="M413" s="301"/>
    </row>
    <row r="414" spans="1:13" customFormat="1" ht="12.75">
      <c r="A414" s="1524"/>
      <c r="F414" s="1"/>
      <c r="G414" s="1"/>
      <c r="H414" s="1"/>
      <c r="I414" s="1"/>
      <c r="L414" s="301"/>
      <c r="M414" s="301"/>
    </row>
    <row r="415" spans="1:13" customFormat="1" ht="12.75">
      <c r="A415" s="1524"/>
      <c r="F415" s="1"/>
      <c r="G415" s="1"/>
      <c r="H415" s="1"/>
      <c r="I415" s="1"/>
      <c r="L415" s="301"/>
      <c r="M415" s="301"/>
    </row>
    <row r="416" spans="1:13" customFormat="1" ht="12.75">
      <c r="A416" s="1524"/>
      <c r="F416" s="1"/>
      <c r="G416" s="1"/>
      <c r="H416" s="1"/>
      <c r="I416" s="1"/>
      <c r="L416" s="301"/>
      <c r="M416" s="301"/>
    </row>
    <row r="417" spans="1:13" customFormat="1" ht="12.75">
      <c r="A417" s="1524"/>
      <c r="F417" s="1"/>
      <c r="G417" s="1"/>
      <c r="H417" s="1"/>
      <c r="I417" s="1"/>
      <c r="L417" s="301"/>
      <c r="M417" s="301"/>
    </row>
    <row r="418" spans="1:13" customFormat="1" ht="12.75">
      <c r="A418" s="1524"/>
      <c r="F418" s="1"/>
      <c r="G418" s="1"/>
      <c r="H418" s="1"/>
      <c r="I418" s="1"/>
      <c r="L418" s="301"/>
      <c r="M418" s="301"/>
    </row>
    <row r="419" spans="1:13" customFormat="1" ht="12.75">
      <c r="A419" s="1524"/>
      <c r="F419" s="1"/>
      <c r="G419" s="1"/>
      <c r="H419" s="1"/>
      <c r="I419" s="1"/>
      <c r="L419" s="301"/>
      <c r="M419" s="301"/>
    </row>
    <row r="420" spans="1:13" customFormat="1" ht="12.75">
      <c r="A420" s="1524"/>
      <c r="F420" s="1"/>
      <c r="G420" s="1"/>
      <c r="H420" s="1"/>
      <c r="I420" s="1"/>
      <c r="L420" s="301"/>
      <c r="M420" s="301"/>
    </row>
    <row r="421" spans="1:13" customFormat="1" ht="12.75">
      <c r="A421" s="1524"/>
      <c r="F421" s="1"/>
      <c r="G421" s="1"/>
      <c r="H421" s="1"/>
      <c r="I421" s="1"/>
      <c r="L421" s="301"/>
      <c r="M421" s="301"/>
    </row>
    <row r="422" spans="1:13" customFormat="1" ht="12.75">
      <c r="A422" s="1524"/>
      <c r="F422" s="1"/>
      <c r="G422" s="1"/>
      <c r="H422" s="1"/>
      <c r="I422" s="1"/>
      <c r="L422" s="301"/>
      <c r="M422" s="301"/>
    </row>
    <row r="423" spans="1:13" customFormat="1" ht="12.75">
      <c r="A423" s="1524"/>
      <c r="F423" s="1"/>
      <c r="G423" s="1"/>
      <c r="H423" s="1"/>
      <c r="I423" s="1"/>
      <c r="L423" s="301"/>
      <c r="M423" s="301"/>
    </row>
    <row r="424" spans="1:13" customFormat="1" ht="12.75">
      <c r="A424" s="1524"/>
      <c r="F424" s="1"/>
      <c r="G424" s="1"/>
      <c r="H424" s="1"/>
      <c r="I424" s="1"/>
      <c r="L424" s="301"/>
      <c r="M424" s="301"/>
    </row>
    <row r="425" spans="1:13" customFormat="1" ht="12.75">
      <c r="A425" s="1524"/>
      <c r="F425" s="1"/>
      <c r="G425" s="1"/>
      <c r="H425" s="1"/>
      <c r="I425" s="1"/>
      <c r="L425" s="301"/>
      <c r="M425" s="301"/>
    </row>
    <row r="426" spans="1:13" customFormat="1" ht="12.75">
      <c r="A426" s="1524"/>
      <c r="F426" s="1"/>
      <c r="G426" s="1"/>
      <c r="H426" s="1"/>
      <c r="I426" s="1"/>
      <c r="L426" s="301"/>
      <c r="M426" s="301"/>
    </row>
    <row r="427" spans="1:13" customFormat="1" ht="12.75">
      <c r="A427" s="1524"/>
      <c r="F427" s="1"/>
      <c r="G427" s="1"/>
      <c r="H427" s="1"/>
      <c r="I427" s="1"/>
      <c r="L427" s="301"/>
      <c r="M427" s="301"/>
    </row>
    <row r="428" spans="1:13" customFormat="1" ht="12.75">
      <c r="A428" s="1524"/>
      <c r="F428" s="1"/>
      <c r="G428" s="1"/>
      <c r="H428" s="1"/>
      <c r="I428" s="1"/>
      <c r="L428" s="301"/>
      <c r="M428" s="301"/>
    </row>
    <row r="429" spans="1:13" customFormat="1" ht="12.75">
      <c r="A429" s="1524"/>
      <c r="F429" s="1"/>
      <c r="G429" s="1"/>
      <c r="H429" s="1"/>
      <c r="I429" s="1"/>
      <c r="L429" s="301"/>
      <c r="M429" s="301"/>
    </row>
    <row r="430" spans="1:13" customFormat="1" ht="12.75">
      <c r="A430" s="1524"/>
      <c r="F430" s="1"/>
      <c r="G430" s="1"/>
      <c r="H430" s="1"/>
      <c r="I430" s="1"/>
      <c r="L430" s="301"/>
      <c r="M430" s="301"/>
    </row>
    <row r="431" spans="1:13" customFormat="1" ht="12.75">
      <c r="A431" s="1524"/>
      <c r="F431" s="1"/>
      <c r="G431" s="1"/>
      <c r="H431" s="1"/>
      <c r="I431" s="1"/>
      <c r="L431" s="301"/>
      <c r="M431" s="301"/>
    </row>
    <row r="432" spans="1:13" customFormat="1" ht="12.75">
      <c r="A432" s="1524"/>
      <c r="F432" s="1"/>
      <c r="G432" s="1"/>
      <c r="H432" s="1"/>
      <c r="I432" s="1"/>
      <c r="L432" s="301"/>
      <c r="M432" s="301"/>
    </row>
    <row r="433" spans="1:13" customFormat="1" ht="12.75">
      <c r="A433" s="1524"/>
      <c r="F433" s="1"/>
      <c r="G433" s="1"/>
      <c r="H433" s="1"/>
      <c r="I433" s="1"/>
      <c r="L433" s="301"/>
      <c r="M433" s="301"/>
    </row>
    <row r="434" spans="1:13" customFormat="1" ht="12.75">
      <c r="A434" s="1524"/>
      <c r="F434" s="1"/>
      <c r="G434" s="1"/>
      <c r="H434" s="1"/>
      <c r="I434" s="1"/>
      <c r="L434" s="301"/>
      <c r="M434" s="301"/>
    </row>
    <row r="435" spans="1:13" customFormat="1" ht="12.75">
      <c r="A435" s="1524"/>
      <c r="F435" s="1"/>
      <c r="G435" s="1"/>
      <c r="H435" s="1"/>
      <c r="I435" s="1"/>
      <c r="L435" s="301"/>
      <c r="M435" s="301"/>
    </row>
    <row r="436" spans="1:13" customFormat="1" ht="12.75">
      <c r="A436" s="1524"/>
      <c r="F436" s="1"/>
      <c r="G436" s="1"/>
      <c r="H436" s="1"/>
      <c r="I436" s="1"/>
      <c r="L436" s="301"/>
      <c r="M436" s="301"/>
    </row>
    <row r="437" spans="1:13" customFormat="1" ht="12.75">
      <c r="A437" s="1524"/>
      <c r="F437" s="1"/>
      <c r="G437" s="1"/>
      <c r="H437" s="1"/>
      <c r="I437" s="1"/>
      <c r="L437" s="301"/>
      <c r="M437" s="301"/>
    </row>
    <row r="438" spans="1:13" customFormat="1" ht="12.75">
      <c r="A438" s="1524"/>
      <c r="F438" s="1"/>
      <c r="G438" s="1"/>
      <c r="H438" s="1"/>
      <c r="I438" s="1"/>
      <c r="L438" s="301"/>
      <c r="M438" s="301"/>
    </row>
    <row r="439" spans="1:13" customFormat="1" ht="12.75">
      <c r="A439" s="1524"/>
      <c r="F439" s="1"/>
      <c r="G439" s="1"/>
      <c r="H439" s="1"/>
      <c r="I439" s="1"/>
      <c r="L439" s="301"/>
      <c r="M439" s="301"/>
    </row>
    <row r="440" spans="1:13" customFormat="1" ht="12.75">
      <c r="A440" s="1524"/>
      <c r="F440" s="1"/>
      <c r="G440" s="1"/>
      <c r="H440" s="1"/>
      <c r="I440" s="1"/>
      <c r="L440" s="301"/>
      <c r="M440" s="301"/>
    </row>
    <row r="441" spans="1:13" customFormat="1" ht="12.75">
      <c r="A441" s="1524"/>
      <c r="F441" s="1"/>
      <c r="G441" s="1"/>
      <c r="H441" s="1"/>
      <c r="I441" s="1"/>
      <c r="L441" s="301"/>
      <c r="M441" s="301"/>
    </row>
    <row r="442" spans="1:13" customFormat="1" ht="12.75">
      <c r="A442" s="1524"/>
      <c r="F442" s="1"/>
      <c r="G442" s="1"/>
      <c r="H442" s="1"/>
      <c r="I442" s="1"/>
      <c r="L442" s="301"/>
      <c r="M442" s="301"/>
    </row>
    <row r="443" spans="1:13" customFormat="1" ht="12.75">
      <c r="A443" s="1524"/>
      <c r="F443" s="1"/>
      <c r="G443" s="1"/>
      <c r="H443" s="1"/>
      <c r="I443" s="1"/>
      <c r="L443" s="301"/>
      <c r="M443" s="301"/>
    </row>
    <row r="444" spans="1:13" customFormat="1" ht="12.75">
      <c r="A444" s="1524"/>
      <c r="F444" s="1"/>
      <c r="G444" s="1"/>
      <c r="H444" s="1"/>
      <c r="I444" s="1"/>
      <c r="L444" s="301"/>
      <c r="M444" s="301"/>
    </row>
    <row r="445" spans="1:13" customFormat="1" ht="12.75">
      <c r="A445" s="1524"/>
      <c r="F445" s="1"/>
      <c r="G445" s="1"/>
      <c r="H445" s="1"/>
      <c r="I445" s="1"/>
      <c r="L445" s="301"/>
      <c r="M445" s="301"/>
    </row>
    <row r="446" spans="1:13" customFormat="1" ht="12.75">
      <c r="A446" s="1524"/>
      <c r="F446" s="1"/>
      <c r="G446" s="1"/>
      <c r="H446" s="1"/>
      <c r="I446" s="1"/>
      <c r="L446" s="301"/>
      <c r="M446" s="301"/>
    </row>
    <row r="447" spans="1:13" customFormat="1" ht="12.75">
      <c r="A447" s="1524"/>
      <c r="F447" s="1"/>
      <c r="G447" s="1"/>
      <c r="H447" s="1"/>
      <c r="I447" s="1"/>
      <c r="L447" s="301"/>
      <c r="M447" s="301"/>
    </row>
    <row r="448" spans="1:13" customFormat="1" ht="12.75">
      <c r="A448" s="1524"/>
      <c r="F448" s="1"/>
      <c r="G448" s="1"/>
      <c r="H448" s="1"/>
      <c r="I448" s="1"/>
      <c r="L448" s="301"/>
      <c r="M448" s="301"/>
    </row>
    <row r="449" spans="1:13" customFormat="1" ht="12.75">
      <c r="A449" s="1524"/>
      <c r="F449" s="1"/>
      <c r="G449" s="1"/>
      <c r="H449" s="1"/>
      <c r="I449" s="1"/>
      <c r="L449" s="301"/>
      <c r="M449" s="301"/>
    </row>
    <row r="450" spans="1:13" customFormat="1" ht="12.75">
      <c r="A450" s="1524"/>
      <c r="F450" s="1"/>
      <c r="G450" s="1"/>
      <c r="H450" s="1"/>
      <c r="I450" s="1"/>
      <c r="L450" s="301"/>
      <c r="M450" s="301"/>
    </row>
    <row r="451" spans="1:13" customFormat="1" ht="12.75">
      <c r="A451" s="1524"/>
      <c r="F451" s="1"/>
      <c r="G451" s="1"/>
      <c r="H451" s="1"/>
      <c r="I451" s="1"/>
      <c r="L451" s="301"/>
      <c r="M451" s="301"/>
    </row>
    <row r="452" spans="1:13" customFormat="1" ht="12.75">
      <c r="A452" s="1524"/>
      <c r="F452" s="1"/>
      <c r="G452" s="1"/>
      <c r="H452" s="1"/>
      <c r="I452" s="1"/>
      <c r="L452" s="301"/>
      <c r="M452" s="301"/>
    </row>
    <row r="453" spans="1:13" customFormat="1" ht="12.75">
      <c r="A453" s="1524"/>
      <c r="F453" s="1"/>
      <c r="G453" s="1"/>
      <c r="H453" s="1"/>
      <c r="I453" s="1"/>
      <c r="L453" s="301"/>
      <c r="M453" s="301"/>
    </row>
    <row r="454" spans="1:13" customFormat="1" ht="12.75">
      <c r="A454" s="1524"/>
      <c r="F454" s="1"/>
      <c r="G454" s="1"/>
      <c r="H454" s="1"/>
      <c r="I454" s="1"/>
      <c r="L454" s="301"/>
      <c r="M454" s="301"/>
    </row>
    <row r="455" spans="1:13" customFormat="1" ht="12.75">
      <c r="A455" s="1524"/>
      <c r="F455" s="1"/>
      <c r="G455" s="1"/>
      <c r="H455" s="1"/>
      <c r="I455" s="1"/>
      <c r="L455" s="301"/>
      <c r="M455" s="301"/>
    </row>
    <row r="456" spans="1:13" customFormat="1" ht="12.75">
      <c r="A456" s="1524"/>
      <c r="F456" s="1"/>
      <c r="G456" s="1"/>
      <c r="H456" s="1"/>
      <c r="I456" s="1"/>
      <c r="L456" s="301"/>
      <c r="M456" s="301"/>
    </row>
    <row r="457" spans="1:13" customFormat="1" ht="12.75">
      <c r="A457" s="1524"/>
      <c r="F457" s="1"/>
      <c r="G457" s="1"/>
      <c r="H457" s="1"/>
      <c r="I457" s="1"/>
      <c r="L457" s="301"/>
      <c r="M457" s="301"/>
    </row>
    <row r="458" spans="1:13" customFormat="1" ht="12.75">
      <c r="A458" s="1524"/>
      <c r="F458" s="1"/>
      <c r="G458" s="1"/>
      <c r="H458" s="1"/>
      <c r="I458" s="1"/>
      <c r="L458" s="301"/>
      <c r="M458" s="301"/>
    </row>
    <row r="459" spans="1:13" customFormat="1" ht="12.75">
      <c r="A459" s="1524"/>
      <c r="F459" s="1"/>
      <c r="G459" s="1"/>
      <c r="H459" s="1"/>
      <c r="I459" s="1"/>
      <c r="L459" s="301"/>
      <c r="M459" s="301"/>
    </row>
    <row r="460" spans="1:13" customFormat="1" ht="12.75">
      <c r="A460" s="1524"/>
      <c r="F460" s="1"/>
      <c r="G460" s="1"/>
      <c r="H460" s="1"/>
      <c r="I460" s="1"/>
      <c r="L460" s="301"/>
      <c r="M460" s="301"/>
    </row>
    <row r="461" spans="1:13" customFormat="1" ht="12.75">
      <c r="A461" s="1524"/>
      <c r="F461" s="1"/>
      <c r="G461" s="1"/>
      <c r="H461" s="1"/>
      <c r="I461" s="1"/>
      <c r="L461" s="301"/>
      <c r="M461" s="301"/>
    </row>
    <row r="462" spans="1:13" customFormat="1" ht="12.75">
      <c r="A462" s="1524"/>
      <c r="F462" s="1"/>
      <c r="G462" s="1"/>
      <c r="H462" s="1"/>
      <c r="I462" s="1"/>
      <c r="L462" s="301"/>
      <c r="M462" s="301"/>
    </row>
    <row r="463" spans="1:13" customFormat="1" ht="12.75">
      <c r="A463" s="1524"/>
      <c r="F463" s="1"/>
      <c r="G463" s="1"/>
      <c r="H463" s="1"/>
      <c r="I463" s="1"/>
      <c r="L463" s="301"/>
      <c r="M463" s="301"/>
    </row>
    <row r="464" spans="1:13" customFormat="1" ht="12.75">
      <c r="A464" s="1524"/>
      <c r="F464" s="1"/>
      <c r="G464" s="1"/>
      <c r="H464" s="1"/>
      <c r="I464" s="1"/>
      <c r="L464" s="301"/>
      <c r="M464" s="301"/>
    </row>
    <row r="465" spans="1:13" customFormat="1" ht="12.75">
      <c r="A465" s="1524"/>
      <c r="F465" s="1"/>
      <c r="G465" s="1"/>
      <c r="H465" s="1"/>
      <c r="I465" s="1"/>
      <c r="L465" s="301"/>
      <c r="M465" s="301"/>
    </row>
    <row r="466" spans="1:13" customFormat="1" ht="12.75">
      <c r="A466" s="1524"/>
      <c r="F466" s="1"/>
      <c r="G466" s="1"/>
      <c r="H466" s="1"/>
      <c r="I466" s="1"/>
      <c r="L466" s="301"/>
      <c r="M466" s="301"/>
    </row>
    <row r="467" spans="1:13" customFormat="1" ht="12.75">
      <c r="A467" s="1524"/>
      <c r="F467" s="1"/>
      <c r="G467" s="1"/>
      <c r="H467" s="1"/>
      <c r="I467" s="1"/>
      <c r="L467" s="301"/>
      <c r="M467" s="301"/>
    </row>
    <row r="468" spans="1:13" customFormat="1" ht="12.75">
      <c r="A468" s="1524"/>
      <c r="F468" s="1"/>
      <c r="G468" s="1"/>
      <c r="H468" s="1"/>
      <c r="I468" s="1"/>
      <c r="L468" s="301"/>
      <c r="M468" s="301"/>
    </row>
    <row r="469" spans="1:13" customFormat="1" ht="12.75">
      <c r="A469" s="1524"/>
      <c r="F469" s="1"/>
      <c r="G469" s="1"/>
      <c r="H469" s="1"/>
      <c r="I469" s="1"/>
      <c r="L469" s="301"/>
      <c r="M469" s="301"/>
    </row>
    <row r="470" spans="1:13" customFormat="1" ht="12.75">
      <c r="A470" s="1524"/>
      <c r="F470" s="1"/>
      <c r="G470" s="1"/>
      <c r="H470" s="1"/>
      <c r="I470" s="1"/>
      <c r="L470" s="301"/>
      <c r="M470" s="301"/>
    </row>
    <row r="471" spans="1:13" customFormat="1" ht="12.75">
      <c r="A471" s="1524"/>
      <c r="F471" s="1"/>
      <c r="G471" s="1"/>
      <c r="H471" s="1"/>
      <c r="I471" s="1"/>
      <c r="L471" s="301"/>
      <c r="M471" s="301"/>
    </row>
    <row r="472" spans="1:13" customFormat="1" ht="12.75">
      <c r="A472" s="1524"/>
      <c r="F472" s="1"/>
      <c r="G472" s="1"/>
      <c r="H472" s="1"/>
      <c r="I472" s="1"/>
      <c r="L472" s="301"/>
      <c r="M472" s="301"/>
    </row>
    <row r="473" spans="1:13" customFormat="1" ht="12.75">
      <c r="A473" s="1524"/>
      <c r="F473" s="1"/>
      <c r="G473" s="1"/>
      <c r="H473" s="1"/>
      <c r="I473" s="1"/>
      <c r="L473" s="301"/>
      <c r="M473" s="301"/>
    </row>
    <row r="474" spans="1:13" customFormat="1" ht="12.75">
      <c r="A474" s="1524"/>
      <c r="F474" s="1"/>
      <c r="G474" s="1"/>
      <c r="H474" s="1"/>
      <c r="I474" s="1"/>
      <c r="L474" s="301"/>
      <c r="M474" s="301"/>
    </row>
    <row r="475" spans="1:13" customFormat="1" ht="12.75">
      <c r="A475" s="1524"/>
      <c r="F475" s="1"/>
      <c r="G475" s="1"/>
      <c r="H475" s="1"/>
      <c r="I475" s="1"/>
      <c r="L475" s="301"/>
      <c r="M475" s="301"/>
    </row>
    <row r="476" spans="1:13" customFormat="1" ht="12.75">
      <c r="A476" s="1524"/>
      <c r="F476" s="1"/>
      <c r="G476" s="1"/>
      <c r="H476" s="1"/>
      <c r="I476" s="1"/>
      <c r="L476" s="301"/>
      <c r="M476" s="301"/>
    </row>
    <row r="477" spans="1:13" customFormat="1" ht="12.75">
      <c r="A477" s="1524"/>
      <c r="F477" s="1"/>
      <c r="G477" s="1"/>
      <c r="H477" s="1"/>
      <c r="I477" s="1"/>
      <c r="L477" s="301"/>
      <c r="M477" s="301"/>
    </row>
    <row r="478" spans="1:13" customFormat="1" ht="12.75">
      <c r="A478" s="1524"/>
      <c r="F478" s="1"/>
      <c r="G478" s="1"/>
      <c r="H478" s="1"/>
      <c r="I478" s="1"/>
      <c r="L478" s="301"/>
      <c r="M478" s="301"/>
    </row>
    <row r="479" spans="1:13" customFormat="1" ht="12.75">
      <c r="A479" s="1524"/>
      <c r="F479" s="1"/>
      <c r="G479" s="1"/>
      <c r="H479" s="1"/>
      <c r="I479" s="1"/>
      <c r="L479" s="301"/>
      <c r="M479" s="301"/>
    </row>
    <row r="480" spans="1:13" customFormat="1" ht="12.75">
      <c r="A480" s="1524"/>
      <c r="F480" s="1"/>
      <c r="G480" s="1"/>
      <c r="H480" s="1"/>
      <c r="I480" s="1"/>
      <c r="L480" s="301"/>
      <c r="M480" s="301"/>
    </row>
    <row r="481" spans="1:13" customFormat="1" ht="12.75">
      <c r="A481" s="1524"/>
      <c r="F481" s="1"/>
      <c r="G481" s="1"/>
      <c r="H481" s="1"/>
      <c r="I481" s="1"/>
      <c r="L481" s="301"/>
      <c r="M481" s="301"/>
    </row>
    <row r="482" spans="1:13" customFormat="1" ht="12.75">
      <c r="A482" s="1524"/>
      <c r="F482" s="1"/>
      <c r="G482" s="1"/>
      <c r="H482" s="1"/>
      <c r="I482" s="1"/>
      <c r="L482" s="301"/>
      <c r="M482" s="301"/>
    </row>
    <row r="483" spans="1:13" customFormat="1" ht="12.75">
      <c r="A483" s="1524"/>
      <c r="F483" s="1"/>
      <c r="G483" s="1"/>
      <c r="H483" s="1"/>
      <c r="I483" s="1"/>
      <c r="L483" s="301"/>
      <c r="M483" s="301"/>
    </row>
    <row r="484" spans="1:13" customFormat="1" ht="12.75">
      <c r="A484" s="1524"/>
      <c r="F484" s="1"/>
      <c r="G484" s="1"/>
      <c r="H484" s="1"/>
      <c r="I484" s="1"/>
      <c r="L484" s="301"/>
      <c r="M484" s="301"/>
    </row>
    <row r="485" spans="1:13" customFormat="1" ht="12.75">
      <c r="A485" s="1524"/>
      <c r="F485" s="1"/>
      <c r="G485" s="1"/>
      <c r="H485" s="1"/>
      <c r="I485" s="1"/>
      <c r="L485" s="301"/>
      <c r="M485" s="301"/>
    </row>
    <row r="486" spans="1:13" customFormat="1" ht="12.75">
      <c r="A486" s="1524"/>
      <c r="F486" s="1"/>
      <c r="G486" s="1"/>
      <c r="H486" s="1"/>
      <c r="I486" s="1"/>
      <c r="L486" s="301"/>
      <c r="M486" s="301"/>
    </row>
    <row r="487" spans="1:13" customFormat="1" ht="12.75">
      <c r="A487" s="1524"/>
      <c r="F487" s="1"/>
      <c r="G487" s="1"/>
      <c r="H487" s="1"/>
      <c r="I487" s="1"/>
      <c r="L487" s="301"/>
      <c r="M487" s="301"/>
    </row>
    <row r="488" spans="1:13" customFormat="1" ht="12.75">
      <c r="A488" s="1524"/>
      <c r="F488" s="1"/>
      <c r="G488" s="1"/>
      <c r="H488" s="1"/>
      <c r="I488" s="1"/>
      <c r="L488" s="301"/>
      <c r="M488" s="301"/>
    </row>
    <row r="489" spans="1:13" customFormat="1" ht="12.75">
      <c r="A489" s="1524"/>
      <c r="F489" s="1"/>
      <c r="G489" s="1"/>
      <c r="H489" s="1"/>
      <c r="I489" s="1"/>
      <c r="L489" s="301"/>
      <c r="M489" s="301"/>
    </row>
    <row r="490" spans="1:13" customFormat="1" ht="12.75">
      <c r="A490" s="1524"/>
      <c r="F490" s="1"/>
      <c r="G490" s="1"/>
      <c r="H490" s="1"/>
      <c r="I490" s="1"/>
      <c r="L490" s="301"/>
      <c r="M490" s="301"/>
    </row>
    <row r="491" spans="1:13" customFormat="1" ht="12.75">
      <c r="A491" s="1524"/>
      <c r="F491" s="1"/>
      <c r="G491" s="1"/>
      <c r="H491" s="1"/>
      <c r="I491" s="1"/>
      <c r="L491" s="301"/>
      <c r="M491" s="301"/>
    </row>
    <row r="492" spans="1:13" customFormat="1" ht="12.75">
      <c r="A492" s="1524"/>
      <c r="F492" s="1"/>
      <c r="G492" s="1"/>
      <c r="H492" s="1"/>
      <c r="I492" s="1"/>
      <c r="L492" s="301"/>
      <c r="M492" s="301"/>
    </row>
    <row r="493" spans="1:13" customFormat="1" ht="12.75">
      <c r="A493" s="1524"/>
      <c r="F493" s="1"/>
      <c r="G493" s="1"/>
      <c r="H493" s="1"/>
      <c r="I493" s="1"/>
      <c r="L493" s="301"/>
      <c r="M493" s="301"/>
    </row>
    <row r="494" spans="1:13" customFormat="1" ht="12.75">
      <c r="A494" s="1524"/>
      <c r="F494" s="1"/>
      <c r="G494" s="1"/>
      <c r="H494" s="1"/>
      <c r="I494" s="1"/>
      <c r="L494" s="301"/>
      <c r="M494" s="301"/>
    </row>
    <row r="495" spans="1:13" customFormat="1" ht="12.75">
      <c r="A495" s="1524"/>
      <c r="F495" s="1"/>
      <c r="G495" s="1"/>
      <c r="H495" s="1"/>
      <c r="I495" s="1"/>
      <c r="L495" s="301"/>
      <c r="M495" s="301"/>
    </row>
    <row r="496" spans="1:13" customFormat="1" ht="12.75">
      <c r="A496" s="1524"/>
      <c r="F496" s="1"/>
      <c r="G496" s="1"/>
      <c r="H496" s="1"/>
      <c r="I496" s="1"/>
      <c r="L496" s="301"/>
      <c r="M496" s="301"/>
    </row>
    <row r="497" spans="1:13" customFormat="1" ht="12.75">
      <c r="A497" s="1524"/>
      <c r="F497" s="1"/>
      <c r="G497" s="1"/>
      <c r="H497" s="1"/>
      <c r="I497" s="1"/>
      <c r="L497" s="301"/>
      <c r="M497" s="301"/>
    </row>
    <row r="498" spans="1:13" customFormat="1" ht="12.75">
      <c r="A498" s="1524"/>
      <c r="F498" s="1"/>
      <c r="G498" s="1"/>
      <c r="H498" s="1"/>
      <c r="I498" s="1"/>
      <c r="L498" s="301"/>
      <c r="M498" s="301"/>
    </row>
    <row r="499" spans="1:13" customFormat="1" ht="12.75">
      <c r="A499" s="1524"/>
      <c r="F499" s="1"/>
      <c r="G499" s="1"/>
      <c r="H499" s="1"/>
      <c r="I499" s="1"/>
      <c r="L499" s="301"/>
      <c r="M499" s="301"/>
    </row>
    <row r="500" spans="1:13" customFormat="1" ht="12.75">
      <c r="A500" s="1524"/>
      <c r="F500" s="1"/>
      <c r="G500" s="1"/>
      <c r="H500" s="1"/>
      <c r="I500" s="1"/>
      <c r="L500" s="301"/>
      <c r="M500" s="301"/>
    </row>
    <row r="501" spans="1:13" customFormat="1" ht="12.75">
      <c r="A501" s="1524"/>
      <c r="F501" s="1"/>
      <c r="G501" s="1"/>
      <c r="H501" s="1"/>
      <c r="I501" s="1"/>
      <c r="L501" s="301"/>
      <c r="M501" s="301"/>
    </row>
    <row r="502" spans="1:13" customFormat="1" ht="12.75">
      <c r="A502" s="1524"/>
      <c r="F502" s="1"/>
      <c r="G502" s="1"/>
      <c r="H502" s="1"/>
      <c r="I502" s="1"/>
      <c r="L502" s="301"/>
      <c r="M502" s="301"/>
    </row>
    <row r="503" spans="1:13" customFormat="1" ht="12.75">
      <c r="A503" s="1524"/>
      <c r="F503" s="1"/>
      <c r="G503" s="1"/>
      <c r="H503" s="1"/>
      <c r="I503" s="1"/>
      <c r="L503" s="301"/>
      <c r="M503" s="301"/>
    </row>
    <row r="504" spans="1:13" customFormat="1" ht="12.75">
      <c r="A504" s="1524"/>
      <c r="F504" s="1"/>
      <c r="G504" s="1"/>
      <c r="H504" s="1"/>
      <c r="I504" s="1"/>
      <c r="L504" s="301"/>
      <c r="M504" s="301"/>
    </row>
    <row r="505" spans="1:13" customFormat="1" ht="12.75">
      <c r="A505" s="1524"/>
      <c r="F505" s="1"/>
      <c r="G505" s="1"/>
      <c r="H505" s="1"/>
      <c r="I505" s="1"/>
      <c r="L505" s="301"/>
      <c r="M505" s="301"/>
    </row>
    <row r="506" spans="1:13" customFormat="1" ht="12.75">
      <c r="A506" s="1524"/>
      <c r="F506" s="1"/>
      <c r="G506" s="1"/>
      <c r="H506" s="1"/>
      <c r="I506" s="1"/>
      <c r="L506" s="301"/>
      <c r="M506" s="301"/>
    </row>
    <row r="507" spans="1:13" customFormat="1" ht="12.75">
      <c r="A507" s="1524"/>
      <c r="F507" s="1"/>
      <c r="G507" s="1"/>
      <c r="H507" s="1"/>
      <c r="I507" s="1"/>
      <c r="L507" s="301"/>
      <c r="M507" s="301"/>
    </row>
    <row r="508" spans="1:13" customFormat="1" ht="12.75">
      <c r="A508" s="1524"/>
      <c r="F508" s="1"/>
      <c r="G508" s="1"/>
      <c r="H508" s="1"/>
      <c r="I508" s="1"/>
      <c r="L508" s="301"/>
      <c r="M508" s="301"/>
    </row>
    <row r="509" spans="1:13" customFormat="1" ht="12.75">
      <c r="A509" s="1524"/>
      <c r="F509" s="1"/>
      <c r="G509" s="1"/>
      <c r="H509" s="1"/>
      <c r="I509" s="1"/>
      <c r="L509" s="301"/>
      <c r="M509" s="301"/>
    </row>
    <row r="510" spans="1:13" customFormat="1" ht="12.75">
      <c r="A510" s="1524"/>
      <c r="F510" s="1"/>
      <c r="G510" s="1"/>
      <c r="H510" s="1"/>
      <c r="I510" s="1"/>
      <c r="L510" s="301"/>
      <c r="M510" s="301"/>
    </row>
    <row r="511" spans="1:13" customFormat="1" ht="12.75">
      <c r="A511" s="1524"/>
      <c r="F511" s="1"/>
      <c r="G511" s="1"/>
      <c r="H511" s="1"/>
      <c r="I511" s="1"/>
      <c r="L511" s="301"/>
      <c r="M511" s="301"/>
    </row>
    <row r="512" spans="1:13" customFormat="1" ht="12.75">
      <c r="A512" s="1524"/>
      <c r="F512" s="1"/>
      <c r="G512" s="1"/>
      <c r="H512" s="1"/>
      <c r="I512" s="1"/>
      <c r="L512" s="301"/>
      <c r="M512" s="301"/>
    </row>
    <row r="513" spans="1:13" customFormat="1" ht="12.75">
      <c r="A513" s="1524"/>
      <c r="F513" s="1"/>
      <c r="G513" s="1"/>
      <c r="H513" s="1"/>
      <c r="I513" s="1"/>
      <c r="L513" s="301"/>
      <c r="M513" s="301"/>
    </row>
    <row r="514" spans="1:13" customFormat="1" ht="12.75">
      <c r="A514" s="1524"/>
      <c r="F514" s="1"/>
      <c r="G514" s="1"/>
      <c r="H514" s="1"/>
      <c r="I514" s="1"/>
      <c r="L514" s="301"/>
      <c r="M514" s="301"/>
    </row>
    <row r="515" spans="1:13" customFormat="1" ht="12.75">
      <c r="A515" s="1524"/>
      <c r="F515" s="1"/>
      <c r="G515" s="1"/>
      <c r="H515" s="1"/>
      <c r="I515" s="1"/>
      <c r="L515" s="301"/>
      <c r="M515" s="301"/>
    </row>
    <row r="516" spans="1:13" customFormat="1" ht="12.75">
      <c r="A516" s="1524"/>
      <c r="F516" s="1"/>
      <c r="G516" s="1"/>
      <c r="H516" s="1"/>
      <c r="I516" s="1"/>
      <c r="L516" s="301"/>
      <c r="M516" s="301"/>
    </row>
    <row r="517" spans="1:13" customFormat="1" ht="12.75">
      <c r="A517" s="1524"/>
      <c r="F517" s="1"/>
      <c r="G517" s="1"/>
      <c r="H517" s="1"/>
      <c r="I517" s="1"/>
      <c r="L517" s="301"/>
      <c r="M517" s="301"/>
    </row>
    <row r="518" spans="1:13" customFormat="1" ht="12.75">
      <c r="A518" s="1524"/>
      <c r="F518" s="1"/>
      <c r="G518" s="1"/>
      <c r="H518" s="1"/>
      <c r="I518" s="1"/>
      <c r="L518" s="301"/>
      <c r="M518" s="301"/>
    </row>
    <row r="519" spans="1:13" customFormat="1" ht="12.75">
      <c r="A519" s="1524"/>
      <c r="F519" s="1"/>
      <c r="G519" s="1"/>
      <c r="H519" s="1"/>
      <c r="I519" s="1"/>
      <c r="L519" s="301"/>
      <c r="M519" s="301"/>
    </row>
    <row r="520" spans="1:13" customFormat="1" ht="12.75">
      <c r="A520" s="1524"/>
      <c r="F520" s="1"/>
      <c r="G520" s="1"/>
      <c r="H520" s="1"/>
      <c r="I520" s="1"/>
      <c r="L520" s="301"/>
      <c r="M520" s="301"/>
    </row>
    <row r="521" spans="1:13" customFormat="1" ht="12.75">
      <c r="A521" s="1524"/>
      <c r="F521" s="1"/>
      <c r="G521" s="1"/>
      <c r="H521" s="1"/>
      <c r="I521" s="1"/>
      <c r="L521" s="301"/>
      <c r="M521" s="301"/>
    </row>
    <row r="522" spans="1:13" customFormat="1" ht="12.75">
      <c r="A522" s="1524"/>
      <c r="F522" s="1"/>
      <c r="G522" s="1"/>
      <c r="H522" s="1"/>
      <c r="I522" s="1"/>
      <c r="L522" s="301"/>
      <c r="M522" s="301"/>
    </row>
    <row r="523" spans="1:13" customFormat="1" ht="12.75">
      <c r="A523" s="1524"/>
      <c r="F523" s="1"/>
      <c r="G523" s="1"/>
      <c r="H523" s="1"/>
      <c r="I523" s="1"/>
      <c r="L523" s="301"/>
      <c r="M523" s="301"/>
    </row>
    <row r="524" spans="1:13" customFormat="1" ht="12.75">
      <c r="A524" s="1524"/>
      <c r="F524" s="1"/>
      <c r="G524" s="1"/>
      <c r="H524" s="1"/>
      <c r="I524" s="1"/>
      <c r="L524" s="301"/>
      <c r="M524" s="301"/>
    </row>
    <row r="525" spans="1:13" customFormat="1" ht="12.75">
      <c r="A525" s="1524"/>
      <c r="F525" s="1"/>
      <c r="G525" s="1"/>
      <c r="H525" s="1"/>
      <c r="I525" s="1"/>
      <c r="L525" s="301"/>
      <c r="M525" s="301"/>
    </row>
    <row r="526" spans="1:13" customFormat="1" ht="12.75">
      <c r="A526" s="1524"/>
      <c r="F526" s="1"/>
      <c r="G526" s="1"/>
      <c r="H526" s="1"/>
      <c r="I526" s="1"/>
      <c r="L526" s="301"/>
      <c r="M526" s="301"/>
    </row>
    <row r="527" spans="1:13" customFormat="1" ht="12.75">
      <c r="A527" s="1524"/>
      <c r="F527" s="1"/>
      <c r="G527" s="1"/>
      <c r="H527" s="1"/>
      <c r="I527" s="1"/>
      <c r="L527" s="301"/>
      <c r="M527" s="301"/>
    </row>
    <row r="528" spans="1:13" customFormat="1" ht="12.75">
      <c r="A528" s="1524"/>
      <c r="F528" s="1"/>
      <c r="G528" s="1"/>
      <c r="H528" s="1"/>
      <c r="I528" s="1"/>
      <c r="L528" s="301"/>
      <c r="M528" s="301"/>
    </row>
    <row r="529" spans="1:13" customFormat="1" ht="12.75">
      <c r="A529" s="1524"/>
      <c r="F529" s="1"/>
      <c r="G529" s="1"/>
      <c r="H529" s="1"/>
      <c r="I529" s="1"/>
      <c r="L529" s="301"/>
      <c r="M529" s="301"/>
    </row>
    <row r="530" spans="1:13" customFormat="1" ht="12.75">
      <c r="A530" s="1524"/>
      <c r="F530" s="1"/>
      <c r="G530" s="1"/>
      <c r="H530" s="1"/>
      <c r="I530" s="1"/>
      <c r="L530" s="301"/>
      <c r="M530" s="301"/>
    </row>
    <row r="531" spans="1:13" customFormat="1" ht="12.75">
      <c r="A531" s="1524"/>
      <c r="F531" s="1"/>
      <c r="G531" s="1"/>
      <c r="H531" s="1"/>
      <c r="I531" s="1"/>
      <c r="L531" s="301"/>
      <c r="M531" s="301"/>
    </row>
    <row r="532" spans="1:13" customFormat="1" ht="12.75">
      <c r="A532" s="1524"/>
      <c r="F532" s="1"/>
      <c r="G532" s="1"/>
      <c r="H532" s="1"/>
      <c r="I532" s="1"/>
      <c r="L532" s="301"/>
      <c r="M532" s="301"/>
    </row>
    <row r="533" spans="1:13" customFormat="1" ht="12.75">
      <c r="A533" s="1524"/>
      <c r="F533" s="1"/>
      <c r="G533" s="1"/>
      <c r="H533" s="1"/>
      <c r="I533" s="1"/>
      <c r="L533" s="301"/>
      <c r="M533" s="301"/>
    </row>
    <row r="534" spans="1:13" customFormat="1" ht="12.75">
      <c r="A534" s="1524"/>
      <c r="F534" s="1"/>
      <c r="G534" s="1"/>
      <c r="H534" s="1"/>
      <c r="I534" s="1"/>
      <c r="L534" s="301"/>
      <c r="M534" s="301"/>
    </row>
    <row r="535" spans="1:13" customFormat="1" ht="12.75">
      <c r="A535" s="1524"/>
      <c r="F535" s="1"/>
      <c r="G535" s="1"/>
      <c r="H535" s="1"/>
      <c r="I535" s="1"/>
      <c r="L535" s="301"/>
      <c r="M535" s="301"/>
    </row>
    <row r="536" spans="1:13" customFormat="1" ht="12.75">
      <c r="A536" s="1524"/>
      <c r="F536" s="1"/>
      <c r="G536" s="1"/>
      <c r="H536" s="1"/>
      <c r="I536" s="1"/>
      <c r="L536" s="301"/>
      <c r="M536" s="301"/>
    </row>
    <row r="537" spans="1:13" customFormat="1" ht="12.75">
      <c r="A537" s="1524"/>
      <c r="F537" s="1"/>
      <c r="G537" s="1"/>
      <c r="H537" s="1"/>
      <c r="I537" s="1"/>
      <c r="L537" s="301"/>
      <c r="M537" s="301"/>
    </row>
    <row r="538" spans="1:13" customFormat="1" ht="12.75">
      <c r="A538" s="1524"/>
      <c r="F538" s="1"/>
      <c r="G538" s="1"/>
      <c r="H538" s="1"/>
      <c r="I538" s="1"/>
      <c r="L538" s="301"/>
      <c r="M538" s="301"/>
    </row>
    <row r="539" spans="1:13" customFormat="1" ht="12.75">
      <c r="A539" s="1524"/>
      <c r="F539" s="1"/>
      <c r="G539" s="1"/>
      <c r="H539" s="1"/>
      <c r="I539" s="1"/>
      <c r="L539" s="301"/>
      <c r="M539" s="301"/>
    </row>
    <row r="540" spans="1:13" customFormat="1" ht="12.75">
      <c r="A540" s="1524"/>
      <c r="F540" s="1"/>
      <c r="G540" s="1"/>
      <c r="H540" s="1"/>
      <c r="I540" s="1"/>
      <c r="L540" s="301"/>
      <c r="M540" s="301"/>
    </row>
    <row r="541" spans="1:13" customFormat="1" ht="12.75">
      <c r="A541" s="1524"/>
      <c r="F541" s="1"/>
      <c r="G541" s="1"/>
      <c r="H541" s="1"/>
      <c r="I541" s="1"/>
      <c r="L541" s="301"/>
      <c r="M541" s="301"/>
    </row>
    <row r="542" spans="1:13" customFormat="1" ht="12.75">
      <c r="A542" s="1524"/>
      <c r="F542" s="1"/>
      <c r="G542" s="1"/>
      <c r="H542" s="1"/>
      <c r="I542" s="1"/>
      <c r="L542" s="301"/>
      <c r="M542" s="301"/>
    </row>
    <row r="543" spans="1:13" customFormat="1" ht="12.75">
      <c r="A543" s="1524"/>
      <c r="F543" s="1"/>
      <c r="G543" s="1"/>
      <c r="H543" s="1"/>
      <c r="I543" s="1"/>
      <c r="L543" s="301"/>
      <c r="M543" s="301"/>
    </row>
    <row r="544" spans="1:13" customFormat="1" ht="12.75">
      <c r="A544" s="1524"/>
      <c r="F544" s="1"/>
      <c r="G544" s="1"/>
      <c r="H544" s="1"/>
      <c r="I544" s="1"/>
      <c r="L544" s="301"/>
      <c r="M544" s="301"/>
    </row>
    <row r="545" spans="1:13" customFormat="1" ht="12.75">
      <c r="A545" s="1524"/>
      <c r="F545" s="1"/>
      <c r="G545" s="1"/>
      <c r="H545" s="1"/>
      <c r="I545" s="1"/>
      <c r="L545" s="301"/>
      <c r="M545" s="301"/>
    </row>
    <row r="546" spans="1:13" customFormat="1" ht="12.75">
      <c r="A546" s="1524"/>
      <c r="F546" s="1"/>
      <c r="G546" s="1"/>
      <c r="H546" s="1"/>
      <c r="I546" s="1"/>
      <c r="L546" s="301"/>
      <c r="M546" s="301"/>
    </row>
    <row r="547" spans="1:13" customFormat="1" ht="12.75">
      <c r="A547" s="1524"/>
      <c r="F547" s="1"/>
      <c r="G547" s="1"/>
      <c r="H547" s="1"/>
      <c r="I547" s="1"/>
      <c r="L547" s="301"/>
      <c r="M547" s="301"/>
    </row>
    <row r="548" spans="1:13" customFormat="1" ht="12.75">
      <c r="A548" s="1524"/>
      <c r="F548" s="1"/>
      <c r="G548" s="1"/>
      <c r="H548" s="1"/>
      <c r="I548" s="1"/>
      <c r="L548" s="301"/>
      <c r="M548" s="301"/>
    </row>
    <row r="549" spans="1:13" customFormat="1" ht="12.75">
      <c r="A549" s="1524"/>
      <c r="F549" s="1"/>
      <c r="G549" s="1"/>
      <c r="H549" s="1"/>
      <c r="I549" s="1"/>
      <c r="L549" s="301"/>
      <c r="M549" s="301"/>
    </row>
    <row r="550" spans="1:13" customFormat="1" ht="12.75">
      <c r="A550" s="1524"/>
      <c r="F550" s="1"/>
      <c r="G550" s="1"/>
      <c r="H550" s="1"/>
      <c r="I550" s="1"/>
      <c r="L550" s="301"/>
      <c r="M550" s="301"/>
    </row>
    <row r="551" spans="1:13" customFormat="1" ht="12.75">
      <c r="A551" s="1524"/>
      <c r="F551" s="1"/>
      <c r="G551" s="1"/>
      <c r="H551" s="1"/>
      <c r="I551" s="1"/>
      <c r="L551" s="301"/>
      <c r="M551" s="301"/>
    </row>
    <row r="552" spans="1:13" customFormat="1" ht="12.75">
      <c r="A552" s="1524"/>
      <c r="F552" s="1"/>
      <c r="G552" s="1"/>
      <c r="H552" s="1"/>
      <c r="I552" s="1"/>
      <c r="L552" s="301"/>
      <c r="M552" s="301"/>
    </row>
    <row r="553" spans="1:13" customFormat="1" ht="12.75">
      <c r="A553" s="1524"/>
      <c r="F553" s="1"/>
      <c r="G553" s="1"/>
      <c r="H553" s="1"/>
      <c r="I553" s="1"/>
      <c r="L553" s="301"/>
      <c r="M553" s="301"/>
    </row>
    <row r="554" spans="1:13" customFormat="1" ht="12.75">
      <c r="A554" s="1524"/>
      <c r="F554" s="1"/>
      <c r="G554" s="1"/>
      <c r="H554" s="1"/>
      <c r="I554" s="1"/>
      <c r="L554" s="301"/>
      <c r="M554" s="301"/>
    </row>
    <row r="555" spans="1:13" customFormat="1" ht="12.75">
      <c r="A555" s="1524"/>
      <c r="F555" s="1"/>
      <c r="G555" s="1"/>
      <c r="H555" s="1"/>
      <c r="I555" s="1"/>
      <c r="L555" s="301"/>
      <c r="M555" s="301"/>
    </row>
    <row r="556" spans="1:13" customFormat="1" ht="12.75">
      <c r="A556" s="1524"/>
      <c r="F556" s="1"/>
      <c r="G556" s="1"/>
      <c r="H556" s="1"/>
      <c r="I556" s="1"/>
      <c r="L556" s="301"/>
      <c r="M556" s="301"/>
    </row>
    <row r="557" spans="1:13" customFormat="1" ht="12.75">
      <c r="A557" s="1524"/>
      <c r="F557" s="1"/>
      <c r="G557" s="1"/>
      <c r="H557" s="1"/>
      <c r="I557" s="1"/>
      <c r="L557" s="301"/>
      <c r="M557" s="301"/>
    </row>
    <row r="558" spans="1:13" customFormat="1" ht="12.75">
      <c r="A558" s="1524"/>
      <c r="F558" s="1"/>
      <c r="G558" s="1"/>
      <c r="H558" s="1"/>
      <c r="I558" s="1"/>
      <c r="L558" s="301"/>
      <c r="M558" s="301"/>
    </row>
    <row r="559" spans="1:13" customFormat="1" ht="12.75">
      <c r="A559" s="1524"/>
      <c r="F559" s="1"/>
      <c r="G559" s="1"/>
      <c r="H559" s="1"/>
      <c r="I559" s="1"/>
      <c r="L559" s="301"/>
      <c r="M559" s="301"/>
    </row>
    <row r="560" spans="1:13" customFormat="1" ht="12.75">
      <c r="A560" s="1524"/>
      <c r="F560" s="1"/>
      <c r="G560" s="1"/>
      <c r="H560" s="1"/>
      <c r="I560" s="1"/>
      <c r="L560" s="301"/>
      <c r="M560" s="301"/>
    </row>
    <row r="561" spans="1:13" customFormat="1" ht="12.75">
      <c r="A561" s="1524"/>
      <c r="F561" s="1"/>
      <c r="G561" s="1"/>
      <c r="H561" s="1"/>
      <c r="I561" s="1"/>
      <c r="L561" s="301"/>
      <c r="M561" s="301"/>
    </row>
    <row r="562" spans="1:13" customFormat="1" ht="12.75">
      <c r="A562" s="1524"/>
      <c r="F562" s="1"/>
      <c r="G562" s="1"/>
      <c r="H562" s="1"/>
      <c r="I562" s="1"/>
      <c r="L562" s="301"/>
      <c r="M562" s="301"/>
    </row>
    <row r="563" spans="1:13" customFormat="1" ht="12.75">
      <c r="A563" s="1524"/>
      <c r="F563" s="1"/>
      <c r="G563" s="1"/>
      <c r="H563" s="1"/>
      <c r="I563" s="1"/>
      <c r="L563" s="301"/>
      <c r="M563" s="301"/>
    </row>
    <row r="564" spans="1:13" customFormat="1" ht="12.75">
      <c r="A564" s="1524"/>
      <c r="F564" s="1"/>
      <c r="G564" s="1"/>
      <c r="H564" s="1"/>
      <c r="I564" s="1"/>
      <c r="L564" s="301"/>
      <c r="M564" s="301"/>
    </row>
    <row r="565" spans="1:13" customFormat="1" ht="12.75">
      <c r="A565" s="1524"/>
      <c r="F565" s="1"/>
      <c r="G565" s="1"/>
      <c r="H565" s="1"/>
      <c r="I565" s="1"/>
      <c r="L565" s="301"/>
      <c r="M565" s="301"/>
    </row>
    <row r="566" spans="1:13" customFormat="1" ht="12.75">
      <c r="A566" s="1524"/>
      <c r="F566" s="1"/>
      <c r="G566" s="1"/>
      <c r="H566" s="1"/>
      <c r="I566" s="1"/>
      <c r="L566" s="301"/>
      <c r="M566" s="301"/>
    </row>
    <row r="567" spans="1:13" customFormat="1" ht="12.75">
      <c r="A567" s="1524"/>
      <c r="F567" s="1"/>
      <c r="G567" s="1"/>
      <c r="H567" s="1"/>
      <c r="I567" s="1"/>
      <c r="L567" s="301"/>
      <c r="M567" s="301"/>
    </row>
    <row r="568" spans="1:13" customFormat="1" ht="12.75">
      <c r="A568" s="1524"/>
      <c r="F568" s="1"/>
      <c r="G568" s="1"/>
      <c r="H568" s="1"/>
      <c r="I568" s="1"/>
      <c r="L568" s="301"/>
      <c r="M568" s="301"/>
    </row>
    <row r="569" spans="1:13" customFormat="1" ht="12.75">
      <c r="A569" s="1524"/>
      <c r="F569" s="1"/>
      <c r="G569" s="1"/>
      <c r="H569" s="1"/>
      <c r="I569" s="1"/>
      <c r="L569" s="301"/>
      <c r="M569" s="301"/>
    </row>
    <row r="570" spans="1:13" customFormat="1" ht="12.75">
      <c r="A570" s="1524"/>
      <c r="F570" s="1"/>
      <c r="G570" s="1"/>
      <c r="H570" s="1"/>
      <c r="I570" s="1"/>
      <c r="L570" s="301"/>
      <c r="M570" s="301"/>
    </row>
    <row r="571" spans="1:13" customFormat="1" ht="12.75">
      <c r="A571" s="1524"/>
      <c r="F571" s="1"/>
      <c r="G571" s="1"/>
      <c r="H571" s="1"/>
      <c r="I571" s="1"/>
      <c r="L571" s="301"/>
      <c r="M571" s="301"/>
    </row>
    <row r="572" spans="1:13" customFormat="1" ht="12.75">
      <c r="A572" s="1524"/>
      <c r="F572" s="1"/>
      <c r="G572" s="1"/>
      <c r="H572" s="1"/>
      <c r="I572" s="1"/>
      <c r="L572" s="301"/>
      <c r="M572" s="301"/>
    </row>
    <row r="573" spans="1:13" customFormat="1" ht="12.75">
      <c r="A573" s="1524"/>
      <c r="F573" s="1"/>
      <c r="G573" s="1"/>
      <c r="H573" s="1"/>
      <c r="I573" s="1"/>
      <c r="L573" s="301"/>
      <c r="M573" s="301"/>
    </row>
    <row r="574" spans="1:13" customFormat="1" ht="12.75">
      <c r="A574" s="1524"/>
      <c r="F574" s="1"/>
      <c r="G574" s="1"/>
      <c r="H574" s="1"/>
      <c r="I574" s="1"/>
      <c r="L574" s="301"/>
      <c r="M574" s="301"/>
    </row>
    <row r="575" spans="1:13" customFormat="1" ht="12.75">
      <c r="A575" s="1524"/>
      <c r="F575" s="1"/>
      <c r="G575" s="1"/>
      <c r="H575" s="1"/>
      <c r="I575" s="1"/>
      <c r="L575" s="301"/>
      <c r="M575" s="301"/>
    </row>
    <row r="576" spans="1:13" customFormat="1" ht="12.75">
      <c r="A576" s="1524"/>
      <c r="F576" s="1"/>
      <c r="G576" s="1"/>
      <c r="H576" s="1"/>
      <c r="I576" s="1"/>
      <c r="L576" s="301"/>
      <c r="M576" s="301"/>
    </row>
    <row r="577" spans="1:13" customFormat="1" ht="12.75">
      <c r="A577" s="1524"/>
      <c r="F577" s="1"/>
      <c r="G577" s="1"/>
      <c r="H577" s="1"/>
      <c r="I577" s="1"/>
      <c r="L577" s="301"/>
      <c r="M577" s="301"/>
    </row>
    <row r="578" spans="1:13" customFormat="1" ht="12.75">
      <c r="A578" s="1524"/>
      <c r="F578" s="1"/>
      <c r="G578" s="1"/>
      <c r="H578" s="1"/>
      <c r="I578" s="1"/>
      <c r="L578" s="301"/>
      <c r="M578" s="301"/>
    </row>
    <row r="579" spans="1:13" customFormat="1" ht="12.75">
      <c r="A579" s="1524"/>
      <c r="F579" s="1"/>
      <c r="G579" s="1"/>
      <c r="H579" s="1"/>
      <c r="I579" s="1"/>
      <c r="L579" s="301"/>
      <c r="M579" s="301"/>
    </row>
    <row r="580" spans="1:13" customFormat="1" ht="12.75">
      <c r="A580" s="1524"/>
      <c r="F580" s="1"/>
      <c r="G580" s="1"/>
      <c r="H580" s="1"/>
      <c r="I580" s="1"/>
      <c r="L580" s="301"/>
      <c r="M580" s="301"/>
    </row>
    <row r="581" spans="1:13" customFormat="1" ht="12.75">
      <c r="A581" s="1524"/>
      <c r="F581" s="1"/>
      <c r="G581" s="1"/>
      <c r="H581" s="1"/>
      <c r="I581" s="1"/>
      <c r="L581" s="301"/>
      <c r="M581" s="301"/>
    </row>
    <row r="582" spans="1:13" customFormat="1" ht="12.75">
      <c r="A582" s="1524"/>
      <c r="F582" s="1"/>
      <c r="G582" s="1"/>
      <c r="H582" s="1"/>
      <c r="I582" s="1"/>
      <c r="L582" s="301"/>
      <c r="M582" s="301"/>
    </row>
    <row r="583" spans="1:13" customFormat="1" ht="12.75">
      <c r="A583" s="1524"/>
      <c r="F583" s="1"/>
      <c r="G583" s="1"/>
      <c r="H583" s="1"/>
      <c r="I583" s="1"/>
      <c r="L583" s="301"/>
      <c r="M583" s="301"/>
    </row>
    <row r="584" spans="1:13" customFormat="1" ht="12.75">
      <c r="A584" s="1524"/>
      <c r="F584" s="1"/>
      <c r="G584" s="1"/>
      <c r="H584" s="1"/>
      <c r="I584" s="1"/>
      <c r="L584" s="301"/>
      <c r="M584" s="301"/>
    </row>
    <row r="585" spans="1:13" customFormat="1" ht="12.75">
      <c r="A585" s="1524"/>
      <c r="F585" s="1"/>
      <c r="G585" s="1"/>
      <c r="H585" s="1"/>
      <c r="I585" s="1"/>
      <c r="L585" s="301"/>
      <c r="M585" s="301"/>
    </row>
    <row r="586" spans="1:13" customFormat="1" ht="12.75">
      <c r="A586" s="1524"/>
      <c r="F586" s="1"/>
      <c r="G586" s="1"/>
      <c r="H586" s="1"/>
      <c r="I586" s="1"/>
      <c r="L586" s="301"/>
      <c r="M586" s="301"/>
    </row>
    <row r="587" spans="1:13" customFormat="1" ht="12.75">
      <c r="A587" s="1524"/>
      <c r="F587" s="1"/>
      <c r="G587" s="1"/>
      <c r="H587" s="1"/>
      <c r="I587" s="1"/>
      <c r="L587" s="301"/>
      <c r="M587" s="301"/>
    </row>
    <row r="588" spans="1:13" customFormat="1" ht="12.75">
      <c r="A588" s="1524"/>
      <c r="F588" s="1"/>
      <c r="G588" s="1"/>
      <c r="H588" s="1"/>
      <c r="I588" s="1"/>
      <c r="L588" s="301"/>
      <c r="M588" s="301"/>
    </row>
    <row r="589" spans="1:13" customFormat="1" ht="12.75">
      <c r="A589" s="1524"/>
      <c r="F589" s="1"/>
      <c r="G589" s="1"/>
      <c r="H589" s="1"/>
      <c r="I589" s="1"/>
      <c r="L589" s="301"/>
      <c r="M589" s="301"/>
    </row>
    <row r="590" spans="1:13" customFormat="1" ht="12.75">
      <c r="A590" s="1524"/>
      <c r="F590" s="1"/>
      <c r="G590" s="1"/>
      <c r="H590" s="1"/>
      <c r="I590" s="1"/>
      <c r="L590" s="301"/>
      <c r="M590" s="301"/>
    </row>
    <row r="591" spans="1:13" customFormat="1" ht="12.75">
      <c r="A591" s="1524"/>
      <c r="F591" s="1"/>
      <c r="G591" s="1"/>
      <c r="H591" s="1"/>
      <c r="I591" s="1"/>
      <c r="L591" s="301"/>
      <c r="M591" s="301"/>
    </row>
    <row r="592" spans="1:13" customFormat="1" ht="12.75">
      <c r="A592" s="1524"/>
      <c r="F592" s="1"/>
      <c r="G592" s="1"/>
      <c r="H592" s="1"/>
      <c r="I592" s="1"/>
      <c r="L592" s="301"/>
      <c r="M592" s="301"/>
    </row>
    <row r="593" spans="1:13" customFormat="1" ht="12.75">
      <c r="A593" s="1524"/>
      <c r="F593" s="1"/>
      <c r="G593" s="1"/>
      <c r="H593" s="1"/>
      <c r="I593" s="1"/>
      <c r="L593" s="301"/>
      <c r="M593" s="301"/>
    </row>
    <row r="594" spans="1:13" customFormat="1" ht="12.75">
      <c r="A594" s="1524"/>
      <c r="F594" s="1"/>
      <c r="G594" s="1"/>
      <c r="H594" s="1"/>
      <c r="I594" s="1"/>
      <c r="L594" s="301"/>
      <c r="M594" s="301"/>
    </row>
    <row r="595" spans="1:13" customFormat="1" ht="12.75">
      <c r="A595" s="1524"/>
      <c r="F595" s="1"/>
      <c r="G595" s="1"/>
      <c r="H595" s="1"/>
      <c r="I595" s="1"/>
      <c r="L595" s="301"/>
      <c r="M595" s="301"/>
    </row>
    <row r="596" spans="1:13" customFormat="1" ht="12.75">
      <c r="A596" s="1524"/>
      <c r="F596" s="1"/>
      <c r="G596" s="1"/>
      <c r="H596" s="1"/>
      <c r="I596" s="1"/>
      <c r="L596" s="301"/>
      <c r="M596" s="301"/>
    </row>
    <row r="597" spans="1:13" customFormat="1" ht="12.75">
      <c r="A597" s="1524"/>
      <c r="F597" s="1"/>
      <c r="G597" s="1"/>
      <c r="H597" s="1"/>
      <c r="I597" s="1"/>
      <c r="L597" s="301"/>
      <c r="M597" s="301"/>
    </row>
    <row r="598" spans="1:13" customFormat="1" ht="12.75">
      <c r="A598" s="1524"/>
      <c r="F598" s="1"/>
      <c r="G598" s="1"/>
      <c r="H598" s="1"/>
      <c r="I598" s="1"/>
      <c r="L598" s="301"/>
      <c r="M598" s="301"/>
    </row>
    <row r="599" spans="1:13" customFormat="1" ht="12.75">
      <c r="A599" s="1524"/>
      <c r="F599" s="1"/>
      <c r="G599" s="1"/>
      <c r="H599" s="1"/>
      <c r="I599" s="1"/>
      <c r="L599" s="301"/>
      <c r="M599" s="301"/>
    </row>
    <row r="600" spans="1:13" customFormat="1" ht="12.75">
      <c r="A600" s="1524"/>
      <c r="F600" s="1"/>
      <c r="G600" s="1"/>
      <c r="H600" s="1"/>
      <c r="I600" s="1"/>
      <c r="L600" s="301"/>
      <c r="M600" s="301"/>
    </row>
    <row r="601" spans="1:13" customFormat="1" ht="12.75">
      <c r="A601" s="1524"/>
      <c r="F601" s="1"/>
      <c r="G601" s="1"/>
      <c r="H601" s="1"/>
      <c r="I601" s="1"/>
      <c r="L601" s="301"/>
      <c r="M601" s="301"/>
    </row>
    <row r="602" spans="1:13" customFormat="1" ht="12.75">
      <c r="A602" s="1524"/>
      <c r="F602" s="1"/>
      <c r="G602" s="1"/>
      <c r="H602" s="1"/>
      <c r="I602" s="1"/>
      <c r="L602" s="301"/>
      <c r="M602" s="301"/>
    </row>
    <row r="603" spans="1:13" customFormat="1" ht="12.75">
      <c r="A603" s="1524"/>
      <c r="F603" s="1"/>
      <c r="G603" s="1"/>
      <c r="H603" s="1"/>
      <c r="I603" s="1"/>
      <c r="L603" s="301"/>
      <c r="M603" s="301"/>
    </row>
    <row r="604" spans="1:13" customFormat="1" ht="12.75">
      <c r="A604" s="1524"/>
      <c r="F604" s="1"/>
      <c r="G604" s="1"/>
      <c r="H604" s="1"/>
      <c r="I604" s="1"/>
      <c r="L604" s="301"/>
      <c r="M604" s="301"/>
    </row>
    <row r="605" spans="1:13" customFormat="1" ht="12.75">
      <c r="A605" s="1524"/>
      <c r="F605" s="1"/>
      <c r="G605" s="1"/>
      <c r="H605" s="1"/>
      <c r="I605" s="1"/>
      <c r="L605" s="301"/>
      <c r="M605" s="301"/>
    </row>
    <row r="606" spans="1:13" customFormat="1" ht="12.75">
      <c r="A606" s="1524"/>
      <c r="F606" s="1"/>
      <c r="G606" s="1"/>
      <c r="H606" s="1"/>
      <c r="I606" s="1"/>
      <c r="L606" s="301"/>
      <c r="M606" s="301"/>
    </row>
    <row r="607" spans="1:13" customFormat="1" ht="12.75">
      <c r="A607" s="1524"/>
      <c r="F607" s="1"/>
      <c r="G607" s="1"/>
      <c r="H607" s="1"/>
      <c r="I607" s="1"/>
      <c r="L607" s="301"/>
      <c r="M607" s="301"/>
    </row>
    <row r="608" spans="1:13" customFormat="1" ht="12.75">
      <c r="A608" s="1524"/>
      <c r="F608" s="1"/>
      <c r="G608" s="1"/>
      <c r="H608" s="1"/>
      <c r="I608" s="1"/>
      <c r="L608" s="301"/>
      <c r="M608" s="301"/>
    </row>
    <row r="609" spans="1:13" customFormat="1" ht="12.75">
      <c r="A609" s="1524"/>
      <c r="F609" s="1"/>
      <c r="G609" s="1"/>
      <c r="H609" s="1"/>
      <c r="I609" s="1"/>
      <c r="L609" s="301"/>
      <c r="M609" s="301"/>
    </row>
    <row r="610" spans="1:13" customFormat="1" ht="12.75">
      <c r="A610" s="1524"/>
      <c r="F610" s="1"/>
      <c r="G610" s="1"/>
      <c r="H610" s="1"/>
      <c r="I610" s="1"/>
      <c r="L610" s="301"/>
      <c r="M610" s="301"/>
    </row>
    <row r="611" spans="1:13" customFormat="1" ht="12.75">
      <c r="A611" s="1524"/>
      <c r="F611" s="1"/>
      <c r="G611" s="1"/>
      <c r="H611" s="1"/>
      <c r="I611" s="1"/>
      <c r="L611" s="301"/>
      <c r="M611" s="301"/>
    </row>
    <row r="612" spans="1:13" customFormat="1" ht="12.75">
      <c r="A612" s="1524"/>
      <c r="F612" s="1"/>
      <c r="G612" s="1"/>
      <c r="H612" s="1"/>
      <c r="I612" s="1"/>
      <c r="L612" s="301"/>
      <c r="M612" s="301"/>
    </row>
    <row r="613" spans="1:13" customFormat="1" ht="12.75">
      <c r="A613" s="1524"/>
      <c r="F613" s="1"/>
      <c r="G613" s="1"/>
      <c r="H613" s="1"/>
      <c r="I613" s="1"/>
      <c r="L613" s="301"/>
      <c r="M613" s="301"/>
    </row>
    <row r="614" spans="1:13" customFormat="1" ht="12.75">
      <c r="A614" s="1524"/>
      <c r="F614" s="1"/>
      <c r="G614" s="1"/>
      <c r="H614" s="1"/>
      <c r="I614" s="1"/>
      <c r="L614" s="301"/>
      <c r="M614" s="301"/>
    </row>
    <row r="615" spans="1:13" customFormat="1" ht="12.75">
      <c r="A615" s="1524"/>
      <c r="F615" s="1"/>
      <c r="G615" s="1"/>
      <c r="H615" s="1"/>
      <c r="I615" s="1"/>
      <c r="L615" s="301"/>
      <c r="M615" s="301"/>
    </row>
    <row r="616" spans="1:13" customFormat="1" ht="12.75">
      <c r="A616" s="1524"/>
      <c r="F616" s="1"/>
      <c r="G616" s="1"/>
      <c r="H616" s="1"/>
      <c r="I616" s="1"/>
      <c r="L616" s="301"/>
      <c r="M616" s="301"/>
    </row>
    <row r="617" spans="1:13" customFormat="1" ht="12.75">
      <c r="A617" s="1524"/>
      <c r="F617" s="1"/>
      <c r="G617" s="1"/>
      <c r="H617" s="1"/>
      <c r="I617" s="1"/>
      <c r="L617" s="301"/>
      <c r="M617" s="301"/>
    </row>
    <row r="618" spans="1:13" customFormat="1" ht="12.75">
      <c r="A618" s="1524"/>
      <c r="F618" s="1"/>
      <c r="G618" s="1"/>
      <c r="H618" s="1"/>
      <c r="I618" s="1"/>
      <c r="L618" s="301"/>
      <c r="M618" s="301"/>
    </row>
    <row r="619" spans="1:13" customFormat="1" ht="12.75">
      <c r="A619" s="1524"/>
      <c r="F619" s="1"/>
      <c r="G619" s="1"/>
      <c r="H619" s="1"/>
      <c r="I619" s="1"/>
      <c r="L619" s="301"/>
      <c r="M619" s="301"/>
    </row>
    <row r="620" spans="1:13" customFormat="1" ht="12.75">
      <c r="A620" s="1524"/>
      <c r="F620" s="1"/>
      <c r="G620" s="1"/>
      <c r="H620" s="1"/>
      <c r="I620" s="1"/>
      <c r="L620" s="301"/>
      <c r="M620" s="301"/>
    </row>
    <row r="621" spans="1:13" customFormat="1" ht="12.75">
      <c r="A621" s="1524"/>
      <c r="F621" s="1"/>
      <c r="G621" s="1"/>
      <c r="H621" s="1"/>
      <c r="I621" s="1"/>
      <c r="L621" s="301"/>
      <c r="M621" s="301"/>
    </row>
    <row r="622" spans="1:13" customFormat="1" ht="12.75">
      <c r="A622" s="1524"/>
      <c r="F622" s="1"/>
      <c r="G622" s="1"/>
      <c r="H622" s="1"/>
      <c r="I622" s="1"/>
      <c r="L622" s="301"/>
      <c r="M622" s="301"/>
    </row>
    <row r="623" spans="1:13" customFormat="1" ht="12.75">
      <c r="A623" s="1524"/>
      <c r="F623" s="1"/>
      <c r="G623" s="1"/>
      <c r="H623" s="1"/>
      <c r="I623" s="1"/>
      <c r="L623" s="301"/>
      <c r="M623" s="301"/>
    </row>
    <row r="624" spans="1:13" customFormat="1" ht="12.75">
      <c r="A624" s="1524"/>
      <c r="F624" s="1"/>
      <c r="G624" s="1"/>
      <c r="H624" s="1"/>
      <c r="I624" s="1"/>
      <c r="L624" s="301"/>
      <c r="M624" s="301"/>
    </row>
    <row r="625" spans="1:13" customFormat="1" ht="12.75">
      <c r="A625" s="1524"/>
      <c r="F625" s="1"/>
      <c r="G625" s="1"/>
      <c r="H625" s="1"/>
      <c r="I625" s="1"/>
      <c r="L625" s="301"/>
      <c r="M625" s="301"/>
    </row>
    <row r="626" spans="1:13" customFormat="1" ht="12.75">
      <c r="A626" s="1524"/>
      <c r="F626" s="1"/>
      <c r="G626" s="1"/>
      <c r="H626" s="1"/>
      <c r="I626" s="1"/>
      <c r="L626" s="301"/>
      <c r="M626" s="301"/>
    </row>
    <row r="627" spans="1:13" customFormat="1" ht="12.75">
      <c r="A627" s="1524"/>
      <c r="F627" s="1"/>
      <c r="G627" s="1"/>
      <c r="H627" s="1"/>
      <c r="I627" s="1"/>
      <c r="L627" s="301"/>
      <c r="M627" s="301"/>
    </row>
    <row r="628" spans="1:13" customFormat="1" ht="12.75">
      <c r="A628" s="1524"/>
      <c r="F628" s="1"/>
      <c r="G628" s="1"/>
      <c r="H628" s="1"/>
      <c r="I628" s="1"/>
      <c r="L628" s="301"/>
      <c r="M628" s="301"/>
    </row>
    <row r="629" spans="1:13" customFormat="1" ht="12.75">
      <c r="A629" s="1524"/>
      <c r="F629" s="1"/>
      <c r="G629" s="1"/>
      <c r="H629" s="1"/>
      <c r="I629" s="1"/>
      <c r="L629" s="301"/>
      <c r="M629" s="301"/>
    </row>
    <row r="630" spans="1:13" customFormat="1" ht="12.75">
      <c r="A630" s="1524"/>
      <c r="F630" s="1"/>
      <c r="G630" s="1"/>
      <c r="H630" s="1"/>
      <c r="I630" s="1"/>
      <c r="L630" s="301"/>
      <c r="M630" s="301"/>
    </row>
    <row r="631" spans="1:13" customFormat="1" ht="12.75">
      <c r="A631" s="1524"/>
      <c r="F631" s="1"/>
      <c r="G631" s="1"/>
      <c r="H631" s="1"/>
      <c r="I631" s="1"/>
      <c r="L631" s="301"/>
      <c r="M631" s="301"/>
    </row>
    <row r="632" spans="1:13" customFormat="1" ht="12.75">
      <c r="A632" s="1524"/>
      <c r="F632" s="1"/>
      <c r="G632" s="1"/>
      <c r="H632" s="1"/>
      <c r="I632" s="1"/>
      <c r="L632" s="301"/>
      <c r="M632" s="301"/>
    </row>
    <row r="633" spans="1:13" customFormat="1" ht="12.75">
      <c r="A633" s="1524"/>
      <c r="F633" s="1"/>
      <c r="G633" s="1"/>
      <c r="H633" s="1"/>
      <c r="I633" s="1"/>
      <c r="L633" s="301"/>
      <c r="M633" s="301"/>
    </row>
    <row r="634" spans="1:13" customFormat="1" ht="12.75">
      <c r="A634" s="1524"/>
      <c r="F634" s="1"/>
      <c r="G634" s="1"/>
      <c r="H634" s="1"/>
      <c r="I634" s="1"/>
      <c r="L634" s="301"/>
      <c r="M634" s="301"/>
    </row>
    <row r="635" spans="1:13" customFormat="1" ht="12.75">
      <c r="A635" s="1524"/>
      <c r="F635" s="1"/>
      <c r="G635" s="1"/>
      <c r="H635" s="1"/>
      <c r="I635" s="1"/>
      <c r="L635" s="301"/>
      <c r="M635" s="301"/>
    </row>
    <row r="636" spans="1:13" customFormat="1" ht="12.75">
      <c r="A636" s="1524"/>
      <c r="F636" s="1"/>
      <c r="G636" s="1"/>
      <c r="H636" s="1"/>
      <c r="I636" s="1"/>
      <c r="L636" s="301"/>
      <c r="M636" s="301"/>
    </row>
    <row r="637" spans="1:13" customFormat="1" ht="12.75">
      <c r="A637" s="1524"/>
      <c r="F637" s="1"/>
      <c r="G637" s="1"/>
      <c r="H637" s="1"/>
      <c r="I637" s="1"/>
      <c r="L637" s="301"/>
      <c r="M637" s="301"/>
    </row>
    <row r="638" spans="1:13" customFormat="1" ht="12.75">
      <c r="A638" s="1524"/>
      <c r="F638" s="1"/>
      <c r="G638" s="1"/>
      <c r="H638" s="1"/>
      <c r="I638" s="1"/>
      <c r="L638" s="301"/>
      <c r="M638" s="301"/>
    </row>
    <row r="639" spans="1:13" customFormat="1" ht="12.75">
      <c r="A639" s="1524"/>
      <c r="F639" s="1"/>
      <c r="G639" s="1"/>
      <c r="H639" s="1"/>
      <c r="I639" s="1"/>
      <c r="L639" s="301"/>
      <c r="M639" s="301"/>
    </row>
    <row r="640" spans="1:13" customFormat="1" ht="12.75">
      <c r="A640" s="1524"/>
      <c r="F640" s="1"/>
      <c r="G640" s="1"/>
      <c r="H640" s="1"/>
      <c r="I640" s="1"/>
      <c r="L640" s="301"/>
      <c r="M640" s="301"/>
    </row>
    <row r="641" spans="1:13" customFormat="1" ht="12.75">
      <c r="A641" s="1524"/>
      <c r="F641" s="1"/>
      <c r="G641" s="1"/>
      <c r="H641" s="1"/>
      <c r="I641" s="1"/>
      <c r="L641" s="301"/>
      <c r="M641" s="301"/>
    </row>
    <row r="642" spans="1:13" customFormat="1" ht="12.75">
      <c r="A642" s="1524"/>
      <c r="F642" s="1"/>
      <c r="G642" s="1"/>
      <c r="H642" s="1"/>
      <c r="I642" s="1"/>
      <c r="L642" s="301"/>
      <c r="M642" s="301"/>
    </row>
    <row r="643" spans="1:13" customFormat="1" ht="12.75">
      <c r="A643" s="1524"/>
      <c r="F643" s="1"/>
      <c r="G643" s="1"/>
      <c r="H643" s="1"/>
      <c r="I643" s="1"/>
      <c r="L643" s="301"/>
      <c r="M643" s="301"/>
    </row>
    <row r="644" spans="1:13" customFormat="1" ht="12.75">
      <c r="A644" s="1524"/>
      <c r="F644" s="1"/>
      <c r="G644" s="1"/>
      <c r="H644" s="1"/>
      <c r="I644" s="1"/>
      <c r="L644" s="301"/>
      <c r="M644" s="301"/>
    </row>
    <row r="645" spans="1:13" customFormat="1" ht="12.75">
      <c r="A645" s="1524"/>
      <c r="F645" s="1"/>
      <c r="G645" s="1"/>
      <c r="H645" s="1"/>
      <c r="I645" s="1"/>
      <c r="L645" s="301"/>
      <c r="M645" s="301"/>
    </row>
    <row r="646" spans="1:13" customFormat="1" ht="12.75">
      <c r="A646" s="1524"/>
      <c r="F646" s="1"/>
      <c r="G646" s="1"/>
      <c r="H646" s="1"/>
      <c r="I646" s="1"/>
      <c r="L646" s="301"/>
      <c r="M646" s="301"/>
    </row>
    <row r="647" spans="1:13" customFormat="1" ht="12.75">
      <c r="A647" s="1524"/>
      <c r="F647" s="1"/>
      <c r="G647" s="1"/>
      <c r="H647" s="1"/>
      <c r="I647" s="1"/>
      <c r="L647" s="301"/>
      <c r="M647" s="301"/>
    </row>
    <row r="648" spans="1:13" customFormat="1" ht="12.75">
      <c r="A648" s="1524"/>
      <c r="F648" s="1"/>
      <c r="G648" s="1"/>
      <c r="H648" s="1"/>
      <c r="I648" s="1"/>
      <c r="L648" s="301"/>
      <c r="M648" s="301"/>
    </row>
    <row r="649" spans="1:13" customFormat="1" ht="12.75">
      <c r="A649" s="1524"/>
      <c r="F649" s="1"/>
      <c r="G649" s="1"/>
      <c r="H649" s="1"/>
      <c r="I649" s="1"/>
      <c r="L649" s="301"/>
      <c r="M649" s="301"/>
    </row>
    <row r="650" spans="1:13" customFormat="1" ht="12.75">
      <c r="A650" s="1524"/>
      <c r="F650" s="1"/>
      <c r="G650" s="1"/>
      <c r="H650" s="1"/>
      <c r="I650" s="1"/>
      <c r="L650" s="301"/>
      <c r="M650" s="301"/>
    </row>
    <row r="651" spans="1:13" customFormat="1" ht="12.75">
      <c r="A651" s="1524"/>
      <c r="F651" s="1"/>
      <c r="G651" s="1"/>
      <c r="H651" s="1"/>
      <c r="I651" s="1"/>
      <c r="L651" s="301"/>
      <c r="M651" s="301"/>
    </row>
    <row r="652" spans="1:13" customFormat="1" ht="12.75">
      <c r="A652" s="1524"/>
      <c r="F652" s="1"/>
      <c r="G652" s="1"/>
      <c r="H652" s="1"/>
      <c r="I652" s="1"/>
      <c r="L652" s="301"/>
      <c r="M652" s="301"/>
    </row>
    <row r="653" spans="1:13" customFormat="1" ht="12.75">
      <c r="A653" s="1524"/>
      <c r="F653" s="1"/>
      <c r="G653" s="1"/>
      <c r="H653" s="1"/>
      <c r="I653" s="1"/>
      <c r="L653" s="301"/>
      <c r="M653" s="301"/>
    </row>
    <row r="654" spans="1:13" customFormat="1" ht="12.75">
      <c r="A654" s="1524"/>
      <c r="F654" s="1"/>
      <c r="G654" s="1"/>
      <c r="H654" s="1"/>
      <c r="I654" s="1"/>
      <c r="L654" s="301"/>
      <c r="M654" s="301"/>
    </row>
    <row r="655" spans="1:13" customFormat="1" ht="12.75">
      <c r="A655" s="1524"/>
      <c r="F655" s="1"/>
      <c r="G655" s="1"/>
      <c r="H655" s="1"/>
      <c r="I655" s="1"/>
      <c r="L655" s="301"/>
      <c r="M655" s="301"/>
    </row>
    <row r="656" spans="1:13" customFormat="1" ht="12.75">
      <c r="A656" s="1524"/>
      <c r="F656" s="1"/>
      <c r="G656" s="1"/>
      <c r="H656" s="1"/>
      <c r="I656" s="1"/>
      <c r="L656" s="301"/>
      <c r="M656" s="301"/>
    </row>
    <row r="657" spans="1:13" customFormat="1" ht="12.75">
      <c r="A657" s="1524"/>
      <c r="F657" s="1"/>
      <c r="G657" s="1"/>
      <c r="H657" s="1"/>
      <c r="I657" s="1"/>
      <c r="L657" s="301"/>
      <c r="M657" s="301"/>
    </row>
    <row r="658" spans="1:13" customFormat="1" ht="12.75">
      <c r="A658" s="1524"/>
      <c r="F658" s="1"/>
      <c r="G658" s="1"/>
      <c r="H658" s="1"/>
      <c r="I658" s="1"/>
      <c r="L658" s="301"/>
      <c r="M658" s="301"/>
    </row>
    <row r="659" spans="1:13" customFormat="1" ht="12.75">
      <c r="A659" s="1524"/>
      <c r="F659" s="1"/>
      <c r="G659" s="1"/>
      <c r="H659" s="1"/>
      <c r="I659" s="1"/>
      <c r="L659" s="301"/>
      <c r="M659" s="301"/>
    </row>
    <row r="660" spans="1:13" customFormat="1" ht="12.75">
      <c r="A660" s="1524"/>
      <c r="F660" s="1"/>
      <c r="G660" s="1"/>
      <c r="H660" s="1"/>
      <c r="I660" s="1"/>
      <c r="L660" s="301"/>
      <c r="M660" s="301"/>
    </row>
    <row r="661" spans="1:13" customFormat="1" ht="12.75">
      <c r="A661" s="1524"/>
      <c r="F661" s="1"/>
      <c r="G661" s="1"/>
      <c r="H661" s="1"/>
      <c r="I661" s="1"/>
      <c r="L661" s="301"/>
      <c r="M661" s="301"/>
    </row>
    <row r="662" spans="1:13" customFormat="1" ht="12.75">
      <c r="A662" s="1524"/>
      <c r="F662" s="1"/>
      <c r="G662" s="1"/>
      <c r="H662" s="1"/>
      <c r="I662" s="1"/>
      <c r="L662" s="301"/>
      <c r="M662" s="301"/>
    </row>
    <row r="663" spans="1:13" customFormat="1" ht="12.75">
      <c r="A663" s="1524"/>
      <c r="F663" s="1"/>
      <c r="G663" s="1"/>
      <c r="H663" s="1"/>
      <c r="I663" s="1"/>
      <c r="L663" s="301"/>
      <c r="M663" s="301"/>
    </row>
    <row r="664" spans="1:13" customFormat="1" ht="12.75">
      <c r="A664" s="1524"/>
      <c r="F664" s="1"/>
      <c r="G664" s="1"/>
      <c r="H664" s="1"/>
      <c r="I664" s="1"/>
      <c r="L664" s="301"/>
      <c r="M664" s="301"/>
    </row>
    <row r="665" spans="1:13" customFormat="1" ht="12.75">
      <c r="A665" s="1524"/>
      <c r="F665" s="1"/>
      <c r="G665" s="1"/>
      <c r="H665" s="1"/>
      <c r="I665" s="1"/>
      <c r="L665" s="301"/>
      <c r="M665" s="301"/>
    </row>
    <row r="666" spans="1:13" customFormat="1" ht="12.75">
      <c r="A666" s="1524"/>
      <c r="F666" s="1"/>
      <c r="G666" s="1"/>
      <c r="H666" s="1"/>
      <c r="I666" s="1"/>
      <c r="L666" s="301"/>
      <c r="M666" s="301"/>
    </row>
    <row r="667" spans="1:13" customFormat="1" ht="12.75">
      <c r="A667" s="1524"/>
      <c r="F667" s="1"/>
      <c r="G667" s="1"/>
      <c r="H667" s="1"/>
      <c r="I667" s="1"/>
      <c r="L667" s="301"/>
      <c r="M667" s="301"/>
    </row>
    <row r="668" spans="1:13" customFormat="1" ht="12.75">
      <c r="A668" s="1524"/>
      <c r="F668" s="1"/>
      <c r="G668" s="1"/>
      <c r="H668" s="1"/>
      <c r="I668" s="1"/>
      <c r="L668" s="301"/>
      <c r="M668" s="301"/>
    </row>
    <row r="669" spans="1:13" customFormat="1" ht="12.75">
      <c r="A669" s="1524"/>
      <c r="F669" s="1"/>
      <c r="G669" s="1"/>
      <c r="H669" s="1"/>
      <c r="I669" s="1"/>
      <c r="L669" s="301"/>
      <c r="M669" s="301"/>
    </row>
    <row r="670" spans="1:13" customFormat="1" ht="12.75">
      <c r="A670" s="1524"/>
      <c r="F670" s="1"/>
      <c r="G670" s="1"/>
      <c r="H670" s="1"/>
      <c r="I670" s="1"/>
      <c r="L670" s="301"/>
      <c r="M670" s="301"/>
    </row>
    <row r="671" spans="1:13" customFormat="1" ht="12.75">
      <c r="A671" s="1524"/>
      <c r="F671" s="1"/>
      <c r="G671" s="1"/>
      <c r="H671" s="1"/>
      <c r="I671" s="1"/>
      <c r="L671" s="301"/>
      <c r="M671" s="301"/>
    </row>
    <row r="672" spans="1:13" customFormat="1" ht="12.75">
      <c r="A672" s="1524"/>
      <c r="F672" s="1"/>
      <c r="G672" s="1"/>
      <c r="H672" s="1"/>
      <c r="I672" s="1"/>
      <c r="L672" s="301"/>
      <c r="M672" s="301"/>
    </row>
    <row r="673" spans="1:13" customFormat="1" ht="12.75">
      <c r="A673" s="1524"/>
      <c r="F673" s="1"/>
      <c r="G673" s="1"/>
      <c r="H673" s="1"/>
      <c r="I673" s="1"/>
      <c r="L673" s="301"/>
      <c r="M673" s="301"/>
    </row>
    <row r="674" spans="1:13" customFormat="1" ht="12.75">
      <c r="A674" s="1524"/>
      <c r="F674" s="1"/>
      <c r="G674" s="1"/>
      <c r="H674" s="1"/>
      <c r="I674" s="1"/>
      <c r="L674" s="301"/>
      <c r="M674" s="301"/>
    </row>
    <row r="675" spans="1:13" customFormat="1" ht="12.75">
      <c r="A675" s="1524"/>
      <c r="F675" s="1"/>
      <c r="G675" s="1"/>
      <c r="H675" s="1"/>
      <c r="I675" s="1"/>
      <c r="L675" s="301"/>
      <c r="M675" s="301"/>
    </row>
    <row r="676" spans="1:13" customFormat="1" ht="12.75">
      <c r="A676" s="1524"/>
      <c r="F676" s="1"/>
      <c r="G676" s="1"/>
      <c r="H676" s="1"/>
      <c r="I676" s="1"/>
      <c r="L676" s="301"/>
      <c r="M676" s="301"/>
    </row>
    <row r="677" spans="1:13" customFormat="1" ht="12.75">
      <c r="A677" s="1524"/>
      <c r="F677" s="1"/>
      <c r="G677" s="1"/>
      <c r="H677" s="1"/>
      <c r="I677" s="1"/>
      <c r="L677" s="301"/>
      <c r="M677" s="301"/>
    </row>
    <row r="678" spans="1:13" customFormat="1" ht="12.75">
      <c r="A678" s="1524"/>
      <c r="F678" s="1"/>
      <c r="G678" s="1"/>
      <c r="H678" s="1"/>
      <c r="I678" s="1"/>
      <c r="L678" s="301"/>
      <c r="M678" s="301"/>
    </row>
    <row r="679" spans="1:13" customFormat="1" ht="12.75">
      <c r="A679" s="1524"/>
      <c r="F679" s="1"/>
      <c r="G679" s="1"/>
      <c r="H679" s="1"/>
      <c r="I679" s="1"/>
      <c r="L679" s="301"/>
      <c r="M679" s="301"/>
    </row>
    <row r="680" spans="1:13" customFormat="1" ht="12.75">
      <c r="A680" s="1524"/>
      <c r="F680" s="1"/>
      <c r="G680" s="1"/>
      <c r="H680" s="1"/>
      <c r="I680" s="1"/>
      <c r="L680" s="301"/>
      <c r="M680" s="301"/>
    </row>
    <row r="681" spans="1:13" customFormat="1" ht="12.75">
      <c r="A681" s="1524"/>
      <c r="F681" s="1"/>
      <c r="G681" s="1"/>
      <c r="H681" s="1"/>
      <c r="I681" s="1"/>
      <c r="L681" s="301"/>
      <c r="M681" s="301"/>
    </row>
    <row r="682" spans="1:13" customFormat="1" ht="12.75">
      <c r="A682" s="1524"/>
      <c r="F682" s="1"/>
      <c r="G682" s="1"/>
      <c r="H682" s="1"/>
      <c r="I682" s="1"/>
      <c r="L682" s="301"/>
      <c r="M682" s="301"/>
    </row>
    <row r="683" spans="1:13" customFormat="1" ht="12.75">
      <c r="A683" s="1524"/>
      <c r="F683" s="1"/>
      <c r="G683" s="1"/>
      <c r="H683" s="1"/>
      <c r="I683" s="1"/>
      <c r="L683" s="301"/>
      <c r="M683" s="301"/>
    </row>
    <row r="684" spans="1:13" customFormat="1" ht="12.75">
      <c r="A684" s="1524"/>
      <c r="F684" s="1"/>
      <c r="G684" s="1"/>
      <c r="H684" s="1"/>
      <c r="I684" s="1"/>
      <c r="L684" s="301"/>
      <c r="M684" s="301"/>
    </row>
    <row r="685" spans="1:13" customFormat="1" ht="12.75">
      <c r="A685" s="1524"/>
      <c r="F685" s="1"/>
      <c r="G685" s="1"/>
      <c r="H685" s="1"/>
      <c r="I685" s="1"/>
      <c r="L685" s="301"/>
      <c r="M685" s="301"/>
    </row>
    <row r="686" spans="1:13" customFormat="1" ht="12.75">
      <c r="A686" s="1524"/>
      <c r="F686" s="1"/>
      <c r="G686" s="1"/>
      <c r="H686" s="1"/>
      <c r="I686" s="1"/>
      <c r="L686" s="301"/>
      <c r="M686" s="301"/>
    </row>
    <row r="687" spans="1:13" customFormat="1" ht="12.75">
      <c r="A687" s="1524"/>
      <c r="F687" s="1"/>
      <c r="G687" s="1"/>
      <c r="H687" s="1"/>
      <c r="I687" s="1"/>
      <c r="L687" s="301"/>
      <c r="M687" s="301"/>
    </row>
    <row r="688" spans="1:13" customFormat="1" ht="12.75">
      <c r="A688" s="1524"/>
      <c r="F688" s="1"/>
      <c r="G688" s="1"/>
      <c r="H688" s="1"/>
      <c r="I688" s="1"/>
      <c r="L688" s="301"/>
      <c r="M688" s="301"/>
    </row>
    <row r="689" spans="1:13" customFormat="1" ht="12.75">
      <c r="A689" s="1524"/>
      <c r="F689" s="1"/>
      <c r="G689" s="1"/>
      <c r="H689" s="1"/>
      <c r="I689" s="1"/>
      <c r="L689" s="301"/>
      <c r="M689" s="301"/>
    </row>
    <row r="690" spans="1:13" customFormat="1" ht="12.75">
      <c r="A690" s="1524"/>
      <c r="F690" s="1"/>
      <c r="G690" s="1"/>
      <c r="H690" s="1"/>
      <c r="I690" s="1"/>
      <c r="L690" s="301"/>
      <c r="M690" s="301"/>
    </row>
    <row r="691" spans="1:13" customFormat="1" ht="12.75">
      <c r="A691" s="1524"/>
      <c r="F691" s="1"/>
      <c r="G691" s="1"/>
      <c r="H691" s="1"/>
      <c r="I691" s="1"/>
      <c r="L691" s="301"/>
      <c r="M691" s="301"/>
    </row>
    <row r="692" spans="1:13" customFormat="1" ht="12.75">
      <c r="A692" s="1524"/>
      <c r="F692" s="1"/>
      <c r="G692" s="1"/>
      <c r="H692" s="1"/>
      <c r="I692" s="1"/>
      <c r="L692" s="301"/>
      <c r="M692" s="301"/>
    </row>
    <row r="693" spans="1:13" customFormat="1" ht="12.75">
      <c r="A693" s="1524"/>
      <c r="F693" s="1"/>
      <c r="G693" s="1"/>
      <c r="H693" s="1"/>
      <c r="I693" s="1"/>
      <c r="L693" s="301"/>
      <c r="M693" s="301"/>
    </row>
    <row r="694" spans="1:13" customFormat="1" ht="12.75">
      <c r="A694" s="1524"/>
      <c r="F694" s="1"/>
      <c r="G694" s="1"/>
      <c r="H694" s="1"/>
      <c r="I694" s="1"/>
      <c r="L694" s="301"/>
      <c r="M694" s="301"/>
    </row>
    <row r="695" spans="1:13" customFormat="1" ht="12.75">
      <c r="A695" s="1524"/>
      <c r="F695" s="1"/>
      <c r="G695" s="1"/>
      <c r="H695" s="1"/>
      <c r="I695" s="1"/>
      <c r="L695" s="301"/>
      <c r="M695" s="301"/>
    </row>
    <row r="696" spans="1:13" customFormat="1" ht="12.75">
      <c r="A696" s="1524"/>
      <c r="F696" s="1"/>
      <c r="G696" s="1"/>
      <c r="H696" s="1"/>
      <c r="I696" s="1"/>
      <c r="L696" s="301"/>
      <c r="M696" s="301"/>
    </row>
    <row r="697" spans="1:13" customFormat="1" ht="12.75">
      <c r="A697" s="1524"/>
      <c r="F697" s="1"/>
      <c r="G697" s="1"/>
      <c r="H697" s="1"/>
      <c r="I697" s="1"/>
      <c r="L697" s="301"/>
      <c r="M697" s="301"/>
    </row>
    <row r="698" spans="1:13" customFormat="1" ht="12.75">
      <c r="A698" s="1524"/>
      <c r="F698" s="1"/>
      <c r="G698" s="1"/>
      <c r="H698" s="1"/>
      <c r="I698" s="1"/>
      <c r="L698" s="301"/>
      <c r="M698" s="301"/>
    </row>
    <row r="699" spans="1:13" customFormat="1" ht="12.75">
      <c r="A699" s="1524"/>
      <c r="F699" s="1"/>
      <c r="G699" s="1"/>
      <c r="H699" s="1"/>
      <c r="I699" s="1"/>
      <c r="L699" s="301"/>
      <c r="M699" s="301"/>
    </row>
    <row r="700" spans="1:13" customFormat="1" ht="12.75">
      <c r="A700" s="1524"/>
      <c r="F700" s="1"/>
      <c r="G700" s="1"/>
      <c r="H700" s="1"/>
      <c r="I700" s="1"/>
      <c r="L700" s="301"/>
      <c r="M700" s="301"/>
    </row>
    <row r="701" spans="1:13" customFormat="1" ht="12.75">
      <c r="A701" s="1524"/>
      <c r="F701" s="1"/>
      <c r="G701" s="1"/>
      <c r="H701" s="1"/>
      <c r="I701" s="1"/>
      <c r="L701" s="301"/>
      <c r="M701" s="301"/>
    </row>
    <row r="702" spans="1:13" customFormat="1" ht="12.75">
      <c r="A702" s="1524"/>
      <c r="F702" s="1"/>
      <c r="G702" s="1"/>
      <c r="H702" s="1"/>
      <c r="I702" s="1"/>
      <c r="L702" s="301"/>
      <c r="M702" s="301"/>
    </row>
    <row r="703" spans="1:13" customFormat="1" ht="12.75">
      <c r="A703" s="1524"/>
      <c r="F703" s="1"/>
      <c r="G703" s="1"/>
      <c r="H703" s="1"/>
      <c r="I703" s="1"/>
      <c r="L703" s="301"/>
      <c r="M703" s="301"/>
    </row>
    <row r="704" spans="1:13" customFormat="1" ht="12.75">
      <c r="A704" s="1524"/>
      <c r="F704" s="1"/>
      <c r="G704" s="1"/>
      <c r="H704" s="1"/>
      <c r="I704" s="1"/>
      <c r="L704" s="301"/>
      <c r="M704" s="301"/>
    </row>
    <row r="705" spans="1:13" customFormat="1" ht="12.75">
      <c r="A705" s="1524"/>
      <c r="F705" s="1"/>
      <c r="G705" s="1"/>
      <c r="H705" s="1"/>
      <c r="I705" s="1"/>
      <c r="L705" s="301"/>
      <c r="M705" s="301"/>
    </row>
    <row r="706" spans="1:13" customFormat="1" ht="12.75">
      <c r="A706" s="1524"/>
      <c r="F706" s="1"/>
      <c r="G706" s="1"/>
      <c r="H706" s="1"/>
      <c r="I706" s="1"/>
      <c r="L706" s="301"/>
      <c r="M706" s="301"/>
    </row>
    <row r="707" spans="1:13" customFormat="1" ht="12.75">
      <c r="A707" s="1524"/>
      <c r="F707" s="1"/>
      <c r="G707" s="1"/>
      <c r="H707" s="1"/>
      <c r="I707" s="1"/>
      <c r="L707" s="301"/>
      <c r="M707" s="301"/>
    </row>
    <row r="708" spans="1:13" customFormat="1" ht="12.75">
      <c r="A708" s="1524"/>
      <c r="F708" s="1"/>
      <c r="G708" s="1"/>
      <c r="H708" s="1"/>
      <c r="I708" s="1"/>
      <c r="L708" s="301"/>
      <c r="M708" s="301"/>
    </row>
    <row r="709" spans="1:13" customFormat="1" ht="12.75">
      <c r="A709" s="1524"/>
      <c r="F709" s="1"/>
      <c r="G709" s="1"/>
      <c r="H709" s="1"/>
      <c r="I709" s="1"/>
      <c r="L709" s="301"/>
      <c r="M709" s="301"/>
    </row>
    <row r="710" spans="1:13" customFormat="1" ht="12.75">
      <c r="A710" s="1524"/>
      <c r="F710" s="1"/>
      <c r="G710" s="1"/>
      <c r="H710" s="1"/>
      <c r="I710" s="1"/>
      <c r="L710" s="301"/>
      <c r="M710" s="301"/>
    </row>
    <row r="711" spans="1:13" customFormat="1" ht="12.75">
      <c r="A711" s="1524"/>
      <c r="F711" s="1"/>
      <c r="G711" s="1"/>
      <c r="H711" s="1"/>
      <c r="I711" s="1"/>
      <c r="L711" s="301"/>
      <c r="M711" s="301"/>
    </row>
    <row r="712" spans="1:13" customFormat="1" ht="12.75">
      <c r="A712" s="1524"/>
      <c r="F712" s="1"/>
      <c r="G712" s="1"/>
      <c r="H712" s="1"/>
      <c r="I712" s="1"/>
      <c r="L712" s="301"/>
      <c r="M712" s="301"/>
    </row>
    <row r="713" spans="1:13" customFormat="1" ht="12.75">
      <c r="A713" s="1524"/>
      <c r="F713" s="1"/>
      <c r="G713" s="1"/>
      <c r="H713" s="1"/>
      <c r="I713" s="1"/>
      <c r="L713" s="301"/>
      <c r="M713" s="301"/>
    </row>
    <row r="714" spans="1:13" customFormat="1" ht="12.75">
      <c r="A714" s="1524"/>
      <c r="F714" s="1"/>
      <c r="G714" s="1"/>
      <c r="H714" s="1"/>
      <c r="I714" s="1"/>
      <c r="L714" s="301"/>
      <c r="M714" s="301"/>
    </row>
    <row r="715" spans="1:13" customFormat="1" ht="12.75">
      <c r="A715" s="1524"/>
      <c r="F715" s="1"/>
      <c r="G715" s="1"/>
      <c r="H715" s="1"/>
      <c r="I715" s="1"/>
      <c r="L715" s="301"/>
      <c r="M715" s="301"/>
    </row>
    <row r="716" spans="1:13" customFormat="1" ht="12.75">
      <c r="A716" s="1524"/>
      <c r="F716" s="1"/>
      <c r="G716" s="1"/>
      <c r="H716" s="1"/>
      <c r="I716" s="1"/>
      <c r="L716" s="301"/>
      <c r="M716" s="301"/>
    </row>
    <row r="717" spans="1:13" customFormat="1" ht="12.75">
      <c r="A717" s="1524"/>
      <c r="F717" s="1"/>
      <c r="G717" s="1"/>
      <c r="H717" s="1"/>
      <c r="I717" s="1"/>
      <c r="L717" s="301"/>
      <c r="M717" s="301"/>
    </row>
    <row r="718" spans="1:13" customFormat="1" ht="12.75">
      <c r="A718" s="1524"/>
      <c r="F718" s="1"/>
      <c r="G718" s="1"/>
      <c r="H718" s="1"/>
      <c r="I718" s="1"/>
      <c r="L718" s="301"/>
      <c r="M718" s="301"/>
    </row>
    <row r="719" spans="1:13" customFormat="1" ht="12.75">
      <c r="A719" s="1524"/>
      <c r="F719" s="1"/>
      <c r="G719" s="1"/>
      <c r="H719" s="1"/>
      <c r="I719" s="1"/>
      <c r="L719" s="301"/>
      <c r="M719" s="301"/>
    </row>
    <row r="720" spans="1:13" customFormat="1" ht="12.75">
      <c r="A720" s="1524"/>
      <c r="F720" s="1"/>
      <c r="G720" s="1"/>
      <c r="H720" s="1"/>
      <c r="I720" s="1"/>
      <c r="L720" s="301"/>
      <c r="M720" s="301"/>
    </row>
    <row r="721" spans="1:13" customFormat="1" ht="12.75">
      <c r="A721" s="1524"/>
      <c r="F721" s="1"/>
      <c r="G721" s="1"/>
      <c r="H721" s="1"/>
      <c r="I721" s="1"/>
      <c r="L721" s="301"/>
      <c r="M721" s="301"/>
    </row>
    <row r="722" spans="1:13" customFormat="1" ht="12.75">
      <c r="A722" s="1524"/>
      <c r="F722" s="1"/>
      <c r="G722" s="1"/>
      <c r="H722" s="1"/>
      <c r="I722" s="1"/>
      <c r="L722" s="301"/>
      <c r="M722" s="301"/>
    </row>
    <row r="723" spans="1:13" customFormat="1" ht="12.75">
      <c r="A723" s="1524"/>
      <c r="F723" s="1"/>
      <c r="G723" s="1"/>
      <c r="H723" s="1"/>
      <c r="I723" s="1"/>
      <c r="L723" s="301"/>
      <c r="M723" s="301"/>
    </row>
    <row r="724" spans="1:13" customFormat="1" ht="12.75">
      <c r="A724" s="1524"/>
      <c r="F724" s="1"/>
      <c r="G724" s="1"/>
      <c r="H724" s="1"/>
      <c r="I724" s="1"/>
      <c r="L724" s="301"/>
      <c r="M724" s="301"/>
    </row>
    <row r="725" spans="1:13" customFormat="1" ht="12.75">
      <c r="A725" s="1524"/>
      <c r="F725" s="1"/>
      <c r="G725" s="1"/>
      <c r="H725" s="1"/>
      <c r="I725" s="1"/>
      <c r="L725" s="301"/>
      <c r="M725" s="301"/>
    </row>
    <row r="726" spans="1:13" customFormat="1" ht="12.75">
      <c r="A726" s="1524"/>
      <c r="F726" s="1"/>
      <c r="G726" s="1"/>
      <c r="H726" s="1"/>
      <c r="I726" s="1"/>
      <c r="L726" s="301"/>
      <c r="M726" s="301"/>
    </row>
    <row r="727" spans="1:13" customFormat="1" ht="12.75">
      <c r="A727" s="1524"/>
      <c r="F727" s="1"/>
      <c r="G727" s="1"/>
      <c r="H727" s="1"/>
      <c r="I727" s="1"/>
      <c r="L727" s="301"/>
      <c r="M727" s="301"/>
    </row>
    <row r="728" spans="1:13" customFormat="1" ht="12.75">
      <c r="A728" s="1524"/>
      <c r="F728" s="1"/>
      <c r="G728" s="1"/>
      <c r="H728" s="1"/>
      <c r="I728" s="1"/>
      <c r="L728" s="301"/>
      <c r="M728" s="301"/>
    </row>
    <row r="729" spans="1:13" customFormat="1" ht="12.75">
      <c r="A729" s="1524"/>
      <c r="F729" s="1"/>
      <c r="G729" s="1"/>
      <c r="H729" s="1"/>
      <c r="I729" s="1"/>
      <c r="L729" s="301"/>
      <c r="M729" s="301"/>
    </row>
    <row r="730" spans="1:13" customFormat="1" ht="12.75">
      <c r="A730" s="1524"/>
      <c r="F730" s="1"/>
      <c r="G730" s="1"/>
      <c r="H730" s="1"/>
      <c r="I730" s="1"/>
      <c r="L730" s="301"/>
      <c r="M730" s="301"/>
    </row>
    <row r="731" spans="1:13" customFormat="1" ht="12.75">
      <c r="A731" s="1524"/>
      <c r="F731" s="1"/>
      <c r="G731" s="1"/>
      <c r="H731" s="1"/>
      <c r="I731" s="1"/>
      <c r="L731" s="301"/>
      <c r="M731" s="301"/>
    </row>
    <row r="732" spans="1:13" customFormat="1" ht="12.75">
      <c r="A732" s="1524"/>
      <c r="F732" s="1"/>
      <c r="G732" s="1"/>
      <c r="H732" s="1"/>
      <c r="I732" s="1"/>
      <c r="L732" s="301"/>
      <c r="M732" s="301"/>
    </row>
    <row r="733" spans="1:13" customFormat="1" ht="12.75">
      <c r="A733" s="1524"/>
      <c r="F733" s="1"/>
      <c r="G733" s="1"/>
      <c r="H733" s="1"/>
      <c r="I733" s="1"/>
      <c r="L733" s="301"/>
      <c r="M733" s="301"/>
    </row>
    <row r="734" spans="1:13" customFormat="1" ht="12.75">
      <c r="A734" s="1524"/>
      <c r="F734" s="1"/>
      <c r="G734" s="1"/>
      <c r="H734" s="1"/>
      <c r="I734" s="1"/>
      <c r="L734" s="301"/>
      <c r="M734" s="301"/>
    </row>
    <row r="735" spans="1:13" customFormat="1" ht="12.75">
      <c r="A735" s="1524"/>
      <c r="F735" s="1"/>
      <c r="G735" s="1"/>
      <c r="H735" s="1"/>
      <c r="I735" s="1"/>
      <c r="L735" s="301"/>
      <c r="M735" s="301"/>
    </row>
    <row r="736" spans="1:13" customFormat="1" ht="12.75">
      <c r="A736" s="1524"/>
      <c r="F736" s="1"/>
      <c r="G736" s="1"/>
      <c r="H736" s="1"/>
      <c r="I736" s="1"/>
      <c r="L736" s="301"/>
      <c r="M736" s="301"/>
    </row>
    <row r="737" spans="1:13" customFormat="1" ht="12.75">
      <c r="A737" s="1524"/>
      <c r="F737" s="1"/>
      <c r="G737" s="1"/>
      <c r="H737" s="1"/>
      <c r="I737" s="1"/>
      <c r="L737" s="301"/>
      <c r="M737" s="301"/>
    </row>
    <row r="738" spans="1:13" customFormat="1" ht="12.75">
      <c r="A738" s="1524"/>
      <c r="F738" s="1"/>
      <c r="G738" s="1"/>
      <c r="H738" s="1"/>
      <c r="I738" s="1"/>
      <c r="L738" s="301"/>
      <c r="M738" s="301"/>
    </row>
    <row r="739" spans="1:13" customFormat="1" ht="12.75">
      <c r="A739" s="1524"/>
      <c r="F739" s="1"/>
      <c r="G739" s="1"/>
      <c r="H739" s="1"/>
      <c r="I739" s="1"/>
      <c r="L739" s="301"/>
      <c r="M739" s="301"/>
    </row>
    <row r="740" spans="1:13" customFormat="1" ht="12.75">
      <c r="A740" s="1524"/>
      <c r="F740" s="1"/>
      <c r="G740" s="1"/>
      <c r="H740" s="1"/>
      <c r="I740" s="1"/>
      <c r="L740" s="301"/>
      <c r="M740" s="301"/>
    </row>
    <row r="741" spans="1:13" customFormat="1" ht="12.75">
      <c r="A741" s="1524"/>
      <c r="F741" s="1"/>
      <c r="G741" s="1"/>
      <c r="H741" s="1"/>
      <c r="I741" s="1"/>
      <c r="L741" s="301"/>
      <c r="M741" s="301"/>
    </row>
    <row r="742" spans="1:13" customFormat="1" ht="12.75">
      <c r="A742" s="1524"/>
      <c r="F742" s="1"/>
      <c r="G742" s="1"/>
      <c r="H742" s="1"/>
      <c r="I742" s="1"/>
      <c r="L742" s="301"/>
      <c r="M742" s="301"/>
    </row>
    <row r="743" spans="1:13" customFormat="1" ht="12.75">
      <c r="A743" s="1524"/>
      <c r="F743" s="1"/>
      <c r="G743" s="1"/>
      <c r="H743" s="1"/>
      <c r="I743" s="1"/>
      <c r="L743" s="301"/>
      <c r="M743" s="301"/>
    </row>
    <row r="744" spans="1:13" customFormat="1" ht="12.75">
      <c r="A744" s="1524"/>
      <c r="F744" s="1"/>
      <c r="G744" s="1"/>
      <c r="H744" s="1"/>
      <c r="I744" s="1"/>
      <c r="L744" s="301"/>
      <c r="M744" s="301"/>
    </row>
    <row r="745" spans="1:13" customFormat="1" ht="12.75">
      <c r="A745" s="1524"/>
      <c r="F745" s="1"/>
      <c r="G745" s="1"/>
      <c r="H745" s="1"/>
      <c r="I745" s="1"/>
      <c r="L745" s="301"/>
      <c r="M745" s="301"/>
    </row>
    <row r="746" spans="1:13" customFormat="1" ht="12.75">
      <c r="A746" s="1524"/>
      <c r="F746" s="1"/>
      <c r="G746" s="1"/>
      <c r="H746" s="1"/>
      <c r="I746" s="1"/>
      <c r="L746" s="301"/>
      <c r="M746" s="301"/>
    </row>
    <row r="747" spans="1:13" customFormat="1" ht="12.75">
      <c r="A747" s="1524"/>
      <c r="F747" s="1"/>
      <c r="G747" s="1"/>
      <c r="H747" s="1"/>
      <c r="I747" s="1"/>
      <c r="L747" s="301"/>
      <c r="M747" s="301"/>
    </row>
    <row r="748" spans="1:13" customFormat="1" ht="12.75">
      <c r="A748" s="1524"/>
      <c r="F748" s="1"/>
      <c r="G748" s="1"/>
      <c r="H748" s="1"/>
      <c r="I748" s="1"/>
      <c r="L748" s="301"/>
      <c r="M748" s="301"/>
    </row>
    <row r="749" spans="1:13" customFormat="1" ht="12.75">
      <c r="A749" s="1524"/>
      <c r="F749" s="1"/>
      <c r="G749" s="1"/>
      <c r="H749" s="1"/>
      <c r="I749" s="1"/>
      <c r="L749" s="301"/>
      <c r="M749" s="301"/>
    </row>
    <row r="750" spans="1:13" customFormat="1" ht="12.75">
      <c r="A750" s="1524"/>
      <c r="F750" s="1"/>
      <c r="G750" s="1"/>
      <c r="H750" s="1"/>
      <c r="I750" s="1"/>
      <c r="L750" s="301"/>
      <c r="M750" s="301"/>
    </row>
    <row r="751" spans="1:13" customFormat="1" ht="12.75">
      <c r="A751" s="1524"/>
      <c r="F751" s="1"/>
      <c r="G751" s="1"/>
      <c r="H751" s="1"/>
      <c r="I751" s="1"/>
      <c r="L751" s="301"/>
      <c r="M751" s="301"/>
    </row>
    <row r="752" spans="1:13" customFormat="1" ht="12.75">
      <c r="A752" s="1524"/>
      <c r="F752" s="1"/>
      <c r="G752" s="1"/>
      <c r="H752" s="1"/>
      <c r="I752" s="1"/>
      <c r="L752" s="301"/>
      <c r="M752" s="301"/>
    </row>
    <row r="753" spans="1:13" customFormat="1" ht="12.75">
      <c r="A753" s="1524"/>
      <c r="F753" s="1"/>
      <c r="G753" s="1"/>
      <c r="H753" s="1"/>
      <c r="I753" s="1"/>
      <c r="L753" s="301"/>
      <c r="M753" s="301"/>
    </row>
    <row r="754" spans="1:13" customFormat="1" ht="12.75">
      <c r="A754" s="1524"/>
      <c r="F754" s="1"/>
      <c r="G754" s="1"/>
      <c r="H754" s="1"/>
      <c r="I754" s="1"/>
      <c r="L754" s="301"/>
      <c r="M754" s="301"/>
    </row>
    <row r="755" spans="1:13" customFormat="1" ht="12.75">
      <c r="A755" s="1524"/>
      <c r="F755" s="1"/>
      <c r="G755" s="1"/>
      <c r="H755" s="1"/>
      <c r="I755" s="1"/>
      <c r="L755" s="301"/>
      <c r="M755" s="301"/>
    </row>
    <row r="756" spans="1:13" customFormat="1" ht="12.75">
      <c r="A756" s="1524"/>
      <c r="F756" s="1"/>
      <c r="G756" s="1"/>
      <c r="H756" s="1"/>
      <c r="I756" s="1"/>
      <c r="L756" s="301"/>
      <c r="M756" s="301"/>
    </row>
    <row r="757" spans="1:13" customFormat="1" ht="12.75">
      <c r="A757" s="1524"/>
      <c r="F757" s="1"/>
      <c r="G757" s="1"/>
      <c r="H757" s="1"/>
      <c r="I757" s="1"/>
      <c r="L757" s="301"/>
      <c r="M757" s="301"/>
    </row>
    <row r="758" spans="1:13" customFormat="1" ht="12.75">
      <c r="A758" s="1524"/>
      <c r="F758" s="1"/>
      <c r="G758" s="1"/>
      <c r="H758" s="1"/>
      <c r="I758" s="1"/>
      <c r="L758" s="301"/>
      <c r="M758" s="301"/>
    </row>
    <row r="759" spans="1:13" customFormat="1" ht="12.75">
      <c r="A759" s="1524"/>
      <c r="F759" s="1"/>
      <c r="G759" s="1"/>
      <c r="H759" s="1"/>
      <c r="I759" s="1"/>
      <c r="L759" s="301"/>
      <c r="M759" s="301"/>
    </row>
    <row r="760" spans="1:13" customFormat="1" ht="12.75">
      <c r="A760" s="1524"/>
      <c r="F760" s="1"/>
      <c r="G760" s="1"/>
      <c r="H760" s="1"/>
      <c r="I760" s="1"/>
      <c r="L760" s="301"/>
      <c r="M760" s="301"/>
    </row>
    <row r="761" spans="1:13" customFormat="1" ht="12.75">
      <c r="A761" s="1524"/>
      <c r="F761" s="1"/>
      <c r="G761" s="1"/>
      <c r="H761" s="1"/>
      <c r="I761" s="1"/>
      <c r="L761" s="301"/>
      <c r="M761" s="301"/>
    </row>
    <row r="762" spans="1:13" customFormat="1" ht="12.75">
      <c r="A762" s="1524"/>
      <c r="F762" s="1"/>
      <c r="G762" s="1"/>
      <c r="H762" s="1"/>
      <c r="I762" s="1"/>
      <c r="L762" s="301"/>
      <c r="M762" s="301"/>
    </row>
    <row r="763" spans="1:13" customFormat="1" ht="12.75">
      <c r="A763" s="1524"/>
      <c r="F763" s="1"/>
      <c r="G763" s="1"/>
      <c r="H763" s="1"/>
      <c r="I763" s="1"/>
      <c r="L763" s="301"/>
      <c r="M763" s="301"/>
    </row>
    <row r="764" spans="1:13" customFormat="1" ht="12.75">
      <c r="A764" s="1524"/>
      <c r="F764" s="1"/>
      <c r="G764" s="1"/>
      <c r="H764" s="1"/>
      <c r="I764" s="1"/>
      <c r="L764" s="301"/>
      <c r="M764" s="301"/>
    </row>
    <row r="765" spans="1:13" customFormat="1" ht="12.75">
      <c r="A765" s="1524"/>
      <c r="F765" s="1"/>
      <c r="G765" s="1"/>
      <c r="H765" s="1"/>
      <c r="I765" s="1"/>
      <c r="L765" s="301"/>
      <c r="M765" s="301"/>
    </row>
    <row r="766" spans="1:13" customFormat="1" ht="12.75">
      <c r="A766" s="1524"/>
      <c r="F766" s="1"/>
      <c r="G766" s="1"/>
      <c r="H766" s="1"/>
      <c r="I766" s="1"/>
      <c r="L766" s="301"/>
      <c r="M766" s="301"/>
    </row>
    <row r="767" spans="1:13" customFormat="1" ht="12.75">
      <c r="A767" s="1524"/>
      <c r="F767" s="1"/>
      <c r="G767" s="1"/>
      <c r="H767" s="1"/>
      <c r="I767" s="1"/>
      <c r="L767" s="301"/>
      <c r="M767" s="301"/>
    </row>
    <row r="768" spans="1:13" customFormat="1" ht="12.75">
      <c r="A768" s="1524"/>
      <c r="F768" s="1"/>
      <c r="G768" s="1"/>
      <c r="H768" s="1"/>
      <c r="I768" s="1"/>
      <c r="L768" s="301"/>
      <c r="M768" s="301"/>
    </row>
    <row r="769" spans="1:13" customFormat="1" ht="12.75">
      <c r="A769" s="1524"/>
      <c r="F769" s="1"/>
      <c r="G769" s="1"/>
      <c r="H769" s="1"/>
      <c r="I769" s="1"/>
      <c r="L769" s="301"/>
      <c r="M769" s="301"/>
    </row>
    <row r="770" spans="1:13" customFormat="1" ht="12.75">
      <c r="A770" s="1524"/>
      <c r="F770" s="1"/>
      <c r="G770" s="1"/>
      <c r="H770" s="1"/>
      <c r="I770" s="1"/>
      <c r="L770" s="301"/>
      <c r="M770" s="301"/>
    </row>
    <row r="771" spans="1:13" customFormat="1" ht="12.75">
      <c r="A771" s="1524"/>
      <c r="F771" s="1"/>
      <c r="G771" s="1"/>
      <c r="H771" s="1"/>
      <c r="I771" s="1"/>
      <c r="L771" s="301"/>
      <c r="M771" s="301"/>
    </row>
    <row r="772" spans="1:13" customFormat="1" ht="12.75">
      <c r="A772" s="1524"/>
      <c r="F772" s="1"/>
      <c r="G772" s="1"/>
      <c r="H772" s="1"/>
      <c r="I772" s="1"/>
      <c r="L772" s="301"/>
      <c r="M772" s="301"/>
    </row>
    <row r="773" spans="1:13" customFormat="1" ht="12.75">
      <c r="A773" s="1524"/>
      <c r="F773" s="1"/>
      <c r="G773" s="1"/>
      <c r="H773" s="1"/>
      <c r="I773" s="1"/>
      <c r="L773" s="301"/>
      <c r="M773" s="301"/>
    </row>
    <row r="774" spans="1:13" customFormat="1" ht="12.75">
      <c r="A774" s="1524"/>
      <c r="F774" s="1"/>
      <c r="G774" s="1"/>
      <c r="H774" s="1"/>
      <c r="I774" s="1"/>
      <c r="L774" s="301"/>
      <c r="M774" s="301"/>
    </row>
    <row r="775" spans="1:13" customFormat="1" ht="12.75">
      <c r="A775" s="1524"/>
      <c r="F775" s="1"/>
      <c r="G775" s="1"/>
      <c r="H775" s="1"/>
      <c r="I775" s="1"/>
      <c r="L775" s="301"/>
      <c r="M775" s="301"/>
    </row>
    <row r="776" spans="1:13" customFormat="1" ht="12.75">
      <c r="A776" s="1524"/>
      <c r="F776" s="1"/>
      <c r="G776" s="1"/>
      <c r="H776" s="1"/>
      <c r="I776" s="1"/>
      <c r="L776" s="301"/>
      <c r="M776" s="301"/>
    </row>
    <row r="777" spans="1:13" customFormat="1" ht="12.75">
      <c r="A777" s="1524"/>
      <c r="F777" s="1"/>
      <c r="G777" s="1"/>
      <c r="H777" s="1"/>
      <c r="I777" s="1"/>
      <c r="L777" s="301"/>
      <c r="M777" s="301"/>
    </row>
    <row r="778" spans="1:13" customFormat="1" ht="12.75">
      <c r="A778" s="1524"/>
      <c r="F778" s="1"/>
      <c r="G778" s="1"/>
      <c r="H778" s="1"/>
      <c r="I778" s="1"/>
      <c r="L778" s="301"/>
      <c r="M778" s="301"/>
    </row>
    <row r="779" spans="1:13" customFormat="1" ht="12.75">
      <c r="A779" s="1524"/>
      <c r="F779" s="1"/>
      <c r="G779" s="1"/>
      <c r="H779" s="1"/>
      <c r="I779" s="1"/>
      <c r="L779" s="301"/>
      <c r="M779" s="301"/>
    </row>
    <row r="780" spans="1:13" customFormat="1" ht="12.75">
      <c r="A780" s="1524"/>
      <c r="F780" s="1"/>
      <c r="G780" s="1"/>
      <c r="H780" s="1"/>
      <c r="I780" s="1"/>
      <c r="L780" s="301"/>
      <c r="M780" s="301"/>
    </row>
    <row r="781" spans="1:13" customFormat="1" ht="12.75">
      <c r="A781" s="1524"/>
      <c r="F781" s="1"/>
      <c r="G781" s="1"/>
      <c r="H781" s="1"/>
      <c r="I781" s="1"/>
      <c r="L781" s="301"/>
      <c r="M781" s="301"/>
    </row>
    <row r="782" spans="1:13" customFormat="1" ht="12.75">
      <c r="A782" s="1524"/>
      <c r="F782" s="1"/>
      <c r="G782" s="1"/>
      <c r="H782" s="1"/>
      <c r="I782" s="1"/>
      <c r="L782" s="301"/>
      <c r="M782" s="301"/>
    </row>
    <row r="783" spans="1:13" customFormat="1" ht="12.75">
      <c r="A783" s="1524"/>
      <c r="F783" s="1"/>
      <c r="G783" s="1"/>
      <c r="H783" s="1"/>
      <c r="I783" s="1"/>
      <c r="L783" s="301"/>
      <c r="M783" s="301"/>
    </row>
    <row r="784" spans="1:13" customFormat="1" ht="12.75">
      <c r="A784" s="1524"/>
      <c r="F784" s="1"/>
      <c r="G784" s="1"/>
      <c r="H784" s="1"/>
      <c r="I784" s="1"/>
      <c r="L784" s="301"/>
      <c r="M784" s="301"/>
    </row>
    <row r="785" spans="1:13" customFormat="1" ht="12.75">
      <c r="A785" s="1524"/>
      <c r="F785" s="1"/>
      <c r="G785" s="1"/>
      <c r="H785" s="1"/>
      <c r="I785" s="1"/>
      <c r="L785" s="301"/>
      <c r="M785" s="301"/>
    </row>
    <row r="786" spans="1:13" customFormat="1" ht="12.75">
      <c r="A786" s="1524"/>
      <c r="F786" s="1"/>
      <c r="G786" s="1"/>
      <c r="H786" s="1"/>
      <c r="I786" s="1"/>
      <c r="L786" s="301"/>
      <c r="M786" s="301"/>
    </row>
    <row r="787" spans="1:13" customFormat="1" ht="12.75">
      <c r="A787" s="1524"/>
      <c r="F787" s="1"/>
      <c r="G787" s="1"/>
      <c r="H787" s="1"/>
      <c r="I787" s="1"/>
      <c r="L787" s="301"/>
      <c r="M787" s="301"/>
    </row>
    <row r="788" spans="1:13" customFormat="1" ht="12.75">
      <c r="A788" s="1524"/>
      <c r="F788" s="1"/>
      <c r="G788" s="1"/>
      <c r="H788" s="1"/>
      <c r="I788" s="1"/>
      <c r="L788" s="301"/>
      <c r="M788" s="301"/>
    </row>
    <row r="789" spans="1:13" customFormat="1" ht="12.75">
      <c r="A789" s="1524"/>
      <c r="F789" s="1"/>
      <c r="G789" s="1"/>
      <c r="H789" s="1"/>
      <c r="I789" s="1"/>
      <c r="L789" s="301"/>
      <c r="M789" s="301"/>
    </row>
    <row r="790" spans="1:13" customFormat="1" ht="12.75">
      <c r="A790" s="1524"/>
      <c r="F790" s="1"/>
      <c r="G790" s="1"/>
      <c r="H790" s="1"/>
      <c r="I790" s="1"/>
      <c r="L790" s="301"/>
      <c r="M790" s="301"/>
    </row>
    <row r="791" spans="1:13" customFormat="1" ht="12.75">
      <c r="A791" s="1524"/>
      <c r="F791" s="1"/>
      <c r="G791" s="1"/>
      <c r="H791" s="1"/>
      <c r="I791" s="1"/>
      <c r="L791" s="301"/>
      <c r="M791" s="301"/>
    </row>
    <row r="792" spans="1:13" customFormat="1" ht="12.75">
      <c r="A792" s="1524"/>
      <c r="F792" s="1"/>
      <c r="G792" s="1"/>
      <c r="H792" s="1"/>
      <c r="I792" s="1"/>
      <c r="L792" s="301"/>
      <c r="M792" s="301"/>
    </row>
    <row r="793" spans="1:13" customFormat="1" ht="12.75">
      <c r="A793" s="1524"/>
      <c r="F793" s="1"/>
      <c r="G793" s="1"/>
      <c r="H793" s="1"/>
      <c r="I793" s="1"/>
      <c r="L793" s="301"/>
      <c r="M793" s="301"/>
    </row>
    <row r="794" spans="1:13" customFormat="1" ht="12.75">
      <c r="A794" s="1524"/>
      <c r="F794" s="1"/>
      <c r="G794" s="1"/>
      <c r="H794" s="1"/>
      <c r="I794" s="1"/>
      <c r="L794" s="301"/>
      <c r="M794" s="301"/>
    </row>
    <row r="795" spans="1:13" customFormat="1" ht="12.75">
      <c r="A795" s="1524"/>
      <c r="F795" s="1"/>
      <c r="G795" s="1"/>
      <c r="H795" s="1"/>
      <c r="I795" s="1"/>
      <c r="L795" s="301"/>
      <c r="M795" s="301"/>
    </row>
    <row r="796" spans="1:13" customFormat="1" ht="12.75">
      <c r="A796" s="1524"/>
      <c r="F796" s="1"/>
      <c r="G796" s="1"/>
      <c r="H796" s="1"/>
      <c r="I796" s="1"/>
      <c r="L796" s="301"/>
      <c r="M796" s="301"/>
    </row>
    <row r="797" spans="1:13" customFormat="1" ht="12.75">
      <c r="A797" s="1524"/>
      <c r="F797" s="1"/>
      <c r="G797" s="1"/>
      <c r="H797" s="1"/>
      <c r="I797" s="1"/>
      <c r="L797" s="301"/>
      <c r="M797" s="301"/>
    </row>
    <row r="798" spans="1:13" customFormat="1" ht="12.75">
      <c r="A798" s="1524"/>
      <c r="F798" s="1"/>
      <c r="G798" s="1"/>
      <c r="H798" s="1"/>
      <c r="I798" s="1"/>
      <c r="L798" s="301"/>
      <c r="M798" s="301"/>
    </row>
    <row r="799" spans="1:13" customFormat="1" ht="12.75">
      <c r="A799" s="1524"/>
      <c r="F799" s="1"/>
      <c r="G799" s="1"/>
      <c r="H799" s="1"/>
      <c r="I799" s="1"/>
      <c r="L799" s="301"/>
      <c r="M799" s="301"/>
    </row>
    <row r="800" spans="1:13" customFormat="1" ht="12.75">
      <c r="A800" s="1524"/>
      <c r="F800" s="1"/>
      <c r="G800" s="1"/>
      <c r="H800" s="1"/>
      <c r="I800" s="1"/>
      <c r="L800" s="301"/>
      <c r="M800" s="301"/>
    </row>
    <row r="801" spans="1:13" customFormat="1" ht="12.75">
      <c r="A801" s="1524"/>
      <c r="F801" s="1"/>
      <c r="G801" s="1"/>
      <c r="H801" s="1"/>
      <c r="I801" s="1"/>
      <c r="L801" s="301"/>
      <c r="M801" s="301"/>
    </row>
    <row r="802" spans="1:13" customFormat="1" ht="12.75">
      <c r="A802" s="1524"/>
      <c r="F802" s="1"/>
      <c r="G802" s="1"/>
      <c r="H802" s="1"/>
      <c r="I802" s="1"/>
      <c r="L802" s="301"/>
      <c r="M802" s="301"/>
    </row>
    <row r="803" spans="1:13" customFormat="1" ht="12.75">
      <c r="A803" s="1524"/>
      <c r="F803" s="1"/>
      <c r="G803" s="1"/>
      <c r="H803" s="1"/>
      <c r="I803" s="1"/>
      <c r="L803" s="301"/>
      <c r="M803" s="301"/>
    </row>
    <row r="804" spans="1:13" customFormat="1" ht="12.75">
      <c r="A804" s="1524"/>
      <c r="F804" s="1"/>
      <c r="G804" s="1"/>
      <c r="H804" s="1"/>
      <c r="I804" s="1"/>
      <c r="L804" s="301"/>
      <c r="M804" s="301"/>
    </row>
    <row r="805" spans="1:13" customFormat="1" ht="12.75">
      <c r="A805" s="1524"/>
      <c r="F805" s="1"/>
      <c r="G805" s="1"/>
      <c r="H805" s="1"/>
      <c r="I805" s="1"/>
      <c r="L805" s="301"/>
      <c r="M805" s="301"/>
    </row>
    <row r="806" spans="1:13" customFormat="1" ht="12.75">
      <c r="A806" s="1524"/>
      <c r="F806" s="1"/>
      <c r="G806" s="1"/>
      <c r="H806" s="1"/>
      <c r="I806" s="1"/>
      <c r="L806" s="301"/>
      <c r="M806" s="301"/>
    </row>
    <row r="807" spans="1:13" customFormat="1" ht="12.75">
      <c r="A807" s="1524"/>
      <c r="F807" s="1"/>
      <c r="G807" s="1"/>
      <c r="H807" s="1"/>
      <c r="I807" s="1"/>
      <c r="L807" s="301"/>
      <c r="M807" s="301"/>
    </row>
    <row r="808" spans="1:13" customFormat="1" ht="12.75">
      <c r="A808" s="1524"/>
      <c r="F808" s="1"/>
      <c r="G808" s="1"/>
      <c r="H808" s="1"/>
      <c r="I808" s="1"/>
      <c r="L808" s="301"/>
      <c r="M808" s="301"/>
    </row>
    <row r="809" spans="1:13" customFormat="1" ht="12.75">
      <c r="A809" s="1524"/>
      <c r="F809" s="1"/>
      <c r="G809" s="1"/>
      <c r="H809" s="1"/>
      <c r="I809" s="1"/>
      <c r="L809" s="301"/>
      <c r="M809" s="301"/>
    </row>
    <row r="810" spans="1:13" customFormat="1" ht="12.75">
      <c r="A810" s="1524"/>
      <c r="F810" s="1"/>
      <c r="G810" s="1"/>
      <c r="H810" s="1"/>
      <c r="I810" s="1"/>
      <c r="L810" s="301"/>
      <c r="M810" s="301"/>
    </row>
    <row r="811" spans="1:13" customFormat="1" ht="12.75">
      <c r="A811" s="1524"/>
      <c r="F811" s="1"/>
      <c r="G811" s="1"/>
      <c r="H811" s="1"/>
      <c r="I811" s="1"/>
      <c r="L811" s="301"/>
      <c r="M811" s="301"/>
    </row>
    <row r="812" spans="1:13" customFormat="1" ht="12.75">
      <c r="A812" s="1524"/>
      <c r="F812" s="1"/>
      <c r="G812" s="1"/>
      <c r="H812" s="1"/>
      <c r="I812" s="1"/>
      <c r="L812" s="301"/>
      <c r="M812" s="301"/>
    </row>
    <row r="813" spans="1:13" customFormat="1" ht="12.75">
      <c r="A813" s="1524"/>
      <c r="F813" s="1"/>
      <c r="G813" s="1"/>
      <c r="H813" s="1"/>
      <c r="I813" s="1"/>
      <c r="L813" s="301"/>
      <c r="M813" s="301"/>
    </row>
    <row r="814" spans="1:13" customFormat="1" ht="12.75">
      <c r="A814" s="1524"/>
      <c r="F814" s="1"/>
      <c r="G814" s="1"/>
      <c r="H814" s="1"/>
      <c r="I814" s="1"/>
      <c r="L814" s="301"/>
      <c r="M814" s="301"/>
    </row>
    <row r="815" spans="1:13" customFormat="1" ht="12.75">
      <c r="A815" s="1524"/>
      <c r="F815" s="1"/>
      <c r="G815" s="1"/>
      <c r="H815" s="1"/>
      <c r="I815" s="1"/>
      <c r="L815" s="301"/>
      <c r="M815" s="301"/>
    </row>
    <row r="816" spans="1:13" customFormat="1" ht="12.75">
      <c r="A816" s="1524"/>
      <c r="F816" s="1"/>
      <c r="G816" s="1"/>
      <c r="H816" s="1"/>
      <c r="I816" s="1"/>
      <c r="L816" s="301"/>
      <c r="M816" s="301"/>
    </row>
    <row r="817" spans="1:13" customFormat="1" ht="12.75">
      <c r="A817" s="1524"/>
      <c r="F817" s="1"/>
      <c r="G817" s="1"/>
      <c r="H817" s="1"/>
      <c r="I817" s="1"/>
      <c r="L817" s="301"/>
      <c r="M817" s="301"/>
    </row>
    <row r="818" spans="1:13" customFormat="1" ht="12.75">
      <c r="A818" s="1524"/>
      <c r="F818" s="1"/>
      <c r="G818" s="1"/>
      <c r="H818" s="1"/>
      <c r="I818" s="1"/>
      <c r="L818" s="301"/>
      <c r="M818" s="301"/>
    </row>
    <row r="819" spans="1:13" customFormat="1" ht="12.75">
      <c r="A819" s="1524"/>
      <c r="F819" s="1"/>
      <c r="G819" s="1"/>
      <c r="H819" s="1"/>
      <c r="I819" s="1"/>
      <c r="L819" s="301"/>
      <c r="M819" s="301"/>
    </row>
    <row r="820" spans="1:13" customFormat="1" ht="12.75">
      <c r="A820" s="1524"/>
      <c r="F820" s="1"/>
      <c r="G820" s="1"/>
      <c r="H820" s="1"/>
      <c r="I820" s="1"/>
      <c r="L820" s="301"/>
      <c r="M820" s="301"/>
    </row>
    <row r="821" spans="1:13" customFormat="1" ht="12.75">
      <c r="A821" s="1524"/>
      <c r="F821" s="1"/>
      <c r="G821" s="1"/>
      <c r="H821" s="1"/>
      <c r="I821" s="1"/>
      <c r="L821" s="301"/>
      <c r="M821" s="301"/>
    </row>
    <row r="822" spans="1:13" customFormat="1" ht="12.75">
      <c r="A822" s="1524"/>
      <c r="F822" s="1"/>
      <c r="G822" s="1"/>
      <c r="H822" s="1"/>
      <c r="I822" s="1"/>
      <c r="L822" s="301"/>
      <c r="M822" s="301"/>
    </row>
    <row r="823" spans="1:13" customFormat="1" ht="12.75">
      <c r="A823" s="1524"/>
      <c r="F823" s="1"/>
      <c r="G823" s="1"/>
      <c r="H823" s="1"/>
      <c r="I823" s="1"/>
      <c r="L823" s="301"/>
      <c r="M823" s="301"/>
    </row>
    <row r="824" spans="1:13" customFormat="1" ht="12.75">
      <c r="A824" s="1524"/>
      <c r="F824" s="1"/>
      <c r="G824" s="1"/>
      <c r="H824" s="1"/>
      <c r="I824" s="1"/>
      <c r="L824" s="301"/>
      <c r="M824" s="301"/>
    </row>
    <row r="825" spans="1:13" customFormat="1" ht="12.75">
      <c r="A825" s="1524"/>
      <c r="F825" s="1"/>
      <c r="G825" s="1"/>
      <c r="H825" s="1"/>
      <c r="I825" s="1"/>
      <c r="L825" s="301"/>
      <c r="M825" s="301"/>
    </row>
    <row r="826" spans="1:13" customFormat="1" ht="12.75">
      <c r="A826" s="1524"/>
      <c r="F826" s="1"/>
      <c r="G826" s="1"/>
      <c r="H826" s="1"/>
      <c r="I826" s="1"/>
      <c r="L826" s="301"/>
      <c r="M826" s="301"/>
    </row>
    <row r="827" spans="1:13" customFormat="1" ht="12.75">
      <c r="A827" s="1524"/>
      <c r="F827" s="1"/>
      <c r="G827" s="1"/>
      <c r="H827" s="1"/>
      <c r="I827" s="1"/>
      <c r="L827" s="301"/>
      <c r="M827" s="301"/>
    </row>
    <row r="828" spans="1:13" customFormat="1" ht="12.75">
      <c r="A828" s="1524"/>
      <c r="F828" s="1"/>
      <c r="G828" s="1"/>
      <c r="H828" s="1"/>
      <c r="I828" s="1"/>
      <c r="L828" s="301"/>
      <c r="M828" s="301"/>
    </row>
    <row r="829" spans="1:13" customFormat="1" ht="12.75">
      <c r="A829" s="1524"/>
      <c r="F829" s="1"/>
      <c r="G829" s="1"/>
      <c r="H829" s="1"/>
      <c r="I829" s="1"/>
      <c r="L829" s="301"/>
      <c r="M829" s="301"/>
    </row>
    <row r="830" spans="1:13" customFormat="1" ht="12.75">
      <c r="A830" s="1524"/>
      <c r="F830" s="1"/>
      <c r="G830" s="1"/>
      <c r="H830" s="1"/>
      <c r="I830" s="1"/>
      <c r="L830" s="301"/>
      <c r="M830" s="301"/>
    </row>
    <row r="831" spans="1:13" customFormat="1" ht="12.75">
      <c r="A831" s="1524"/>
      <c r="F831" s="1"/>
      <c r="G831" s="1"/>
      <c r="H831" s="1"/>
      <c r="I831" s="1"/>
      <c r="L831" s="301"/>
      <c r="M831" s="301"/>
    </row>
    <row r="832" spans="1:13" customFormat="1" ht="12.75">
      <c r="A832" s="1524"/>
      <c r="F832" s="1"/>
      <c r="G832" s="1"/>
      <c r="H832" s="1"/>
      <c r="I832" s="1"/>
      <c r="L832" s="301"/>
      <c r="M832" s="301"/>
    </row>
    <row r="833" spans="1:13" customFormat="1" ht="12.75">
      <c r="A833" s="1524"/>
      <c r="F833" s="1"/>
      <c r="G833" s="1"/>
      <c r="H833" s="1"/>
      <c r="I833" s="1"/>
      <c r="L833" s="301"/>
      <c r="M833" s="301"/>
    </row>
    <row r="834" spans="1:13" customFormat="1" ht="12.75">
      <c r="A834" s="1524"/>
      <c r="F834" s="1"/>
      <c r="G834" s="1"/>
      <c r="H834" s="1"/>
      <c r="I834" s="1"/>
      <c r="L834" s="301"/>
      <c r="M834" s="301"/>
    </row>
  </sheetData>
  <sheetProtection password="C616" sheet="1" objects="1" scenarios="1"/>
  <mergeCells count="76">
    <mergeCell ref="B72:C72"/>
    <mergeCell ref="D72:H72"/>
    <mergeCell ref="J72:K72"/>
    <mergeCell ref="B41:C41"/>
    <mergeCell ref="B45:C45"/>
    <mergeCell ref="D50:E50"/>
    <mergeCell ref="B50:C50"/>
    <mergeCell ref="B43:D43"/>
    <mergeCell ref="B46:C46"/>
    <mergeCell ref="B65:C65"/>
    <mergeCell ref="B47:C47"/>
    <mergeCell ref="B44:C44"/>
    <mergeCell ref="B63:C63"/>
    <mergeCell ref="D64:G64"/>
    <mergeCell ref="I62:K62"/>
    <mergeCell ref="J63:K63"/>
    <mergeCell ref="I119:K119"/>
    <mergeCell ref="I121:K121"/>
    <mergeCell ref="G115:H115"/>
    <mergeCell ref="I115:K115"/>
    <mergeCell ref="B115:F115"/>
    <mergeCell ref="B121:E121"/>
    <mergeCell ref="B119:D119"/>
    <mergeCell ref="J118:K118"/>
    <mergeCell ref="J116:K116"/>
    <mergeCell ref="J117:K117"/>
    <mergeCell ref="B117:D117"/>
    <mergeCell ref="B118:D118"/>
    <mergeCell ref="B34:C34"/>
    <mergeCell ref="B39:C39"/>
    <mergeCell ref="B35:C35"/>
    <mergeCell ref="B37:C37"/>
    <mergeCell ref="B40:C40"/>
    <mergeCell ref="B36:C36"/>
    <mergeCell ref="B38:C38"/>
    <mergeCell ref="B64:C64"/>
    <mergeCell ref="B71:C71"/>
    <mergeCell ref="B66:C66"/>
    <mergeCell ref="B67:C67"/>
    <mergeCell ref="B68:C68"/>
    <mergeCell ref="B69:C69"/>
    <mergeCell ref="B70:C70"/>
    <mergeCell ref="J68:K68"/>
    <mergeCell ref="J70:K70"/>
    <mergeCell ref="J71:K71"/>
    <mergeCell ref="D63:H63"/>
    <mergeCell ref="D65:H65"/>
    <mergeCell ref="D67:H67"/>
    <mergeCell ref="D68:H68"/>
    <mergeCell ref="J65:K65"/>
    <mergeCell ref="D70:H70"/>
    <mergeCell ref="D71:H71"/>
    <mergeCell ref="D66:G66"/>
    <mergeCell ref="J67:K67"/>
    <mergeCell ref="D69:H69"/>
    <mergeCell ref="J69:K69"/>
    <mergeCell ref="G2:K2"/>
    <mergeCell ref="E3:F3"/>
    <mergeCell ref="G3:K3"/>
    <mergeCell ref="G4:K4"/>
    <mergeCell ref="C7:F7"/>
    <mergeCell ref="J7:K7"/>
    <mergeCell ref="B22:C22"/>
    <mergeCell ref="B30:C30"/>
    <mergeCell ref="B33:C33"/>
    <mergeCell ref="B19:C19"/>
    <mergeCell ref="B20:C20"/>
    <mergeCell ref="B25:C25"/>
    <mergeCell ref="B21:C21"/>
    <mergeCell ref="B26:C26"/>
    <mergeCell ref="AC4:AH11"/>
    <mergeCell ref="C8:H8"/>
    <mergeCell ref="J8:K8"/>
    <mergeCell ref="B15:C15"/>
    <mergeCell ref="D15:E15"/>
    <mergeCell ref="U4:W11"/>
  </mergeCells>
  <conditionalFormatting sqref="A121:K121">
    <cfRule type="expression" dxfId="227" priority="53">
      <formula>minergiea=FALSE</formula>
    </cfRule>
  </conditionalFormatting>
  <conditionalFormatting sqref="B119 E119:K119">
    <cfRule type="expression" dxfId="226" priority="63">
      <formula>OR(minergie=TRUE,minergiep=TRUE,MUKEN=warh)</formula>
    </cfRule>
  </conditionalFormatting>
  <conditionalFormatting sqref="B26:C26">
    <cfRule type="expression" dxfId="225" priority="18">
      <formula>minergiea</formula>
    </cfRule>
  </conditionalFormatting>
  <conditionalFormatting sqref="B44:C44">
    <cfRule type="expression" dxfId="224" priority="126">
      <formula>Zweckumbau=FALSE</formula>
    </cfRule>
  </conditionalFormatting>
  <conditionalFormatting sqref="B120:K120">
    <cfRule type="expression" dxfId="223" priority="62" stopIfTrue="1">
      <formula>minergiea=FALSE</formula>
    </cfRule>
  </conditionalFormatting>
  <conditionalFormatting sqref="C17:D18">
    <cfRule type="expression" dxfId="222" priority="6">
      <formula>$M$19=FALSE</formula>
    </cfRule>
  </conditionalFormatting>
  <conditionalFormatting sqref="C61:E61">
    <cfRule type="expression" dxfId="221" priority="59">
      <formula>minergiea=FALSE</formula>
    </cfRule>
  </conditionalFormatting>
  <conditionalFormatting sqref="D26">
    <cfRule type="expression" dxfId="220" priority="17">
      <formula>minergiea</formula>
    </cfRule>
  </conditionalFormatting>
  <conditionalFormatting sqref="D50 J50:K50">
    <cfRule type="cellIs" dxfId="219" priority="583" operator="equal">
      <formula>$Q$12</formula>
    </cfRule>
  </conditionalFormatting>
  <conditionalFormatting sqref="D50">
    <cfRule type="cellIs" dxfId="218" priority="585" operator="equal">
      <formula>$R$12</formula>
    </cfRule>
  </conditionalFormatting>
  <conditionalFormatting sqref="E26">
    <cfRule type="expression" dxfId="217" priority="16">
      <formula>minergiea</formula>
    </cfRule>
  </conditionalFormatting>
  <conditionalFormatting sqref="F21">
    <cfRule type="expression" dxfId="216" priority="30">
      <formula>wohnen1</formula>
    </cfRule>
  </conditionalFormatting>
  <conditionalFormatting sqref="F25">
    <cfRule type="expression" dxfId="215" priority="5">
      <formula>wohnen1</formula>
    </cfRule>
  </conditionalFormatting>
  <conditionalFormatting sqref="F26">
    <cfRule type="expression" dxfId="214" priority="22">
      <formula>AND(Kategorie1 &gt;1, Kategorie1&lt;10)</formula>
    </cfRule>
  </conditionalFormatting>
  <conditionalFormatting sqref="F33:F41">
    <cfRule type="expression" dxfId="213" priority="15">
      <formula>wohnen1</formula>
    </cfRule>
  </conditionalFormatting>
  <conditionalFormatting sqref="F44">
    <cfRule type="expression" dxfId="212" priority="634">
      <formula>$O$85</formula>
    </cfRule>
  </conditionalFormatting>
  <conditionalFormatting sqref="F45">
    <cfRule type="expression" dxfId="211" priority="38">
      <formula>Kategorie1&gt;3</formula>
    </cfRule>
  </conditionalFormatting>
  <conditionalFormatting sqref="F46:F47">
    <cfRule type="expression" dxfId="210" priority="658">
      <formula>$O$97</formula>
    </cfRule>
  </conditionalFormatting>
  <conditionalFormatting sqref="F48:F49">
    <cfRule type="expression" dxfId="209" priority="662">
      <formula>AND($O$89,$O$53=FALSE)</formula>
    </cfRule>
    <cfRule type="expression" dxfId="208" priority="663" stopIfTrue="1">
      <formula>$O$53</formula>
    </cfRule>
  </conditionalFormatting>
  <conditionalFormatting sqref="G18">
    <cfRule type="expression" dxfId="207" priority="44">
      <formula>Zonen&gt;1</formula>
    </cfRule>
  </conditionalFormatting>
  <conditionalFormatting sqref="G21">
    <cfRule type="expression" dxfId="206" priority="28">
      <formula>wohnen2</formula>
    </cfRule>
  </conditionalFormatting>
  <conditionalFormatting sqref="G25">
    <cfRule type="expression" dxfId="205" priority="4">
      <formula>wohnen2</formula>
    </cfRule>
  </conditionalFormatting>
  <conditionalFormatting sqref="G26">
    <cfRule type="expression" dxfId="204" priority="21">
      <formula>AND(Kategorie2 &gt;1, Kategorie2&lt;10)</formula>
    </cfRule>
  </conditionalFormatting>
  <conditionalFormatting sqref="G33:G41">
    <cfRule type="expression" dxfId="203" priority="55">
      <formula>wohnen2</formula>
    </cfRule>
  </conditionalFormatting>
  <conditionalFormatting sqref="G44">
    <cfRule type="expression" dxfId="202" priority="635">
      <formula>$P$85</formula>
    </cfRule>
  </conditionalFormatting>
  <conditionalFormatting sqref="G45">
    <cfRule type="expression" dxfId="201" priority="36">
      <formula>AND(Kategorie2&gt;3,Zonen&gt;1)</formula>
    </cfRule>
  </conditionalFormatting>
  <conditionalFormatting sqref="G46:G47">
    <cfRule type="expression" dxfId="200" priority="659">
      <formula>$P$97</formula>
    </cfRule>
  </conditionalFormatting>
  <conditionalFormatting sqref="G48:G49">
    <cfRule type="expression" dxfId="199" priority="664">
      <formula>AND($P$89,$P$53=FALSE)</formula>
    </cfRule>
    <cfRule type="expression" dxfId="198" priority="665" stopIfTrue="1">
      <formula>$P$53</formula>
    </cfRule>
  </conditionalFormatting>
  <conditionalFormatting sqref="G118">
    <cfRule type="expression" dxfId="197" priority="10">
      <formula>KategorieEFH=FALSE</formula>
    </cfRule>
  </conditionalFormatting>
  <conditionalFormatting sqref="H18">
    <cfRule type="expression" dxfId="196" priority="43">
      <formula>Zonen&gt;2</formula>
    </cfRule>
  </conditionalFormatting>
  <conditionalFormatting sqref="H21">
    <cfRule type="expression" dxfId="195" priority="29">
      <formula>wohnen3</formula>
    </cfRule>
  </conditionalFormatting>
  <conditionalFormatting sqref="H25">
    <cfRule type="expression" dxfId="194" priority="3">
      <formula>wohnen3</formula>
    </cfRule>
  </conditionalFormatting>
  <conditionalFormatting sqref="H26">
    <cfRule type="expression" dxfId="193" priority="20">
      <formula>AND(Kategorie3 &gt;1, Kategorie3&lt;10)</formula>
    </cfRule>
  </conditionalFormatting>
  <conditionalFormatting sqref="H33:H41">
    <cfRule type="expression" dxfId="192" priority="56">
      <formula>wohnen3</formula>
    </cfRule>
  </conditionalFormatting>
  <conditionalFormatting sqref="H44">
    <cfRule type="expression" dxfId="191" priority="636">
      <formula>$Q$85</formula>
    </cfRule>
  </conditionalFormatting>
  <conditionalFormatting sqref="H45">
    <cfRule type="expression" dxfId="190" priority="35">
      <formula>AND(Kategorie3&gt;3,Zonen&gt;2)</formula>
    </cfRule>
  </conditionalFormatting>
  <conditionalFormatting sqref="H46:H47">
    <cfRule type="expression" dxfId="189" priority="660">
      <formula>$Q$97</formula>
    </cfRule>
  </conditionalFormatting>
  <conditionalFormatting sqref="H48:H49">
    <cfRule type="expression" dxfId="188" priority="666">
      <formula>AND($Q$89,$Q$53=FALSE)</formula>
    </cfRule>
    <cfRule type="expression" dxfId="187" priority="667" stopIfTrue="1">
      <formula>$Q$53</formula>
    </cfRule>
  </conditionalFormatting>
  <conditionalFormatting sqref="H118">
    <cfRule type="expression" dxfId="186" priority="9">
      <formula>KategorieEFH=FALSE</formula>
    </cfRule>
  </conditionalFormatting>
  <conditionalFormatting sqref="I18">
    <cfRule type="expression" dxfId="185" priority="42">
      <formula>Zonen&gt;3</formula>
    </cfRule>
  </conditionalFormatting>
  <conditionalFormatting sqref="I21">
    <cfRule type="expression" dxfId="184" priority="27">
      <formula>wohnen4</formula>
    </cfRule>
  </conditionalFormatting>
  <conditionalFormatting sqref="I25">
    <cfRule type="expression" dxfId="183" priority="2">
      <formula>wohnen4</formula>
    </cfRule>
  </conditionalFormatting>
  <conditionalFormatting sqref="I26">
    <cfRule type="expression" dxfId="182" priority="19">
      <formula>AND(Kategorie4 &gt;1, Kategorie4&lt;10)</formula>
    </cfRule>
  </conditionalFormatting>
  <conditionalFormatting sqref="I33:I41">
    <cfRule type="expression" dxfId="181" priority="54">
      <formula>wohnen4</formula>
    </cfRule>
  </conditionalFormatting>
  <conditionalFormatting sqref="I44">
    <cfRule type="expression" dxfId="180" priority="637">
      <formula>$R$85</formula>
    </cfRule>
  </conditionalFormatting>
  <conditionalFormatting sqref="I45">
    <cfRule type="expression" dxfId="179" priority="37">
      <formula>AND(Kategorie4&gt;3,Zonen&gt;3)</formula>
    </cfRule>
  </conditionalFormatting>
  <conditionalFormatting sqref="I46:I47">
    <cfRule type="expression" dxfId="178" priority="661">
      <formula>$R$97</formula>
    </cfRule>
  </conditionalFormatting>
  <conditionalFormatting sqref="I48:I49">
    <cfRule type="expression" dxfId="177" priority="668">
      <formula>AND($R$89,$R$53=FALSE)</formula>
    </cfRule>
    <cfRule type="expression" dxfId="176" priority="669" stopIfTrue="1">
      <formula>$R$53</formula>
    </cfRule>
  </conditionalFormatting>
  <conditionalFormatting sqref="I63">
    <cfRule type="expression" dxfId="175" priority="103" stopIfTrue="1">
      <formula>$B$63&lt;&gt;""</formula>
    </cfRule>
  </conditionalFormatting>
  <conditionalFormatting sqref="I64">
    <cfRule type="expression" dxfId="174" priority="104" stopIfTrue="1">
      <formula>$B$64&lt;&gt;""</formula>
    </cfRule>
  </conditionalFormatting>
  <conditionalFormatting sqref="I65">
    <cfRule type="expression" dxfId="173" priority="323" stopIfTrue="1">
      <formula>$B$65&lt;&gt;""</formula>
    </cfRule>
  </conditionalFormatting>
  <conditionalFormatting sqref="I66">
    <cfRule type="expression" dxfId="172" priority="324" stopIfTrue="1">
      <formula>$B$66&lt;&gt;""</formula>
    </cfRule>
  </conditionalFormatting>
  <conditionalFormatting sqref="I67">
    <cfRule type="expression" dxfId="171" priority="325" stopIfTrue="1">
      <formula>$B$67&lt;&gt;""</formula>
    </cfRule>
  </conditionalFormatting>
  <conditionalFormatting sqref="I68">
    <cfRule type="expression" dxfId="170" priority="326" stopIfTrue="1">
      <formula>OR($B$68&lt;&gt;"",$B$68=0)</formula>
    </cfRule>
  </conditionalFormatting>
  <conditionalFormatting sqref="I69">
    <cfRule type="expression" dxfId="169" priority="86" stopIfTrue="1">
      <formula>$B$69&lt;&gt;""</formula>
    </cfRule>
  </conditionalFormatting>
  <conditionalFormatting sqref="I70">
    <cfRule type="expression" dxfId="168" priority="327" stopIfTrue="1">
      <formula>$B$70&lt;&gt;""</formula>
    </cfRule>
  </conditionalFormatting>
  <conditionalFormatting sqref="I71">
    <cfRule type="expression" dxfId="167" priority="87" stopIfTrue="1">
      <formula>OR($B$71&lt;&gt;"",$B$71=0)</formula>
    </cfRule>
  </conditionalFormatting>
  <conditionalFormatting sqref="I72">
    <cfRule type="expression" dxfId="166" priority="11" stopIfTrue="1">
      <formula>OR($B$72&lt;&gt;"",$B$72=0)</formula>
    </cfRule>
  </conditionalFormatting>
  <conditionalFormatting sqref="I118">
    <cfRule type="expression" dxfId="165" priority="8">
      <formula>$O$110</formula>
    </cfRule>
  </conditionalFormatting>
  <conditionalFormatting sqref="I119 I121">
    <cfRule type="cellIs" dxfId="164" priority="571" stopIfTrue="1" operator="equal">
      <formula>$N$12</formula>
    </cfRule>
    <cfRule type="cellIs" dxfId="163" priority="572" stopIfTrue="1" operator="equal">
      <formula>$N$13</formula>
    </cfRule>
  </conditionalFormatting>
  <conditionalFormatting sqref="I118:K118">
    <cfRule type="expression" dxfId="162" priority="670">
      <formula>OR($O$109=0,$O$109="")</formula>
    </cfRule>
  </conditionalFormatting>
  <conditionalFormatting sqref="J63 J65 K66 J69">
    <cfRule type="cellIs" dxfId="161" priority="573" stopIfTrue="1" operator="equal">
      <formula>$Q$12</formula>
    </cfRule>
    <cfRule type="cellIs" dxfId="160" priority="574" stopIfTrue="1" operator="equal">
      <formula>$R$12</formula>
    </cfRule>
  </conditionalFormatting>
  <conditionalFormatting sqref="J64">
    <cfRule type="expression" dxfId="159" priority="305" stopIfTrue="1">
      <formula>$B$64=""</formula>
    </cfRule>
  </conditionalFormatting>
  <conditionalFormatting sqref="J71:J72">
    <cfRule type="cellIs" dxfId="158" priority="12" stopIfTrue="1" operator="equal">
      <formula>$Q$12</formula>
    </cfRule>
    <cfRule type="cellIs" dxfId="157" priority="13" stopIfTrue="1" operator="equal">
      <formula>$R$12</formula>
    </cfRule>
  </conditionalFormatting>
  <conditionalFormatting sqref="J118">
    <cfRule type="expression" dxfId="156" priority="671">
      <formula>OR($O$109=0,$O$109="")</formula>
    </cfRule>
  </conditionalFormatting>
  <conditionalFormatting sqref="J118:K118">
    <cfRule type="expression" dxfId="155" priority="7">
      <formula>$O$110</formula>
    </cfRule>
  </conditionalFormatting>
  <conditionalFormatting sqref="K25">
    <cfRule type="expression" dxfId="154" priority="1">
      <formula>$M$25=1</formula>
    </cfRule>
  </conditionalFormatting>
  <conditionalFormatting sqref="K64">
    <cfRule type="expression" dxfId="153" priority="100">
      <formula>$B$64=""</formula>
    </cfRule>
  </conditionalFormatting>
  <conditionalFormatting sqref="Z77">
    <cfRule type="expression" dxfId="152" priority="14">
      <formula>$M$25=1</formula>
    </cfRule>
  </conditionalFormatting>
  <dataValidations count="12">
    <dataValidation type="list" allowBlank="1" showInputMessage="1" showErrorMessage="1" sqref="I42">
      <formula1>Kleinanlagen4</formula1>
    </dataValidation>
    <dataValidation type="list" allowBlank="1" showInputMessage="1" showErrorMessage="1" sqref="H42">
      <formula1>Kleinanlagen3</formula1>
    </dataValidation>
    <dataValidation type="list" allowBlank="1" showInputMessage="1" showErrorMessage="1" sqref="G42">
      <formula1>Kleinanlagen2</formula1>
    </dataValidation>
    <dataValidation type="list" allowBlank="1" showInputMessage="1" showErrorMessage="1" sqref="F42">
      <formula1>Kleinanlagen1</formula1>
    </dataValidation>
    <dataValidation type="list" allowBlank="1" showInputMessage="1" showErrorMessage="1" sqref="S34">
      <formula1>#REF!</formula1>
    </dataValidation>
    <dataValidation type="list" allowBlank="1" showInputMessage="1" showErrorMessage="1" sqref="F46:I47 F33:I41 F44:I44 I63:I71">
      <formula1>$N$12:$N$13</formula1>
    </dataValidation>
    <dataValidation type="list" allowBlank="1" showInputMessage="1" showErrorMessage="1" errorTitle="falsche Eingabe" promptTitle="Auswählen" sqref="F19:I20">
      <formula1>$N$12:$N$13</formula1>
    </dataValidation>
    <dataValidation type="list" allowBlank="1" showInputMessage="1" showErrorMessage="1" errorTitle="falsche Eingabe" promptTitle="Auswählen" sqref="F45">
      <formula1>$O$49:$O$50</formula1>
    </dataValidation>
    <dataValidation type="list" allowBlank="1" showInputMessage="1" showErrorMessage="1" errorTitle="falsche Eingabe" promptTitle="Auswählen" sqref="G45">
      <formula1>$P$49:$P$50</formula1>
    </dataValidation>
    <dataValidation type="list" allowBlank="1" showInputMessage="1" showErrorMessage="1" errorTitle="falsche Eingabe" promptTitle="Auswählen" sqref="H45">
      <formula1>$Q$49:$Q$50</formula1>
    </dataValidation>
    <dataValidation type="list" allowBlank="1" showInputMessage="1" showErrorMessage="1" errorTitle="falsche Eingabe" promptTitle="Auswählen" sqref="I45">
      <formula1>$R$49:$R$50</formula1>
    </dataValidation>
    <dataValidation type="list" allowBlank="1" showInputMessage="1" showErrorMessage="1" sqref="I72">
      <formula1>$N$12:$N$14</formula1>
    </dataValidation>
  </dataValidations>
  <pageMargins left="0.39370078740157483" right="0.31496062992125984" top="0.55118110236220474" bottom="0.23622047244094491" header="0.27559055118110237" footer="0.23622047244094491"/>
  <pageSetup paperSize="9" scale="90"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43" id="{4AB495D1-3B8C-4893-98BB-F1B55C16F755}">
            <xm:f>AND(Kategorie1&lt;&gt;13,Standardwerte!$J$103)</xm:f>
            <x14:dxf>
              <fill>
                <patternFill>
                  <bgColor rgb="FFEEFFDD"/>
                </patternFill>
              </fill>
            </x14:dxf>
          </x14:cfRule>
          <xm:sqref>F19:F20</xm:sqref>
        </x14:conditionalFormatting>
        <x14:conditionalFormatting xmlns:xm="http://schemas.microsoft.com/office/excel/2006/main">
          <x14:cfRule type="expression" priority="109" id="{AA2F207F-C805-4C49-962E-3D583A505181}">
            <xm:f>AND(Kategorie2&lt;&gt;13,Zonen&gt;1,Standardwerte!$K$103)</xm:f>
            <x14:dxf>
              <fill>
                <patternFill>
                  <bgColor rgb="FFEEFFDD"/>
                </patternFill>
              </fill>
            </x14:dxf>
          </x14:cfRule>
          <xm:sqref>G19:G20</xm:sqref>
        </x14:conditionalFormatting>
        <x14:conditionalFormatting xmlns:xm="http://schemas.microsoft.com/office/excel/2006/main">
          <x14:cfRule type="expression" priority="58" id="{A5CE31BC-E99B-4F39-BCA1-CA554AC9EFBF}">
            <xm:f>AND(Kategorie3&lt;&gt;13,Zonen&gt;2,Standardwerte!$L$103)</xm:f>
            <x14:dxf>
              <fill>
                <patternFill>
                  <bgColor rgb="FFEEFFDD"/>
                </patternFill>
              </fill>
            </x14:dxf>
          </x14:cfRule>
          <xm:sqref>H19:H20</xm:sqref>
        </x14:conditionalFormatting>
        <x14:conditionalFormatting xmlns:xm="http://schemas.microsoft.com/office/excel/2006/main">
          <x14:cfRule type="expression" priority="123" id="{80F22DC8-08AF-4354-BEC5-959246A33A05}">
            <xm:f>AND(Kategorie4&lt;&gt;13,Zonen&gt;3,Standardwerte!$M$103)</xm:f>
            <x14:dxf>
              <fill>
                <patternFill>
                  <bgColor rgb="FFEEFFDD"/>
                </patternFill>
              </fill>
            </x14:dxf>
          </x14:cfRule>
          <xm:sqref>I19:I20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pageSetUpPr fitToPage="1"/>
  </sheetPr>
  <dimension ref="A1:AP87"/>
  <sheetViews>
    <sheetView showZeros="0" zoomScale="115" zoomScaleNormal="115" workbookViewId="0"/>
  </sheetViews>
  <sheetFormatPr baseColWidth="10" defaultColWidth="11.42578125" defaultRowHeight="12"/>
  <cols>
    <col min="1" max="1" width="4.28515625" style="1517" customWidth="1"/>
    <col min="2" max="2" width="10.7109375" style="96" customWidth="1"/>
    <col min="3" max="3" width="8.7109375" style="96" customWidth="1"/>
    <col min="4" max="4" width="12.7109375" style="96" customWidth="1"/>
    <col min="5" max="6" width="8.7109375" style="96" customWidth="1"/>
    <col min="7" max="7" width="10.7109375" style="96" customWidth="1"/>
    <col min="8" max="10" width="9.7109375" style="96" customWidth="1"/>
    <col min="11" max="11" width="0.85546875" style="96" hidden="1" customWidth="1"/>
    <col min="12" max="12" width="9.85546875" style="96" customWidth="1"/>
    <col min="13" max="13" width="11.42578125" style="1533" customWidth="1"/>
    <col min="14" max="15" width="11.42578125" style="121" hidden="1" customWidth="1"/>
    <col min="16" max="29" width="11.42578125" style="96" hidden="1" customWidth="1"/>
    <col min="30" max="35" width="11.42578125" style="1356" hidden="1" customWidth="1"/>
    <col min="36" max="39" width="11.42578125" style="96" hidden="1" customWidth="1"/>
    <col min="40" max="40" width="11.42578125" style="1356" hidden="1" customWidth="1"/>
    <col min="41" max="41" width="11.42578125" style="96" hidden="1" customWidth="1"/>
    <col min="42" max="42" width="11.42578125" style="96" customWidth="1"/>
    <col min="43" max="16384" width="11.42578125" style="96"/>
  </cols>
  <sheetData>
    <row r="1" spans="1:41" ht="9.9499999999999993" customHeight="1">
      <c r="B1" s="1683" t="str">
        <f>Entrées!B1</f>
        <v>v2.97</v>
      </c>
      <c r="L1" s="779" t="str">
        <f>Entrées!K1</f>
        <v>Formulaire EN101b, v2.97, à utiliser jusqu'au 31 décembre 2026</v>
      </c>
      <c r="O1" s="782"/>
    </row>
    <row r="2" spans="1:41" ht="17.100000000000001" customHeight="1">
      <c r="B2" s="36"/>
      <c r="C2" s="820"/>
      <c r="D2" s="820"/>
      <c r="E2" s="115"/>
      <c r="F2" s="820"/>
      <c r="G2" s="115"/>
      <c r="H2" s="2654" t="str">
        <f>Entrées!G2</f>
        <v>Justificatif énergétique</v>
      </c>
      <c r="I2" s="2655"/>
      <c r="J2" s="2655"/>
      <c r="K2" s="2655"/>
      <c r="L2" s="2656"/>
      <c r="N2" s="780"/>
      <c r="O2" s="783" t="str">
        <f>Uebersetzung!D25</f>
        <v>oui</v>
      </c>
      <c r="P2" s="781" t="s">
        <v>782</v>
      </c>
      <c r="Q2" s="716" t="b">
        <f>IF(Entrées!E14=Standardwerte!AJ55,TRUE,FALSE)</f>
        <v>1</v>
      </c>
      <c r="S2" s="717" t="s">
        <v>785</v>
      </c>
      <c r="T2" s="736">
        <f>IF(AND(Neubau1=2,G43&gt;0),_EBF1,0)+IF(AND(Neubau2=2,H43&gt;0),_EBF2,0)+IF(AND(Neubau3=2,I43&gt;0),_EBF3,0)+IF(AND(Neubau4=2,J43&gt;0),_EBF4,0)</f>
        <v>0</v>
      </c>
      <c r="U2" s="5" t="s">
        <v>321</v>
      </c>
      <c r="V2" s="717" t="s">
        <v>787</v>
      </c>
      <c r="W2" s="752">
        <f>IF(OR(bern,MUKEN),L34,Entrées!K89/3.6)</f>
        <v>0</v>
      </c>
      <c r="X2" s="5" t="s">
        <v>524</v>
      </c>
      <c r="Y2" s="717" t="s">
        <v>788</v>
      </c>
      <c r="Z2" s="752">
        <f>qw</f>
        <v>0</v>
      </c>
      <c r="AA2" s="5" t="s">
        <v>524</v>
      </c>
      <c r="AB2" s="751" t="s">
        <v>800</v>
      </c>
      <c r="AC2" s="716" t="b">
        <f>IF(OR(AND(G43&gt;0,OR(Kategorie1=7,Kategorie1=12,Kategorie1=13)),AND(H43&gt;0,OR(Kategorie2=7,Kategorie2=12,Kategorie2=13)),AND(I43&gt;0,OR(Kategorie3=7,Kategorie3=12,Kategorie3=13)),AND(J43&gt;0,OR(Kategorie4=7,Kategorie4=12,Kategorie4=13))),TRUE,FALSE)</f>
        <v>0</v>
      </c>
      <c r="AE2" s="2337" t="s">
        <v>4723</v>
      </c>
      <c r="AF2" s="736" t="b">
        <v>1</v>
      </c>
      <c r="AK2" s="2785" t="s">
        <v>2181</v>
      </c>
      <c r="AL2" s="2786"/>
      <c r="AN2" s="1111" t="s">
        <v>2489</v>
      </c>
    </row>
    <row r="3" spans="1:41" ht="17.100000000000001" customHeight="1">
      <c r="B3" s="1087">
        <f>IF(MUKEN,1,0)</f>
        <v>1</v>
      </c>
      <c r="C3" s="143">
        <f>IF(OR(MUKEN,bern),0,1)</f>
        <v>0</v>
      </c>
      <c r="D3" s="42"/>
      <c r="E3" s="2455">
        <f>IF(bern,1,0)</f>
        <v>0</v>
      </c>
      <c r="F3" s="2814" t="str">
        <f>Entrées!E3</f>
        <v>EN-101b</v>
      </c>
      <c r="G3" s="2658"/>
      <c r="H3" s="2659" t="str">
        <f>Entrées!G3</f>
        <v>Besoin d'énergie</v>
      </c>
      <c r="I3" s="2660"/>
      <c r="J3" s="2660"/>
      <c r="K3" s="2660"/>
      <c r="L3" s="2661"/>
      <c r="N3" s="705" t="s">
        <v>775</v>
      </c>
      <c r="O3" s="784" t="str">
        <f>Uebersetzung!D26</f>
        <v>non</v>
      </c>
      <c r="AB3" s="751" t="s">
        <v>5159</v>
      </c>
      <c r="AC3" s="2533" t="b">
        <f>IF(bern,IF(OR(AND(Neubau1=2,OR(Kategorie1=2,Kategorie1=3,Kategorie1=5,Kategorie1=7,Kategorie1=9,Kategorie1=12,Kategorie1=13)),AND(Neubau2=2,OR(Kategorie2=2,Kategorie2=3,Kategorie2=5,Kategorie2=7,Kategorie2=9,Kategorie2=12,Kategorie2=13)),AND(Neubau3=2,OR(Kategorie3=2,Kategorie3=3,Kategorie3=5,Kategorie3=7,Kategorie3=9,Kategorie3=12,Kategorie3=13)),AND(Neubau4=2,OR(Kategorie4=2,Kategorie4=3,Kategorie4=5,Kategorie4=7,Kategorie4=9,Kategorie4=12,Kategorie4=13))),TRUE,FALSE),FALSE)</f>
        <v>0</v>
      </c>
      <c r="AK3" s="962" t="s">
        <v>2180</v>
      </c>
      <c r="AL3" s="1348" t="s">
        <v>2184</v>
      </c>
      <c r="AN3" s="962" t="s">
        <v>2481</v>
      </c>
    </row>
    <row r="4" spans="1:41" ht="17.100000000000001" customHeight="1">
      <c r="B4" s="94"/>
      <c r="C4" s="60"/>
      <c r="D4" s="60"/>
      <c r="E4" s="116"/>
      <c r="F4" s="60"/>
      <c r="G4" s="116"/>
      <c r="H4" s="2662" t="str">
        <f>Entrées!G4</f>
        <v>Preuve calculée</v>
      </c>
      <c r="I4" s="2663"/>
      <c r="J4" s="2663"/>
      <c r="K4" s="2663"/>
      <c r="L4" s="2664"/>
      <c r="N4" s="725"/>
      <c r="O4" s="569" t="s">
        <v>725</v>
      </c>
      <c r="P4" s="690" t="s">
        <v>726</v>
      </c>
      <c r="Q4" s="569" t="s">
        <v>725</v>
      </c>
      <c r="R4" s="730"/>
      <c r="S4" s="567"/>
      <c r="T4" s="568"/>
      <c r="U4" s="730"/>
      <c r="V4" s="2864" t="s">
        <v>316</v>
      </c>
      <c r="W4" s="2865"/>
      <c r="X4" s="2829" t="s">
        <v>727</v>
      </c>
      <c r="Y4" s="2830"/>
      <c r="Z4" s="2830"/>
      <c r="AA4" s="2831"/>
      <c r="AB4" s="690" t="s">
        <v>728</v>
      </c>
      <c r="AC4" s="566"/>
      <c r="AD4" s="1802"/>
      <c r="AE4" s="1801" t="s">
        <v>38</v>
      </c>
      <c r="AF4" s="2864" t="s">
        <v>38</v>
      </c>
      <c r="AG4" s="2865"/>
      <c r="AK4" s="1361"/>
      <c r="AL4" s="1362"/>
      <c r="AN4" s="1374"/>
    </row>
    <row r="5" spans="1:41" ht="15.95" customHeight="1">
      <c r="B5" s="25"/>
      <c r="C5" s="25"/>
      <c r="D5" s="25"/>
      <c r="E5" s="25"/>
      <c r="F5" s="25"/>
      <c r="G5" s="25"/>
      <c r="H5" s="27"/>
      <c r="I5" s="27"/>
      <c r="J5" s="95"/>
      <c r="L5" s="121"/>
      <c r="N5" s="723"/>
      <c r="O5" s="727"/>
      <c r="P5" s="728" t="s">
        <v>730</v>
      </c>
      <c r="Q5" s="729"/>
      <c r="R5" s="100"/>
      <c r="S5" s="732"/>
      <c r="T5" s="724"/>
      <c r="U5" s="100"/>
      <c r="V5" s="729"/>
      <c r="W5" s="100"/>
      <c r="X5" s="732"/>
      <c r="Y5" s="100"/>
      <c r="Z5" s="100"/>
      <c r="AA5" s="724"/>
      <c r="AB5" s="100"/>
      <c r="AC5" s="729"/>
      <c r="AD5" s="1795"/>
      <c r="AE5" s="570" t="s">
        <v>2940</v>
      </c>
      <c r="AF5" s="2866" t="s">
        <v>3585</v>
      </c>
      <c r="AG5" s="2867"/>
      <c r="AK5" s="1361"/>
      <c r="AL5" s="1362"/>
      <c r="AM5" s="1368" t="s">
        <v>2485</v>
      </c>
      <c r="AN5" s="1404">
        <f>L34</f>
        <v>0</v>
      </c>
      <c r="AO5" s="5" t="s">
        <v>524</v>
      </c>
    </row>
    <row r="6" spans="1:41" s="563" customFormat="1" ht="20.100000000000001" customHeight="1">
      <c r="A6" s="1526"/>
      <c r="B6" s="598" t="str">
        <f>Uebersetzung!D256</f>
        <v>Production de chaleur:</v>
      </c>
      <c r="C6" s="674"/>
      <c r="D6" s="674"/>
      <c r="E6" s="663"/>
      <c r="F6" s="663"/>
      <c r="G6" s="664"/>
      <c r="H6" s="2822" t="str">
        <f>Uebersetzung!D257</f>
        <v>Rendement / COPa</v>
      </c>
      <c r="I6" s="2823"/>
      <c r="J6" s="2819" t="str">
        <f>Uebersetzung!D258</f>
        <v>Taux de couverture [%]</v>
      </c>
      <c r="K6" s="2820"/>
      <c r="L6" s="2821"/>
      <c r="M6" s="1531"/>
      <c r="N6" s="691" t="s">
        <v>729</v>
      </c>
      <c r="O6" s="570" t="s">
        <v>730</v>
      </c>
      <c r="P6" s="728" t="s">
        <v>1206</v>
      </c>
      <c r="Q6" s="570" t="s">
        <v>731</v>
      </c>
      <c r="R6" s="719" t="s">
        <v>236</v>
      </c>
      <c r="S6" s="2832" t="s">
        <v>732</v>
      </c>
      <c r="T6" s="2833"/>
      <c r="U6" s="728" t="s">
        <v>733</v>
      </c>
      <c r="V6" s="570" t="s">
        <v>734</v>
      </c>
      <c r="W6" s="728" t="s">
        <v>735</v>
      </c>
      <c r="X6" s="2832" t="s">
        <v>736</v>
      </c>
      <c r="Y6" s="2833"/>
      <c r="Z6" s="570" t="s">
        <v>737</v>
      </c>
      <c r="AA6" s="692" t="s">
        <v>737</v>
      </c>
      <c r="AB6" s="728" t="s">
        <v>738</v>
      </c>
      <c r="AC6" s="570" t="s">
        <v>99</v>
      </c>
      <c r="AD6" s="1793" t="s">
        <v>2202</v>
      </c>
      <c r="AE6" s="570" t="s">
        <v>3586</v>
      </c>
      <c r="AF6" s="570" t="s">
        <v>3586</v>
      </c>
      <c r="AG6" s="570" t="s">
        <v>3586</v>
      </c>
      <c r="AH6" s="1356"/>
      <c r="AK6" s="1363"/>
      <c r="AL6" s="1364"/>
      <c r="AM6" s="1369" t="s">
        <v>2486</v>
      </c>
      <c r="AN6" s="584">
        <f>qw</f>
        <v>0</v>
      </c>
      <c r="AO6" s="5" t="s">
        <v>524</v>
      </c>
    </row>
    <row r="7" spans="1:41" s="563" customFormat="1" ht="18" customHeight="1">
      <c r="A7" s="1526" t="s">
        <v>408</v>
      </c>
      <c r="B7" s="2826" t="str">
        <f>Uebersetzung!D259</f>
        <v>Production de chaleur A</v>
      </c>
      <c r="C7" s="2827"/>
      <c r="D7" s="2827"/>
      <c r="E7" s="2827"/>
      <c r="F7" s="2827"/>
      <c r="G7" s="2828"/>
      <c r="H7" s="699" t="str">
        <f>Uebersetzung!D263</f>
        <v>Entrée</v>
      </c>
      <c r="I7" s="700" t="str">
        <f>Uebersetzung!D264</f>
        <v>Valeur calculée</v>
      </c>
      <c r="J7" s="701" t="str">
        <f>Uebersetzung!D265</f>
        <v>Chauffage</v>
      </c>
      <c r="K7" s="702"/>
      <c r="L7" s="703" t="str">
        <f>Uebersetzung!D266</f>
        <v>Eau chaude</v>
      </c>
      <c r="M7" s="1531"/>
      <c r="N7" s="574" t="s">
        <v>524</v>
      </c>
      <c r="O7" s="576" t="s">
        <v>524</v>
      </c>
      <c r="P7" s="726" t="s">
        <v>524</v>
      </c>
      <c r="Q7" s="576" t="s">
        <v>524</v>
      </c>
      <c r="R7" s="731"/>
      <c r="S7" s="574" t="s">
        <v>741</v>
      </c>
      <c r="T7" s="575" t="s">
        <v>742</v>
      </c>
      <c r="U7" s="726"/>
      <c r="V7" s="576" t="s">
        <v>743</v>
      </c>
      <c r="W7" s="726" t="s">
        <v>743</v>
      </c>
      <c r="X7" s="574" t="s">
        <v>525</v>
      </c>
      <c r="Y7" s="575" t="s">
        <v>526</v>
      </c>
      <c r="Z7" s="576" t="s">
        <v>525</v>
      </c>
      <c r="AA7" s="575" t="s">
        <v>526</v>
      </c>
      <c r="AB7" s="726" t="s">
        <v>744</v>
      </c>
      <c r="AC7" s="576"/>
      <c r="AD7" s="574" t="s">
        <v>2203</v>
      </c>
      <c r="AE7" s="576" t="s">
        <v>525</v>
      </c>
      <c r="AF7" s="576" t="s">
        <v>525</v>
      </c>
      <c r="AG7" s="575" t="s">
        <v>526</v>
      </c>
      <c r="AH7" s="1356"/>
      <c r="AK7" s="1363"/>
      <c r="AL7" s="1364"/>
      <c r="AM7" s="1405" t="s">
        <v>2487</v>
      </c>
      <c r="AN7" s="584">
        <f>AN5+AN6</f>
        <v>0</v>
      </c>
      <c r="AO7" s="5" t="s">
        <v>524</v>
      </c>
    </row>
    <row r="8" spans="1:41" s="563" customFormat="1" ht="18" customHeight="1">
      <c r="A8" s="1540" t="s">
        <v>409</v>
      </c>
      <c r="B8" s="2789" t="s">
        <v>557</v>
      </c>
      <c r="C8" s="2790"/>
      <c r="D8" s="2790"/>
      <c r="E8" s="2790"/>
      <c r="F8" s="2790"/>
      <c r="G8" s="2791"/>
      <c r="H8" s="647"/>
      <c r="I8" s="648">
        <f>IF(H8&lt;&gt;"",IF(H8&gt;W8,W8,H8),V8)</f>
        <v>0</v>
      </c>
      <c r="J8" s="649"/>
      <c r="K8" s="790"/>
      <c r="L8" s="789"/>
      <c r="M8" s="1531">
        <f>IF(B8="",1,VLOOKUP(B8,Standardwerte!$T$108:$AK$155,18,FALSE))</f>
        <v>1</v>
      </c>
      <c r="N8" s="1589">
        <f>S8*qh*IF(J8="",0,MIN(J8,IF(J9&lt;&gt;"",J9,J8))*S8)/100+T8*qw*IF(L8="",0,MIN(L8,IF(L9&lt;&gt;"",L9,L8))*T8)/100</f>
        <v>0</v>
      </c>
      <c r="O8" s="577">
        <f>IF(I8=0,0,N8/I8)</f>
        <v>0</v>
      </c>
      <c r="P8" s="577">
        <f>IF(R8=2,0,O8*R8)</f>
        <v>0</v>
      </c>
      <c r="Q8" s="578">
        <f>IF(AC8,-G9*G10/EBF,IF(U8,-N8/I8*G9,IF(R8=2,N8/I8,0)))</f>
        <v>0</v>
      </c>
      <c r="R8" s="569">
        <f>INDEX(Standardwerte!$Z$108:$Z$155,M8,1)</f>
        <v>0</v>
      </c>
      <c r="S8" s="565">
        <f>INDEX(Standardwerte!$AB$108:$AB$155,M8,1)</f>
        <v>0</v>
      </c>
      <c r="T8" s="573">
        <f>INDEX(Standardwerte!$AA$108:$AA$155,M8,1)</f>
        <v>0</v>
      </c>
      <c r="U8" s="573" t="b">
        <f>INDEX(Standardwerte!$AF$108:$AF$155,M8,1)</f>
        <v>0</v>
      </c>
      <c r="V8" s="1792">
        <f>IF(U8,AB9,INDEX(Standardwerte!$X$108:$X$155,M8,1)-IF(OR(M8=36,M8=35),MAX((F10-30)/3,0),0))</f>
        <v>0</v>
      </c>
      <c r="W8" s="578">
        <f>IF(U8,AB9,INDEX(Standardwerte!$Y$108:$Y$155,M8,1)-IF(OR(M8=36,M8=35),MAX((F10-30)/3,0),0))</f>
        <v>0</v>
      </c>
      <c r="X8" s="2834">
        <f>IF(G9&gt;0,IF(Hoehe&lt;800,(440/((1/G9)+610/(EBF*(qw+qh)))/G9),(490/((1/G9)+610/(EBF*(qw+qh)))/G9)),)</f>
        <v>0</v>
      </c>
      <c r="Y8" s="2835"/>
      <c r="Z8" s="577">
        <f>IF(G9&gt;0,IF(qw&gt;0,IF(Hoehe&lt;800,(640/((1/G9)+380/(EBF*qw))/G9),(700/((1/G9)+380/(EBF*qw))/G9)),),)</f>
        <v>0</v>
      </c>
      <c r="AA8" s="573"/>
      <c r="AB8" s="569">
        <f>IF(U8,IF(G9&gt;0.5,1,0),0)</f>
        <v>0</v>
      </c>
      <c r="AC8" s="573" t="b">
        <f>INDEX(Standardwerte!$AG$108:$AG$155,M8,1)</f>
        <v>0</v>
      </c>
      <c r="AD8" s="1798" t="b">
        <f>(Q8&lt;0)</f>
        <v>0</v>
      </c>
      <c r="AE8" s="1799" t="s">
        <v>3583</v>
      </c>
      <c r="AF8" s="1799" t="s">
        <v>3583</v>
      </c>
      <c r="AG8" s="1799" t="s">
        <v>3583</v>
      </c>
      <c r="AH8" s="1356"/>
      <c r="AJ8" s="1369" t="s">
        <v>2188</v>
      </c>
      <c r="AK8" s="1363">
        <f>INDEX(Standardwerte!$AP$108:$AP$155,M8,1)</f>
        <v>0</v>
      </c>
      <c r="AL8" s="1364">
        <f>IF(AND(THG_Scope1,AK9),0,IF(WirkungsgradA&gt;0,AK8*WaermebedarfA/WirkungsgradA,0))</f>
        <v>0</v>
      </c>
      <c r="AM8" s="1369" t="s">
        <v>2188</v>
      </c>
      <c r="AN8" s="1407">
        <f>IF(AND(M8=15,G9&lt;0.35),1,1-INDEX(Standardwerte!$AS$108:$AS$155,Justificatif!M8,1))</f>
        <v>1</v>
      </c>
    </row>
    <row r="9" spans="1:41" s="563" customFormat="1" ht="14.1" customHeight="1">
      <c r="A9" s="1540" t="s">
        <v>410</v>
      </c>
      <c r="B9" s="2795" t="str">
        <f>IF(INDEX(Standardwerte!$AD$108:$AD$155,M8,1)=0,"",INDEX(Standardwerte!$AD$108:$AD$155,M8,1))</f>
        <v/>
      </c>
      <c r="C9" s="2796"/>
      <c r="D9" s="2796"/>
      <c r="E9" s="2796"/>
      <c r="F9" s="1796">
        <f>IF(M8=35,IF(G9="",0,MIN(G9,5)),0)</f>
        <v>0</v>
      </c>
      <c r="G9" s="792"/>
      <c r="H9" s="2803" t="str">
        <f>IF(AB8=1,"Deckungs-grad Soll-wert &lt; 0.5","")</f>
        <v/>
      </c>
      <c r="I9" s="650"/>
      <c r="J9" s="695">
        <f>IF(M8=36,MAX(AG11,0),IF(EBF&gt;0,IF(M8=33,Y11,IF(M8=31,AA11,"")),0))</f>
        <v>0</v>
      </c>
      <c r="K9" s="696"/>
      <c r="L9" s="697" t="str">
        <f>IF(M8=36,MAX(AF11,0),IF(M8=35,MAX(AE11,0),IF(M8=32,Z11,IF(M8=33,X11,""))))</f>
        <v/>
      </c>
      <c r="M9" s="1537" t="str">
        <f>IF(INDEX(Standardwerte!$AD$108:$AD$155,M8,1)=0,"",INDEX(Standardwerte!$AL$108:$AL$155,M8,1))</f>
        <v/>
      </c>
      <c r="N9" s="570"/>
      <c r="O9" s="570"/>
      <c r="P9" s="570"/>
      <c r="Q9" s="571"/>
      <c r="R9" s="572"/>
      <c r="S9" s="580"/>
      <c r="T9" s="579"/>
      <c r="U9" s="579"/>
      <c r="V9" s="579"/>
      <c r="W9" s="581"/>
      <c r="X9" s="582">
        <f>IF(G10&lt;&gt;0,G10,X8)</f>
        <v>0</v>
      </c>
      <c r="Y9" s="583">
        <f>IF(Hoehe&lt;800,(440-X8)/610*100,(490-X8)/610*100)</f>
        <v>72.131147540983605</v>
      </c>
      <c r="Z9" s="584">
        <f>IF(G10&lt;&gt;0,G10,Z8)</f>
        <v>0</v>
      </c>
      <c r="AA9" s="571">
        <f>IF(G10&gt;0,G10,0)</f>
        <v>0</v>
      </c>
      <c r="AB9" s="585">
        <f>IF(H8="",IF(M8=15,Standardwerte!$X$122-G9,Standardwerte!$X$123-G9),AB10)</f>
        <v>0.7</v>
      </c>
      <c r="AC9" s="579"/>
      <c r="AD9" s="1793"/>
      <c r="AE9" s="1800" t="str">
        <f>IF(M8=35,F9*Entrées!$K$42,"")</f>
        <v/>
      </c>
      <c r="AF9" s="570" t="str">
        <f>IF(M8=36,G9,"")</f>
        <v/>
      </c>
      <c r="AG9" s="1804" t="str">
        <f>IF(M8=36,AF9-qw*EBF*L9/100,"")</f>
        <v/>
      </c>
      <c r="AH9" s="1356"/>
      <c r="AJ9" s="2342" t="s">
        <v>4722</v>
      </c>
      <c r="AK9" s="1363">
        <f>INDEX(Standardwerte!$AV$108:$AV$155,M8,1)</f>
        <v>0</v>
      </c>
      <c r="AL9" s="1364"/>
      <c r="AM9" s="1369" t="s">
        <v>2483</v>
      </c>
      <c r="AN9" s="1406">
        <f>J8/100</f>
        <v>0</v>
      </c>
    </row>
    <row r="10" spans="1:41" s="563" customFormat="1" ht="14.1" customHeight="1">
      <c r="A10" s="1526" t="s">
        <v>411</v>
      </c>
      <c r="B10" s="2797" t="str">
        <f>IF(INDEX(Standardwerte!$AD$108:$AE$155,M8,2)=0,"",INDEX(Standardwerte!$AD$108:$AE$155,M8,2))</f>
        <v/>
      </c>
      <c r="C10" s="2798"/>
      <c r="D10" s="2798"/>
      <c r="E10" s="2798"/>
      <c r="F10" s="1797" t="str">
        <f>IF(OR(M8=35,M8=36),IF(G10="",32,MIN(G10,45)),IF(M8=33,IF(G10&gt;0,G10,X8),IF(M8=32,IF(G10&gt;0,G10,Z8),"")))</f>
        <v/>
      </c>
      <c r="G10" s="791"/>
      <c r="H10" s="2804"/>
      <c r="I10" s="650"/>
      <c r="J10" s="2815" t="str">
        <f>IF(AND(J9&gt;0,J9&lt;&gt;""),IF(J8&gt;J9+0.1,"Deckungsgrad zu hoch",""),"")</f>
        <v/>
      </c>
      <c r="K10" s="698"/>
      <c r="L10" s="2824" t="str">
        <f>IF(AND(L9&gt;0,L9&lt;&gt;""),IF(L8&gt;L9+0.1,Uebersetzung!D109,""),IF(AND(M8=35,Entrées!K42&lt;0.01),Uebersetzung!D568,""))</f>
        <v/>
      </c>
      <c r="M10" s="1531"/>
      <c r="N10" s="570"/>
      <c r="O10" s="570"/>
      <c r="P10" s="570"/>
      <c r="Q10" s="571"/>
      <c r="R10" s="572"/>
      <c r="S10" s="580"/>
      <c r="T10" s="579"/>
      <c r="U10" s="579"/>
      <c r="V10" s="579"/>
      <c r="W10" s="581"/>
      <c r="X10" s="582">
        <f>IF(qw&gt;0,IF(EBF&gt;0,IF((qh+qw)=0,,IF(AND(G9&gt;0,G10&gt;0),MIN(100/qw*X9*G9/EBF,100),IF(G9&gt;0,MIN(70,Y9*(qw+qh)/qw),))),),0)</f>
        <v>0</v>
      </c>
      <c r="Y10" s="583">
        <f>IF(EBF&gt;0,IF(AND(G9&gt;0,X9&gt;0),MIN(100/qh*(X9*G9/EBF-X11/100*qw),100),IF(X10&lt;70,0,IF(AND(G9&gt;0,G10&gt;0),G9*X9/EBF,((qw+qh)*Y9/100-qw*0.7)/qh))*100),)</f>
        <v>0</v>
      </c>
      <c r="Z10" s="584">
        <f>IF(EBF&gt;0,IF(G9&gt;0,IF(qw&gt;0,IF(G10&lt;&gt;0,MIN(100/qw*Z9*G9/EBF,80),MIN(IF(Hoehe&lt;800,((640-Z8)/380*100),((700-Z8)/380*100)),80)),0),)*T8,)</f>
        <v>0</v>
      </c>
      <c r="AA10" s="583">
        <f>IF(qh&gt;0,IF((100/qh*AA9*G9/EBF)&gt;100,100,(100/qh*AA9*G9/EBF)),0)*S8</f>
        <v>0</v>
      </c>
      <c r="AB10" s="585">
        <f>IF(M8=15,Standardwerte!$Y$122-G9,Standardwerte!$Y$123-G9)</f>
        <v>0.9</v>
      </c>
      <c r="AC10" s="579"/>
      <c r="AD10" s="1793"/>
      <c r="AE10" s="1803">
        <f>IF(AND(qw&gt;0,EBF&gt;0,AE9&lt;&gt;""),AE9/qw/EBF,0)</f>
        <v>0</v>
      </c>
      <c r="AF10" s="1803">
        <f>IF(AND(qw&gt;0,EBF&gt;0,AF9&lt;&gt;""),AF9/qw/EBF,0)</f>
        <v>0</v>
      </c>
      <c r="AG10" s="1807">
        <f>IF(AND(qh&gt;0,EBF&gt;0,AF9&lt;&gt;""),MIN(AG9/qh/EBF/2,1),0)</f>
        <v>0</v>
      </c>
      <c r="AH10" s="728"/>
      <c r="AK10" s="1363"/>
      <c r="AL10" s="1364"/>
      <c r="AM10" s="1369" t="s">
        <v>2484</v>
      </c>
      <c r="AN10" s="1406">
        <f>L8/100</f>
        <v>0</v>
      </c>
    </row>
    <row r="11" spans="1:41" s="563" customFormat="1" ht="15.95" customHeight="1">
      <c r="A11" s="1526" t="s">
        <v>412</v>
      </c>
      <c r="B11" s="2817" t="str">
        <f>Uebersetzung!D260</f>
        <v>Production de chaleur B</v>
      </c>
      <c r="C11" s="2818"/>
      <c r="D11" s="2818"/>
      <c r="E11" s="2818"/>
      <c r="F11" s="646"/>
      <c r="G11" s="646"/>
      <c r="H11" s="2805"/>
      <c r="I11" s="646"/>
      <c r="J11" s="2816"/>
      <c r="K11" s="698"/>
      <c r="L11" s="2825"/>
      <c r="M11" s="1531"/>
      <c r="N11" s="576"/>
      <c r="O11" s="576"/>
      <c r="P11" s="576"/>
      <c r="Q11" s="575" t="s">
        <v>746</v>
      </c>
      <c r="R11" s="588"/>
      <c r="S11" s="586"/>
      <c r="T11" s="587"/>
      <c r="U11" s="587"/>
      <c r="V11" s="587"/>
      <c r="W11" s="589"/>
      <c r="X11" s="590">
        <f>IF(G9&gt;0,IF(L8&lt;&gt;0,MIN(X10,L8),IF(AND(G10&lt;&gt;0,L8&lt;&gt;0),L8,X10)),)*T8</f>
        <v>0</v>
      </c>
      <c r="Y11" s="591">
        <f>IF(J8&lt;&gt;0,MIN(Y10,J8),IF(AND(G10&lt;&gt;0,J8&lt;&gt;0),J8,Y10))*S8</f>
        <v>0</v>
      </c>
      <c r="Z11" s="592">
        <f>IF(G9&gt;0,IF(L8&lt;&gt;0,MIN(L8,Z10),IF(AND(G10&lt;&gt;0,L8&lt;&gt;0),L8,Z10)),)*T8</f>
        <v>0</v>
      </c>
      <c r="AA11" s="591">
        <f>IF(J8&lt;&gt;0,MIN(AA10,J8),AA10)*S8</f>
        <v>0</v>
      </c>
      <c r="AB11" s="588"/>
      <c r="AC11" s="587"/>
      <c r="AD11" s="1793"/>
      <c r="AE11" s="592">
        <f>IF($M8=35,MIN($L8,MIN(AE10,($F10-10)/50/3)*100),0)</f>
        <v>0</v>
      </c>
      <c r="AF11" s="592">
        <f>IF($M8=36,MIN($L8,MIN(AF10,($F10-10)/50)*100),0)</f>
        <v>0</v>
      </c>
      <c r="AG11" s="591">
        <f>IF($M8=36,MIN($J8,MIN(AG10,(($F10-30)/15))*100),0)</f>
        <v>0</v>
      </c>
      <c r="AH11" s="728"/>
      <c r="AK11" s="1363"/>
      <c r="AL11" s="1364"/>
      <c r="AN11" s="576"/>
    </row>
    <row r="12" spans="1:41" s="563" customFormat="1" ht="18" customHeight="1">
      <c r="A12" s="1540" t="s">
        <v>413</v>
      </c>
      <c r="B12" s="2789" t="s">
        <v>557</v>
      </c>
      <c r="C12" s="2790"/>
      <c r="D12" s="2790"/>
      <c r="E12" s="2790"/>
      <c r="F12" s="2790"/>
      <c r="G12" s="2791"/>
      <c r="H12" s="647"/>
      <c r="I12" s="648">
        <f>IF(H12&lt;&gt;"",IF(H12&gt;W12,W12,H12),V12)</f>
        <v>0</v>
      </c>
      <c r="J12" s="649"/>
      <c r="K12" s="787"/>
      <c r="L12" s="789">
        <v>20</v>
      </c>
      <c r="M12" s="1531">
        <f>IF(B12="",1,VLOOKUP(B12,Standardwerte!$T$108:$AK$155,18,FALSE))</f>
        <v>1</v>
      </c>
      <c r="N12" s="1589">
        <f>S12*qh*IF(J12="",0,MIN(J12,IF(J13&lt;&gt;"",J13,J12))*S12)/100+T12*qw*IF(L12="",0,MIN(L12,IF(L13&lt;&gt;"",L13,L12))*T12)/100</f>
        <v>0</v>
      </c>
      <c r="O12" s="577">
        <f>IF(I12=0,0,N12/I12)</f>
        <v>0</v>
      </c>
      <c r="P12" s="577">
        <f>IF(R12=2,0,O12*R12)</f>
        <v>0</v>
      </c>
      <c r="Q12" s="578">
        <f>IF(AC12,-G13*G14/EBF,IF(U12,-N12/I12*G13,IF(R12=2,N12/I12,0)))</f>
        <v>0</v>
      </c>
      <c r="R12" s="569">
        <f>INDEX(Standardwerte!$Z$108:$Z$155,M12,1)</f>
        <v>0</v>
      </c>
      <c r="S12" s="565">
        <f>INDEX(Standardwerte!$AB$108:$AB$155,M12,1)</f>
        <v>0</v>
      </c>
      <c r="T12" s="573">
        <f>INDEX(Standardwerte!$AA$108:$AA$155,M12,1)</f>
        <v>0</v>
      </c>
      <c r="U12" s="672" t="b">
        <f>INDEX(Standardwerte!$AF$108:$AF$155,M12,1)</f>
        <v>0</v>
      </c>
      <c r="V12" s="1792">
        <f>IF(U12,AB13,INDEX(Standardwerte!$X$108:$X$155,M12,1)-IF(OR(M12=36,M12=35),MAX((F14-30)/3,0),0))</f>
        <v>0</v>
      </c>
      <c r="W12" s="578">
        <f>IF(U12,AB13,INDEX(Standardwerte!$Y$108:$Y$155,M12,1)-IF(OR(M12=36,M12=35),MAX((F14-30)/3,0),0))</f>
        <v>0</v>
      </c>
      <c r="X12" s="2834">
        <f>IF(G13&gt;0,IF(Hoehe&lt;800,(440/((1/G13)+610/(EBF*(qw+qh)))/G13),(490/((1/G13)+610/(EBF*(qw+qh)))/G13)),)</f>
        <v>0</v>
      </c>
      <c r="Y12" s="2835"/>
      <c r="Z12" s="584">
        <f>IF(G13&gt;0,IF(qw&gt;0,IF(Hoehe&lt;800,(640/((1/G13)+380/(EBF*qw))/G13),(700/((1/G13)+380/(EBF*qw))/G13)),),)</f>
        <v>0</v>
      </c>
      <c r="AA12" s="571"/>
      <c r="AB12" s="569">
        <f>IF(U12,IF(G13&gt;0.5,1,0),0)</f>
        <v>0</v>
      </c>
      <c r="AC12" s="573" t="b">
        <f>INDEX(Standardwerte!$AG$108:$AG$155,M12,1)</f>
        <v>0</v>
      </c>
      <c r="AD12" s="1798" t="b">
        <f>(Q12&lt;0)</f>
        <v>0</v>
      </c>
      <c r="AE12" s="1799" t="s">
        <v>3583</v>
      </c>
      <c r="AF12" s="1799" t="s">
        <v>3583</v>
      </c>
      <c r="AG12" s="1799" t="s">
        <v>3583</v>
      </c>
      <c r="AH12" s="728"/>
      <c r="AJ12" s="1369" t="s">
        <v>2189</v>
      </c>
      <c r="AK12" s="1363">
        <f>INDEX(Standardwerte!$AP$108:$AP$155,M12,1)</f>
        <v>0</v>
      </c>
      <c r="AL12" s="1364">
        <f>IF(AND(THG_Scope1,AK13),0,IF(WirkungsgradB&gt;0,AK12*WaermebedarfB/WirkungsgradB,0))</f>
        <v>0</v>
      </c>
      <c r="AM12" s="1369" t="s">
        <v>2189</v>
      </c>
      <c r="AN12" s="1406">
        <f>IF(AND(M12=15,G13&lt;0.35),1,1-INDEX(Standardwerte!$AS$108:$AS$155,Justificatif!M12,1))</f>
        <v>1</v>
      </c>
    </row>
    <row r="13" spans="1:41" s="563" customFormat="1" ht="14.1" customHeight="1">
      <c r="A13" s="1526" t="s">
        <v>414</v>
      </c>
      <c r="B13" s="2795" t="str">
        <f>IF(INDEX(Standardwerte!$AD$108:$AD$155,M12,1)=0,"",INDEX(Standardwerte!$AD$108:$AD$155,M12,1))</f>
        <v/>
      </c>
      <c r="C13" s="2796"/>
      <c r="D13" s="2796"/>
      <c r="E13" s="2796"/>
      <c r="F13" s="1796">
        <f>IF(M12=35,IF(G13="",0,MIN(G13,5)),0)</f>
        <v>0</v>
      </c>
      <c r="G13" s="792"/>
      <c r="H13" s="2803" t="str">
        <f>IF(AB12=1,"Deckungs-grad Soll-wert &lt; 0.5","")</f>
        <v/>
      </c>
      <c r="I13" s="650"/>
      <c r="J13" s="695">
        <f>IF(M12=36,MAX(AG15,0),IF(EBF&gt;0,IF(M12=33,Y15,IF(M12=31,AA15,"")),0))</f>
        <v>0</v>
      </c>
      <c r="K13" s="696"/>
      <c r="L13" s="697" t="str">
        <f>IF(M12=36,MAX(AF15,0),IF(M12=35,MAX(AE15,0),IF(M12=32,Z15,IF(M12=33,X15,""))))</f>
        <v/>
      </c>
      <c r="M13" s="1537" t="str">
        <f>IF(INDEX(Standardwerte!$AD$108:$AD$155,M12,1)=0,"",INDEX(Standardwerte!$AL$108:$AL$155,M12,1))</f>
        <v/>
      </c>
      <c r="N13" s="570"/>
      <c r="O13" s="570"/>
      <c r="P13" s="570"/>
      <c r="Q13" s="571"/>
      <c r="R13" s="572"/>
      <c r="S13" s="580"/>
      <c r="T13" s="579"/>
      <c r="U13" s="579"/>
      <c r="V13" s="579"/>
      <c r="W13" s="581"/>
      <c r="X13" s="582">
        <f>IF(G14&lt;&gt;0,G14,X12)</f>
        <v>0</v>
      </c>
      <c r="Y13" s="583">
        <f>IF(Hoehe&lt;800,(440-X12)/610*100,(490-X12)/610*100)</f>
        <v>72.131147540983605</v>
      </c>
      <c r="Z13" s="584">
        <f>IF(G14&lt;&gt;0,G14,Z12)</f>
        <v>0</v>
      </c>
      <c r="AA13" s="571">
        <f>IF(G14&gt;0,G14,0)</f>
        <v>0</v>
      </c>
      <c r="AB13" s="585">
        <f>IF(H12="",IF(M12=15,Standardwerte!$X$122-G13,Standardwerte!$X$123-G13),AB14)</f>
        <v>0.7</v>
      </c>
      <c r="AC13" s="579"/>
      <c r="AD13" s="1793"/>
      <c r="AE13" s="1800" t="str">
        <f>IF(M12=35,F13*Entrées!$K$42,"")</f>
        <v/>
      </c>
      <c r="AF13" s="570" t="str">
        <f>IF(M12=36,G13,"")</f>
        <v/>
      </c>
      <c r="AG13" s="1804" t="str">
        <f>IF(M12=36,AF13-qw*EBF*L13/100,"")</f>
        <v/>
      </c>
      <c r="AH13" s="728"/>
      <c r="AJ13" s="2342" t="s">
        <v>4722</v>
      </c>
      <c r="AK13" s="1363">
        <f>INDEX(Standardwerte!$AV$108:$AV$155,M12,1)</f>
        <v>0</v>
      </c>
      <c r="AL13" s="1364"/>
      <c r="AM13" s="1369" t="s">
        <v>2483</v>
      </c>
      <c r="AN13" s="1406">
        <f>J12/100</f>
        <v>0</v>
      </c>
    </row>
    <row r="14" spans="1:41" s="563" customFormat="1" ht="14.1" customHeight="1">
      <c r="A14" s="1540" t="s">
        <v>415</v>
      </c>
      <c r="B14" s="2797" t="str">
        <f>IF(INDEX(Standardwerte!$AD$108:$AE$155,M12,2)=0,"",INDEX(Standardwerte!$AD$108:$AE$155,M12,2))</f>
        <v/>
      </c>
      <c r="C14" s="2798"/>
      <c r="D14" s="2798"/>
      <c r="E14" s="2798"/>
      <c r="F14" s="1797" t="str">
        <f>IF(OR(M12=35,M12=36),IF(G14="",32,MIN(G14,45)),IF(M12=33,IF(G14&gt;0,G14,X12),IF(M12=32,IF(G14&gt;0,G14,Z12),"")))</f>
        <v/>
      </c>
      <c r="G14" s="791"/>
      <c r="H14" s="2804"/>
      <c r="I14" s="650"/>
      <c r="J14" s="2815" t="str">
        <f>IF(AND(J13&gt;0,J13&lt;&gt;""),IF(J12&gt;J13+0.1,"Deckungsgrad zu hoch",""),"")</f>
        <v/>
      </c>
      <c r="K14" s="698"/>
      <c r="L14" s="2824" t="str">
        <f>IF(AND(L13&gt;0,L13&lt;&gt;""),IF(L12&gt;L13+0.1,Uebersetzung!D109,""),IF(AND(M12=35,Entrées!K42&lt;0.01),Uebersetzung!D568,""))</f>
        <v/>
      </c>
      <c r="M14" s="1531"/>
      <c r="N14" s="570"/>
      <c r="O14" s="570"/>
      <c r="P14" s="570"/>
      <c r="Q14" s="571"/>
      <c r="R14" s="572"/>
      <c r="S14" s="580"/>
      <c r="T14" s="579"/>
      <c r="U14" s="579"/>
      <c r="V14" s="579"/>
      <c r="W14" s="581"/>
      <c r="X14" s="582">
        <f>IF(qw&gt;0,IF(EBF&gt;0,IF((qh+qw)=0,,IF(AND(G13&gt;0,G14&gt;0),MIN(100/qw*X13*G13/EBF,100),IF(G13&gt;0,MIN(70,Y13*(qw+qh)/qw),))),),0)</f>
        <v>0</v>
      </c>
      <c r="Y14" s="583">
        <f>IF(EBF&gt;0,IF(AND(G13&gt;0,X13&gt;0),MIN(100/qh*(X13*G13/EBF-X15/100*qw),100),IF(X14&lt;70,0,IF(AND(G13&gt;0,G14&gt;0),G13*X13/EBF,((qw+qh)*Y13/100-qw*0.7)/qh))*100),)</f>
        <v>0</v>
      </c>
      <c r="Z14" s="584">
        <f>IF(EBF&gt;0,IF(G13&gt;0,IF(qw&gt;0,IF(G14&lt;&gt;0,MIN(100/qw*Z13*G13/EBF,80),MIN(IF(Hoehe&lt;800,((640-Z12)/380*100),((700-Z12)/380*100)),80)),0),)*T12,)</f>
        <v>0</v>
      </c>
      <c r="AA14" s="583">
        <f>IF(qh&gt;0,IF((100/qh*AA13*G13/EBF)&gt;100,100,(100/qh*AA13*G13/EBF)),0)*S12</f>
        <v>0</v>
      </c>
      <c r="AB14" s="585">
        <f>IF(M12=15,Standardwerte!$Y$122-G13,Standardwerte!$Y$123-G13)</f>
        <v>0.9</v>
      </c>
      <c r="AC14" s="579"/>
      <c r="AD14" s="1793"/>
      <c r="AE14" s="1803">
        <f>IF(AND(qw&gt;0,EBF&gt;0,AE13&lt;&gt;""),AE13/qw/EBF,0)</f>
        <v>0</v>
      </c>
      <c r="AF14" s="1803">
        <f>IF(AND(qw&gt;0,EBF&gt;0,AF13&lt;&gt;""),AF13/qw/EBF,0)</f>
        <v>0</v>
      </c>
      <c r="AG14" s="1807">
        <f>IF(AND(qh&gt;0,EBF&gt;0,AF13&lt;&gt;""),MIN(AG13/qh/EBF/2,1),0)</f>
        <v>0</v>
      </c>
      <c r="AH14" s="728"/>
      <c r="AK14" s="1363"/>
      <c r="AL14" s="1364"/>
      <c r="AM14" s="1369" t="s">
        <v>2484</v>
      </c>
      <c r="AN14" s="1406">
        <f>L12/100</f>
        <v>0.2</v>
      </c>
    </row>
    <row r="15" spans="1:41" s="563" customFormat="1" ht="15.95" customHeight="1">
      <c r="A15" s="1526" t="s">
        <v>416</v>
      </c>
      <c r="B15" s="665" t="str">
        <f>Uebersetzung!D261</f>
        <v>Production de chaleur C</v>
      </c>
      <c r="C15" s="670"/>
      <c r="D15" s="670"/>
      <c r="E15" s="646"/>
      <c r="F15" s="646"/>
      <c r="G15" s="646"/>
      <c r="H15" s="2805"/>
      <c r="I15" s="646"/>
      <c r="J15" s="2816"/>
      <c r="K15" s="698"/>
      <c r="L15" s="2825"/>
      <c r="M15" s="1531"/>
      <c r="N15" s="570"/>
      <c r="O15" s="570"/>
      <c r="P15" s="570"/>
      <c r="Q15" s="571"/>
      <c r="R15" s="572"/>
      <c r="S15" s="580"/>
      <c r="T15" s="579"/>
      <c r="U15" s="579"/>
      <c r="V15" s="579"/>
      <c r="W15" s="581"/>
      <c r="X15" s="582">
        <f>IF(G13&gt;0,IF(L12&lt;&gt;0,MIN(X14,L12),IF(AND(G14&lt;&gt;0,L12&lt;&gt;0),L12,X14)),)*T12</f>
        <v>0</v>
      </c>
      <c r="Y15" s="583">
        <f>IF(J12&lt;&gt;0,MIN(Y14,J12),IF(AND(G14&lt;&gt;0,J12&lt;&gt;0),J12,Y14))*S12</f>
        <v>0</v>
      </c>
      <c r="Z15" s="584">
        <f>IF(G13&gt;0,IF(L12&lt;&gt;0,MIN(L12,Z14),IF(AND(G14&lt;&gt;0,L12&lt;&gt;0),L12,Z14)),)*T12</f>
        <v>0</v>
      </c>
      <c r="AA15" s="583">
        <f>IF(J12&lt;&gt;0,MIN(AA14,J12),AA14)*S12</f>
        <v>0</v>
      </c>
      <c r="AB15" s="588"/>
      <c r="AC15" s="579"/>
      <c r="AD15" s="1793"/>
      <c r="AE15" s="592">
        <f>IF($M12=35,MIN($L12,MIN(AE14,($F14-10)/50/3)*100),0)</f>
        <v>0</v>
      </c>
      <c r="AF15" s="592">
        <f>IF($M12=36,MIN($L12,MIN(AF14,($F14-10)/50)*100),0)</f>
        <v>0</v>
      </c>
      <c r="AG15" s="591">
        <f>IF($M12=36,MIN($J12,MIN(AG14,(($F14-30)/15))*100),0)</f>
        <v>0</v>
      </c>
      <c r="AH15" s="728"/>
      <c r="AK15" s="1363"/>
      <c r="AL15" s="1364"/>
      <c r="AN15" s="576"/>
    </row>
    <row r="16" spans="1:41" s="563" customFormat="1" ht="18" customHeight="1">
      <c r="A16" s="1540" t="s">
        <v>417</v>
      </c>
      <c r="B16" s="2789" t="s">
        <v>557</v>
      </c>
      <c r="C16" s="2790"/>
      <c r="D16" s="2790"/>
      <c r="E16" s="2790"/>
      <c r="F16" s="2790"/>
      <c r="G16" s="2791"/>
      <c r="H16" s="647"/>
      <c r="I16" s="648">
        <f>IF(H16&lt;&gt;"",IF(H16&gt;W16,W16,H16),V16)</f>
        <v>0</v>
      </c>
      <c r="J16" s="649"/>
      <c r="K16" s="787"/>
      <c r="L16" s="789">
        <v>80</v>
      </c>
      <c r="M16" s="1531">
        <f>IF(B16="",1,VLOOKUP(B16,Standardwerte!$T$108:$AK$155,18,FALSE))</f>
        <v>1</v>
      </c>
      <c r="N16" s="1589">
        <f>S16*qh*IF(J16="",0,MIN(J16,IF(J17&lt;&gt;"",J17,J16))*S16)/100+T16*qw*IF(L16="",0,MIN(L16,IF(L17&lt;&gt;"",L17,L16))*T16)/100</f>
        <v>0</v>
      </c>
      <c r="O16" s="577">
        <f>IF(I16=0,0,N16/I16)</f>
        <v>0</v>
      </c>
      <c r="P16" s="577">
        <f>IF(R16=2,0,O16*R16)</f>
        <v>0</v>
      </c>
      <c r="Q16" s="578">
        <f>IF(AC16,-G17*G18/EBF,IF(U16,-N16/I16*G17,IF(R16=2,N16/I16,0)))</f>
        <v>0</v>
      </c>
      <c r="R16" s="569">
        <f>INDEX(Standardwerte!$Z$108:$Z$155,M16,1)</f>
        <v>0</v>
      </c>
      <c r="S16" s="565">
        <f>INDEX(Standardwerte!$AB$108:$AB$155,M16,1)</f>
        <v>0</v>
      </c>
      <c r="T16" s="573">
        <f>INDEX(Standardwerte!$AA$108:$AA$155,M16,1)</f>
        <v>0</v>
      </c>
      <c r="U16" s="672" t="b">
        <f>INDEX(Standardwerte!$AF$108:$AF$155,M16,1)</f>
        <v>0</v>
      </c>
      <c r="V16" s="1792">
        <f>IF(U16,AB17,INDEX(Standardwerte!$X$108:$X$155,M16,1)-IF(OR(M16=36,M16=35),MAX((F18-30)/3,0),0))</f>
        <v>0</v>
      </c>
      <c r="W16" s="578">
        <f>IF(U16,AB17,INDEX(Standardwerte!$Y$108:$Y$155,M16,1)-IF(OR(M16=36,M16=35),MAX((F18-30)/3,0),0))</f>
        <v>0</v>
      </c>
      <c r="X16" s="2834">
        <f>IF(G17&gt;0,IF(Hoehe&lt;800,(440/((1/G17)+610/(EBF*(qw+qh)))/G17),(490/((1/G17)+610/(EBF*(qw+qh)))/G17)),)</f>
        <v>0</v>
      </c>
      <c r="Y16" s="2835"/>
      <c r="Z16" s="577">
        <f>IF(G17&gt;0,IF(qw&gt;0,IF(Hoehe&lt;800,(640/((1/G17)+380/(EBF*qw))/G17),(700/((1/G17)+380/(EBF*qw))/G17)),),)</f>
        <v>0</v>
      </c>
      <c r="AA16" s="573"/>
      <c r="AB16" s="569">
        <f>IF(U16,IF(G17&gt;0.5,1,0),0)</f>
        <v>0</v>
      </c>
      <c r="AC16" s="1359" t="b">
        <f>INDEX(Standardwerte!$AG$108:$AG$155,M16,1)</f>
        <v>0</v>
      </c>
      <c r="AD16" s="1798" t="b">
        <f>(Q16&lt;0)</f>
        <v>0</v>
      </c>
      <c r="AE16" s="1799" t="s">
        <v>3583</v>
      </c>
      <c r="AF16" s="1799" t="s">
        <v>3583</v>
      </c>
      <c r="AG16" s="1799" t="s">
        <v>3583</v>
      </c>
      <c r="AH16" s="728"/>
      <c r="AJ16" s="1369" t="s">
        <v>2190</v>
      </c>
      <c r="AK16" s="1363">
        <f>INDEX(Standardwerte!$AP$108:$AP$155,M16,1)</f>
        <v>0</v>
      </c>
      <c r="AL16" s="1364">
        <f>IF(AND(THG_Scope1,AK17),0,IF(WirkungsgradC&gt;0,AK16*WaermebedarfC/WirkungsgradC,0))</f>
        <v>0</v>
      </c>
      <c r="AM16" s="1369" t="s">
        <v>2190</v>
      </c>
      <c r="AN16" s="1407">
        <f>IF(AND(M16=15,G17&lt;0.35),1,1-INDEX(Standardwerte!$AS$108:$AS$155,Justificatif!M16,1))</f>
        <v>1</v>
      </c>
    </row>
    <row r="17" spans="1:40" s="563" customFormat="1" ht="14.1" customHeight="1">
      <c r="A17" s="1526" t="s">
        <v>418</v>
      </c>
      <c r="B17" s="2795" t="str">
        <f>IF(INDEX(Standardwerte!$AD$108:$AD$155,M16,1)=0,"",INDEX(Standardwerte!$AD$108:$AD$155,M16,1))</f>
        <v/>
      </c>
      <c r="C17" s="2796"/>
      <c r="D17" s="2796"/>
      <c r="E17" s="2796"/>
      <c r="F17" s="1796">
        <f>IF(M16=35,IF(G17="",0,MIN(G17,5)),0)</f>
        <v>0</v>
      </c>
      <c r="G17" s="1806"/>
      <c r="H17" s="2803" t="str">
        <f>IF(AB16=1,"Deckungs-grad Soll-wert &lt; 0.5","")</f>
        <v/>
      </c>
      <c r="I17" s="650"/>
      <c r="J17" s="695">
        <f>IF(M16=36,MAX(AG19,0),IF(EBF&gt;0,IF(M16=33,Y19,IF(M16=31,AA19,"")),0))</f>
        <v>0</v>
      </c>
      <c r="K17" s="696"/>
      <c r="L17" s="697" t="str">
        <f>IF(M16=36,MAX(AF19,0),IF(M16=35,MAX(AE19,0),IF(M16=32,Z19,IF(M16=33,X19,""))))</f>
        <v/>
      </c>
      <c r="M17" s="1537" t="str">
        <f>IF(INDEX(Standardwerte!$AD$108:$AD$155,M16,1)=0,"",INDEX(Standardwerte!$AL$108:$AL$155,M16,1))</f>
        <v/>
      </c>
      <c r="N17" s="570"/>
      <c r="O17" s="570"/>
      <c r="P17" s="570"/>
      <c r="Q17" s="571"/>
      <c r="R17" s="572"/>
      <c r="S17" s="580"/>
      <c r="T17" s="579"/>
      <c r="U17" s="579"/>
      <c r="V17" s="579"/>
      <c r="W17" s="581"/>
      <c r="X17" s="582">
        <f>IF(G18&lt;&gt;0,G18,X16)</f>
        <v>0</v>
      </c>
      <c r="Y17" s="583">
        <f>IF(Hoehe&lt;800,(440-X16)/610*100,(490-X16)/610*100)</f>
        <v>72.131147540983605</v>
      </c>
      <c r="Z17" s="584">
        <f>IF(G18&lt;&gt;0,G18,Z16)</f>
        <v>0</v>
      </c>
      <c r="AA17" s="571">
        <f>IF(G18&gt;0,G18,0)</f>
        <v>0</v>
      </c>
      <c r="AB17" s="585">
        <f>IF(H16="",IF(M16=15,Standardwerte!$X$122-G17,Standardwerte!$X$123-G17),AB18)</f>
        <v>0.7</v>
      </c>
      <c r="AC17" s="719"/>
      <c r="AD17" s="1793"/>
      <c r="AE17" s="1800" t="str">
        <f>IF(M16=35,F17*Entrées!$K$42,"")</f>
        <v/>
      </c>
      <c r="AF17" s="570" t="str">
        <f>IF(M16=36,G17,"")</f>
        <v/>
      </c>
      <c r="AG17" s="1804" t="str">
        <f>IF(M16=36,AF17-qw*EBF*L17/100,"")</f>
        <v/>
      </c>
      <c r="AH17" s="728"/>
      <c r="AJ17" s="2342" t="s">
        <v>4722</v>
      </c>
      <c r="AK17" s="1363">
        <f>INDEX(Standardwerte!$AV$108:$AV$155,M16,1)</f>
        <v>0</v>
      </c>
      <c r="AL17" s="1364"/>
      <c r="AM17" s="1369" t="s">
        <v>2483</v>
      </c>
      <c r="AN17" s="1406">
        <f>J16/100</f>
        <v>0</v>
      </c>
    </row>
    <row r="18" spans="1:40" s="563" customFormat="1" ht="14.1" customHeight="1">
      <c r="A18" s="1540" t="s">
        <v>419</v>
      </c>
      <c r="B18" s="2797" t="str">
        <f>IF(INDEX(Standardwerte!$AD$108:$AE$155,M16,2)=0,"",INDEX(Standardwerte!$AD$108:$AE$155,M16,2))</f>
        <v/>
      </c>
      <c r="C18" s="2798"/>
      <c r="D18" s="2798"/>
      <c r="E18" s="2798"/>
      <c r="F18" s="1797" t="str">
        <f>IF(OR(M16=35,M16=36),IF(G18="",32,MIN(G18,45)),IF(M16=33,IF(G18&gt;0,G18,X16),IF(M16=32,IF(G18&gt;0,G18,Z16),"")))</f>
        <v/>
      </c>
      <c r="G18" s="791"/>
      <c r="H18" s="2804"/>
      <c r="I18" s="650"/>
      <c r="J18" s="2815" t="str">
        <f>IF(AND(J17&gt;0,J17&lt;&gt;""),IF(J16&gt;J17+0.1,"Deckungsgrad zu hoch",""),"")</f>
        <v/>
      </c>
      <c r="K18" s="698"/>
      <c r="L18" s="2824" t="str">
        <f>IF(AND(L17&gt;0,L17&lt;&gt;""),IF(L16&gt;L17+0.1,Uebersetzung!D109,""),IF(AND(M16=35,Entrées!K42&lt;0.01),Uebersetzung!D568,""))</f>
        <v/>
      </c>
      <c r="M18" s="1531"/>
      <c r="N18" s="570"/>
      <c r="O18" s="570"/>
      <c r="P18" s="570"/>
      <c r="Q18" s="571"/>
      <c r="R18" s="572"/>
      <c r="S18" s="580"/>
      <c r="T18" s="579"/>
      <c r="U18" s="579"/>
      <c r="V18" s="579"/>
      <c r="W18" s="581"/>
      <c r="X18" s="582">
        <f>IF(qw&gt;0,IF(EBF&gt;0,IF((qh+qw)=0,,IF(AND(G17&gt;0,G18&gt;0),MIN(100/qw*X17*G17/EBF,100),IF(G17&gt;0,MIN(70,Y17*(qw+qh)/qw),))),),0)</f>
        <v>0</v>
      </c>
      <c r="Y18" s="583">
        <f>IF(EBF&gt;0,IF(AND(G17&gt;0,X17&gt;0),MIN(100/qh*(X17*G17/EBF-X19/100*qw),100),IF(X18&lt;70,0,IF(AND(G17&gt;0,G18&gt;0),G17*X17/EBF,((qw+qh)*Y17/100-qw*0.7)/qh))*100),)</f>
        <v>0</v>
      </c>
      <c r="Z18" s="584">
        <f>IF(EBF&gt;0,IF(G17&gt;0,IF(qw&gt;0,IF(G18&lt;&gt;0,MIN(100/qw*Z17*G17/EBF,80),MIN(IF(Hoehe&lt;800,((640-Z16)/380*100),((700-Z16)/380*100)),80)),0),)*T16,)</f>
        <v>0</v>
      </c>
      <c r="AA18" s="583">
        <f>IF(qh&gt;0,IF((100/qh*AA17*G17/EBF)&gt;100,100,(100/qh*AA17*G17/EBF)),0)*S16</f>
        <v>0</v>
      </c>
      <c r="AB18" s="585">
        <f>IF(M16=15,Standardwerte!$Y$122-G17,Standardwerte!$Y$123-G17)</f>
        <v>0.9</v>
      </c>
      <c r="AC18" s="719"/>
      <c r="AD18" s="1793"/>
      <c r="AE18" s="1803">
        <f>IF(AND(qw&gt;0,EBF&gt;0,AE17&lt;&gt;""),AE17/qw/EBF,0)</f>
        <v>0</v>
      </c>
      <c r="AF18" s="1803">
        <f>IF(AND(qw&gt;0,EBF&gt;0,AF17&lt;&gt;""),AF17/qw/EBF,0)</f>
        <v>0</v>
      </c>
      <c r="AG18" s="1807">
        <f>IF(AND(qh&gt;0,EBF&gt;0,AF17&lt;&gt;""),MIN(AG17/qh/EBF/2,1),0)</f>
        <v>0</v>
      </c>
      <c r="AH18" s="728"/>
      <c r="AK18" s="1363"/>
      <c r="AL18" s="1364"/>
      <c r="AM18" s="1369" t="s">
        <v>2484</v>
      </c>
      <c r="AN18" s="1406">
        <f>L16/100</f>
        <v>0.8</v>
      </c>
    </row>
    <row r="19" spans="1:40" s="563" customFormat="1" ht="15.95" customHeight="1">
      <c r="A19" s="1526" t="s">
        <v>420</v>
      </c>
      <c r="B19" s="665" t="str">
        <f>Uebersetzung!D262</f>
        <v>Production de chaleur D</v>
      </c>
      <c r="C19" s="670"/>
      <c r="D19" s="670"/>
      <c r="E19" s="646"/>
      <c r="F19" s="646"/>
      <c r="G19" s="646"/>
      <c r="H19" s="2805"/>
      <c r="I19" s="646"/>
      <c r="J19" s="2816"/>
      <c r="K19" s="698"/>
      <c r="L19" s="2825"/>
      <c r="M19" s="1531"/>
      <c r="N19" s="576"/>
      <c r="O19" s="576"/>
      <c r="P19" s="576"/>
      <c r="Q19" s="575"/>
      <c r="R19" s="588"/>
      <c r="S19" s="586"/>
      <c r="T19" s="587"/>
      <c r="U19" s="587"/>
      <c r="V19" s="587"/>
      <c r="W19" s="589"/>
      <c r="X19" s="590">
        <f>IF(G17&gt;0,IF(L16&lt;&gt;0,MIN(X18,L16),IF(AND(G18&lt;&gt;0,L16&lt;&gt;0),L16,X18)),)*T16</f>
        <v>0</v>
      </c>
      <c r="Y19" s="591">
        <f>IF(J16&lt;&gt;0,MIN(Y18,J16),IF(AND(G18&lt;&gt;0,J16&lt;&gt;0),J16,Y18))*S16</f>
        <v>0</v>
      </c>
      <c r="Z19" s="592">
        <f>IF(G17&gt;0,IF(L16&lt;&gt;0,MIN(L16,Z18),IF(AND(G18&lt;&gt;0,L16&lt;&gt;0),L16,Z18)),)*T16</f>
        <v>0</v>
      </c>
      <c r="AA19" s="591">
        <f>IF(J16&lt;&gt;0,MIN(AA18,J16),AA18)*S16</f>
        <v>0</v>
      </c>
      <c r="AB19" s="588"/>
      <c r="AC19" s="731"/>
      <c r="AD19" s="574"/>
      <c r="AE19" s="592">
        <f>IF($M16=35,MIN($L16,MIN(AE18,($F18-10)/50/3)*100),0)</f>
        <v>0</v>
      </c>
      <c r="AF19" s="592">
        <f>IF($M16=36,MIN($L16,MIN(AF18,($F18-10)/50)*100),0)</f>
        <v>0</v>
      </c>
      <c r="AG19" s="591">
        <f>IF($M16=36,MIN($J16,MIN(AG18,(($F18-30)/15))*100),0)</f>
        <v>0</v>
      </c>
      <c r="AH19" s="728"/>
      <c r="AK19" s="1363"/>
      <c r="AL19" s="1364"/>
      <c r="AN19" s="576"/>
    </row>
    <row r="20" spans="1:40" s="563" customFormat="1" ht="18" customHeight="1">
      <c r="A20" s="1540" t="s">
        <v>421</v>
      </c>
      <c r="B20" s="2789"/>
      <c r="C20" s="2790"/>
      <c r="D20" s="2790"/>
      <c r="E20" s="2790"/>
      <c r="F20" s="2790"/>
      <c r="G20" s="2791"/>
      <c r="H20" s="647"/>
      <c r="I20" s="648">
        <f>IF(H20&lt;&gt;"",IF(H20&gt;W20,W20,H20),V20)</f>
        <v>0</v>
      </c>
      <c r="J20" s="649"/>
      <c r="K20" s="787"/>
      <c r="L20" s="789"/>
      <c r="M20" s="1531">
        <f>IF(B20="",1,VLOOKUP(B20,Standardwerte!$T$108:$AK$155,18,FALSE))</f>
        <v>1</v>
      </c>
      <c r="N20" s="1589">
        <f>S20*qh*IF(J20="",0,MIN(J20,IF(J21&lt;&gt;"",J21,J20))*S20)/100+T20*qw*IF(L20="",0,MIN(L20,IF(L21&lt;&gt;"",L21,L20))*T20)/100</f>
        <v>0</v>
      </c>
      <c r="O20" s="577">
        <f>IF(I20=0,0,N20/I20)</f>
        <v>0</v>
      </c>
      <c r="P20" s="577">
        <f>IF(R20=2,0,O20*R20)</f>
        <v>0</v>
      </c>
      <c r="Q20" s="578">
        <f>IF(AC20,-G21*G22/EBF,IF(U20,-N20/I20*G21,IF(R20=2,N20/I20,0)))</f>
        <v>0</v>
      </c>
      <c r="R20" s="569">
        <f>INDEX(Standardwerte!$Z$108:$Z$155,M20,1)</f>
        <v>0</v>
      </c>
      <c r="S20" s="565">
        <f>INDEX(Standardwerte!$AB$108:$AB$155,M20,1)</f>
        <v>0</v>
      </c>
      <c r="T20" s="573">
        <f>INDEX(Standardwerte!$AA$108:$AA$155,M20,1)</f>
        <v>0</v>
      </c>
      <c r="U20" s="672" t="b">
        <f>INDEX(Standardwerte!$AF$108:$AF$155,M20,1)</f>
        <v>0</v>
      </c>
      <c r="V20" s="1792">
        <f>IF(U20,AB21,INDEX(Standardwerte!$X$108:$X$155,M20,1)-IF(OR(M20=36,M20=35),MAX((F22-30)/3,0),0))</f>
        <v>0</v>
      </c>
      <c r="W20" s="578">
        <f>IF(U20,AB21,INDEX(Standardwerte!$Y$108:$Y$155,M20,1)-IF(OR(M20=36,M20=35),MAX((F22-30)/3,0),0))</f>
        <v>0</v>
      </c>
      <c r="X20" s="2834">
        <f>IF(G21&gt;0,IF(Hoehe&lt;800,(440/((1/G21)+610/(EBF*(qw+qh)))/G21),(490/((1/G21)+610/(EBF*(qw+qh)))/G21)),)</f>
        <v>0</v>
      </c>
      <c r="Y20" s="2835"/>
      <c r="Z20" s="584">
        <f>IF(G21&gt;0,IF(qw&gt;0,IF(Hoehe&lt;800,(640/((1/G21)+380/(EBF*qw))/G21),(700/((1/G21)+380/(EBF*qw))/G21)),),)</f>
        <v>0</v>
      </c>
      <c r="AA20" s="571"/>
      <c r="AB20" s="569">
        <f>IF(U20,IF(G21&gt;0.5,1,0),0)</f>
        <v>0</v>
      </c>
      <c r="AC20" s="573" t="b">
        <f>INDEX(Standardwerte!$AG$108:$AG$155,M20,1)</f>
        <v>0</v>
      </c>
      <c r="AD20" s="1793" t="b">
        <f>(Q20&lt;0)</f>
        <v>0</v>
      </c>
      <c r="AE20" s="1799" t="s">
        <v>3583</v>
      </c>
      <c r="AF20" s="1799" t="s">
        <v>3583</v>
      </c>
      <c r="AG20" s="1799" t="s">
        <v>3583</v>
      </c>
      <c r="AH20" s="728"/>
      <c r="AJ20" s="1369" t="s">
        <v>2191</v>
      </c>
      <c r="AK20" s="1363">
        <f>INDEX(Standardwerte!$AP$108:$AP$155,M20,1)</f>
        <v>0</v>
      </c>
      <c r="AL20" s="1363">
        <f>IF(AND(THG_Scope1,AK21),0,IF(WirkungsgradD&gt;0,AK20*WaermebedarfD/WirkungsgradD,0))</f>
        <v>0</v>
      </c>
      <c r="AM20" s="1369" t="s">
        <v>2191</v>
      </c>
      <c r="AN20" s="1406">
        <f>IF(AND(M20=15,G21&lt;0.35),1,1-INDEX(Standardwerte!$AS$108:$AS$155,Justificatif!M20,1))</f>
        <v>1</v>
      </c>
    </row>
    <row r="21" spans="1:40" s="563" customFormat="1" ht="14.1" customHeight="1">
      <c r="A21" s="1526" t="s">
        <v>422</v>
      </c>
      <c r="B21" s="2795" t="str">
        <f>IF(INDEX(Standardwerte!$AD$108:$AD$155,M20,1)=0,"",INDEX(Standardwerte!$AD$108:$AD$155,M20,1))</f>
        <v/>
      </c>
      <c r="C21" s="2796"/>
      <c r="D21" s="2796"/>
      <c r="E21" s="2796"/>
      <c r="F21" s="1796">
        <f>IF(M20=35,IF(G21="",0,MIN(G21,5)),0)</f>
        <v>0</v>
      </c>
      <c r="G21" s="792"/>
      <c r="H21" s="2803" t="str">
        <f>IF(AB20=1,"Deckungs-grad Soll-wert &lt; 0.5","")</f>
        <v/>
      </c>
      <c r="I21" s="652"/>
      <c r="J21" s="695">
        <f>IF(M20=36,MAX(AG23,0),IF(EBF&gt;0,IF(M20=33,Y23,IF(M20=31,AA23,"")),0))</f>
        <v>0</v>
      </c>
      <c r="K21" s="696"/>
      <c r="L21" s="697" t="str">
        <f>IF(M20=36,MAX(AF23,0),IF(M20=35,MAX(AE23,0),IF(M20=32,Z23,IF(M20=33,X23,""))))</f>
        <v/>
      </c>
      <c r="M21" s="1537" t="str">
        <f>IF(INDEX(Standardwerte!$AD$108:$AD$155,M20,1)=0,"",INDEX(Standardwerte!$AL$108:$AL$155,M20,1))</f>
        <v/>
      </c>
      <c r="N21" s="570"/>
      <c r="O21" s="570"/>
      <c r="P21" s="570"/>
      <c r="Q21" s="571"/>
      <c r="R21" s="572"/>
      <c r="S21" s="580"/>
      <c r="T21" s="579"/>
      <c r="U21" s="579"/>
      <c r="V21" s="579"/>
      <c r="W21" s="579"/>
      <c r="X21" s="582">
        <f>IF(G22&lt;&gt;0,G22,X20)</f>
        <v>0</v>
      </c>
      <c r="Y21" s="583">
        <f>IF(Hoehe&lt;800,(440-X20)/610*100,(490-X20)/610*100)</f>
        <v>72.131147540983605</v>
      </c>
      <c r="Z21" s="584">
        <f>IF(G22&lt;&gt;0,G22,Z20)</f>
        <v>0</v>
      </c>
      <c r="AA21" s="571">
        <f>IF(G22&gt;0,G22,0)</f>
        <v>0</v>
      </c>
      <c r="AB21" s="585">
        <f>IF(H20="",IF(M20=15,Standardwerte!$X$122-G21,Standardwerte!$X$123-G21),AB22)</f>
        <v>0.7</v>
      </c>
      <c r="AC21" s="579"/>
      <c r="AD21" s="1793"/>
      <c r="AE21" s="1800" t="str">
        <f>IF(M20=35,F21*Entrées!$K$42,"")</f>
        <v/>
      </c>
      <c r="AF21" s="570" t="str">
        <f>IF(M20=36,G21,"")</f>
        <v/>
      </c>
      <c r="AG21" s="1804" t="str">
        <f>IF(M20=36,AF21-qw*EBF*L21/100,"")</f>
        <v/>
      </c>
      <c r="AH21" s="728"/>
      <c r="AJ21" s="2342" t="s">
        <v>4722</v>
      </c>
      <c r="AK21" s="1363">
        <f>INDEX(Standardwerte!$AV$108:$AV$155,M20,1)</f>
        <v>0</v>
      </c>
      <c r="AL21" s="1364"/>
      <c r="AM21" s="1369" t="s">
        <v>2483</v>
      </c>
      <c r="AN21" s="1406">
        <f>J20/100</f>
        <v>0</v>
      </c>
    </row>
    <row r="22" spans="1:40" s="563" customFormat="1" ht="14.1" customHeight="1">
      <c r="A22" s="1540" t="s">
        <v>423</v>
      </c>
      <c r="B22" s="2797" t="str">
        <f>IF(INDEX(Standardwerte!$AD$108:$AE$155,M20,2)=0,"",INDEX(Standardwerte!$AD$108:$AE$155,M20,2))</f>
        <v/>
      </c>
      <c r="C22" s="2798"/>
      <c r="D22" s="2798"/>
      <c r="E22" s="2798"/>
      <c r="F22" s="1797" t="str">
        <f>IF(OR(M20=35,M20=36),IF(G22="",32,MIN(G22,45)),IF(M20=33,IF(G22&gt;0,G22,X20),IF(M20=32,IF(G22&gt;0,G22,Z20),"")))</f>
        <v/>
      </c>
      <c r="G22" s="791"/>
      <c r="H22" s="2804"/>
      <c r="I22" s="650"/>
      <c r="J22" s="2815" t="str">
        <f>IF(AND(J21&gt;0,J21&lt;&gt;""),IF(J20&gt;J21+0.1,"Deckungsgrad zu hoch",""),"")</f>
        <v/>
      </c>
      <c r="K22" s="698"/>
      <c r="L22" s="2824" t="str">
        <f>IF(AND(L21&gt;0,L21&lt;&gt;""),IF(L20&gt;L21+0.1,Uebersetzung!D109,""),IF(AND(M20=35,Entrées!K42&lt;0.01),Uebersetzung!D568,""))</f>
        <v/>
      </c>
      <c r="M22" s="1531"/>
      <c r="N22" s="570"/>
      <c r="O22" s="570"/>
      <c r="P22" s="570"/>
      <c r="Q22" s="571"/>
      <c r="R22" s="572"/>
      <c r="S22" s="580"/>
      <c r="T22" s="579"/>
      <c r="U22" s="579"/>
      <c r="V22" s="579"/>
      <c r="W22" s="579"/>
      <c r="X22" s="582">
        <f>IF(qw&gt;0,IF(EBF&gt;0,IF((qh+qw)=0,,IF(AND(G21&gt;0,G22&gt;0),MIN(100/qw*X21*G21/EBF,100),IF(G21&gt;0,MIN(70,Y21*(qw+qh)/qw),))),),0)</f>
        <v>0</v>
      </c>
      <c r="Y22" s="583">
        <f>IF(EBF&gt;0,IF(AND(G21&gt;0,X21&gt;0),MIN(100/qh*(X21*G21/EBF-X23/100*qw),100),IF(X22&lt;70,0,IF(AND(G21&gt;0,G22&gt;0),G21*X21/EBF,((qw+qh)*Y21/100-qw*0.7)/qh))*100),)</f>
        <v>0</v>
      </c>
      <c r="Z22" s="584">
        <f>IF(EBF&gt;0,IF(G21&gt;0,IF(qw&gt;0,IF(G22&lt;&gt;0,MIN(100/qw*Z21*G21/EBF,80),MIN(IF(Hoehe&lt;800,((640-Z20)/380*100),((700-Z20)/380*100)),80)),0),)*T20,)</f>
        <v>0</v>
      </c>
      <c r="AA22" s="583">
        <f>IF(qh&gt;0,IF((100/qh*AA21*G21/EBF)&gt;100,100,(100/qh*AA21*G21/EBF)),0)*S20</f>
        <v>0</v>
      </c>
      <c r="AB22" s="585">
        <f>IF(M20=15,Standardwerte!$Y$122-G21,Standardwerte!$Y$123-G21)</f>
        <v>0.9</v>
      </c>
      <c r="AC22" s="579"/>
      <c r="AD22" s="1793"/>
      <c r="AE22" s="1803">
        <f>IF(AND(qw&gt;0,EBF&gt;0,AE21&lt;&gt;""),AE21/qw/EBF,0)</f>
        <v>0</v>
      </c>
      <c r="AF22" s="1803">
        <f>IF(AND(qw&gt;0,EBF&gt;0,AF21&lt;&gt;""),AF21/qw/EBF,0)</f>
        <v>0</v>
      </c>
      <c r="AG22" s="1807">
        <f>IF(AND(qh&gt;0,EBF&gt;0,AF21&lt;&gt;""),MIN(AG21/qh/EBF/2,1),0)</f>
        <v>0</v>
      </c>
      <c r="AH22" s="728"/>
      <c r="AK22" s="1363"/>
      <c r="AL22" s="1364"/>
      <c r="AM22" s="1369" t="s">
        <v>2484</v>
      </c>
      <c r="AN22" s="1406">
        <f>L20/100</f>
        <v>0</v>
      </c>
    </row>
    <row r="23" spans="1:40" s="563" customFormat="1" ht="15.95" customHeight="1">
      <c r="A23" s="1526" t="s">
        <v>424</v>
      </c>
      <c r="B23" s="666" t="str">
        <f>Uebersetzung!D267</f>
        <v>Report autres productions de chaleur</v>
      </c>
      <c r="C23" s="675"/>
      <c r="D23" s="675"/>
      <c r="E23" s="646"/>
      <c r="F23" s="645"/>
      <c r="G23" s="645"/>
      <c r="H23" s="2805"/>
      <c r="I23" s="653"/>
      <c r="J23" s="2816"/>
      <c r="K23" s="698"/>
      <c r="L23" s="2825"/>
      <c r="M23" s="1531"/>
      <c r="N23" s="576"/>
      <c r="O23" s="576"/>
      <c r="P23" s="576"/>
      <c r="Q23" s="575"/>
      <c r="R23" s="588"/>
      <c r="S23" s="586"/>
      <c r="T23" s="587"/>
      <c r="U23" s="587"/>
      <c r="V23" s="579"/>
      <c r="W23" s="587"/>
      <c r="X23" s="590">
        <f>IF(G21&gt;0,IF(L20&lt;&gt;0,MIN(X22,L20),IF(AND(G22&lt;&gt;0,L20&lt;&gt;0),L20,X22)),)*T20</f>
        <v>0</v>
      </c>
      <c r="Y23" s="591">
        <f>IF(J20&lt;&gt;0,MIN(Y22,J20),IF(AND(G22&lt;&gt;0,J20&lt;&gt;0),J20,Y22))*S20</f>
        <v>0</v>
      </c>
      <c r="Z23" s="592">
        <f>IF(G21&gt;0,IF(L20&lt;&gt;0,MIN(L20,Z22),IF(AND(G22&lt;&gt;0,L20&lt;&gt;0),L20,Z22)),)*T20</f>
        <v>0</v>
      </c>
      <c r="AA23" s="591">
        <f>IF(J20&lt;&gt;0,MIN(AA22,J20),AA22)*S20</f>
        <v>0</v>
      </c>
      <c r="AB23" s="588"/>
      <c r="AC23" s="587"/>
      <c r="AD23" s="574"/>
      <c r="AE23" s="592">
        <f>IF($M20=35,MIN($L20,MIN(AE22,($F22-10)/50/3)*100),0)</f>
        <v>0</v>
      </c>
      <c r="AF23" s="592">
        <f>IF($M20=36,MIN($L20,MIN(AF22,($F22-10)/50)*100),0)</f>
        <v>0</v>
      </c>
      <c r="AG23" s="591">
        <f>IF($M20=36,MIN($J20,MIN(AG22,(($F22-30)/15))*100),0)</f>
        <v>0</v>
      </c>
      <c r="AH23" s="728"/>
      <c r="AK23" s="1363"/>
      <c r="AL23" s="1364"/>
      <c r="AN23" s="576"/>
    </row>
    <row r="24" spans="1:40" s="563" customFormat="1" ht="18" customHeight="1">
      <c r="A24" s="1540" t="s">
        <v>483</v>
      </c>
      <c r="B24" s="2792"/>
      <c r="C24" s="2793"/>
      <c r="D24" s="2793"/>
      <c r="E24" s="2793"/>
      <c r="F24" s="2793"/>
      <c r="G24" s="2793"/>
      <c r="H24" s="657"/>
      <c r="I24" s="650"/>
      <c r="J24" s="786"/>
      <c r="K24" s="787"/>
      <c r="L24" s="788"/>
      <c r="M24" s="1531"/>
      <c r="N24" s="689">
        <f>qh*J24/100+qw*L24/100</f>
        <v>0</v>
      </c>
      <c r="O24" s="569"/>
      <c r="P24" s="718">
        <f>U48</f>
        <v>0</v>
      </c>
      <c r="Q24" s="569">
        <f>U47</f>
        <v>0</v>
      </c>
      <c r="V24" s="1801"/>
      <c r="AA24" s="564"/>
      <c r="AD24" s="96"/>
      <c r="AE24" s="96"/>
      <c r="AF24" s="96"/>
      <c r="AG24" s="96"/>
      <c r="AH24" s="96"/>
      <c r="AK24" s="1363"/>
      <c r="AL24" s="1364"/>
      <c r="AM24" s="1369" t="s">
        <v>2488</v>
      </c>
      <c r="AN24" s="1406">
        <f>IF(EndenergieE&gt;0.2,MAX(MIN((EndenergieE+IF(StrombedarfE&lt;0.1,StrombedarfE,0))/IF(AN7&gt;0,(AN5*AN25+AN6*AN27),1),1),0),0)</f>
        <v>0</v>
      </c>
    </row>
    <row r="25" spans="1:40" s="563" customFormat="1" ht="15.95" customHeight="1">
      <c r="A25" s="1526" t="s">
        <v>801</v>
      </c>
      <c r="B25" s="658" t="str">
        <f>Uebersetzung!D268</f>
        <v>Electricité fournie (non pondérée)</v>
      </c>
      <c r="C25" s="676"/>
      <c r="D25" s="676"/>
      <c r="E25" s="654"/>
      <c r="F25" s="688" t="s">
        <v>672</v>
      </c>
      <c r="G25" s="1786"/>
      <c r="H25" s="657"/>
      <c r="I25" s="650"/>
      <c r="J25" s="651"/>
      <c r="K25" s="645"/>
      <c r="L25" s="650"/>
      <c r="M25" s="1531"/>
      <c r="N25" s="580"/>
      <c r="O25" s="572"/>
      <c r="P25" s="719"/>
      <c r="Q25" s="572"/>
      <c r="V25" s="570"/>
      <c r="AA25" s="564"/>
      <c r="AD25" s="96"/>
      <c r="AE25" s="96"/>
      <c r="AF25" s="96"/>
      <c r="AG25" s="96"/>
      <c r="AH25" s="96"/>
      <c r="AJ25" s="1369" t="s">
        <v>2192</v>
      </c>
      <c r="AK25" s="1363">
        <f>THG_Strom</f>
        <v>0.13900000000000001</v>
      </c>
      <c r="AL25" s="1363">
        <f>IF(THG_Scope1,0,AK25*StrombedarfE)</f>
        <v>0</v>
      </c>
      <c r="AM25" s="1369" t="s">
        <v>2483</v>
      </c>
      <c r="AN25" s="1406">
        <f>J24/100</f>
        <v>0</v>
      </c>
    </row>
    <row r="26" spans="1:40" s="563" customFormat="1" ht="20.100000000000001" hidden="1" customHeight="1">
      <c r="A26" s="1540"/>
      <c r="B26" s="644"/>
      <c r="G26" s="1787"/>
      <c r="H26" s="657"/>
      <c r="I26" s="650"/>
      <c r="J26" s="651"/>
      <c r="K26" s="645"/>
      <c r="L26" s="650"/>
      <c r="M26" s="1534"/>
      <c r="N26" s="580"/>
      <c r="O26" s="572"/>
      <c r="P26" s="719"/>
      <c r="Q26" s="572"/>
      <c r="V26" s="572"/>
      <c r="AA26" s="564"/>
      <c r="AD26" s="96"/>
      <c r="AE26" s="96"/>
      <c r="AF26" s="96"/>
      <c r="AG26" s="96"/>
      <c r="AH26" s="96"/>
      <c r="AK26" s="1363"/>
      <c r="AL26" s="1364"/>
      <c r="AM26" s="1369" t="s">
        <v>2484</v>
      </c>
      <c r="AN26" s="570"/>
    </row>
    <row r="27" spans="1:40" s="563" customFormat="1" ht="15.95" customHeight="1">
      <c r="A27" s="1526" t="s">
        <v>2848</v>
      </c>
      <c r="B27" s="667" t="str">
        <f>Uebersetzung!D269</f>
        <v>Energie fournie (sans électricité, pondérée)</v>
      </c>
      <c r="C27" s="677"/>
      <c r="D27" s="677"/>
      <c r="E27" s="668"/>
      <c r="F27" s="527" t="s">
        <v>672</v>
      </c>
      <c r="G27" s="1788"/>
      <c r="H27" s="659"/>
      <c r="I27" s="660" t="str">
        <f>Uebersetzung!D270</f>
        <v>Taux de couverture total</v>
      </c>
      <c r="J27" s="655">
        <f>IF(J8="",0,MIN(J8,IF(J9&lt;&gt;"",J9,J8))*S8)+IF(J12="",0,MIN(J12,IF(J13&lt;&gt;"",J13,J12))*S12)+IF(J16="",0,MIN(J16,IF(J17&lt;&gt;"",J17,J16))*S16)+IF(J20="",0,MIN(J20,IF(J21&lt;&gt;"",J21,J20))*S20)+J24</f>
        <v>0</v>
      </c>
      <c r="K27" s="646"/>
      <c r="L27" s="656">
        <f>IF(L8="",0,MIN(L8,IF(L9&lt;&gt;"",L9,L8))*T8)+IF(L12="",0,MIN(L12,IF(L13&lt;&gt;"",L13,L12))*T12)+IF(L16="",0,MIN(L16,IF(L17&lt;&gt;"",L17,L16))*T16)+IF(L20="",0,MIN(L20,IF(L21&lt;&gt;"",L21,L20))*T20)+L24</f>
        <v>0</v>
      </c>
      <c r="M27" s="1534"/>
      <c r="N27" s="720">
        <f>SUM(N8:N24)</f>
        <v>0</v>
      </c>
      <c r="O27" s="722">
        <f>SUM(O8:O24)</f>
        <v>0</v>
      </c>
      <c r="P27" s="721">
        <f>SUM(P8:P24)</f>
        <v>0</v>
      </c>
      <c r="Q27" s="722">
        <f>SUM(Q8:Q24)</f>
        <v>0</v>
      </c>
      <c r="R27" s="96"/>
      <c r="S27" s="96"/>
      <c r="T27" s="96"/>
      <c r="U27" s="96"/>
      <c r="V27" s="2234">
        <f>IF((G25+G27)&gt;0,((qw*L24/100+qh*J24/100)*EBF)/(G25+G27),0)</f>
        <v>0</v>
      </c>
      <c r="W27" s="96"/>
      <c r="X27" s="96"/>
      <c r="Y27" s="96"/>
      <c r="Z27" s="96"/>
      <c r="AA27" s="96"/>
      <c r="AB27" s="96"/>
      <c r="AC27" s="96"/>
      <c r="AD27" s="96"/>
      <c r="AE27" s="96"/>
      <c r="AF27" s="1292"/>
      <c r="AG27" s="96"/>
      <c r="AH27" s="96"/>
      <c r="AJ27" s="1369" t="s">
        <v>2193</v>
      </c>
      <c r="AK27" s="1363">
        <f>THG_andere</f>
        <v>0.249</v>
      </c>
      <c r="AL27" s="1363">
        <f>EndenergieE*AK27</f>
        <v>0</v>
      </c>
      <c r="AM27" s="1369" t="s">
        <v>2484</v>
      </c>
      <c r="AN27" s="1406">
        <f>L24/100</f>
        <v>0</v>
      </c>
    </row>
    <row r="28" spans="1:40" ht="15.95" customHeight="1">
      <c r="B28" s="25"/>
      <c r="C28" s="25"/>
      <c r="D28" s="25"/>
      <c r="E28" s="25"/>
      <c r="F28" s="25"/>
      <c r="G28" s="25"/>
      <c r="H28" s="27"/>
      <c r="I28" s="2794" t="str">
        <f>IF(EBF_MUKEN&gt;0,IF(OR(DeckungsgradHeizung&lt;99.5,DeckungsgradHeizung&gt;100.5,AND(DeckungsgradWW&lt;99.5,qw&gt;0),AND(DeckungsgradWW&gt;100.5,qw&gt;0)),Uebersetzung!D308,),"")</f>
        <v/>
      </c>
      <c r="J28" s="2794"/>
      <c r="K28" s="2794"/>
      <c r="L28" s="2794"/>
      <c r="P28" s="1368" t="s">
        <v>2205</v>
      </c>
      <c r="Q28" s="1376">
        <f>SUMIF(AD8:AD20,TRUE,Q8:Q20)</f>
        <v>0</v>
      </c>
      <c r="R28" s="5" t="s">
        <v>2204</v>
      </c>
      <c r="AD28" s="96"/>
      <c r="AE28" s="96"/>
      <c r="AF28" s="96"/>
      <c r="AG28" s="96"/>
      <c r="AH28" s="96"/>
      <c r="AK28" s="1361"/>
      <c r="AL28" s="1362"/>
      <c r="AN28" s="1403"/>
    </row>
    <row r="29" spans="1:40" ht="21" customHeight="1">
      <c r="A29" s="1532"/>
      <c r="B29" s="131" t="str">
        <f>Uebersetzung!D271</f>
        <v>Données du bâtiment, ventilation et valeur limite</v>
      </c>
      <c r="C29" s="678"/>
      <c r="D29" s="678"/>
      <c r="E29" s="210"/>
      <c r="F29" s="211"/>
      <c r="G29" s="661">
        <v>1</v>
      </c>
      <c r="H29" s="662">
        <v>2</v>
      </c>
      <c r="I29" s="661">
        <v>3</v>
      </c>
      <c r="J29" s="661">
        <v>4</v>
      </c>
      <c r="K29" s="124"/>
      <c r="L29" s="1395" t="str">
        <f>Uebersetzung!D272</f>
        <v>Total /
Moyenne</v>
      </c>
      <c r="P29" s="1617" t="s">
        <v>728</v>
      </c>
      <c r="Q29" s="1618" t="b">
        <f>IF(OR(Q28&lt;-7.5,(_EBF1+_EBF2+_EBF3+_EBF4)*Q28/750&lt;-30),TRUE,FALSE)</f>
        <v>0</v>
      </c>
      <c r="AK29" s="1361"/>
      <c r="AL29" s="1362"/>
      <c r="AN29" s="1375"/>
    </row>
    <row r="30" spans="1:40" ht="18" hidden="1" customHeight="1">
      <c r="A30" s="1532" t="s">
        <v>403</v>
      </c>
      <c r="B30" s="611" t="s">
        <v>647</v>
      </c>
      <c r="C30" s="101"/>
      <c r="D30" s="101"/>
      <c r="E30" s="612"/>
      <c r="F30" s="613" t="str">
        <f>Standardwerte!C4</f>
        <v xml:space="preserve"> </v>
      </c>
      <c r="G30" s="212" t="str">
        <f>Standardwerte!K4</f>
        <v/>
      </c>
      <c r="H30" s="212" t="str">
        <f>Standardwerte!M4</f>
        <v/>
      </c>
      <c r="I30" s="212" t="str">
        <f>Standardwerte!O4</f>
        <v/>
      </c>
      <c r="J30" s="213" t="str">
        <f>Standardwerte!Q4</f>
        <v/>
      </c>
      <c r="K30" s="616"/>
      <c r="L30" s="379" t="str">
        <f>IF(BadMisch,"o. Hallenb.","")</f>
        <v/>
      </c>
      <c r="AK30" s="1361"/>
      <c r="AL30" s="1362"/>
      <c r="AN30" s="1375"/>
    </row>
    <row r="31" spans="1:40" ht="18" hidden="1" customHeight="1">
      <c r="A31" s="1532" t="s">
        <v>404</v>
      </c>
      <c r="B31" s="271" t="s">
        <v>485</v>
      </c>
      <c r="C31" s="679"/>
      <c r="D31" s="679"/>
      <c r="E31" s="612"/>
      <c r="F31" s="50"/>
      <c r="G31" s="125" t="str">
        <f>Standardwerte!S43</f>
        <v/>
      </c>
      <c r="H31" s="125" t="str">
        <f>Standardwerte!S44</f>
        <v/>
      </c>
      <c r="I31" s="125" t="str">
        <f>Standardwerte!S45</f>
        <v/>
      </c>
      <c r="J31" s="617" t="str">
        <f>Standardwerte!S46</f>
        <v/>
      </c>
      <c r="K31" s="618"/>
      <c r="L31" s="619"/>
      <c r="AK31" s="1361"/>
      <c r="AL31" s="1362"/>
      <c r="AN31" s="1375"/>
    </row>
    <row r="32" spans="1:40" ht="18" hidden="1" customHeight="1">
      <c r="A32" s="1532" t="s">
        <v>405</v>
      </c>
      <c r="B32" s="271" t="s">
        <v>493</v>
      </c>
      <c r="C32" s="679"/>
      <c r="D32" s="679"/>
      <c r="E32" s="612"/>
      <c r="F32" s="614" t="s">
        <v>321</v>
      </c>
      <c r="G32" s="117" t="str">
        <f>IF(_EBF1&gt;0,_EBF1,"")</f>
        <v/>
      </c>
      <c r="H32" s="125" t="str">
        <f>IF(_EBF2&gt;0,_EBF2,"")</f>
        <v/>
      </c>
      <c r="I32" s="117" t="str">
        <f>IF(_EBF3&gt;0,_EBF3,"")</f>
        <v/>
      </c>
      <c r="J32" s="117" t="str">
        <f>IF(_EBF4&gt;0,_EBF4,"")</f>
        <v/>
      </c>
      <c r="K32" s="618"/>
      <c r="L32" s="123" t="str">
        <f>IF(EBF&gt;0,EBF,"")</f>
        <v/>
      </c>
      <c r="AK32" s="1361"/>
      <c r="AL32" s="1362"/>
      <c r="AN32" s="1375"/>
    </row>
    <row r="33" spans="1:42" ht="18" hidden="1" customHeight="1">
      <c r="A33" s="1532" t="s">
        <v>406</v>
      </c>
      <c r="B33" s="271" t="str">
        <f>IF(minergiep=TRUE,"Qh-MP mit Standardluftwechsel","Qh mit Standardluftwechsel")</f>
        <v>Qh mit Standardluftwechsel</v>
      </c>
      <c r="C33" s="679"/>
      <c r="D33" s="679"/>
      <c r="E33" s="612"/>
      <c r="F33" s="50" t="s">
        <v>524</v>
      </c>
      <c r="G33" s="620" t="str">
        <f>IF(_qhs1&gt;0,_qhs1/3.6,"")</f>
        <v/>
      </c>
      <c r="H33" s="620" t="str">
        <f>IF(_qhs2&gt;0,_qhs2/3.6,"")</f>
        <v/>
      </c>
      <c r="I33" s="620" t="str">
        <f>IF(_qhs3&gt;0,_qhs3/3.6,"")</f>
        <v/>
      </c>
      <c r="J33" s="620" t="str">
        <f>IF(_qhs4&gt;0,_qhs4/3.6,"")</f>
        <v/>
      </c>
      <c r="K33" s="618"/>
      <c r="L33" s="621" t="str">
        <f>IF(AND(qhs&gt;0,EBF&gt;0),qhs/3.6,"")</f>
        <v/>
      </c>
      <c r="AK33" s="1361"/>
      <c r="AL33" s="1362"/>
      <c r="AN33" s="1375"/>
    </row>
    <row r="34" spans="1:42" ht="15.95" customHeight="1">
      <c r="A34" s="1532" t="s">
        <v>2849</v>
      </c>
      <c r="B34" s="1289" t="str">
        <f>IF(OR(minergiea,minergiep),Uebersetzung!D273,Uebersetzung!D274)</f>
        <v>Qh avec renouvelement d'air effectif</v>
      </c>
      <c r="C34" s="679"/>
      <c r="D34" s="679"/>
      <c r="E34" s="612"/>
      <c r="F34" s="50" t="s">
        <v>524</v>
      </c>
      <c r="G34" s="118">
        <f>IF(OR(bern,MUKEN),IF(G43=0,0,_qh1),_qh1)/3.6</f>
        <v>0</v>
      </c>
      <c r="H34" s="118">
        <f>IF(OR(bern,MUKEN),IF(H43=0,0,_qh2),_qh2)/3.6</f>
        <v>0</v>
      </c>
      <c r="I34" s="118">
        <f>IF(OR(bern,MUKEN),IF(I43=0,0,_qh3),_qh3)/3.6</f>
        <v>0</v>
      </c>
      <c r="J34" s="118">
        <f>IF(OR(bern,MUKEN),IF(J43=0,0,_qh4),_qh4)/3.6</f>
        <v>0</v>
      </c>
      <c r="K34" s="214"/>
      <c r="L34" s="129">
        <f>IF(OR(bern,MUKEN),IF(EBF_MUKEN&gt;0,(G34*_EBF1+H34*_EBF2+I34*_EBF3+J34*_EBF4)/EBF_MUKEN,0),qh)</f>
        <v>0</v>
      </c>
      <c r="M34" s="1535"/>
      <c r="N34" s="96"/>
      <c r="O34" s="96"/>
      <c r="AJ34" s="1368" t="s">
        <v>2194</v>
      </c>
      <c r="AK34" s="1361">
        <f>THG_Strom</f>
        <v>0.13900000000000001</v>
      </c>
      <c r="AL34" s="1362"/>
      <c r="AN34" s="1375"/>
      <c r="AP34" s="852"/>
    </row>
    <row r="35" spans="1:42" ht="15.95" customHeight="1">
      <c r="A35" s="1532" t="s">
        <v>425</v>
      </c>
      <c r="B35" s="1289" t="str">
        <f>Uebersetzung!D275</f>
        <v>Besoin pour eau chaude Qww SIA 380/1</v>
      </c>
      <c r="C35" s="679"/>
      <c r="D35" s="679"/>
      <c r="E35" s="612"/>
      <c r="F35" s="50" t="s">
        <v>524</v>
      </c>
      <c r="G35" s="620">
        <f>IF(Entrées!F17=$N$35,0,IF(G43=0,0,INDEX(Standardwerte!$L$9:$L$21,Kategorie1,1)/3.6))</f>
        <v>0</v>
      </c>
      <c r="H35" s="620">
        <f>IF(Entrées!G17=$N$35,0,IF(H43=0,0,INDEX(Standardwerte!$L$9:$L$21,Kategorie2,1)/3.6))</f>
        <v>0</v>
      </c>
      <c r="I35" s="620">
        <f>IF(Entrées!H17=$N$35,0,IF(I43=0,0,INDEX(Standardwerte!$L$9:$L$21,Kategorie3,1)/3.6))</f>
        <v>0</v>
      </c>
      <c r="J35" s="620">
        <f>IF(Entrées!I17=$N$35,0,IF(J43=0,0,INDEX(Standardwerte!$L$9:$L$21,Kategorie4,1)/3.6))</f>
        <v>0</v>
      </c>
      <c r="K35" s="618"/>
      <c r="L35" s="621">
        <f>IF(OR(bern,MUKEN),IF(EBF_MUKEN&gt;0,(_qw1*_EBF1+_qw2*_EBF2+_qw3*_EBF3+_qw4*_EBF4)/EBF_MUKEN,0),IF(EBF&gt;0,(_qw1*_EBF1+_qw2*_EBF2+_qw3*_EBF3+_qw4*_EBF4)/EBF,0))</f>
        <v>0</v>
      </c>
      <c r="N35" s="1125" t="str">
        <f>Uebersetzung!D26</f>
        <v>non</v>
      </c>
      <c r="O35" s="96"/>
      <c r="Q35" s="1292"/>
      <c r="R35" s="852"/>
      <c r="AF35" s="1805"/>
      <c r="AK35" s="1361"/>
      <c r="AL35" s="1362"/>
      <c r="AN35" s="1375"/>
    </row>
    <row r="36" spans="1:42" ht="18" hidden="1" customHeight="1">
      <c r="A36" s="1532" t="s">
        <v>407</v>
      </c>
      <c r="B36" s="1290" t="s">
        <v>688</v>
      </c>
      <c r="C36" s="680"/>
      <c r="D36" s="680"/>
      <c r="E36" s="612"/>
      <c r="F36" s="561" t="s">
        <v>583</v>
      </c>
      <c r="G36" s="622">
        <f>_Vth1</f>
        <v>0</v>
      </c>
      <c r="H36" s="622">
        <f>_Vth2</f>
        <v>0</v>
      </c>
      <c r="I36" s="622">
        <f>_Vth3</f>
        <v>0</v>
      </c>
      <c r="J36" s="622">
        <f>_Vth4</f>
        <v>0</v>
      </c>
      <c r="K36" s="623"/>
      <c r="L36" s="624">
        <f>Vth</f>
        <v>0</v>
      </c>
      <c r="N36" s="96"/>
      <c r="O36" s="96"/>
      <c r="AK36" s="1361"/>
      <c r="AL36" s="1362"/>
      <c r="AN36" s="1375"/>
    </row>
    <row r="37" spans="1:42" ht="18" hidden="1" customHeight="1">
      <c r="A37" s="1532" t="s">
        <v>409</v>
      </c>
      <c r="B37" s="1290" t="s">
        <v>123</v>
      </c>
      <c r="C37" s="680"/>
      <c r="D37" s="680"/>
      <c r="E37" s="612"/>
      <c r="F37" s="615"/>
      <c r="G37" s="625">
        <f>IF(Kategorie1&gt;1,Standardwerte!L25,)</f>
        <v>0</v>
      </c>
      <c r="H37" s="625">
        <f>IF(Kategorie2&gt;1,Standardwerte!P25,)</f>
        <v>0</v>
      </c>
      <c r="I37" s="625">
        <f>IF(Kategorie3&gt;1,Standardwerte!L29,)</f>
        <v>0</v>
      </c>
      <c r="J37" s="625">
        <f>IF(Kategorie4&gt;1,Standardwerte!P29,)</f>
        <v>0</v>
      </c>
      <c r="K37" s="618"/>
      <c r="L37" s="626"/>
      <c r="N37" s="96"/>
      <c r="O37" s="96"/>
      <c r="AK37" s="1361"/>
      <c r="AL37" s="1362"/>
      <c r="AN37" s="1375"/>
    </row>
    <row r="38" spans="1:42" ht="18" hidden="1" customHeight="1">
      <c r="A38" s="1532" t="s">
        <v>410</v>
      </c>
      <c r="B38" s="1290" t="s">
        <v>484</v>
      </c>
      <c r="C38" s="680"/>
      <c r="D38" s="680"/>
      <c r="E38" s="612"/>
      <c r="F38" s="615"/>
      <c r="G38" s="625">
        <f>IF(Kategorie1&gt;1,IF(abgabe1&gt;0,INDEX(Standardwerte!$AE$23:$AE$29,abgabe1,1),),)</f>
        <v>0</v>
      </c>
      <c r="H38" s="625">
        <f>IF(Kategorie2&gt;1,IF(abgabe2&gt;0,INDEX(Standardwerte!$AE$23:$AE$29,abgabe2,1),),)</f>
        <v>0</v>
      </c>
      <c r="I38" s="625">
        <f>IF(Kategorie3&gt;1,IF(abgabe3&gt;0,INDEX(Standardwerte!$AE$23:$AE$29,abgabe3,1),),)</f>
        <v>0</v>
      </c>
      <c r="J38" s="625">
        <f>IF(Kategorie4&gt;1,IF(abgabe4&gt;0,INDEX(Standardwerte!$AE$23:$AE$29,abgabe4,1),),)</f>
        <v>0</v>
      </c>
      <c r="K38" s="618"/>
      <c r="L38" s="626"/>
      <c r="N38" s="96"/>
      <c r="O38" s="96"/>
      <c r="AK38" s="1361"/>
      <c r="AL38" s="1362"/>
      <c r="AN38" s="1375"/>
    </row>
    <row r="39" spans="1:42" ht="15.95" customHeight="1">
      <c r="A39" s="1532" t="s">
        <v>427</v>
      </c>
      <c r="B39" s="1290" t="str">
        <f>Uebersetzung!D276</f>
        <v>Besoin en électricité pour la ventilation</v>
      </c>
      <c r="C39" s="680"/>
      <c r="D39" s="680"/>
      <c r="E39" s="612"/>
      <c r="F39" s="50" t="s">
        <v>524</v>
      </c>
      <c r="G39" s="620">
        <f>IF(ISERROR(_Qe1),0,IF(OR(bern,MUKEN),IF(Neubau1=3,0,_Qe1),_Qe1))</f>
        <v>0</v>
      </c>
      <c r="H39" s="620">
        <f>IF(ISERROR(_Qe2),0,IF(OR(bern,MUKEN),IF(Neubau2=3,0,_Qe2),_Qe2))</f>
        <v>0</v>
      </c>
      <c r="I39" s="620">
        <f>IF(ISERROR(_Qe3),0,IF(OR(bern,MUKEN),IF(Neubau3=3,0,_Qe3),_Qe3))</f>
        <v>0</v>
      </c>
      <c r="J39" s="620">
        <f>IF(ISERROR(_Qe4),0,IF(OR(bern,MUKEN),IF(Neubau4=3,0,_Qe4),_Qe4))</f>
        <v>0</v>
      </c>
      <c r="K39" s="1371"/>
      <c r="L39" s="129">
        <f>IF(ISERROR(Qe),"",IF(OR(bern,MUKEN),IF(EBF_MUKEN&gt;0,(G39*_EBF1+H39*_EBF2+I39*_EBF3+J39*_EBF4)/EBF_MUKEN,0),Qe))</f>
        <v>0</v>
      </c>
      <c r="N39" s="96"/>
      <c r="O39" s="96"/>
      <c r="R39" s="5"/>
      <c r="AJ39" s="1368" t="s">
        <v>681</v>
      </c>
      <c r="AK39" s="1361">
        <f>THG_Strom</f>
        <v>0.13900000000000001</v>
      </c>
      <c r="AL39" s="1361">
        <f>IF(THG_Scope1,0,IF(L39&lt;&gt;"",L39*AK39,0))</f>
        <v>0</v>
      </c>
      <c r="AN39" s="1375"/>
    </row>
    <row r="40" spans="1:42" ht="15.95" customHeight="1">
      <c r="A40" s="1532" t="s">
        <v>428</v>
      </c>
      <c r="B40" s="1290" t="str">
        <f>IF(minergiep,Uebersetzung!D277,Uebersetzung!D278)</f>
        <v>Besoin en électricité pour la climatisation + auxiliaires</v>
      </c>
      <c r="C40" s="680"/>
      <c r="D40" s="680"/>
      <c r="E40" s="612"/>
      <c r="F40" s="50" t="s">
        <v>524</v>
      </c>
      <c r="G40" s="118">
        <f>IF(OR(bern,MUKEN),IF(G43=0,0,E_Qk1),E_Qk1)</f>
        <v>0</v>
      </c>
      <c r="H40" s="118">
        <f>IF(OR(bern,MUKEN),IF(H43=0,0,E_Qk2),E_Qk2)</f>
        <v>0</v>
      </c>
      <c r="I40" s="118">
        <f>IF(OR(bern,MUKEN),IF(I43=0,0,E_Qk3),E_Qk3)</f>
        <v>0</v>
      </c>
      <c r="J40" s="118">
        <f>IF(OR(bern,MUKEN),IF(J43=0,0,E_Qk4),E_Qk4)</f>
        <v>0</v>
      </c>
      <c r="K40" s="214"/>
      <c r="L40" s="129">
        <f>IF(OR(bern,MUKEN),IF(EBF_MUKEN&gt;0,(G40*_EBF1+H40*_EBF2+I40*_EBF3+J40*_EBF4)/EBF_MUKEN,0),E_Qk)</f>
        <v>0</v>
      </c>
      <c r="N40" s="96"/>
      <c r="O40" s="96"/>
      <c r="R40" s="852"/>
      <c r="AJ40" s="1368" t="s">
        <v>682</v>
      </c>
      <c r="AK40" s="1361">
        <f>THG_Strom</f>
        <v>0.13900000000000001</v>
      </c>
      <c r="AL40" s="1361">
        <f>IF(THG_Scope1,0,IF(L40&lt;&gt;"",L40*AK40,0))</f>
        <v>0</v>
      </c>
      <c r="AN40" s="1375"/>
    </row>
    <row r="41" spans="1:42" ht="2.25" hidden="1" customHeight="1">
      <c r="A41" s="1532" t="s">
        <v>413</v>
      </c>
      <c r="B41" s="1290" t="str">
        <f>IF(minergiea,"Strombedarf Hilfsbetriebe",IF(minergiep,"Grenzwert","Grenzwert ohne Zuschläge"))</f>
        <v>Grenzwert ohne Zuschläge</v>
      </c>
      <c r="C41" s="681"/>
      <c r="D41" s="681"/>
      <c r="E41" s="612"/>
      <c r="F41" s="50" t="s">
        <v>524</v>
      </c>
      <c r="G41" s="118">
        <f>IF(minergiea,IF(_EBF1&gt;0,Entrées!F43/_EBF1,0),IF(minergiep,Standardwerte!J74,MAX(IF(Neubau1=2,INDEX(Standardwerte!$P$9:$Q$21,Kategorie1,1),IF(Neubau1=3,INDEX(Standardwerte!$P$9:$Q$21,Kategorie1,2),0))-Standardwerte!J107,0)))</f>
        <v>0</v>
      </c>
      <c r="H41" s="118">
        <f>IF(minergiea,IF(_EBF2&gt;0,Entrées!G43/_EBF2,0),IF(minergiep,Standardwerte!J75,MAX(IF(Neubau2=2,INDEX(Standardwerte!$P$9:$Q$21,Kategorie2,1),IF(Neubau2=3,INDEX(Standardwerte!$P$9:$Q$21,Kategorie2,2),0))-Standardwerte!K107,0)))</f>
        <v>0</v>
      </c>
      <c r="I41" s="118">
        <f>IF(minergiea,IF(_EBF3&gt;0,Entrées!H43/_EBF3,0),IF(minergiep,Standardwerte!J76,MAX(IF(Neubau3=2,INDEX(Standardwerte!$P$9:$Q$21,Kategorie3,1),IF(Neubau3=3,INDEX(Standardwerte!$P$9:$Q$21,Kategorie3,2),0))-Standardwerte!L107,0)))</f>
        <v>0</v>
      </c>
      <c r="J41" s="118">
        <f>IF(minergiea,IF(_EBF4&gt;0,Entrées!I43/_EBF4,0),IF(minergiep,Standardwerte!J77,MAX(IF(Neubau4=2,INDEX(Standardwerte!$P$9:$Q$21,Kategorie4,1),IF(Neubau4=3,INDEX(Standardwerte!$P$9:$Q$21,Kategorie4,2),0))-Standardwerte!M107,0)))</f>
        <v>0</v>
      </c>
      <c r="K41" s="215"/>
      <c r="L41" s="129">
        <f>IF(EBF&gt;0,(G41*_EBF1+H41*_EBF2+I41*_EBF3+J41*_EBF4)/EBF,)</f>
        <v>0</v>
      </c>
      <c r="N41" s="96"/>
      <c r="O41" s="96"/>
      <c r="AJ41" s="853"/>
      <c r="AK41" s="1361"/>
      <c r="AL41" s="1362"/>
      <c r="AN41" s="1375"/>
    </row>
    <row r="42" spans="1:42" ht="2.25" hidden="1" customHeight="1">
      <c r="A42" s="1532" t="s">
        <v>414</v>
      </c>
      <c r="B42" s="1290" t="str">
        <f>IF(OR(minergiea,minergiep),"","Klima- und Verschattungszuschlag")</f>
        <v>Klima- und Verschattungszuschlag</v>
      </c>
      <c r="C42" s="681"/>
      <c r="D42" s="681"/>
      <c r="E42" s="612"/>
      <c r="F42" s="50" t="str">
        <f>IF(OR(minergiea,minergiep),"","kWh/m2")</f>
        <v>kWh/m2</v>
      </c>
      <c r="G42" s="216">
        <f>IF(OR(minergiea,minergiep),0,klima1+Standardwerte!J67)</f>
        <v>0</v>
      </c>
      <c r="H42" s="216">
        <f>IF(OR(minergiea,minergiep),0,klima2+Standardwerte!J68)</f>
        <v>0</v>
      </c>
      <c r="I42" s="216">
        <f>IF(OR(minergiea,minergiep),0,klima3+Standardwerte!J69)</f>
        <v>0</v>
      </c>
      <c r="J42" s="216">
        <f>IF(OR(minergiea,minergiep),0,klima4+Standardwerte!J70)</f>
        <v>0</v>
      </c>
      <c r="K42" s="215"/>
      <c r="L42" s="129">
        <f>IF(EBF&gt;0,(G42*_EBF1+H42*_EBF2+I42*_EBF3+J42*_EBF4)/EBF,)</f>
        <v>0</v>
      </c>
      <c r="N42" s="96"/>
      <c r="O42" s="96"/>
      <c r="AJ42" s="853"/>
      <c r="AK42" s="1361"/>
      <c r="AL42" s="1362"/>
      <c r="AN42" s="1375"/>
    </row>
    <row r="43" spans="1:42" ht="15.95" customHeight="1">
      <c r="A43" s="1532" t="s">
        <v>2850</v>
      </c>
      <c r="B43" s="1290" t="str">
        <f>IF(OR(bern,MUKEN),Uebersetzung!D279,Uebersetzung!D360)</f>
        <v>Valeur limite déterminante</v>
      </c>
      <c r="C43" s="680"/>
      <c r="D43" s="680"/>
      <c r="E43" s="680"/>
      <c r="F43" s="50" t="s">
        <v>524</v>
      </c>
      <c r="G43" s="1274">
        <f>IF(MUKEN,IF(Neubau1=3,0,Standardwerte!N138),Standardwerte!N138+IF(AND(MUKEN=FALSE,Neubau1=3),Standardwerte!N139,0))</f>
        <v>0</v>
      </c>
      <c r="H43" s="1274">
        <f>IF(MUKEN,IF(Neubau2=3,0,Standardwerte!O138),Standardwerte!O138)+IF(AND(MUKEN=FALSE,Neubau2=3),Standardwerte!O139,0)</f>
        <v>0</v>
      </c>
      <c r="I43" s="1274">
        <f>IF(MUKEN,IF(Neubau3=3,0,Standardwerte!P138),Standardwerte!P138)+IF(AND(MUKEN=FALSE,Neubau3=3),Standardwerte!P139,0)</f>
        <v>0</v>
      </c>
      <c r="J43" s="1274">
        <f>IF(MUKEN,IF(Neubau4=3,0,Standardwerte!Q138),Standardwerte!Q138)+IF(AND(MUKEN=FALSE,Neubau4=3),Standardwerte!Q139,0)</f>
        <v>0</v>
      </c>
      <c r="K43" s="1273"/>
      <c r="L43" s="129">
        <f>IF(IF(OR(bern,MUKEN),EBF_MUKEN&gt;0,EBF&gt;0),(G43*_EBF1+H43*_EBF2+I43*_EBF3+J43*_EBF4)/IF(OR(bern,MUKEN),EBF_MUKEN,EBF),0)</f>
        <v>0</v>
      </c>
      <c r="N43" s="5" t="s">
        <v>3562</v>
      </c>
      <c r="O43" s="5"/>
      <c r="P43" s="5"/>
      <c r="AJ43" s="1366" t="s">
        <v>2195</v>
      </c>
      <c r="AK43" s="1361">
        <f>-THG_PV</f>
        <v>-0.13900000000000001</v>
      </c>
      <c r="AL43" s="1361">
        <f>IF(THG_Scope1,0,IF(EBF&gt;0,AK43*MINERGIE!E117*MINERGIE!G117*(1-MINERGIE!I117)/EBF,0))</f>
        <v>0</v>
      </c>
      <c r="AM43" s="1368" t="s">
        <v>2494</v>
      </c>
      <c r="AN43" s="1406">
        <f>IF(AN7&gt;0,AN9*AN8+AN13*AN12+AN17*AN16+AN21*AN20+AN25*AN24,1)</f>
        <v>1</v>
      </c>
    </row>
    <row r="44" spans="1:42" ht="20.100000000000001" customHeight="1">
      <c r="A44" s="1541" t="s">
        <v>2851</v>
      </c>
      <c r="B44" s="1291" t="str">
        <f>IF(bern,Uebersetzung!D703,Uebersetzung!D361)</f>
        <v>Valeur limite pour l'indice Minergie MKZ</v>
      </c>
      <c r="C44" s="1275"/>
      <c r="D44" s="1275"/>
      <c r="E44" s="1275"/>
      <c r="F44" s="1276" t="s">
        <v>524</v>
      </c>
      <c r="G44" s="1277">
        <f>IF(bern,IF(_neu1,($J$54+$I$54)+Standardwerte!N$141-Standardwerte!$R141,0),MINERGIE!V43)</f>
        <v>0</v>
      </c>
      <c r="H44" s="1277">
        <f>IF(bern,IF(_neu2,($J$54+$I$54)+Standardwerte!O$141-Standardwerte!$R141,0),MINERGIE!W43)</f>
        <v>0</v>
      </c>
      <c r="I44" s="1277">
        <f>IF(bern,IF(_neu3,($J$54+$I$54)+Standardwerte!P$141-Standardwerte!$R141,0),MINERGIE!X43)</f>
        <v>0</v>
      </c>
      <c r="J44" s="1277">
        <f>IF(bern,IF(_neu4,($J$54+$I$54)+Standardwerte!Q$141-Standardwerte!$R141,0),MINERGIE!Y43)</f>
        <v>0</v>
      </c>
      <c r="K44" s="1271"/>
      <c r="L44" s="1272">
        <f>IF(IF(OR(bern,MUKEN),EBF_MUKEN&gt;0,EBF&gt;0),(G44*_EBF1+H44*_EBF2+I44*_EBF3+J44*_EBF4)/IF(bern,EBF_neu,EBF),0)</f>
        <v>0</v>
      </c>
      <c r="N44" s="751">
        <f>IF(AND(L24+J24=0,StrombedarfE+EndenergieE&gt;0),StrombedarfE*2+EndenergieE,0)</f>
        <v>0</v>
      </c>
      <c r="O44" s="882" t="s">
        <v>672</v>
      </c>
      <c r="P44" s="5"/>
      <c r="AJ44" s="1366" t="s">
        <v>2196</v>
      </c>
      <c r="AK44" s="1365">
        <f>THG_Strom</f>
        <v>0.13900000000000001</v>
      </c>
      <c r="AL44" s="1365">
        <f>IF(THG_Scope1,0,(MINERGIE!S75-MINERGIE!S15-MINERGIE!S18+MINERGIE!S72)/2*AK44)</f>
        <v>0</v>
      </c>
      <c r="AM44" s="1368" t="s">
        <v>2493</v>
      </c>
      <c r="AN44" s="1406">
        <f>IF(AN7&gt;0,AN10*AN8+AN14*AN12+AN18*AN16+AN22*AN20+AN27*AN24,1)</f>
        <v>1</v>
      </c>
    </row>
    <row r="45" spans="1:42" ht="21.95" customHeight="1">
      <c r="A45" s="1532"/>
      <c r="B45" s="926" t="str">
        <f>Uebersetzung!D280</f>
        <v>Production de chaleur:</v>
      </c>
      <c r="C45" s="682"/>
      <c r="D45" s="682"/>
      <c r="E45" s="219" t="s">
        <v>242</v>
      </c>
      <c r="F45" s="2799" t="str">
        <f>Uebersetzung!D283</f>
        <v>Pondération</v>
      </c>
      <c r="G45" s="2841" t="str">
        <f>Uebersetzung!D284</f>
        <v>Taux de couverture</v>
      </c>
      <c r="H45" s="2842"/>
      <c r="I45" s="2801" t="str">
        <f>Uebersetzung!D285</f>
        <v>Energie finale pondérée kWh/m2</v>
      </c>
      <c r="J45" s="2802"/>
      <c r="K45" s="105"/>
      <c r="L45" s="220" t="str">
        <f>Uebersetzung!D288</f>
        <v>Chaleur</v>
      </c>
      <c r="AK45" s="1358" t="s">
        <v>691</v>
      </c>
      <c r="AL45" s="1370">
        <f>SUM(AL4:AL44)</f>
        <v>0</v>
      </c>
      <c r="AN45" s="1408">
        <f>IF(AN7&gt;0,(AN9*AN5*AN8+AN10*AN8*AN6+AN13*AN12*AN5+AN14*AN12*AN6+AN17*AN16*AN5+AN18*AN16*AN6+AN21*AN20*AN5+AN22*AN20*AN6+AN25*AN24*AN5+AN27*AN24*AN6)/AN7,1)</f>
        <v>1</v>
      </c>
    </row>
    <row r="46" spans="1:42" ht="14.1" customHeight="1">
      <c r="A46" s="1532"/>
      <c r="B46" s="209" t="str">
        <f>Uebersetzung!D281</f>
        <v>(chauffage et eau chaude)</v>
      </c>
      <c r="C46" s="683"/>
      <c r="D46" s="683"/>
      <c r="E46" s="130" t="str">
        <f>Uebersetzung!D282</f>
        <v>ou COPa</v>
      </c>
      <c r="F46" s="2800"/>
      <c r="G46" s="218" t="str">
        <f>J7</f>
        <v>Chauffage</v>
      </c>
      <c r="H46" s="130" t="str">
        <f>L7</f>
        <v>Eau chaude</v>
      </c>
      <c r="I46" s="130" t="str">
        <f>Uebersetzung!D286</f>
        <v>Courant</v>
      </c>
      <c r="J46" s="130" t="str">
        <f>Uebersetzung!D287</f>
        <v>autre</v>
      </c>
      <c r="K46" s="103"/>
      <c r="L46" s="221" t="s">
        <v>160</v>
      </c>
      <c r="N46" s="717" t="s">
        <v>1822</v>
      </c>
      <c r="O46" s="1104" t="s">
        <v>1823</v>
      </c>
      <c r="R46" s="1776" t="s">
        <v>3571</v>
      </c>
    </row>
    <row r="47" spans="1:42" ht="15.95" customHeight="1">
      <c r="A47" s="1532" t="s">
        <v>2852</v>
      </c>
      <c r="B47" s="1289" t="str">
        <f>IF(_typ1=1,"",Standardwerte!U63)</f>
        <v/>
      </c>
      <c r="C47" s="679"/>
      <c r="D47" s="679"/>
      <c r="E47" s="270">
        <f>IF(WirkungsgradA&lt;&gt;"",IF(WirkungsgradA&gt;25,WirkungsgradA/100,WirkungsgradA),"")</f>
        <v>0</v>
      </c>
      <c r="F47" s="117">
        <f>_gew1</f>
        <v>0</v>
      </c>
      <c r="G47" s="1860">
        <f>IF(J8="",0,MIN(J8,IF(J9&lt;&gt;"",J9,J8))*S8)/100</f>
        <v>0</v>
      </c>
      <c r="H47" s="217">
        <f>IF(qw&gt;0,IF(L8="",0,MIN(L8,IF(L9&lt;&gt;"",L9,L8))*T8)/100,)</f>
        <v>0</v>
      </c>
      <c r="I47" s="620">
        <f>IF(Q8&lt;&gt;"",Q8*2,0)</f>
        <v>0</v>
      </c>
      <c r="J47" s="1861">
        <f>P8</f>
        <v>0</v>
      </c>
      <c r="K47" s="104"/>
      <c r="L47" s="225">
        <f>WaermebedarfA</f>
        <v>0</v>
      </c>
      <c r="N47" s="1109">
        <f>IF(E47&gt;0,G47*F47/E47,0)</f>
        <v>0</v>
      </c>
      <c r="O47" s="1112">
        <f>IF(E47&gt;0,H47*F47/E47,0)</f>
        <v>0</v>
      </c>
      <c r="R47" s="1781" t="s">
        <v>779</v>
      </c>
      <c r="S47" s="1782"/>
      <c r="T47" s="1783"/>
      <c r="U47" s="1778">
        <f>IF(EBF=0,0,G25/EBF)</f>
        <v>0</v>
      </c>
      <c r="V47" s="1780" t="s">
        <v>524</v>
      </c>
    </row>
    <row r="48" spans="1:42" ht="15.95" customHeight="1">
      <c r="A48" s="1532" t="s">
        <v>2853</v>
      </c>
      <c r="B48" s="1290" t="str">
        <f>IF(_typ2=1,"",Standardwerte!U64)</f>
        <v/>
      </c>
      <c r="C48" s="680"/>
      <c r="D48" s="680"/>
      <c r="E48" s="270">
        <f>IF(WirkungsgradB&lt;&gt;"",IF(WirkungsgradB&gt;25,WirkungsgradB/100,WirkungsgradB),"")</f>
        <v>0</v>
      </c>
      <c r="F48" s="117">
        <f>_gew2</f>
        <v>0</v>
      </c>
      <c r="G48" s="1862">
        <f>IF(J12="",0,MIN(J12,IF(J13&lt;&gt;"",J13,J12))*S12)/100</f>
        <v>0</v>
      </c>
      <c r="H48" s="217">
        <f>IF(qw&gt;0,IF(L12="",0,MIN(L12,IF(L13&lt;&gt;"",L13,L12))*T12)/100,)</f>
        <v>0</v>
      </c>
      <c r="I48" s="118">
        <f>IF(Q12&lt;&gt;"",Q12*2,0)</f>
        <v>0</v>
      </c>
      <c r="J48" s="1863">
        <f>P12</f>
        <v>0</v>
      </c>
      <c r="K48" s="104"/>
      <c r="L48" s="58">
        <f>WaermebedarfB</f>
        <v>0</v>
      </c>
      <c r="N48" s="1109">
        <f>IF(E48&gt;0,G48*F48/E48,0)</f>
        <v>0</v>
      </c>
      <c r="O48" s="1112">
        <f>IF(E48&gt;0,H48*F48/E48,0)</f>
        <v>0</v>
      </c>
      <c r="R48" s="1784" t="s">
        <v>780</v>
      </c>
      <c r="S48" s="103"/>
      <c r="T48" s="1785"/>
      <c r="U48" s="1779">
        <f>IF(EBF=0,0,G27/EBF)</f>
        <v>0</v>
      </c>
      <c r="V48" s="48" t="s">
        <v>524</v>
      </c>
    </row>
    <row r="49" spans="1:40" ht="15.95" customHeight="1">
      <c r="A49" s="1532" t="s">
        <v>2854</v>
      </c>
      <c r="B49" s="1290" t="str">
        <f>IF(_typ3=1,"",Standardwerte!U65)</f>
        <v/>
      </c>
      <c r="C49" s="680"/>
      <c r="D49" s="680"/>
      <c r="E49" s="270">
        <f>IF(WirkungsgradC&lt;&gt;"",IF(WirkungsgradC&gt;25,WirkungsgradC/100,WirkungsgradC),"")</f>
        <v>0</v>
      </c>
      <c r="F49" s="117">
        <f>_gew3</f>
        <v>0</v>
      </c>
      <c r="G49" s="1862">
        <f>IF(J16="",0,MIN(J16,IF(J17&lt;&gt;"",J17,J16))*S16)/100</f>
        <v>0</v>
      </c>
      <c r="H49" s="217">
        <f>IF(qw&gt;0,IF(L16="",0,MIN(L16,IF(L17&lt;&gt;"",L17,L16))*T16)/100,)</f>
        <v>0</v>
      </c>
      <c r="I49" s="118">
        <f>IF(Q16&lt;&gt;"",Q16*2,0)</f>
        <v>0</v>
      </c>
      <c r="J49" s="1863">
        <f>P16</f>
        <v>0</v>
      </c>
      <c r="K49" s="104"/>
      <c r="L49" s="58">
        <f>WaermebedarfC</f>
        <v>0</v>
      </c>
      <c r="N49" s="1109">
        <f>IF(E49&gt;0,G49*F49/E49,0)</f>
        <v>0</v>
      </c>
      <c r="O49" s="1112">
        <f>IF(E49&gt;0,H49*F49/E49,0)</f>
        <v>0</v>
      </c>
    </row>
    <row r="50" spans="1:40" ht="15.95" customHeight="1">
      <c r="A50" s="1532" t="s">
        <v>2855</v>
      </c>
      <c r="B50" s="1290" t="str">
        <f>IF(_typ4=1,"",Standardwerte!U66)</f>
        <v/>
      </c>
      <c r="C50" s="680"/>
      <c r="D50" s="680"/>
      <c r="E50" s="270">
        <f>IF(WirkungsgradD&lt;&gt;"",IF(WirkungsgradD&gt;25,WirkungsgradD/100,WirkungsgradD),"")</f>
        <v>0</v>
      </c>
      <c r="F50" s="117">
        <f>_gew4</f>
        <v>0</v>
      </c>
      <c r="G50" s="1862">
        <f>IF(J20="",0,MIN(J20,IF(J21&lt;&gt;"",J21,J20))*S20)/100</f>
        <v>0</v>
      </c>
      <c r="H50" s="217">
        <f>IF(qw&gt;0,IF(L20="",0,MIN(L20,IF(L21&lt;&gt;"",L21,L20))*T20)/100,)</f>
        <v>0</v>
      </c>
      <c r="I50" s="118">
        <f>IF(Q20&lt;&gt;"",Q20*2,0)</f>
        <v>0</v>
      </c>
      <c r="J50" s="1863">
        <f>P20</f>
        <v>0</v>
      </c>
      <c r="K50" s="104"/>
      <c r="L50" s="58">
        <f>WaermebedarfD</f>
        <v>0</v>
      </c>
      <c r="N50" s="1109">
        <f>IF(E50&gt;0,G50*F50/E50,0)</f>
        <v>0</v>
      </c>
      <c r="O50" s="1112">
        <f>IF(E50&gt;0,H50*F50/E50,0)</f>
        <v>0</v>
      </c>
    </row>
    <row r="51" spans="1:40" ht="15.95" customHeight="1">
      <c r="A51" s="1532" t="s">
        <v>2856</v>
      </c>
      <c r="B51" s="1290" t="str">
        <f>IF(B24&lt;&gt;"",B24,IF(OR(J24&lt;&gt;"",L24&lt;&gt;""),Uebersetzung!D300,""))</f>
        <v/>
      </c>
      <c r="C51" s="680"/>
      <c r="D51" s="680"/>
      <c r="E51" s="270"/>
      <c r="F51" s="234"/>
      <c r="G51" s="1862" t="str">
        <f>IF(B51="","",J24/100)</f>
        <v/>
      </c>
      <c r="H51" s="217">
        <f>IF(qw&gt;0,IF(B51="","",L24/100),)</f>
        <v>0</v>
      </c>
      <c r="I51" s="118">
        <f>StrombedarfE*2</f>
        <v>0</v>
      </c>
      <c r="J51" s="1864">
        <f>EndenergieE</f>
        <v>0</v>
      </c>
      <c r="K51" s="104"/>
      <c r="L51" s="58">
        <f>WaermebedarfE</f>
        <v>0</v>
      </c>
      <c r="N51" s="1110">
        <f>IF(WaermebedarfE&gt;0,G51*(StrombedarfE*2+EndenergieE)/WaermebedarfE,0)</f>
        <v>0</v>
      </c>
      <c r="O51" s="1107">
        <f>IF(WaermebedarfE&gt;0,H51*(StrombedarfE*2+EndenergieE)/WaermebedarfE,0)</f>
        <v>0</v>
      </c>
    </row>
    <row r="52" spans="1:40" ht="15.95" customHeight="1">
      <c r="A52" s="1532" t="s">
        <v>2857</v>
      </c>
      <c r="B52" s="1290" t="str">
        <f>Uebersetzung!D289</f>
        <v>Besoin d'électricité ventilation</v>
      </c>
      <c r="C52" s="680"/>
      <c r="D52" s="680"/>
      <c r="E52" s="117"/>
      <c r="F52" s="117">
        <f>IF(EBF&gt;0,2,)</f>
        <v>0</v>
      </c>
      <c r="G52" s="1869"/>
      <c r="H52" s="117"/>
      <c r="I52" s="118">
        <f>IF(ISERROR(Qe*F52),,Qe*F52)</f>
        <v>0</v>
      </c>
      <c r="J52" s="1864"/>
      <c r="K52" s="104"/>
      <c r="L52" s="58"/>
      <c r="N52" s="1103">
        <f>SUM(N47:N51)</f>
        <v>0</v>
      </c>
      <c r="O52" s="1103">
        <f>SUM(O47:O51)</f>
        <v>0</v>
      </c>
    </row>
    <row r="53" spans="1:40" ht="15.95" customHeight="1">
      <c r="A53" s="1532" t="s">
        <v>2858</v>
      </c>
      <c r="B53" s="1290" t="str">
        <f>IF(OR(minergiep,minergiea),Uebersetzung!D290,Uebersetzung!D291)</f>
        <v>Electricité climatisation + auxiliaires</v>
      </c>
      <c r="C53" s="680"/>
      <c r="D53" s="680"/>
      <c r="E53" s="117"/>
      <c r="F53" s="222">
        <f>IF(E_Qk=0,0,2)</f>
        <v>0</v>
      </c>
      <c r="G53" s="1869"/>
      <c r="H53" s="1870"/>
      <c r="I53" s="118">
        <f>E_Qk*F53</f>
        <v>0</v>
      </c>
      <c r="J53" s="1864"/>
      <c r="K53" s="104"/>
      <c r="L53" s="226"/>
    </row>
    <row r="54" spans="1:40" ht="15.95" customHeight="1">
      <c r="A54" s="1532" t="s">
        <v>2859</v>
      </c>
      <c r="B54" s="687" t="str">
        <f>Uebersetzung!D292</f>
        <v>Total:</v>
      </c>
      <c r="C54" s="1865"/>
      <c r="D54" s="1865"/>
      <c r="E54" s="1871"/>
      <c r="F54" s="224"/>
      <c r="G54" s="1866">
        <f>SUM(G47:G53)</f>
        <v>0</v>
      </c>
      <c r="H54" s="1866">
        <f>SUM(H47:H53)</f>
        <v>0</v>
      </c>
      <c r="I54" s="1867">
        <f>SUM(I47:I53)</f>
        <v>0</v>
      </c>
      <c r="J54" s="1867">
        <f>SUM(J47:J53)</f>
        <v>0</v>
      </c>
      <c r="K54" s="1872"/>
      <c r="L54" s="1868">
        <f>SUM(L47:L53)</f>
        <v>0</v>
      </c>
      <c r="M54" s="1535"/>
      <c r="N54" s="713"/>
      <c r="O54" s="713"/>
      <c r="P54" s="612"/>
      <c r="Q54" s="612"/>
      <c r="R54" s="612"/>
      <c r="S54" s="612"/>
      <c r="T54" s="612"/>
      <c r="U54" s="612"/>
      <c r="V54" s="612"/>
      <c r="W54" s="612"/>
      <c r="X54" s="612"/>
      <c r="Y54" s="612"/>
      <c r="Z54" s="612"/>
      <c r="AA54" s="612"/>
      <c r="AB54" s="612"/>
      <c r="AC54" s="612"/>
    </row>
    <row r="55" spans="1:40" s="612" customFormat="1" ht="3.95" customHeight="1">
      <c r="A55" s="1517"/>
      <c r="F55" s="712"/>
      <c r="G55" s="2840"/>
      <c r="H55" s="2840"/>
      <c r="M55" s="1533"/>
      <c r="N55" s="121"/>
      <c r="O55" s="121"/>
      <c r="P55" s="96"/>
      <c r="Q55" s="96"/>
      <c r="R55" s="96"/>
      <c r="S55" s="96"/>
      <c r="T55" s="96"/>
      <c r="U55" s="96"/>
      <c r="V55" s="96"/>
      <c r="W55" s="96"/>
      <c r="X55" s="96"/>
      <c r="Y55" s="96"/>
      <c r="Z55" s="96"/>
      <c r="AA55" s="96"/>
      <c r="AB55" s="96"/>
      <c r="AC55" s="96"/>
      <c r="AD55" s="1356"/>
      <c r="AE55" s="1356"/>
      <c r="AF55" s="1356"/>
      <c r="AG55" s="1356"/>
      <c r="AH55" s="1356"/>
      <c r="AI55" s="1356"/>
      <c r="AN55" s="1356"/>
    </row>
    <row r="56" spans="1:40" ht="20.100000000000001" customHeight="1">
      <c r="A56" s="1532"/>
      <c r="B56" s="598" t="str">
        <f>Uebersetzung!D293</f>
        <v>Respect des exigences:</v>
      </c>
      <c r="C56" s="678"/>
      <c r="D56" s="678"/>
      <c r="E56" s="124"/>
      <c r="F56" s="124"/>
      <c r="G56" s="2806" t="str">
        <f>Uebersetzung!D294</f>
        <v>Exigences</v>
      </c>
      <c r="H56" s="2807"/>
      <c r="I56" s="2806" t="str">
        <f>Uebersetzung!D295</f>
        <v>Valeur calculée</v>
      </c>
      <c r="J56" s="2861"/>
      <c r="K56" s="132"/>
      <c r="L56" s="627" t="str">
        <f>Uebersetzung!D299</f>
        <v>Respectée?</v>
      </c>
      <c r="O56" s="368"/>
    </row>
    <row r="57" spans="1:40" ht="20.100000000000001" hidden="1" customHeight="1">
      <c r="A57" s="1532" t="s">
        <v>424</v>
      </c>
      <c r="B57" s="97" t="str">
        <f>IF(Primaeranforderung=0,"","Primäranforderung an Gebäudehülle")</f>
        <v/>
      </c>
      <c r="C57" s="105"/>
      <c r="D57" s="105"/>
      <c r="E57" s="105"/>
      <c r="F57" s="105"/>
      <c r="G57" s="152" t="str">
        <f>IF(Primaeranforderung&gt;0,Primaeranforderung,"")</f>
        <v/>
      </c>
      <c r="H57" s="153" t="str">
        <f>IF(Primaeranforderung=0,""," kWh/m2")</f>
        <v/>
      </c>
      <c r="I57" s="152" t="str">
        <f>IF(Primaeranforderung=0,"",IF(EBF&gt;0,Zonen_vollständig*qhs_vollständig*(Primaer1*_qhs1*Entrées!O2+Primaer2*_qhs2*Entrées!P2+Primaer3*_qhs3*Entrées!Q2+Primaer4*_qhs4*Entrées!R2)/(Primaer1*Entrées!O2+Primaer2*Entrées!P2+Primaer3*Entrées!Q2+Primaer4*Entrées!R2)/3.6,))</f>
        <v/>
      </c>
      <c r="J57" s="154" t="str">
        <f>IF(Primaeranforderung=0,""," kWh/m2")</f>
        <v/>
      </c>
      <c r="K57" s="105"/>
      <c r="L57" s="133" t="str">
        <f>IF(Primaeranforderung=0,"",IF(AND(I57=0,G57=0),"",IF(OR(I57=0,G57=0),"Nein",IF(I57&lt;=G57,IF(nurBadnutzung,"Ja",IF(G54&lt;0.995,"Nein","Ja")),"Nein"))))</f>
        <v/>
      </c>
      <c r="M57" s="557">
        <f>IF(minergiea,0.9*I57/G57,)</f>
        <v>0</v>
      </c>
    </row>
    <row r="58" spans="1:40" ht="20.100000000000001" customHeight="1">
      <c r="A58" s="1541" t="s">
        <v>929</v>
      </c>
      <c r="B58" s="69" t="str">
        <f>IF(OR(MUKEN,bern),IF(bern,Uebersetzung!D703,Uebersetzung!D298),Uebersetzung!D360)</f>
        <v>Valeur limite</v>
      </c>
      <c r="C58" s="26"/>
      <c r="D58" s="26"/>
      <c r="E58" s="14"/>
      <c r="F58" s="2447" t="str">
        <f>IF(AND(G54=0,H54=0),"",IF(OR(G54&lt;0.995,AND(H54&lt;0.995,qw&gt;0)),Uebersetzung!D305,IF(BadMisch,Uebersetzung!D306,IF(AND(G54=0,H54=0),"",IF(OR(G54&lt;0.995,AND(H54&lt;0.995,qw&gt;0)),Uebersetzung!D305,"")))))</f>
        <v/>
      </c>
      <c r="G58" s="997">
        <f>L43</f>
        <v>0</v>
      </c>
      <c r="H58" s="8" t="s">
        <v>584</v>
      </c>
      <c r="I58" s="997">
        <f>IF(nurBadnutzung,"",IF(AND(qh&gt;0,Zonen_vollständig*qh_vollständig=1),IF(OR(WWBonus,WWMIN1,WWMIN2,WWMIN3,WWMIN4),IF(OR(DeckungsgradHeizung&lt;99.5,DeckungsgradHeizung&gt;101,DeckungsgradWW&gt;101),,IF(bern,L44,I54+J54)),IF(OR(DeckungsgradHeizung&lt;99.5,DeckungsgradHeizung&gt;101,DeckungsgradWW&gt;101),,IF(bern,L44,I54+J54))),0))</f>
        <v>0</v>
      </c>
      <c r="J58" s="785" t="s">
        <v>584</v>
      </c>
      <c r="K58" s="26"/>
      <c r="L58" s="774" t="str">
        <f>IF(nurBadnutzung,"",IF(AND(MINERGIE_Wert=0,G58=0),"",IF(MINERGIE_Wert=0,Uebersetzung!D26,IF(ROUND(I58,1)&lt;=ROUND(G58,1),IF(OR(G54&lt;0.995,AND(H54&lt;0.995,qw&gt;0)),Uebersetzung!D26,Uebersetzung!D25),Uebersetzung!D26))))</f>
        <v/>
      </c>
      <c r="M58" s="1536"/>
      <c r="N58" s="954">
        <f>IF(L58=Standardwerte!AA48,1,2)</f>
        <v>2</v>
      </c>
    </row>
    <row r="59" spans="1:40" ht="20.100000000000001" customHeight="1">
      <c r="A59" s="1541" t="s">
        <v>930</v>
      </c>
      <c r="B59" s="2811" t="str">
        <f>Uebersetzung!D478</f>
        <v>Indice Minergie (MKZ)</v>
      </c>
      <c r="C59" s="2812"/>
      <c r="D59" s="2812"/>
      <c r="E59" s="2812"/>
      <c r="F59" s="2813"/>
      <c r="G59" s="1260">
        <f>MINERGIE!Z43</f>
        <v>0</v>
      </c>
      <c r="H59" s="2408" t="s">
        <v>584</v>
      </c>
      <c r="I59" s="1260">
        <f>MINERGIE!S75</f>
        <v>0</v>
      </c>
      <c r="J59" s="2408" t="s">
        <v>584</v>
      </c>
      <c r="K59" s="999"/>
      <c r="L59" s="774" t="str">
        <f>IF(AND(G59&lt;&gt;0,I59&lt;&gt;0),IF(ROUND(I59,1)&lt;=ROUND(G59,1),Uebersetzung!D25,Uebersetzung!D26),"")</f>
        <v/>
      </c>
      <c r="M59" s="1536"/>
      <c r="N59" s="927" t="b">
        <f>IF(L60=O2,TRUE,FALSE)</f>
        <v>0</v>
      </c>
      <c r="O59" s="2534" t="s">
        <v>5160</v>
      </c>
    </row>
    <row r="60" spans="1:40" ht="20.100000000000001" customHeight="1">
      <c r="A60" s="1541" t="s">
        <v>2860</v>
      </c>
      <c r="B60" s="2545" t="str">
        <f>IF(MUKEN,Uebersetzung!D307,Uebersetzung!D724)</f>
        <v>Eau chaude avec min. 20% d'énergie renouvelable (pour restaurants, installations sportives, piscines couvertes) ?</v>
      </c>
      <c r="C60" s="2546"/>
      <c r="D60" s="2546"/>
      <c r="E60" s="2546"/>
      <c r="F60" s="2546"/>
      <c r="G60" s="2546"/>
      <c r="H60" s="2546"/>
      <c r="I60" s="2546"/>
      <c r="J60" s="2546"/>
      <c r="K60" s="2546"/>
      <c r="L60" s="2547"/>
      <c r="N60" s="954">
        <f>IF(N59,1,2)</f>
        <v>2</v>
      </c>
      <c r="O60" s="2535" t="b">
        <f>OR(AND(MUKEN=FALSE,bern=FALSE),AND(MUKEN,ww_erneuerbar=FALSE),AND(bern,ww_erneuerbar_BE=FALSE))</f>
        <v>1</v>
      </c>
    </row>
    <row r="61" spans="1:40" ht="20.100000000000001" customHeight="1">
      <c r="B61" s="2539" t="str">
        <f>Uebersetzung!D301</f>
        <v>Annexes (déposer toute celles de la colonne de gauche)</v>
      </c>
      <c r="C61" s="2540"/>
      <c r="D61" s="2540"/>
      <c r="E61" s="2541"/>
      <c r="F61" s="2542"/>
      <c r="G61" s="890"/>
      <c r="H61" s="2543" t="s">
        <v>775</v>
      </c>
      <c r="I61" s="2530" t="str">
        <f>Uebersetzung!D302</f>
        <v>Marquer d'une croix ce qui convient</v>
      </c>
      <c r="J61" s="2544"/>
      <c r="K61" s="151"/>
      <c r="L61" s="603"/>
    </row>
    <row r="62" spans="1:40" ht="9.9499999999999993" hidden="1" customHeight="1">
      <c r="A62" s="1532"/>
      <c r="B62" s="2808"/>
      <c r="C62" s="2809"/>
      <c r="D62" s="2809"/>
      <c r="E62" s="2809"/>
      <c r="F62" s="2809"/>
      <c r="G62" s="2809"/>
      <c r="H62" s="151"/>
      <c r="I62" s="151"/>
      <c r="J62" s="151"/>
      <c r="K62" s="151"/>
      <c r="L62" s="603"/>
      <c r="M62" s="1535"/>
    </row>
    <row r="63" spans="1:40" ht="18.95" customHeight="1">
      <c r="A63" s="1532" t="s">
        <v>2861</v>
      </c>
      <c r="B63" s="895" t="s">
        <v>775</v>
      </c>
      <c r="C63" s="2853" t="str">
        <f>Uebersetzung!D303</f>
        <v>Schéma chauffage et ventilation</v>
      </c>
      <c r="D63" s="2853"/>
      <c r="E63" s="2853"/>
      <c r="F63" s="2853"/>
      <c r="G63" s="895"/>
      <c r="H63" s="2862"/>
      <c r="I63" s="2862"/>
      <c r="J63" s="2862"/>
      <c r="K63" s="2862"/>
      <c r="L63" s="2863"/>
      <c r="M63" s="1535"/>
      <c r="N63" s="751" t="s">
        <v>3795</v>
      </c>
      <c r="O63" s="416"/>
      <c r="P63" s="1845" t="b">
        <f>AND(AND(DeckungsgradHeizung&gt;99.8,DeckungsgradHeizung&lt;100.2),IF(qw&gt;0,AND(DeckungsgradWW&gt;99.8,DeckungsgradWW&lt;100.2),TRUE))</f>
        <v>0</v>
      </c>
    </row>
    <row r="64" spans="1:40" ht="18.95" customHeight="1">
      <c r="A64" s="1532" t="s">
        <v>2862</v>
      </c>
      <c r="B64" s="896" t="s">
        <v>775</v>
      </c>
      <c r="C64" s="2810" t="str">
        <f>Uebersetzung!D304</f>
        <v>Calculs externes et fiches techniques</v>
      </c>
      <c r="D64" s="2810"/>
      <c r="E64" s="2810"/>
      <c r="F64" s="2810"/>
      <c r="G64" s="896"/>
      <c r="H64" s="2854"/>
      <c r="I64" s="2854"/>
      <c r="J64" s="2854"/>
      <c r="K64" s="2854"/>
      <c r="L64" s="2855"/>
      <c r="M64" s="1535"/>
    </row>
    <row r="65" spans="1:13" ht="18.95" hidden="1" customHeight="1">
      <c r="A65" s="1532" t="s">
        <v>426</v>
      </c>
      <c r="B65" s="642" t="s">
        <v>770</v>
      </c>
      <c r="C65" s="669"/>
      <c r="D65" s="669"/>
      <c r="E65" s="102"/>
      <c r="F65" s="102"/>
      <c r="G65" s="643"/>
      <c r="H65" s="128"/>
      <c r="I65" s="8" t="s">
        <v>774</v>
      </c>
      <c r="J65" s="8"/>
      <c r="K65" s="8"/>
      <c r="L65" s="641"/>
      <c r="M65" s="1535"/>
    </row>
    <row r="66" spans="1:13" ht="18.95" hidden="1" customHeight="1">
      <c r="A66" s="1532" t="s">
        <v>427</v>
      </c>
      <c r="B66" s="2858" t="s">
        <v>772</v>
      </c>
      <c r="C66" s="2859"/>
      <c r="D66" s="2859"/>
      <c r="E66" s="2859"/>
      <c r="F66" s="2859"/>
      <c r="G66" s="2860"/>
      <c r="H66" s="128"/>
      <c r="I66" s="8" t="s">
        <v>759</v>
      </c>
      <c r="J66" s="8"/>
      <c r="K66" s="8"/>
      <c r="L66" s="641"/>
      <c r="M66" s="1535"/>
    </row>
    <row r="67" spans="1:13" ht="18.95" hidden="1" customHeight="1">
      <c r="A67" s="1532" t="s">
        <v>428</v>
      </c>
      <c r="B67" s="2837"/>
      <c r="C67" s="2838"/>
      <c r="D67" s="2838"/>
      <c r="E67" s="2838"/>
      <c r="F67" s="2838"/>
      <c r="G67" s="2839"/>
      <c r="H67" s="128"/>
      <c r="I67" s="8"/>
      <c r="J67" s="8"/>
      <c r="K67" s="8"/>
      <c r="L67" s="641"/>
      <c r="M67" s="1535"/>
    </row>
    <row r="68" spans="1:13" ht="20.100000000000001" hidden="1" customHeight="1">
      <c r="A68" s="1532" t="s">
        <v>429</v>
      </c>
      <c r="B68" s="2837" t="s">
        <v>760</v>
      </c>
      <c r="C68" s="2838"/>
      <c r="D68" s="2838"/>
      <c r="E68" s="2838"/>
      <c r="F68" s="2838"/>
      <c r="G68" s="2839"/>
      <c r="H68" s="150"/>
      <c r="I68" s="2856"/>
      <c r="J68" s="2856"/>
      <c r="K68" s="2856"/>
      <c r="L68" s="2857"/>
      <c r="M68" s="1535"/>
    </row>
    <row r="69" spans="1:13" ht="15.95" hidden="1" customHeight="1">
      <c r="A69" s="1532"/>
      <c r="B69" s="628"/>
      <c r="C69" s="628"/>
      <c r="D69" s="628"/>
      <c r="E69" s="628"/>
      <c r="F69" s="628"/>
      <c r="G69" s="628"/>
      <c r="H69" s="628"/>
      <c r="I69" s="628"/>
      <c r="J69" s="628"/>
      <c r="K69" s="628"/>
      <c r="L69" s="628"/>
      <c r="M69" s="1535"/>
    </row>
    <row r="70" spans="1:13" ht="6" hidden="1" customHeight="1">
      <c r="A70" s="1532"/>
      <c r="E70" s="605"/>
      <c r="F70" s="605"/>
      <c r="G70" s="605"/>
      <c r="H70" s="102"/>
      <c r="I70" s="605"/>
      <c r="J70" s="605"/>
      <c r="K70" s="605"/>
      <c r="L70" s="605"/>
      <c r="M70" s="1535"/>
    </row>
    <row r="71" spans="1:13" ht="12.95" hidden="1" customHeight="1">
      <c r="A71" s="1532"/>
      <c r="B71" s="604" t="s">
        <v>761</v>
      </c>
      <c r="C71" s="604"/>
      <c r="D71" s="606" t="s">
        <v>762</v>
      </c>
      <c r="E71" s="605"/>
      <c r="F71" s="605"/>
      <c r="G71" s="605"/>
      <c r="H71" s="606" t="s">
        <v>763</v>
      </c>
      <c r="J71" s="607"/>
      <c r="K71" s="605"/>
      <c r="L71" s="605"/>
      <c r="M71" s="1535"/>
    </row>
    <row r="72" spans="1:13" ht="12.95" hidden="1" customHeight="1">
      <c r="A72" s="1532"/>
      <c r="B72" s="605"/>
      <c r="C72" s="605"/>
      <c r="D72" s="608"/>
      <c r="E72" s="605"/>
      <c r="F72" s="605"/>
      <c r="G72" s="605"/>
      <c r="H72" s="271" t="s">
        <v>764</v>
      </c>
      <c r="J72" s="607"/>
      <c r="K72" s="605"/>
      <c r="L72" s="605"/>
      <c r="M72" s="1535"/>
    </row>
    <row r="73" spans="1:13" ht="8.1" hidden="1" customHeight="1">
      <c r="A73" s="1532"/>
      <c r="B73" s="605"/>
      <c r="C73" s="605"/>
      <c r="D73" s="608"/>
      <c r="E73" s="605"/>
      <c r="F73" s="605"/>
      <c r="G73" s="605"/>
      <c r="H73" s="608"/>
      <c r="J73" s="607"/>
      <c r="K73" s="605"/>
      <c r="L73" s="605"/>
      <c r="M73" s="1535"/>
    </row>
    <row r="74" spans="1:13" ht="12.75" hidden="1" customHeight="1">
      <c r="A74" s="1532"/>
      <c r="B74" s="609" t="s">
        <v>765</v>
      </c>
      <c r="C74" s="609"/>
      <c r="D74" s="2849"/>
      <c r="E74" s="2850"/>
      <c r="F74" s="2850"/>
      <c r="G74" s="2851"/>
      <c r="H74" s="2849"/>
      <c r="I74" s="2850"/>
      <c r="J74" s="2850"/>
      <c r="K74" s="2850"/>
      <c r="L74" s="2850"/>
      <c r="M74" s="1535"/>
    </row>
    <row r="75" spans="1:13" ht="12.75" hidden="1" customHeight="1">
      <c r="A75" s="1532"/>
      <c r="B75" s="609" t="s">
        <v>766</v>
      </c>
      <c r="C75" s="609"/>
      <c r="D75" s="2849"/>
      <c r="E75" s="2850"/>
      <c r="F75" s="2850"/>
      <c r="G75" s="2851"/>
      <c r="H75" s="2849"/>
      <c r="I75" s="2850"/>
      <c r="J75" s="2850"/>
      <c r="K75" s="2850"/>
      <c r="L75" s="2850"/>
      <c r="M75" s="1535"/>
    </row>
    <row r="76" spans="1:13" ht="12.75" hidden="1" customHeight="1">
      <c r="B76" s="605"/>
      <c r="C76" s="605"/>
      <c r="D76" s="2787"/>
      <c r="E76" s="2788"/>
      <c r="F76" s="2788"/>
      <c r="G76" s="2852"/>
      <c r="H76" s="2787"/>
      <c r="I76" s="2788"/>
      <c r="J76" s="2788"/>
      <c r="K76" s="2788"/>
      <c r="L76" s="2788"/>
      <c r="M76" s="1535"/>
    </row>
    <row r="77" spans="1:13" ht="6.75" hidden="1" customHeight="1">
      <c r="B77" s="605"/>
      <c r="C77" s="605"/>
      <c r="D77" s="608"/>
      <c r="E77" s="605"/>
      <c r="F77" s="605"/>
      <c r="G77" s="605"/>
      <c r="H77" s="608"/>
      <c r="I77" s="685"/>
      <c r="J77" s="607"/>
      <c r="K77" s="605"/>
      <c r="L77" s="605"/>
      <c r="M77" s="1535"/>
    </row>
    <row r="78" spans="1:13" ht="15.75" hidden="1" customHeight="1">
      <c r="A78" s="1532"/>
      <c r="B78" s="609" t="s">
        <v>767</v>
      </c>
      <c r="C78" s="609"/>
      <c r="D78" s="2787"/>
      <c r="E78" s="2788"/>
      <c r="F78" s="2788"/>
      <c r="G78" s="2852"/>
      <c r="H78" s="2787"/>
      <c r="I78" s="2788"/>
      <c r="J78" s="2788"/>
      <c r="K78" s="2788"/>
      <c r="L78" s="2788"/>
      <c r="M78" s="1535"/>
    </row>
    <row r="79" spans="1:13" ht="18" hidden="1" customHeight="1">
      <c r="A79" s="1532"/>
      <c r="B79" s="609" t="s">
        <v>768</v>
      </c>
      <c r="C79" s="609"/>
      <c r="D79" s="2843"/>
      <c r="E79" s="2844"/>
      <c r="F79" s="2844"/>
      <c r="G79" s="2845"/>
      <c r="H79" s="2843"/>
      <c r="I79" s="2844"/>
      <c r="J79" s="2844"/>
      <c r="K79" s="2844"/>
      <c r="L79" s="2844"/>
      <c r="M79" s="1535"/>
    </row>
    <row r="80" spans="1:13" ht="0.95" hidden="1" customHeight="1">
      <c r="A80" s="1532"/>
      <c r="B80" s="605"/>
      <c r="C80" s="605"/>
      <c r="D80" s="2846"/>
      <c r="E80" s="2847"/>
      <c r="F80" s="2847"/>
      <c r="G80" s="2848"/>
      <c r="H80" s="2846"/>
      <c r="I80" s="2847"/>
      <c r="J80" s="2847"/>
      <c r="K80" s="2847"/>
      <c r="L80" s="2847"/>
      <c r="M80" s="1535"/>
    </row>
    <row r="81" spans="1:13" ht="3.75" hidden="1" customHeight="1">
      <c r="A81" s="1532"/>
      <c r="B81" s="605"/>
      <c r="C81" s="605"/>
      <c r="D81" s="605"/>
      <c r="E81" s="605"/>
      <c r="F81" s="605"/>
      <c r="G81" s="686"/>
      <c r="H81" s="686"/>
      <c r="I81" s="686"/>
      <c r="J81" s="605"/>
      <c r="K81" s="605"/>
      <c r="L81" s="605"/>
      <c r="M81" s="1535"/>
    </row>
    <row r="82" spans="1:13" ht="18" hidden="1" customHeight="1">
      <c r="A82" s="1532"/>
      <c r="B82" s="609" t="s">
        <v>769</v>
      </c>
      <c r="C82" s="605"/>
      <c r="D82" s="679" t="s">
        <v>777</v>
      </c>
      <c r="E82" s="684" t="s">
        <v>775</v>
      </c>
      <c r="F82" s="605"/>
      <c r="G82" s="671" t="s">
        <v>778</v>
      </c>
      <c r="H82" s="2609"/>
      <c r="I82" s="2609"/>
      <c r="J82" s="2609"/>
      <c r="K82" s="2609"/>
      <c r="L82" s="2609"/>
      <c r="M82" s="1535"/>
    </row>
    <row r="83" spans="1:13" ht="3" hidden="1" customHeight="1">
      <c r="A83" s="1532"/>
      <c r="B83" s="610"/>
      <c r="C83" s="610"/>
      <c r="D83" s="610"/>
      <c r="E83" s="610"/>
      <c r="F83" s="610"/>
      <c r="G83" s="610"/>
      <c r="H83" s="610"/>
      <c r="I83" s="610"/>
      <c r="J83" s="610"/>
      <c r="K83" s="610"/>
      <c r="L83" s="610"/>
    </row>
    <row r="84" spans="1:13" ht="9.9499999999999993" customHeight="1">
      <c r="B84" s="2836">
        <f ca="1">NOW()</f>
        <v>46034.719198842591</v>
      </c>
      <c r="C84" s="2836"/>
      <c r="D84" s="2836"/>
      <c r="L84" s="779" t="str">
        <f>Entrées!C8&amp;" / "&amp;Entrées!C7&amp;" / "&amp;Entrées!H7&amp;" / "&amp;Entrées!J7&amp;" / "&amp;Entrées!J8&amp;" / "&amp;Entrées!G55&amp;" / "&amp;Entrées!G57</f>
        <v xml:space="preserve"> /  /  /  /  /  / </v>
      </c>
    </row>
    <row r="86" spans="1:13" hidden="1">
      <c r="B86" s="751" t="s">
        <v>1825</v>
      </c>
      <c r="C86" s="124"/>
      <c r="D86" s="124"/>
      <c r="E86" s="124"/>
      <c r="F86" s="1113" t="s">
        <v>524</v>
      </c>
      <c r="G86" s="1114">
        <f>IF(MUKEN,IF(G43=0,0,INDEX(Standardwerte!$L$9:$L$21,Kategorie1,1)/3.6),IF(_EBF1&gt;0,IF(WWMIN1,IF(WWBonus1,0,Standardwerte!J104),0),))</f>
        <v>0</v>
      </c>
      <c r="H86" s="1114">
        <f>IF(MUKEN,IF(H43=0,0,INDEX(Standardwerte!$L$9:$L$21,Kategorie2,1)/3.6),IF(_EBF2&gt;0,IF(WWMIN2,IF(WWBonus2,0,Standardwerte!K104),0),))</f>
        <v>0</v>
      </c>
      <c r="I86" s="1114">
        <f>IF(MUKEN,IF(I43=0,0,INDEX(Standardwerte!$L$9:$L$21,Kategorie3,1)/3.6),IF(_EBF3&gt;0,IF(WWMIN3,IF(WWBonus3,0,Standardwerte!L104),0),))</f>
        <v>0</v>
      </c>
      <c r="J86" s="1114">
        <f>IF(MUKEN,IF(J43=0,0,INDEX(Standardwerte!$L$9:$L$21,Kategorie4,1)/3.6),IF(_EBF4&gt;0,IF(WWMIN4,IF(WWBonus4,0,Standardwerte!M104),0),))</f>
        <v>0</v>
      </c>
      <c r="K86" s="124"/>
      <c r="L86" s="1115">
        <f>IF(ISERROR(Qe),"",IF(MUKEN,IF(EBF_MUKEN&gt;0,(G86*_EBF1+H86*_EBF2+I86*_EBF3+J86*_EBF4)/EBF_MUKEN,0),Qe))</f>
        <v>0</v>
      </c>
    </row>
    <row r="87" spans="1:13" hidden="1">
      <c r="B87" s="2811" t="s">
        <v>1690</v>
      </c>
      <c r="C87" s="2812"/>
      <c r="D87" s="2812"/>
      <c r="E87" s="2812"/>
      <c r="F87" s="2813"/>
      <c r="G87" s="998">
        <f>L44</f>
        <v>0</v>
      </c>
      <c r="H87" s="1012" t="s">
        <v>584</v>
      </c>
      <c r="I87" s="998">
        <f>IF(nurBadnutzung,"",IF(AND(qh&gt;0,Zonen_vollständig*qh_vollständig=1),IF(OR(WWBonus,WWMIN1,WWMIN2,WWMIN3,WWMIN4),IF(OR(DeckungsgradHeizung&lt;99.5,DeckungsgradHeizung&gt;101,DeckungsgradWW&gt;101),,I54+J54),IF(OR(DeckungsgradHeizung&lt;99.5,DeckungsgradHeizung&gt;101,DeckungsgradWW&gt;101),,I54+J54)),0))</f>
        <v>0</v>
      </c>
      <c r="J87" s="1012" t="s">
        <v>584</v>
      </c>
      <c r="K87" s="999"/>
      <c r="L87" s="774" t="str">
        <f>IF(AND(G87&gt;0,I87&gt;0),IF(I87&lt;=G87,Uebersetzung!D25,Uebersetzung!D26),"")</f>
        <v/>
      </c>
    </row>
  </sheetData>
  <sheetProtection password="C616" sheet="1" objects="1" scenarios="1"/>
  <mergeCells count="70">
    <mergeCell ref="B68:G68"/>
    <mergeCell ref="H17:H19"/>
    <mergeCell ref="AF4:AG4"/>
    <mergeCell ref="AF5:AG5"/>
    <mergeCell ref="V4:W4"/>
    <mergeCell ref="B14:E14"/>
    <mergeCell ref="X12:Y12"/>
    <mergeCell ref="X20:Y20"/>
    <mergeCell ref="X16:Y16"/>
    <mergeCell ref="J18:J19"/>
    <mergeCell ref="J22:J23"/>
    <mergeCell ref="J14:J15"/>
    <mergeCell ref="L22:L23"/>
    <mergeCell ref="L14:L15"/>
    <mergeCell ref="L18:L19"/>
    <mergeCell ref="B16:G16"/>
    <mergeCell ref="B84:D84"/>
    <mergeCell ref="B67:G67"/>
    <mergeCell ref="G55:H55"/>
    <mergeCell ref="G45:H45"/>
    <mergeCell ref="D79:G80"/>
    <mergeCell ref="D74:G76"/>
    <mergeCell ref="C63:F63"/>
    <mergeCell ref="H64:L64"/>
    <mergeCell ref="H82:L82"/>
    <mergeCell ref="H74:L76"/>
    <mergeCell ref="H79:L80"/>
    <mergeCell ref="D78:G78"/>
    <mergeCell ref="I68:L68"/>
    <mergeCell ref="B66:G66"/>
    <mergeCell ref="I56:J56"/>
    <mergeCell ref="H63:L63"/>
    <mergeCell ref="B20:G20"/>
    <mergeCell ref="X4:AA4"/>
    <mergeCell ref="S6:T6"/>
    <mergeCell ref="X6:Y6"/>
    <mergeCell ref="X8:Y8"/>
    <mergeCell ref="H13:H15"/>
    <mergeCell ref="B87:F87"/>
    <mergeCell ref="B59:F59"/>
    <mergeCell ref="H2:L2"/>
    <mergeCell ref="F3:G3"/>
    <mergeCell ref="H3:L3"/>
    <mergeCell ref="H4:L4"/>
    <mergeCell ref="J10:J11"/>
    <mergeCell ref="B8:G8"/>
    <mergeCell ref="B11:E11"/>
    <mergeCell ref="J6:L6"/>
    <mergeCell ref="H6:I6"/>
    <mergeCell ref="L10:L11"/>
    <mergeCell ref="B7:G7"/>
    <mergeCell ref="H9:H11"/>
    <mergeCell ref="B9:E9"/>
    <mergeCell ref="B13:E13"/>
    <mergeCell ref="AK2:AL2"/>
    <mergeCell ref="H78:L78"/>
    <mergeCell ref="B12:G12"/>
    <mergeCell ref="B24:G24"/>
    <mergeCell ref="I28:L28"/>
    <mergeCell ref="B21:E21"/>
    <mergeCell ref="B22:E22"/>
    <mergeCell ref="B18:E18"/>
    <mergeCell ref="B17:E17"/>
    <mergeCell ref="F45:F46"/>
    <mergeCell ref="I45:J45"/>
    <mergeCell ref="H21:H23"/>
    <mergeCell ref="G56:H56"/>
    <mergeCell ref="B62:G62"/>
    <mergeCell ref="C64:F64"/>
    <mergeCell ref="B10:E10"/>
  </mergeCells>
  <phoneticPr fontId="7" type="noConversion"/>
  <conditionalFormatting sqref="A44">
    <cfRule type="expression" dxfId="147" priority="30">
      <formula>OR(MUKEN)</formula>
    </cfRule>
  </conditionalFormatting>
  <conditionalFormatting sqref="A59">
    <cfRule type="expression" dxfId="146" priority="32">
      <formula>OR(MUKEN,bern)</formula>
    </cfRule>
  </conditionalFormatting>
  <conditionalFormatting sqref="A63:A64">
    <cfRule type="expression" dxfId="145" priority="33">
      <formula>AND(MUKEN=FALSE,bern=FALSE)</formula>
    </cfRule>
  </conditionalFormatting>
  <conditionalFormatting sqref="A60:L60">
    <cfRule type="expression" dxfId="144" priority="2">
      <formula>OR(AND(MUKEN=FALSE,bern=FALSE),$O$60)</formula>
    </cfRule>
  </conditionalFormatting>
  <conditionalFormatting sqref="B35">
    <cfRule type="expression" dxfId="143" priority="48">
      <formula>qw=0</formula>
    </cfRule>
  </conditionalFormatting>
  <conditionalFormatting sqref="B87:J87">
    <cfRule type="expression" dxfId="142" priority="44">
      <formula>MUKEN=TRUE</formula>
    </cfRule>
  </conditionalFormatting>
  <conditionalFormatting sqref="B44:L44">
    <cfRule type="expression" dxfId="141" priority="42">
      <formula>OR(MUKEN)</formula>
    </cfRule>
  </conditionalFormatting>
  <conditionalFormatting sqref="B59:L59">
    <cfRule type="expression" dxfId="140" priority="38">
      <formula>OR(MUKEN,bern)</formula>
    </cfRule>
  </conditionalFormatting>
  <conditionalFormatting sqref="B60:L60">
    <cfRule type="expression" dxfId="139" priority="1">
      <formula>AND(OR(MUKEN,bern),$O$60=FALSE)</formula>
    </cfRule>
  </conditionalFormatting>
  <conditionalFormatting sqref="B61:L61">
    <cfRule type="expression" dxfId="138" priority="7">
      <formula>OR(MUKEN,bern)</formula>
    </cfRule>
    <cfRule type="expression" dxfId="137" priority="8">
      <formula>OR(bern=FALSE,MUKEN=FALSE)</formula>
    </cfRule>
  </conditionalFormatting>
  <conditionalFormatting sqref="B61:L64">
    <cfRule type="expression" dxfId="136" priority="35">
      <formula>AND(bern=FALSE,MUKEN=FALSE)</formula>
    </cfRule>
  </conditionalFormatting>
  <conditionalFormatting sqref="B63:L63">
    <cfRule type="expression" dxfId="135" priority="6">
      <formula>OR(bern=FALSE,MUKEN=FALSE)</formula>
    </cfRule>
  </conditionalFormatting>
  <conditionalFormatting sqref="F35">
    <cfRule type="expression" dxfId="134" priority="47">
      <formula>qw=0</formula>
    </cfRule>
  </conditionalFormatting>
  <conditionalFormatting sqref="F86">
    <cfRule type="expression" dxfId="133" priority="41">
      <formula>qw=0</formula>
    </cfRule>
  </conditionalFormatting>
  <conditionalFormatting sqref="G9">
    <cfRule type="expression" dxfId="132" priority="574">
      <formula>AND(B9&lt;&gt;"",M9&lt;2)</formula>
    </cfRule>
  </conditionalFormatting>
  <conditionalFormatting sqref="G10">
    <cfRule type="expression" dxfId="131" priority="295">
      <formula>B10&lt;&gt;""</formula>
    </cfRule>
  </conditionalFormatting>
  <conditionalFormatting sqref="G13">
    <cfRule type="expression" dxfId="130" priority="28">
      <formula>AND(B13&lt;&gt;"",M13&lt;2)</formula>
    </cfRule>
  </conditionalFormatting>
  <conditionalFormatting sqref="G14">
    <cfRule type="expression" dxfId="129" priority="293">
      <formula>B14&lt;&gt;""</formula>
    </cfRule>
  </conditionalFormatting>
  <conditionalFormatting sqref="G17">
    <cfRule type="expression" dxfId="128" priority="27">
      <formula>AND(B17&lt;&gt;"",M17&lt;2)</formula>
    </cfRule>
  </conditionalFormatting>
  <conditionalFormatting sqref="G18">
    <cfRule type="expression" dxfId="127" priority="297">
      <formula>B18&lt;&gt;""</formula>
    </cfRule>
  </conditionalFormatting>
  <conditionalFormatting sqref="G21">
    <cfRule type="expression" dxfId="126" priority="29">
      <formula>AND(B21&lt;&gt;"",M21&lt;2)</formula>
    </cfRule>
  </conditionalFormatting>
  <conditionalFormatting sqref="G22">
    <cfRule type="expression" dxfId="125" priority="298">
      <formula>B22&lt;&gt;""</formula>
    </cfRule>
  </conditionalFormatting>
  <conditionalFormatting sqref="J8">
    <cfRule type="expression" dxfId="124" priority="81">
      <formula>$S$8=1</formula>
    </cfRule>
  </conditionalFormatting>
  <conditionalFormatting sqref="J12">
    <cfRule type="expression" dxfId="123" priority="79">
      <formula>$S$12=1</formula>
    </cfRule>
  </conditionalFormatting>
  <conditionalFormatting sqref="J16">
    <cfRule type="expression" dxfId="122" priority="77">
      <formula>$S$16=1</formula>
    </cfRule>
  </conditionalFormatting>
  <conditionalFormatting sqref="J20">
    <cfRule type="expression" dxfId="121" priority="75">
      <formula>$S$20=1</formula>
    </cfRule>
  </conditionalFormatting>
  <conditionalFormatting sqref="J27">
    <cfRule type="expression" dxfId="120" priority="82">
      <formula>AND(EBF_MUKEN&gt;0,OR($J$27&lt;99.8,$J$27&gt;100.2))</formula>
    </cfRule>
    <cfRule type="expression" dxfId="119" priority="83">
      <formula>AND($J$27&gt;=99.8,$J$27&lt;=100.2)</formula>
    </cfRule>
  </conditionalFormatting>
  <conditionalFormatting sqref="L8">
    <cfRule type="expression" dxfId="118" priority="80">
      <formula>AND($T$8=1,qw&gt;0)</formula>
    </cfRule>
  </conditionalFormatting>
  <conditionalFormatting sqref="L8:L19">
    <cfRule type="expression" dxfId="117" priority="11">
      <formula>qw=0</formula>
    </cfRule>
  </conditionalFormatting>
  <conditionalFormatting sqref="L12">
    <cfRule type="expression" dxfId="116" priority="78">
      <formula>AND($T$12=1,qw&gt;0)</formula>
    </cfRule>
  </conditionalFormatting>
  <conditionalFormatting sqref="L16">
    <cfRule type="expression" dxfId="115" priority="76">
      <formula>AND($T$16=1,qw&gt;0)</formula>
    </cfRule>
  </conditionalFormatting>
  <conditionalFormatting sqref="L20">
    <cfRule type="expression" dxfId="114" priority="52">
      <formula>qw=0</formula>
    </cfRule>
    <cfRule type="expression" dxfId="113" priority="74">
      <formula>AND($T$20=1,qw&gt;0)</formula>
    </cfRule>
  </conditionalFormatting>
  <conditionalFormatting sqref="L21:L24">
    <cfRule type="expression" dxfId="112" priority="24">
      <formula>qw=0</formula>
    </cfRule>
  </conditionalFormatting>
  <conditionalFormatting sqref="L27">
    <cfRule type="expression" dxfId="111" priority="49">
      <formula>qw=0</formula>
    </cfRule>
    <cfRule type="expression" dxfId="110" priority="72">
      <formula>OR($L$27&lt;99.8,$L$27&gt;100.2)</formula>
    </cfRule>
    <cfRule type="expression" dxfId="109" priority="73">
      <formula>AND($L$27&gt;=99.8,$L$27&lt;=100.2)</formula>
    </cfRule>
  </conditionalFormatting>
  <conditionalFormatting sqref="L58:L59">
    <cfRule type="cellIs" dxfId="108" priority="39" stopIfTrue="1" operator="equal">
      <formula>$O$2</formula>
    </cfRule>
    <cfRule type="cellIs" dxfId="107" priority="40" stopIfTrue="1" operator="equal">
      <formula>$O$3</formula>
    </cfRule>
  </conditionalFormatting>
  <conditionalFormatting sqref="L59">
    <cfRule type="expression" dxfId="106" priority="37">
      <formula>MUKEN=TRUE</formula>
    </cfRule>
  </conditionalFormatting>
  <conditionalFormatting sqref="L60">
    <cfRule type="expression" dxfId="105" priority="61">
      <formula>OR($L$60="",$N$59=FALSE)</formula>
    </cfRule>
  </conditionalFormatting>
  <conditionalFormatting sqref="L87">
    <cfRule type="expression" dxfId="104" priority="43">
      <formula>MUKEN=TRUE</formula>
    </cfRule>
    <cfRule type="cellIs" dxfId="103" priority="45" stopIfTrue="1" operator="equal">
      <formula>$O$2</formula>
    </cfRule>
    <cfRule type="cellIs" dxfId="102" priority="46" stopIfTrue="1" operator="equal">
      <formula>$O$3</formula>
    </cfRule>
  </conditionalFormatting>
  <dataValidations count="3">
    <dataValidation type="list" allowBlank="1" showInputMessage="1" showErrorMessage="1" sqref="B63:B64 E82 G63:G64">
      <formula1>$N$2:$N$3</formula1>
    </dataValidation>
    <dataValidation type="list" allowBlank="1" showInputMessage="1" showErrorMessage="1" sqref="L60">
      <formula1>$O$1:$O$3</formula1>
    </dataValidation>
    <dataValidation type="list" allowBlank="1" showInputMessage="1" showErrorMessage="1" sqref="B20:G20 B8:G8 B12:G12 B16:G16">
      <formula1>Erzeugung</formula1>
    </dataValidation>
  </dataValidations>
  <pageMargins left="0.47244094488188981" right="0.39370078740157483" top="0.59055118110236227" bottom="0.35433070866141736" header="0.39370078740157483" footer="0.27559055118110237"/>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pageSetUpPr fitToPage="1"/>
  </sheetPr>
  <dimension ref="A1:X101"/>
  <sheetViews>
    <sheetView workbookViewId="0"/>
  </sheetViews>
  <sheetFormatPr baseColWidth="10" defaultColWidth="11.5703125" defaultRowHeight="12.75"/>
  <cols>
    <col min="1" max="1" width="3.7109375" style="1528" customWidth="1"/>
    <col min="2" max="2" width="12.7109375" style="27" customWidth="1"/>
    <col min="3" max="6" width="7.42578125" style="27" customWidth="1"/>
    <col min="7" max="7" width="12.28515625" style="27" customWidth="1"/>
    <col min="8" max="8" width="7.5703125" style="27" customWidth="1"/>
    <col min="9" max="12" width="9.7109375" style="27" customWidth="1"/>
    <col min="13" max="13" width="4.7109375" style="27" customWidth="1"/>
    <col min="14" max="14" width="1.7109375" style="27" customWidth="1"/>
    <col min="15" max="24" width="11.5703125" style="27" hidden="1" customWidth="1"/>
    <col min="25" max="25" width="11.5703125" style="27" customWidth="1"/>
    <col min="26" max="16384" width="11.5703125" style="27"/>
  </cols>
  <sheetData>
    <row r="1" spans="1:23">
      <c r="B1" s="1683" t="str">
        <f>Entrées!B1</f>
        <v>v2.97</v>
      </c>
      <c r="C1" s="5"/>
      <c r="D1" s="5"/>
      <c r="E1" s="5"/>
      <c r="F1" s="5"/>
      <c r="G1" s="5"/>
      <c r="H1" s="5"/>
      <c r="I1" s="5"/>
      <c r="J1" s="5"/>
      <c r="K1" s="5"/>
      <c r="L1" s="779"/>
      <c r="M1" s="779" t="str">
        <f>Entrées!K1</f>
        <v>Formulaire EN101b, v2.97, à utiliser jusqu'au 31 décembre 2026</v>
      </c>
      <c r="N1" s="1528"/>
    </row>
    <row r="2" spans="1:23" ht="13.15" customHeight="1">
      <c r="B2" s="1680"/>
      <c r="C2" s="820"/>
      <c r="D2" s="820"/>
      <c r="E2" s="820"/>
      <c r="F2" s="820"/>
      <c r="G2" s="1681"/>
      <c r="H2" s="2919" t="str">
        <f>IF(bern,Uebersetzung!D710,Uebersetzung!D320)</f>
        <v>Protection thermique estivale dans le label Minergie</v>
      </c>
      <c r="I2" s="2920"/>
      <c r="J2" s="2920"/>
      <c r="K2" s="2920"/>
      <c r="L2" s="2920"/>
      <c r="M2" s="2921"/>
      <c r="N2" s="1528"/>
    </row>
    <row r="3" spans="1:23" ht="20.25">
      <c r="B3" s="2456">
        <f>IF(MUKEN,1,0)</f>
        <v>1</v>
      </c>
      <c r="C3" s="143">
        <f>IF(OR(MUKEN,bern),0,1)</f>
        <v>0</v>
      </c>
      <c r="D3" s="2455">
        <f>IF(bern,1,0)</f>
        <v>0</v>
      </c>
      <c r="E3" s="42"/>
      <c r="F3" s="2814"/>
      <c r="G3" s="2658"/>
      <c r="H3" s="2922"/>
      <c r="I3" s="2923"/>
      <c r="J3" s="2923"/>
      <c r="K3" s="2923"/>
      <c r="L3" s="2923"/>
      <c r="M3" s="2924"/>
      <c r="N3" s="1528"/>
    </row>
    <row r="4" spans="1:23" ht="13.9" customHeight="1">
      <c r="B4" s="94"/>
      <c r="C4" s="60"/>
      <c r="D4" s="60"/>
      <c r="E4" s="60"/>
      <c r="F4" s="60"/>
      <c r="G4" s="116"/>
      <c r="H4" s="2925"/>
      <c r="I4" s="2926"/>
      <c r="J4" s="2926"/>
      <c r="K4" s="2926"/>
      <c r="L4" s="2926"/>
      <c r="M4" s="2927"/>
      <c r="N4" s="1528"/>
    </row>
    <row r="5" spans="1:23" ht="9.9499999999999993" customHeight="1">
      <c r="N5" s="1528"/>
    </row>
    <row r="6" spans="1:23" ht="15.75" hidden="1">
      <c r="B6" s="1017"/>
      <c r="C6" s="1015"/>
      <c r="D6" s="1015"/>
      <c r="E6" s="1015"/>
      <c r="F6" s="1015"/>
      <c r="G6" s="1015"/>
      <c r="H6" s="1015"/>
      <c r="I6" s="1015"/>
      <c r="J6" s="1015"/>
      <c r="K6" s="1015"/>
      <c r="L6" s="1016"/>
      <c r="N6" s="1528"/>
      <c r="O6" s="1018"/>
      <c r="P6" s="1018"/>
      <c r="Q6" s="1018"/>
      <c r="R6" s="1018"/>
      <c r="S6" s="1018"/>
    </row>
    <row r="7" spans="1:23" ht="20.100000000000001" customHeight="1">
      <c r="A7" s="1528" t="s">
        <v>3261</v>
      </c>
      <c r="B7" s="2928" t="str">
        <f>IF(Projekt1="","",Projekt1)</f>
        <v/>
      </c>
      <c r="C7" s="2929"/>
      <c r="D7" s="2929"/>
      <c r="E7" s="2929"/>
      <c r="F7" s="2929"/>
      <c r="G7" s="2929"/>
      <c r="H7" s="2929"/>
      <c r="I7" s="2929"/>
      <c r="J7" s="2929"/>
      <c r="K7" s="2929"/>
      <c r="L7" s="2929"/>
      <c r="M7" s="2930"/>
      <c r="N7" s="1528"/>
      <c r="O7" s="1018"/>
      <c r="P7" s="1018"/>
      <c r="Q7" s="1018"/>
      <c r="R7" s="1018"/>
      <c r="S7" s="1018"/>
    </row>
    <row r="8" spans="1:23" ht="15" hidden="1" customHeight="1">
      <c r="B8" s="2931"/>
      <c r="C8" s="2932"/>
      <c r="D8" s="2932"/>
      <c r="E8" s="2932"/>
      <c r="F8" s="2932"/>
      <c r="G8" s="2932"/>
      <c r="H8" s="2932"/>
      <c r="I8" s="2932"/>
      <c r="J8" s="2932"/>
      <c r="K8" s="2932"/>
      <c r="L8" s="2932"/>
      <c r="M8" s="2933"/>
      <c r="N8" s="1528"/>
      <c r="O8" s="1018"/>
      <c r="P8" s="1018"/>
      <c r="Q8" s="1018"/>
      <c r="R8" s="1018"/>
      <c r="S8" s="1018"/>
    </row>
    <row r="9" spans="1:23" ht="24.95" customHeight="1">
      <c r="A9" s="1528" t="s">
        <v>3262</v>
      </c>
      <c r="B9" s="2915" t="str">
        <f>IF(Projekt4="","",Projekt4)</f>
        <v/>
      </c>
      <c r="C9" s="2916"/>
      <c r="D9" s="2916"/>
      <c r="E9" s="2916"/>
      <c r="F9" s="2916"/>
      <c r="G9" s="2916"/>
      <c r="H9" s="2916"/>
      <c r="I9" s="2916"/>
      <c r="J9" s="2916"/>
      <c r="K9" s="2916"/>
      <c r="L9" s="2916"/>
      <c r="M9" s="2917"/>
      <c r="N9" s="1528"/>
      <c r="O9" s="1015"/>
      <c r="P9" s="1018"/>
      <c r="Q9" s="1015"/>
      <c r="R9" s="1015"/>
      <c r="S9" s="1015"/>
    </row>
    <row r="10" spans="1:23" ht="39.950000000000003" customHeight="1">
      <c r="A10" s="1528" t="s">
        <v>3443</v>
      </c>
      <c r="B10" s="2918" t="str">
        <f>Uebersetzung!D322</f>
        <v>Variante 1: Evaluation globale de cas standards pour les affectations suivantes: habitation, bureau individuel ou paysager, salle de réunion et dépôt (sans refroidissement)</v>
      </c>
      <c r="C10" s="2918"/>
      <c r="D10" s="2918"/>
      <c r="E10" s="2918"/>
      <c r="F10" s="2918"/>
      <c r="G10" s="2918"/>
      <c r="H10" s="2918"/>
      <c r="I10" s="2918"/>
      <c r="J10" s="2918"/>
      <c r="K10" s="2918"/>
      <c r="L10" s="2918"/>
      <c r="M10" s="1676"/>
      <c r="N10" s="1528"/>
      <c r="O10" s="1015"/>
      <c r="P10" s="1018"/>
      <c r="Q10" s="1015"/>
      <c r="R10" s="1015"/>
      <c r="S10" s="1015"/>
    </row>
    <row r="11" spans="1:23" ht="15" customHeight="1">
      <c r="B11" s="2868" t="str">
        <f>Uebersetzung!D323</f>
        <v>L'évaluation globale est valable pour les zones dans lesquelles les conditions suivantes sont respectées pour tous les locaux:</v>
      </c>
      <c r="C11" s="2869"/>
      <c r="D11" s="2869"/>
      <c r="E11" s="2869"/>
      <c r="F11" s="2869"/>
      <c r="G11" s="2869"/>
      <c r="H11" s="2869"/>
      <c r="I11" s="2869"/>
      <c r="J11" s="2869"/>
      <c r="K11" s="2869"/>
      <c r="L11" s="2869"/>
      <c r="M11" s="2870"/>
      <c r="N11" s="1528"/>
      <c r="O11" s="1019"/>
      <c r="P11" s="1019"/>
      <c r="Q11" s="1019"/>
      <c r="R11" s="1055">
        <v>1</v>
      </c>
      <c r="S11" s="1327">
        <v>1</v>
      </c>
    </row>
    <row r="12" spans="1:23" ht="15" customHeight="1">
      <c r="A12" s="1530"/>
      <c r="B12" s="2878" t="str">
        <f>Uebersetzung!D537</f>
        <v>- Pas d'ouverture zénithale</v>
      </c>
      <c r="C12" s="2879"/>
      <c r="D12" s="2879"/>
      <c r="E12" s="2879"/>
      <c r="F12" s="2879"/>
      <c r="G12" s="2879"/>
      <c r="H12" s="2879"/>
      <c r="I12" s="2879"/>
      <c r="J12" s="2879"/>
      <c r="K12" s="2879"/>
      <c r="L12" s="2879"/>
      <c r="M12" s="2880"/>
      <c r="N12" s="1528"/>
      <c r="O12" s="1689" t="str">
        <f>Uebersetzung!D27</f>
        <v>n.a.</v>
      </c>
      <c r="P12" s="1685" t="str">
        <f>O12</f>
        <v>n.a.</v>
      </c>
      <c r="Q12" s="1685" t="str">
        <f>Uebersetzung!D350</f>
        <v>Volets roulants</v>
      </c>
      <c r="R12" s="1021">
        <v>2</v>
      </c>
      <c r="S12" s="1022">
        <v>4</v>
      </c>
    </row>
    <row r="13" spans="1:23" ht="15" customHeight="1">
      <c r="B13" s="2878" t="str">
        <f>Uebersetzung!D538</f>
        <v>- Protection solaire extérieure mobile avec stores à rouleau ou à lamellles (valeur g-total max. 0.1)</v>
      </c>
      <c r="C13" s="2879"/>
      <c r="D13" s="2879"/>
      <c r="E13" s="2879"/>
      <c r="F13" s="2879"/>
      <c r="G13" s="2879"/>
      <c r="H13" s="2879"/>
      <c r="I13" s="2879"/>
      <c r="J13" s="2879"/>
      <c r="K13" s="2879"/>
      <c r="L13" s="2879"/>
      <c r="M13" s="2880"/>
      <c r="N13" s="1528"/>
      <c r="O13" s="1024" t="str">
        <f>Uebersetzung!D25</f>
        <v>oui</v>
      </c>
      <c r="P13" s="1024" t="str">
        <f>O13</f>
        <v>oui</v>
      </c>
      <c r="Q13" s="1024" t="str">
        <f>Uebersetzung!D351</f>
        <v>Stores à lamelles</v>
      </c>
      <c r="R13" s="1055">
        <v>3</v>
      </c>
      <c r="S13" s="1327">
        <v>2</v>
      </c>
    </row>
    <row r="14" spans="1:23" ht="15" customHeight="1">
      <c r="B14" s="1740" t="str">
        <f>Uebersetzung!D539</f>
        <v>- Rafraîchis. nocturne par les fen. possible (précision : la protect. contre l'effraction n'est en général pas contrôlée dans le cadre de la certif. Minergie)</v>
      </c>
      <c r="C14" s="1741"/>
      <c r="D14" s="1741"/>
      <c r="E14" s="1741"/>
      <c r="F14" s="1741"/>
      <c r="G14" s="1741"/>
      <c r="H14" s="1741"/>
      <c r="I14" s="1741"/>
      <c r="J14" s="1741"/>
      <c r="K14" s="1741"/>
      <c r="L14" s="1741"/>
      <c r="M14" s="1742"/>
      <c r="N14" s="1528"/>
      <c r="O14" s="1024" t="str">
        <f>Uebersetzung!D26</f>
        <v>non</v>
      </c>
      <c r="P14" s="1024" t="str">
        <f>O14</f>
        <v>non</v>
      </c>
      <c r="Q14" s="1024" t="str">
        <f>Uebersetzung!D352</f>
        <v>Module Minergie</v>
      </c>
      <c r="R14" s="1055">
        <v>4</v>
      </c>
      <c r="S14" s="1327">
        <v>3</v>
      </c>
    </row>
    <row r="15" spans="1:23" ht="15" customHeight="1">
      <c r="B15" s="2881" t="str">
        <f>Uebersetzung!D327</f>
        <v>- charges thermiques internes pas plus élevées que la valeur standard figurant dans le cahier technique SIA 2024.</v>
      </c>
      <c r="C15" s="2882"/>
      <c r="D15" s="2882"/>
      <c r="E15" s="2882"/>
      <c r="F15" s="2882"/>
      <c r="G15" s="2882"/>
      <c r="H15" s="2882"/>
      <c r="I15" s="2882"/>
      <c r="J15" s="2882"/>
      <c r="K15" s="2882"/>
      <c r="L15" s="2882"/>
      <c r="M15" s="2883"/>
      <c r="N15" s="1528"/>
      <c r="O15" s="1026"/>
      <c r="P15" s="1026"/>
      <c r="Q15" s="1026" t="str">
        <f>Uebersetzung!D353</f>
        <v>Autres</v>
      </c>
      <c r="R15" s="1055">
        <v>5</v>
      </c>
      <c r="S15" s="1015"/>
    </row>
    <row r="16" spans="1:23" ht="17.100000000000001" customHeight="1">
      <c r="B16" s="2871" t="str">
        <f>Uebersetzung!D558</f>
        <v>- Résistance au vent des protections solaires extérieures mobiles d'au moins classe 5</v>
      </c>
      <c r="C16" s="2872"/>
      <c r="D16" s="2872"/>
      <c r="E16" s="2872"/>
      <c r="F16" s="2872"/>
      <c r="G16" s="2872"/>
      <c r="H16" s="2872"/>
      <c r="I16" s="2872"/>
      <c r="J16" s="2872"/>
      <c r="K16" s="2872"/>
      <c r="L16" s="2872"/>
      <c r="M16" s="2873"/>
      <c r="N16" s="1528"/>
      <c r="O16" s="1019"/>
      <c r="P16" s="1019"/>
      <c r="Q16" s="1019"/>
      <c r="R16" s="1019"/>
      <c r="S16" s="1015"/>
      <c r="T16" s="1686" t="s">
        <v>1721</v>
      </c>
      <c r="U16" s="1027"/>
      <c r="V16" s="1027"/>
      <c r="W16" s="1687"/>
    </row>
    <row r="17" spans="1:23" ht="20.100000000000001" customHeight="1">
      <c r="B17" s="1739"/>
      <c r="C17" s="1746"/>
      <c r="D17" s="1746"/>
      <c r="E17" s="1746"/>
      <c r="F17" s="1746"/>
      <c r="G17" s="1746"/>
      <c r="H17" s="1747" t="s">
        <v>1722</v>
      </c>
      <c r="I17" s="1748">
        <v>1</v>
      </c>
      <c r="J17" s="1748">
        <v>2</v>
      </c>
      <c r="K17" s="1748">
        <v>3</v>
      </c>
      <c r="L17" s="1749">
        <v>4</v>
      </c>
      <c r="M17" s="1750"/>
      <c r="N17" s="1528"/>
      <c r="O17" s="1731">
        <v>1</v>
      </c>
      <c r="P17" s="662">
        <v>2</v>
      </c>
      <c r="Q17" s="662">
        <v>3</v>
      </c>
      <c r="R17" s="1732">
        <v>4</v>
      </c>
      <c r="S17" s="1716"/>
      <c r="T17" s="1733">
        <v>1</v>
      </c>
      <c r="U17" s="1734">
        <v>2</v>
      </c>
      <c r="V17" s="1734">
        <v>3</v>
      </c>
      <c r="W17" s="1735">
        <v>4</v>
      </c>
    </row>
    <row r="18" spans="1:23" ht="15" customHeight="1">
      <c r="B18" s="1033" t="str">
        <f>Uebersetzung!D328</f>
        <v>Les locaux de cette zone satisfont-ils les critères?</v>
      </c>
      <c r="C18" s="1677"/>
      <c r="D18" s="1677"/>
      <c r="E18" s="1677"/>
      <c r="F18" s="1677"/>
      <c r="G18" s="1677"/>
      <c r="H18" s="1677"/>
      <c r="I18" s="1034"/>
      <c r="J18" s="1034"/>
      <c r="K18" s="1034"/>
      <c r="L18" s="1035"/>
      <c r="M18" s="1032"/>
      <c r="N18" s="1528"/>
      <c r="O18" s="1695"/>
      <c r="P18" s="1696"/>
      <c r="Q18" s="1696"/>
      <c r="R18" s="1694"/>
      <c r="S18" s="1015"/>
      <c r="T18" s="1036"/>
      <c r="U18" s="1037"/>
      <c r="V18" s="1037"/>
      <c r="W18" s="1038"/>
    </row>
    <row r="19" spans="1:23" ht="24" customHeight="1">
      <c r="A19" s="2900" t="s">
        <v>3263</v>
      </c>
      <c r="B19" s="2901" t="str">
        <f>Uebersetzung!D329</f>
        <v>Protection solaire extérieure mobile. A déclarer ici sous "autres":</v>
      </c>
      <c r="C19" s="2902"/>
      <c r="D19" s="2902"/>
      <c r="E19" s="2902"/>
      <c r="F19" s="2902"/>
      <c r="G19" s="2902"/>
      <c r="H19" s="2903"/>
      <c r="I19" s="2904"/>
      <c r="J19" s="2904"/>
      <c r="K19" s="2904"/>
      <c r="L19" s="2906"/>
      <c r="M19" s="1039"/>
      <c r="N19" s="1528"/>
      <c r="O19" s="1040" t="b">
        <f>OR(I19=$Q$12,I19=$Q$13,I19=$Q$14,I19=$Q$15)</f>
        <v>0</v>
      </c>
      <c r="P19" s="1041" t="b">
        <f>OR(J19=$Q$12,J19=$Q$13,J19=$Q$14,J19=$Q$15)</f>
        <v>0</v>
      </c>
      <c r="Q19" s="1041" t="b">
        <f>OR(K19=$Q$12,K19=$Q$13,K19=$Q$14,K19=$Q$15)</f>
        <v>0</v>
      </c>
      <c r="R19" s="1023" t="b">
        <f>OR(L19=$Q$12,L19=$Q$13,L19=$Q$14,L19=$Q$15)</f>
        <v>0</v>
      </c>
      <c r="S19" s="1015"/>
      <c r="T19" s="1042"/>
      <c r="U19" s="1043"/>
      <c r="V19" s="1043"/>
      <c r="W19" s="1044"/>
    </row>
    <row r="20" spans="1:23" s="1712" customFormat="1" ht="24" customHeight="1">
      <c r="A20" s="2900"/>
      <c r="B20" s="2888"/>
      <c r="C20" s="2889"/>
      <c r="D20" s="2889"/>
      <c r="E20" s="2889"/>
      <c r="F20" s="2889"/>
      <c r="G20" s="2889"/>
      <c r="H20" s="1697"/>
      <c r="I20" s="2905"/>
      <c r="J20" s="2905"/>
      <c r="K20" s="2905"/>
      <c r="L20" s="2907"/>
      <c r="M20" s="1718"/>
      <c r="N20" s="1528"/>
      <c r="O20" s="128"/>
      <c r="P20" s="1065"/>
      <c r="Q20" s="1065"/>
      <c r="R20" s="1717"/>
      <c r="S20" s="1716"/>
      <c r="T20" s="1715"/>
      <c r="U20" s="1714"/>
      <c r="V20" s="1714"/>
      <c r="W20" s="1713"/>
    </row>
    <row r="21" spans="1:23" ht="18" customHeight="1">
      <c r="A21" s="1528" t="s">
        <v>1733</v>
      </c>
      <c r="B21" s="2946" t="str">
        <f>Uebersetzung!D530</f>
        <v>Habitat (individuel, collectif), pièce jusqu'à 2 façades, plafond en béton apparent (&gt;80% libre)</v>
      </c>
      <c r="C21" s="2947"/>
      <c r="D21" s="2947"/>
      <c r="E21" s="2947"/>
      <c r="F21" s="2947"/>
      <c r="G21" s="2947"/>
      <c r="H21" s="2948"/>
      <c r="I21" s="2942"/>
      <c r="J21" s="2942"/>
      <c r="K21" s="2942"/>
      <c r="L21" s="2944"/>
      <c r="M21" s="2937"/>
      <c r="N21" s="1528"/>
      <c r="O21" s="2939" t="b">
        <f>OR(I21=$O$12,I21=$O$13)</f>
        <v>0</v>
      </c>
      <c r="P21" s="2940" t="b">
        <f>OR(J21=$O$12,J21=$O$13)</f>
        <v>0</v>
      </c>
      <c r="Q21" s="2940" t="b">
        <f>OR(K21=$O$12,K21=$O$13)</f>
        <v>0</v>
      </c>
      <c r="R21" s="2941" t="b">
        <f>OR(L21=$O$12,L21=$O$13)</f>
        <v>0</v>
      </c>
      <c r="S21" s="1015"/>
      <c r="T21" s="2896" t="b">
        <f>I21&lt;&gt;$O$12</f>
        <v>1</v>
      </c>
      <c r="U21" s="2897" t="b">
        <f>J21&lt;&gt;$O$12</f>
        <v>1</v>
      </c>
      <c r="V21" s="2897" t="b">
        <f>K21&lt;&gt;$O$12</f>
        <v>1</v>
      </c>
      <c r="W21" s="2934" t="b">
        <f>L21&lt;&gt;$O$12</f>
        <v>1</v>
      </c>
    </row>
    <row r="22" spans="1:23" ht="18" customHeight="1">
      <c r="B22" s="2935" t="str">
        <f>Uebersetzung!D531</f>
        <v>- Indice de vitrage maximal</v>
      </c>
      <c r="C22" s="2936"/>
      <c r="D22" s="2936"/>
      <c r="E22" s="2936"/>
      <c r="F22" s="2936"/>
      <c r="G22" s="2936"/>
      <c r="H22" s="1688" t="str">
        <f>Standardwerte!K210</f>
        <v/>
      </c>
      <c r="I22" s="2943"/>
      <c r="J22" s="2943"/>
      <c r="K22" s="2943"/>
      <c r="L22" s="2945"/>
      <c r="M22" s="2938"/>
      <c r="N22" s="1528"/>
      <c r="O22" s="2939"/>
      <c r="P22" s="2940"/>
      <c r="Q22" s="2940"/>
      <c r="R22" s="2941"/>
      <c r="S22" s="1015"/>
      <c r="T22" s="2896"/>
      <c r="U22" s="2897"/>
      <c r="V22" s="2897"/>
      <c r="W22" s="2934"/>
    </row>
    <row r="23" spans="1:23" ht="27.95" customHeight="1">
      <c r="A23" s="1528" t="s">
        <v>1735</v>
      </c>
      <c r="B23" s="2950" t="str">
        <f>Uebersetzung!D532</f>
        <v>Habitat (individuel, collectif), pièce jusqu'à 2 façades, plafond en bois et chape ciment min. 6 cm ou anhydrite min. 5 cm d'épais</v>
      </c>
      <c r="C23" s="2951"/>
      <c r="D23" s="2951"/>
      <c r="E23" s="2951"/>
      <c r="F23" s="2951"/>
      <c r="G23" s="2951"/>
      <c r="H23" s="2952"/>
      <c r="I23" s="2942"/>
      <c r="J23" s="2942"/>
      <c r="K23" s="2942"/>
      <c r="L23" s="2944"/>
      <c r="M23" s="2937"/>
      <c r="N23" s="1528"/>
      <c r="O23" s="2939" t="b">
        <f>OR(I23=$O$12,I23=$O$13)</f>
        <v>0</v>
      </c>
      <c r="P23" s="2940" t="b">
        <f>OR(J23=$O$12,J23=$O$13)</f>
        <v>0</v>
      </c>
      <c r="Q23" s="2940" t="b">
        <f>OR(K23=$O$12,K23=$O$13)</f>
        <v>0</v>
      </c>
      <c r="R23" s="2941" t="b">
        <f>OR(L23=$O$12,L23=$O$13)</f>
        <v>0</v>
      </c>
      <c r="S23" s="1015"/>
      <c r="T23" s="2896" t="b">
        <f>I23&lt;&gt;$O$12</f>
        <v>1</v>
      </c>
      <c r="U23" s="2897" t="b">
        <f>J23&lt;&gt;$O$12</f>
        <v>1</v>
      </c>
      <c r="V23" s="2897" t="b">
        <f>K23&lt;&gt;$O$12</f>
        <v>1</v>
      </c>
      <c r="W23" s="2934" t="b">
        <f>L23&lt;&gt;$O$12</f>
        <v>1</v>
      </c>
    </row>
    <row r="24" spans="1:23" ht="18" customHeight="1">
      <c r="B24" s="2949" t="str">
        <f>Uebersetzung!D531</f>
        <v>- Indice de vitrage maximal</v>
      </c>
      <c r="C24" s="2936"/>
      <c r="D24" s="2936"/>
      <c r="E24" s="2936"/>
      <c r="F24" s="2936"/>
      <c r="G24" s="2936"/>
      <c r="H24" s="1688" t="str">
        <f>Standardwerte!L210</f>
        <v/>
      </c>
      <c r="I24" s="2943"/>
      <c r="J24" s="2943"/>
      <c r="K24" s="2943"/>
      <c r="L24" s="2945"/>
      <c r="M24" s="2938"/>
      <c r="N24" s="1528"/>
      <c r="O24" s="2939"/>
      <c r="P24" s="2940"/>
      <c r="Q24" s="2940"/>
      <c r="R24" s="2941"/>
      <c r="S24" s="1015"/>
      <c r="T24" s="2896"/>
      <c r="U24" s="2897"/>
      <c r="V24" s="2897"/>
      <c r="W24" s="2934"/>
    </row>
    <row r="25" spans="1:23" ht="32.1" customHeight="1">
      <c r="A25" s="1528" t="s">
        <v>1737</v>
      </c>
      <c r="B25" s="2950" t="str">
        <f>Uebersetzung!D533</f>
        <v>Habitat (ind., coll.), pièce avec 1 façade, plafond en béton apparent (&gt;80% libre), orientation SSE-SSO et ombrage par balcon de min. 1 m de profondeur</v>
      </c>
      <c r="C25" s="2951"/>
      <c r="D25" s="2951"/>
      <c r="E25" s="2951"/>
      <c r="F25" s="2951"/>
      <c r="G25" s="2951"/>
      <c r="H25" s="2952"/>
      <c r="I25" s="2942"/>
      <c r="J25" s="2942"/>
      <c r="K25" s="2942"/>
      <c r="L25" s="2944"/>
      <c r="M25" s="2937"/>
      <c r="N25" s="1528"/>
      <c r="O25" s="2939" t="b">
        <f>OR(I25=$O$12,I25=$O$13)</f>
        <v>0</v>
      </c>
      <c r="P25" s="2940" t="b">
        <f>OR(J25=$O$12,J25=$O$13)</f>
        <v>0</v>
      </c>
      <c r="Q25" s="2940" t="b">
        <f>OR(K25=$O$12,K25=$O$13)</f>
        <v>0</v>
      </c>
      <c r="R25" s="2941" t="b">
        <f>OR(L25=$O$12,L25=$O$13)</f>
        <v>0</v>
      </c>
      <c r="S25" s="1015"/>
      <c r="T25" s="2896" t="b">
        <f>I25&lt;&gt;$O$12</f>
        <v>1</v>
      </c>
      <c r="U25" s="2897" t="b">
        <f>J25&lt;&gt;$O$12</f>
        <v>1</v>
      </c>
      <c r="V25" s="2897" t="b">
        <f>K25&lt;&gt;$O$12</f>
        <v>1</v>
      </c>
      <c r="W25" s="2934" t="b">
        <f>L25&lt;&gt;$O$12</f>
        <v>1</v>
      </c>
    </row>
    <row r="26" spans="1:23" ht="18" customHeight="1">
      <c r="B26" s="2949" t="str">
        <f>Uebersetzung!D531</f>
        <v>- Indice de vitrage maximal</v>
      </c>
      <c r="C26" s="2936"/>
      <c r="D26" s="2936"/>
      <c r="E26" s="2936"/>
      <c r="F26" s="2936"/>
      <c r="G26" s="2936"/>
      <c r="H26" s="1688" t="str">
        <f>Standardwerte!M210</f>
        <v/>
      </c>
      <c r="I26" s="2943"/>
      <c r="J26" s="2943"/>
      <c r="K26" s="2943"/>
      <c r="L26" s="2945"/>
      <c r="M26" s="2938"/>
      <c r="N26" s="1528"/>
      <c r="O26" s="2939"/>
      <c r="P26" s="2940"/>
      <c r="Q26" s="2940"/>
      <c r="R26" s="2941"/>
      <c r="S26" s="1015"/>
      <c r="T26" s="2896"/>
      <c r="U26" s="2897"/>
      <c r="V26" s="2897"/>
      <c r="W26" s="2934"/>
    </row>
    <row r="27" spans="1:23" ht="32.1" customHeight="1">
      <c r="A27" s="1528" t="s">
        <v>3281</v>
      </c>
      <c r="B27" s="2950" t="str">
        <f>Uebersetzung!D534</f>
        <v>Plafond en béton apparent (&gt;40% libre) et commande automatique de la protection solaire. Valeur g vitrage ≤ 30%</v>
      </c>
      <c r="C27" s="2951"/>
      <c r="D27" s="2951"/>
      <c r="E27" s="2951"/>
      <c r="F27" s="2951"/>
      <c r="G27" s="2951"/>
      <c r="H27" s="2952"/>
      <c r="I27" s="2942"/>
      <c r="J27" s="2942"/>
      <c r="K27" s="2942"/>
      <c r="L27" s="2944"/>
      <c r="M27" s="2937"/>
      <c r="N27" s="1528"/>
      <c r="O27" s="2939" t="b">
        <f>OR(I27=$O$12,I27=$O$13)</f>
        <v>0</v>
      </c>
      <c r="P27" s="2940" t="b">
        <f>OR(J27=$O$12,J27=$O$13)</f>
        <v>0</v>
      </c>
      <c r="Q27" s="2940" t="b">
        <f>OR(K27=$O$12,K27=$O$13)</f>
        <v>0</v>
      </c>
      <c r="R27" s="2941" t="b">
        <f>OR(L27=$O$12,L27=$O$13)</f>
        <v>0</v>
      </c>
      <c r="S27" s="1015"/>
      <c r="T27" s="2896" t="b">
        <f>I27&lt;&gt;$O$12</f>
        <v>1</v>
      </c>
      <c r="U27" s="2897" t="b">
        <f>J27&lt;&gt;$O$12</f>
        <v>1</v>
      </c>
      <c r="V27" s="2897" t="b">
        <f>K27&lt;&gt;$O$12</f>
        <v>1</v>
      </c>
      <c r="W27" s="2934" t="b">
        <f>L27&lt;&gt;$O$12</f>
        <v>1</v>
      </c>
    </row>
    <row r="28" spans="1:23" ht="18" customHeight="1">
      <c r="B28" s="2949" t="str">
        <f>Uebersetzung!D531</f>
        <v>- Indice de vitrage maximal</v>
      </c>
      <c r="C28" s="2936"/>
      <c r="D28" s="2936"/>
      <c r="E28" s="2936"/>
      <c r="F28" s="2936"/>
      <c r="G28" s="2936"/>
      <c r="H28" s="1688" t="str">
        <f>Standardwerte!N210</f>
        <v/>
      </c>
      <c r="I28" s="2943"/>
      <c r="J28" s="2943"/>
      <c r="K28" s="2943"/>
      <c r="L28" s="2945"/>
      <c r="M28" s="2938"/>
      <c r="N28" s="1528"/>
      <c r="O28" s="2939"/>
      <c r="P28" s="2940"/>
      <c r="Q28" s="2940"/>
      <c r="R28" s="2941"/>
      <c r="S28" s="1015"/>
      <c r="T28" s="2896"/>
      <c r="U28" s="2897"/>
      <c r="V28" s="2897"/>
      <c r="W28" s="2934"/>
    </row>
    <row r="29" spans="1:23" ht="15.95" customHeight="1">
      <c r="A29" s="1528" t="s">
        <v>3264</v>
      </c>
      <c r="B29" s="2912" t="str">
        <f>Uebersetzung!D337</f>
        <v>Dépôt avec faibles charges thermiques internes</v>
      </c>
      <c r="C29" s="2913"/>
      <c r="D29" s="2913"/>
      <c r="E29" s="2913"/>
      <c r="F29" s="2913"/>
      <c r="G29" s="2913"/>
      <c r="H29" s="2913"/>
      <c r="I29" s="1047"/>
      <c r="J29" s="1047"/>
      <c r="K29" s="1047"/>
      <c r="L29" s="1048"/>
      <c r="M29" s="1032"/>
      <c r="N29" s="1528"/>
      <c r="O29" s="1040" t="b">
        <f>OR(I29=$O$12,I29=$O$13)</f>
        <v>0</v>
      </c>
      <c r="P29" s="1041" t="b">
        <f>OR(J29=$O$12,J29=$O$13)</f>
        <v>0</v>
      </c>
      <c r="Q29" s="1041" t="b">
        <f>OR(K29=$O$12,K29=$O$13)</f>
        <v>0</v>
      </c>
      <c r="R29" s="1023" t="b">
        <f>OR(L29=$O$12,L29=$O$13)</f>
        <v>0</v>
      </c>
      <c r="S29" s="1015"/>
      <c r="T29" s="1042" t="b">
        <f>I29&lt;&gt;$O$12</f>
        <v>1</v>
      </c>
      <c r="U29" s="1043" t="b">
        <f>J29&lt;&gt;$O$12</f>
        <v>1</v>
      </c>
      <c r="V29" s="1043" t="b">
        <f>K29&lt;&gt;$O$12</f>
        <v>1</v>
      </c>
      <c r="W29" s="1044" t="b">
        <f>L29&lt;&gt;$O$12</f>
        <v>1</v>
      </c>
    </row>
    <row r="30" spans="1:23" ht="39.950000000000003" customHeight="1">
      <c r="A30" s="1528" t="s">
        <v>2841</v>
      </c>
      <c r="B30" s="2958" t="str">
        <f>Uebersetzung!D338</f>
        <v>"n.a.":    non applicable. Un tel type de local n'existe pas.
"oui":     il y a un local de ce type et tous les critères sont remplis.
"non":    il y a un local de ce type mais tous les critères ne sont pas remplis (p.ex. taux de surface vitrée trop élevé).</v>
      </c>
      <c r="C30" s="2959"/>
      <c r="D30" s="2959"/>
      <c r="E30" s="2959"/>
      <c r="F30" s="2959"/>
      <c r="G30" s="2959"/>
      <c r="H30" s="2959"/>
      <c r="I30" s="2959"/>
      <c r="J30" s="2959"/>
      <c r="K30" s="2959"/>
      <c r="L30" s="2960"/>
      <c r="M30" s="1049"/>
      <c r="N30" s="1528"/>
      <c r="O30" s="1050" t="b">
        <f>AND(O19:O29,T30)</f>
        <v>0</v>
      </c>
      <c r="P30" s="1051" t="b">
        <f>AND(P19:P29,U30)</f>
        <v>0</v>
      </c>
      <c r="Q30" s="1051" t="b">
        <f>AND(Q19:Q29,V30)</f>
        <v>0</v>
      </c>
      <c r="R30" s="1052" t="b">
        <f>AND(R19:R29,W30)</f>
        <v>0</v>
      </c>
      <c r="S30" s="1015"/>
      <c r="T30" s="1053" t="b">
        <f>OR(T21:T29)</f>
        <v>1</v>
      </c>
      <c r="U30" s="1054" t="b">
        <f>OR(U19:U29)</f>
        <v>1</v>
      </c>
      <c r="V30" s="1054" t="b">
        <f>OR(V19:V29)</f>
        <v>1</v>
      </c>
      <c r="W30" s="1054" t="b">
        <f>OR(W19:W29)</f>
        <v>1</v>
      </c>
    </row>
    <row r="31" spans="1:23" ht="9.9499999999999993" customHeight="1">
      <c r="B31" s="1055"/>
      <c r="C31" s="1055"/>
      <c r="D31" s="1055"/>
      <c r="E31" s="1055"/>
      <c r="F31" s="1055"/>
      <c r="G31" s="1055"/>
      <c r="H31" s="1055"/>
      <c r="I31" s="1020"/>
      <c r="J31" s="1020"/>
      <c r="K31" s="1020"/>
      <c r="L31" s="1020"/>
      <c r="M31" s="1020"/>
      <c r="N31" s="1528"/>
      <c r="O31" s="1019"/>
      <c r="P31" s="1019"/>
      <c r="Q31" s="1019"/>
      <c r="R31" s="1019"/>
      <c r="S31" s="1015"/>
    </row>
    <row r="32" spans="1:23" ht="12.75" customHeight="1">
      <c r="A32" s="1528" t="s">
        <v>1741</v>
      </c>
      <c r="B32" s="1056" t="str">
        <f>Uebersetzung!D535</f>
        <v>Variante 2 : Justificatif externe des critères selon SIA 382/1 et SIA 180 (sans refroidissement)</v>
      </c>
      <c r="C32" s="1019"/>
      <c r="D32" s="1019"/>
      <c r="E32" s="1019"/>
      <c r="F32" s="1019"/>
      <c r="G32" s="1019"/>
      <c r="H32" s="1019"/>
      <c r="I32" s="1019"/>
      <c r="J32" s="1019"/>
      <c r="K32" s="1019"/>
      <c r="L32" s="1019"/>
      <c r="M32" s="1019"/>
      <c r="N32" s="1528"/>
      <c r="O32" s="1689" t="str">
        <f>Uebersetzung!D25</f>
        <v>oui</v>
      </c>
      <c r="P32" s="1019"/>
      <c r="Q32" s="1019"/>
      <c r="R32" s="1019"/>
      <c r="S32" s="1015"/>
    </row>
    <row r="33" spans="1:24" ht="15.95" customHeight="1">
      <c r="B33" s="1076" t="str">
        <f>Uebersetzung!D342</f>
        <v>Les conditions propres au respect de ces critères sont décrites et documentées en annexe.</v>
      </c>
      <c r="C33" s="1019"/>
      <c r="D33" s="1019"/>
      <c r="E33" s="1019"/>
      <c r="F33" s="1019"/>
      <c r="G33" s="1019"/>
      <c r="H33" s="1019"/>
      <c r="I33" s="1690" t="str">
        <f>IF(AND(OR(AND(O35=TRUE,O36=FALSE),AND(P35=TRUE,P36=FALSE),AND(Q35=TRUE,Q36=FALSE),AND(R35=TRUE,R36=FALSE)),U33=1),Uebersetzung!D542,"")</f>
        <v/>
      </c>
      <c r="J33" s="1019"/>
      <c r="K33" s="1019"/>
      <c r="L33" s="1019"/>
      <c r="M33" s="1019"/>
      <c r="N33" s="1528"/>
      <c r="O33" s="1026" t="str">
        <f>Uebersetzung!D26</f>
        <v>non</v>
      </c>
      <c r="P33" s="1019"/>
      <c r="Q33" s="1019"/>
      <c r="R33" s="1019"/>
      <c r="S33" s="1015"/>
      <c r="T33" s="1691" t="s">
        <v>3265</v>
      </c>
      <c r="U33" s="1692">
        <v>0</v>
      </c>
      <c r="V33" s="1691" t="s">
        <v>3266</v>
      </c>
      <c r="W33" s="1691"/>
    </row>
    <row r="34" spans="1:24" ht="20.100000000000001" customHeight="1">
      <c r="B34" s="1057"/>
      <c r="C34" s="2957" t="str">
        <f>Uebersetzung!D29</f>
        <v>Zone</v>
      </c>
      <c r="D34" s="2891"/>
      <c r="E34" s="2891"/>
      <c r="F34" s="2891"/>
      <c r="G34" s="2891"/>
      <c r="H34" s="2892"/>
      <c r="I34" s="1030">
        <v>1</v>
      </c>
      <c r="J34" s="1030">
        <v>2</v>
      </c>
      <c r="K34" s="1030">
        <v>3</v>
      </c>
      <c r="L34" s="1031">
        <v>4</v>
      </c>
      <c r="M34" s="1689"/>
      <c r="N34" s="1528"/>
      <c r="O34" s="1730">
        <v>1</v>
      </c>
      <c r="P34" s="1728">
        <v>2</v>
      </c>
      <c r="Q34" s="1728">
        <v>3</v>
      </c>
      <c r="R34" s="1729">
        <v>4</v>
      </c>
      <c r="S34" s="1716"/>
      <c r="T34" s="1727">
        <v>1</v>
      </c>
      <c r="U34" s="1728">
        <v>2</v>
      </c>
      <c r="V34" s="1728">
        <v>3</v>
      </c>
      <c r="W34" s="1729">
        <v>4</v>
      </c>
    </row>
    <row r="35" spans="1:24" ht="33.950000000000003" customHeight="1">
      <c r="A35" s="1528" t="s">
        <v>2842</v>
      </c>
      <c r="B35" s="2953" t="str">
        <f>Uebersetzung!D536</f>
        <v>Exigences constructives de la protection thermique estivale selon le justificatif pour la protection thermique estivale, Variante 2, remplies?</v>
      </c>
      <c r="C35" s="2954"/>
      <c r="D35" s="2954"/>
      <c r="E35" s="2954"/>
      <c r="F35" s="2954"/>
      <c r="G35" s="2954"/>
      <c r="H35" s="2955"/>
      <c r="I35" s="1045"/>
      <c r="J35" s="1045"/>
      <c r="K35" s="1045"/>
      <c r="L35" s="1046"/>
      <c r="M35" s="1058"/>
      <c r="N35" s="1528"/>
      <c r="O35" s="1693" t="b">
        <f t="shared" ref="O35:R36" si="0">I35=$O$32</f>
        <v>0</v>
      </c>
      <c r="P35" s="1059" t="b">
        <f t="shared" si="0"/>
        <v>0</v>
      </c>
      <c r="Q35" s="1059" t="b">
        <f t="shared" si="0"/>
        <v>0</v>
      </c>
      <c r="R35" s="1684" t="b">
        <f t="shared" si="0"/>
        <v>0</v>
      </c>
      <c r="S35" s="1015"/>
      <c r="T35" s="1693" t="b">
        <f t="shared" ref="T35:W36" si="1">I35=$O$32</f>
        <v>0</v>
      </c>
      <c r="U35" s="1059" t="b">
        <f t="shared" si="1"/>
        <v>0</v>
      </c>
      <c r="V35" s="1059" t="b">
        <f t="shared" si="1"/>
        <v>0</v>
      </c>
      <c r="W35" s="1684" t="b">
        <f t="shared" si="1"/>
        <v>0</v>
      </c>
    </row>
    <row r="36" spans="1:24" ht="31.5" customHeight="1">
      <c r="A36" s="1528" t="s">
        <v>3282</v>
      </c>
      <c r="B36" s="2912" t="str">
        <f>Uebersetzung!D541</f>
        <v>Exigences des critères de confort selon le justificatif pour la protection thermique estivale remplies?</v>
      </c>
      <c r="C36" s="2913"/>
      <c r="D36" s="2913"/>
      <c r="E36" s="2913"/>
      <c r="F36" s="2913"/>
      <c r="G36" s="2913"/>
      <c r="H36" s="2956"/>
      <c r="I36" s="1047"/>
      <c r="J36" s="1047"/>
      <c r="K36" s="1047"/>
      <c r="L36" s="1048"/>
      <c r="M36" s="1058"/>
      <c r="N36" s="1528"/>
      <c r="O36" s="1062" t="b">
        <f t="shared" si="0"/>
        <v>0</v>
      </c>
      <c r="P36" s="1063" t="b">
        <f t="shared" si="0"/>
        <v>0</v>
      </c>
      <c r="Q36" s="1063" t="b">
        <f t="shared" si="0"/>
        <v>0</v>
      </c>
      <c r="R36" s="1025" t="b">
        <f t="shared" si="0"/>
        <v>0</v>
      </c>
      <c r="S36" s="1015"/>
      <c r="T36" s="1062" t="b">
        <f t="shared" si="1"/>
        <v>0</v>
      </c>
      <c r="U36" s="1063" t="b">
        <f t="shared" si="1"/>
        <v>0</v>
      </c>
      <c r="V36" s="1063" t="b">
        <f t="shared" si="1"/>
        <v>0</v>
      </c>
      <c r="W36" s="1025" t="b">
        <f t="shared" si="1"/>
        <v>0</v>
      </c>
    </row>
    <row r="37" spans="1:24" hidden="1">
      <c r="A37" s="1528" t="s">
        <v>1735</v>
      </c>
      <c r="B37" s="1060"/>
      <c r="C37" s="2914"/>
      <c r="D37" s="2913"/>
      <c r="E37" s="2913"/>
      <c r="F37" s="2913"/>
      <c r="G37" s="2913"/>
      <c r="H37" s="2913"/>
      <c r="I37" s="1047"/>
      <c r="J37" s="1047"/>
      <c r="K37" s="1047"/>
      <c r="L37" s="1048"/>
      <c r="M37" s="1058"/>
      <c r="N37" s="1528"/>
      <c r="O37" s="1041"/>
      <c r="P37" s="1041"/>
      <c r="Q37" s="1041"/>
      <c r="R37" s="1023"/>
      <c r="S37" s="1015"/>
      <c r="T37" s="1040"/>
      <c r="U37" s="1041"/>
      <c r="V37" s="1041"/>
      <c r="W37" s="1023"/>
    </row>
    <row r="38" spans="1:24" hidden="1">
      <c r="A38" s="1528" t="s">
        <v>1736</v>
      </c>
      <c r="B38" s="1061"/>
      <c r="C38" s="2911"/>
      <c r="D38" s="2885"/>
      <c r="E38" s="2885"/>
      <c r="F38" s="2885"/>
      <c r="G38" s="2885"/>
      <c r="H38" s="2885"/>
      <c r="I38" s="1047"/>
      <c r="J38" s="1047"/>
      <c r="K38" s="1047"/>
      <c r="L38" s="1048"/>
      <c r="M38" s="1058"/>
      <c r="N38" s="1528"/>
      <c r="O38" s="1040"/>
      <c r="P38" s="1041"/>
      <c r="Q38" s="1041"/>
      <c r="R38" s="1023"/>
      <c r="S38" s="1015"/>
      <c r="T38" s="1040"/>
      <c r="U38" s="1041"/>
      <c r="V38" s="1041"/>
      <c r="W38" s="1023"/>
    </row>
    <row r="39" spans="1:24" hidden="1">
      <c r="A39" s="1528" t="s">
        <v>1737</v>
      </c>
      <c r="B39" s="1061"/>
      <c r="C39" s="2911"/>
      <c r="D39" s="2885"/>
      <c r="E39" s="2885"/>
      <c r="F39" s="2885"/>
      <c r="G39" s="2885"/>
      <c r="H39" s="2885"/>
      <c r="I39" s="1047"/>
      <c r="J39" s="1047"/>
      <c r="K39" s="1047"/>
      <c r="L39" s="1048"/>
      <c r="M39" s="1058"/>
      <c r="N39" s="1528"/>
      <c r="O39" s="1040"/>
      <c r="P39" s="1041"/>
      <c r="Q39" s="1041"/>
      <c r="R39" s="1023"/>
      <c r="S39" s="1015"/>
      <c r="T39" s="1040"/>
      <c r="U39" s="1041"/>
      <c r="V39" s="1041"/>
      <c r="W39" s="1023"/>
    </row>
    <row r="40" spans="1:24" hidden="1">
      <c r="A40" s="1528" t="s">
        <v>1738</v>
      </c>
      <c r="B40" s="1061"/>
      <c r="C40" s="2911"/>
      <c r="D40" s="2885"/>
      <c r="E40" s="2885"/>
      <c r="F40" s="2885"/>
      <c r="G40" s="2885"/>
      <c r="H40" s="2885"/>
      <c r="I40" s="1047"/>
      <c r="J40" s="1047"/>
      <c r="K40" s="1047"/>
      <c r="L40" s="1048"/>
      <c r="M40" s="1058"/>
      <c r="N40" s="1528"/>
      <c r="O40" s="1040"/>
      <c r="P40" s="1041"/>
      <c r="Q40" s="1041"/>
      <c r="R40" s="1023"/>
      <c r="S40" s="1015"/>
      <c r="T40" s="1040"/>
      <c r="U40" s="1041"/>
      <c r="V40" s="1041"/>
      <c r="W40" s="1023"/>
    </row>
    <row r="41" spans="1:24" hidden="1">
      <c r="A41" s="1528" t="s">
        <v>1738</v>
      </c>
      <c r="B41" s="1061"/>
      <c r="C41" s="2911"/>
      <c r="D41" s="2885"/>
      <c r="E41" s="2885"/>
      <c r="F41" s="2885"/>
      <c r="G41" s="2885"/>
      <c r="H41" s="2885"/>
      <c r="I41" s="1047"/>
      <c r="J41" s="1047"/>
      <c r="K41" s="1047"/>
      <c r="L41" s="1048"/>
      <c r="M41" s="1058"/>
      <c r="N41" s="1528"/>
      <c r="O41" s="1062"/>
      <c r="P41" s="1063"/>
      <c r="Q41" s="1063"/>
      <c r="R41" s="1025"/>
      <c r="S41" s="1015"/>
      <c r="T41" s="1040"/>
      <c r="U41" s="1041"/>
      <c r="V41" s="1041"/>
      <c r="W41" s="1023"/>
    </row>
    <row r="42" spans="1:24" ht="15.95" customHeight="1">
      <c r="B42" s="1064" t="str">
        <f>Uebersetzung!D345</f>
        <v>Remarques concernant la justification externe (manière, annexes, par ex. critères de choix selon Aide à l'utilisation):</v>
      </c>
      <c r="C42" s="1065"/>
      <c r="D42" s="1065"/>
      <c r="E42" s="1065"/>
      <c r="F42" s="1065"/>
      <c r="G42" s="1065"/>
      <c r="H42" s="1065"/>
      <c r="I42" s="1041"/>
      <c r="J42" s="1041"/>
      <c r="K42" s="1041"/>
      <c r="L42" s="1023"/>
      <c r="M42" s="1024"/>
      <c r="N42" s="1528"/>
      <c r="O42" s="1050" t="b">
        <f>AND(O35:O41)</f>
        <v>0</v>
      </c>
      <c r="P42" s="1051" t="b">
        <f>AND(P35:P41)</f>
        <v>0</v>
      </c>
      <c r="Q42" s="1051" t="b">
        <f>AND(Q35:Q41)</f>
        <v>0</v>
      </c>
      <c r="R42" s="1052" t="b">
        <f>AND(R35:R41)</f>
        <v>0</v>
      </c>
      <c r="S42" s="1019"/>
      <c r="T42" s="1050" t="b">
        <f>OR(AND(T35:T41),T35)</f>
        <v>0</v>
      </c>
      <c r="U42" s="1051" t="b">
        <f>OR(AND(U35:U41),U35)</f>
        <v>0</v>
      </c>
      <c r="V42" s="1051" t="b">
        <f>OR(AND(V35:V41),V35)</f>
        <v>0</v>
      </c>
      <c r="W42" s="1052" t="b">
        <f>OR(AND(W35:W41),W35)</f>
        <v>0</v>
      </c>
    </row>
    <row r="43" spans="1:24" ht="24" customHeight="1">
      <c r="A43" s="1528" t="s">
        <v>2843</v>
      </c>
      <c r="B43" s="2888"/>
      <c r="C43" s="2889"/>
      <c r="D43" s="2889"/>
      <c r="E43" s="2889"/>
      <c r="F43" s="2889"/>
      <c r="G43" s="2889"/>
      <c r="H43" s="2889"/>
      <c r="I43" s="2889"/>
      <c r="J43" s="2889"/>
      <c r="K43" s="2889"/>
      <c r="L43" s="2890"/>
      <c r="M43" s="1026"/>
      <c r="N43" s="1528"/>
      <c r="O43" s="1019"/>
      <c r="P43" s="1019"/>
      <c r="Q43" s="1019"/>
      <c r="R43" s="1019"/>
      <c r="S43" s="1019"/>
    </row>
    <row r="44" spans="1:24" ht="9" customHeight="1">
      <c r="B44" s="1019"/>
      <c r="C44" s="1019"/>
      <c r="D44" s="1019"/>
      <c r="E44" s="1019"/>
      <c r="F44" s="1019"/>
      <c r="G44" s="1019"/>
      <c r="H44" s="1019"/>
      <c r="I44" s="1019"/>
      <c r="J44" s="1019"/>
      <c r="K44" s="1019"/>
      <c r="L44" s="1019"/>
      <c r="M44" s="1019"/>
      <c r="N44" s="1528"/>
      <c r="O44" s="1019"/>
      <c r="P44" s="1019"/>
      <c r="Q44" s="1019"/>
      <c r="R44" s="1019"/>
      <c r="S44" s="1015"/>
    </row>
    <row r="45" spans="1:24" ht="15.95" customHeight="1">
      <c r="A45" s="1528" t="s">
        <v>2844</v>
      </c>
      <c r="B45" s="1056" t="str">
        <f>Uebersetzung!D556</f>
        <v>Variante 3 : Justificatif externe des critères selon SIA 180 et SIA 382/1 (avec refroidissement)</v>
      </c>
      <c r="C45" s="1019"/>
      <c r="D45" s="1019"/>
      <c r="E45" s="1019"/>
      <c r="F45" s="1019"/>
      <c r="G45" s="1019"/>
      <c r="H45" s="1019"/>
      <c r="I45" s="1019"/>
      <c r="J45" s="1019"/>
      <c r="K45" s="1019"/>
      <c r="L45" s="1019"/>
      <c r="M45" s="1019"/>
      <c r="N45" s="1528"/>
      <c r="O45" s="1019"/>
      <c r="P45" s="1019"/>
      <c r="Q45" s="1019"/>
      <c r="R45" s="1019"/>
      <c r="S45" s="1015"/>
      <c r="U45" s="737" t="s">
        <v>3267</v>
      </c>
    </row>
    <row r="46" spans="1:24" ht="20.100000000000001" customHeight="1">
      <c r="B46" s="1028"/>
      <c r="C46" s="2891" t="str">
        <f>Uebersetzung!D29</f>
        <v>Zone</v>
      </c>
      <c r="D46" s="2891"/>
      <c r="E46" s="2891"/>
      <c r="F46" s="2891"/>
      <c r="G46" s="2891"/>
      <c r="H46" s="2892"/>
      <c r="I46" s="1030">
        <v>1</v>
      </c>
      <c r="J46" s="1030">
        <v>2</v>
      </c>
      <c r="K46" s="1030">
        <v>3</v>
      </c>
      <c r="L46" s="1031">
        <v>4</v>
      </c>
      <c r="M46" s="1066"/>
      <c r="N46" s="1528"/>
      <c r="O46" s="1727">
        <v>1</v>
      </c>
      <c r="P46" s="1728">
        <v>2</v>
      </c>
      <c r="Q46" s="1728">
        <v>3</v>
      </c>
      <c r="R46" s="1729">
        <v>4</v>
      </c>
      <c r="S46" s="1716"/>
      <c r="T46" s="1712"/>
      <c r="U46" s="1727">
        <v>1</v>
      </c>
      <c r="V46" s="1728">
        <v>2</v>
      </c>
      <c r="W46" s="1728">
        <v>3</v>
      </c>
      <c r="X46" s="1729">
        <v>4</v>
      </c>
    </row>
    <row r="47" spans="1:24" ht="44.1" customHeight="1">
      <c r="A47" s="1528" t="s">
        <v>2845</v>
      </c>
      <c r="B47" s="2893" t="str">
        <f>Uebersetzung!D557</f>
        <v>Le justificatif des exigences de base constructives doit être respecté. Les températures des pièces doivent être calculées selon SIA 382/1, chiffre 4.5. Sans refroidissement, la courbe des valeurs limites selon SIA 180, figure 4 ne peut pas être dépassée plus de 100 h.</v>
      </c>
      <c r="C47" s="2894"/>
      <c r="D47" s="2894"/>
      <c r="E47" s="2894"/>
      <c r="F47" s="2894"/>
      <c r="G47" s="2894"/>
      <c r="H47" s="2895"/>
      <c r="I47" s="1045"/>
      <c r="J47" s="1045"/>
      <c r="K47" s="1045"/>
      <c r="L47" s="1046"/>
      <c r="M47" s="1058"/>
      <c r="N47" s="1528"/>
      <c r="O47" s="1693" t="b">
        <f t="shared" ref="O47:R50" si="2">I47=$O$32</f>
        <v>0</v>
      </c>
      <c r="P47" s="1059" t="b">
        <f t="shared" si="2"/>
        <v>0</v>
      </c>
      <c r="Q47" s="1059" t="b">
        <f t="shared" si="2"/>
        <v>0</v>
      </c>
      <c r="R47" s="1684" t="b">
        <f t="shared" si="2"/>
        <v>0</v>
      </c>
      <c r="S47" s="1015"/>
      <c r="U47" s="1724" t="str">
        <f>IF(O30,1,IF(IF($U$33=1,T42,O42),2,IF(O51,3,"")))</f>
        <v/>
      </c>
      <c r="V47" s="1725" t="str">
        <f>IF(P30,1,IF(IF($U$33=1,U42,P42),2,IF(P51,3,"")))</f>
        <v/>
      </c>
      <c r="W47" s="1725" t="str">
        <f>IF(Q30,1,IF(IF($U$33=1,V42,Q42),2,IF(Q51,3,"")))</f>
        <v/>
      </c>
      <c r="X47" s="1726" t="str">
        <f>IF(R30,1,IF(IF($U$33=1,W42,R42),2,IF(R51,3,"")))</f>
        <v/>
      </c>
    </row>
    <row r="48" spans="1:24" ht="38.1" customHeight="1">
      <c r="A48" s="1528" t="s">
        <v>2846</v>
      </c>
      <c r="B48" s="2912" t="str">
        <f>Uebersetzung!D348</f>
        <v>La zone est refroidie et les besoins en énergie sont calculés. 
Il n'y a aucune température trop élevée en été.</v>
      </c>
      <c r="C48" s="2913"/>
      <c r="D48" s="2913"/>
      <c r="E48" s="2913"/>
      <c r="F48" s="2913"/>
      <c r="G48" s="2913"/>
      <c r="H48" s="2913"/>
      <c r="I48" s="1047"/>
      <c r="J48" s="1047"/>
      <c r="K48" s="1047"/>
      <c r="L48" s="1048"/>
      <c r="M48" s="1058"/>
      <c r="N48" s="1528"/>
      <c r="O48" s="1040" t="b">
        <f t="shared" si="2"/>
        <v>0</v>
      </c>
      <c r="P48" s="1041" t="b">
        <f t="shared" si="2"/>
        <v>0</v>
      </c>
      <c r="Q48" s="1041" t="b">
        <f t="shared" si="2"/>
        <v>0</v>
      </c>
      <c r="R48" s="1023" t="b">
        <f t="shared" si="2"/>
        <v>0</v>
      </c>
      <c r="S48" s="1015"/>
      <c r="U48" s="2874" t="str">
        <f>IF(O30,Uebersetzung!$D322,IF(IF($U$33=1,T42,O42),Uebersetzung!$D535,IF(O51,Uebersetzung!$D346,"")))</f>
        <v/>
      </c>
      <c r="V48" s="2876" t="str">
        <f>IF(P30,Uebersetzung!$D322,IF(IF($U$33=1,U42,P42),Uebersetzung!$D535,IF(P51,Uebersetzung!$D346,"")))</f>
        <v/>
      </c>
      <c r="W48" s="2876" t="str">
        <f>IF(Q30,Uebersetzung!$D322,IF(IF($U$33=1,V42,Q42),Uebersetzung!$D535,IF(Q51,Uebersetzung!$D346,"")))</f>
        <v/>
      </c>
      <c r="X48" s="2898" t="str">
        <f>IF(R30,Uebersetzung!$D322,IF(IF($U$33=1,W42,R42),Uebersetzung!$D535,IF(R51,Uebersetzung!$D346,"")))</f>
        <v/>
      </c>
    </row>
    <row r="49" spans="1:24" ht="12.75" hidden="1" customHeight="1">
      <c r="A49" s="1528" t="s">
        <v>1743</v>
      </c>
      <c r="B49" s="2884"/>
      <c r="C49" s="2885"/>
      <c r="D49" s="2885"/>
      <c r="E49" s="2885"/>
      <c r="F49" s="2885"/>
      <c r="G49" s="2885"/>
      <c r="H49" s="2885"/>
      <c r="I49" s="1047"/>
      <c r="J49" s="1047"/>
      <c r="K49" s="1047"/>
      <c r="L49" s="1048"/>
      <c r="M49" s="1058"/>
      <c r="N49" s="1528"/>
      <c r="O49" s="1040" t="b">
        <f t="shared" si="2"/>
        <v>0</v>
      </c>
      <c r="P49" s="1041" t="b">
        <f t="shared" si="2"/>
        <v>0</v>
      </c>
      <c r="Q49" s="1041" t="b">
        <f t="shared" si="2"/>
        <v>0</v>
      </c>
      <c r="R49" s="1023" t="b">
        <f t="shared" si="2"/>
        <v>0</v>
      </c>
      <c r="S49" s="1015"/>
      <c r="U49" s="2874"/>
      <c r="V49" s="2876"/>
      <c r="W49" s="2876"/>
      <c r="X49" s="2898"/>
    </row>
    <row r="50" spans="1:24" ht="12.75" hidden="1" customHeight="1">
      <c r="A50" s="1528" t="s">
        <v>1744</v>
      </c>
      <c r="B50" s="2886"/>
      <c r="C50" s="2887"/>
      <c r="D50" s="2887"/>
      <c r="E50" s="2887"/>
      <c r="F50" s="2887"/>
      <c r="G50" s="2887"/>
      <c r="H50" s="2887"/>
      <c r="I50" s="1067"/>
      <c r="J50" s="1067"/>
      <c r="K50" s="1067"/>
      <c r="L50" s="1068"/>
      <c r="M50" s="1069"/>
      <c r="N50" s="1528"/>
      <c r="O50" s="1062" t="b">
        <f t="shared" si="2"/>
        <v>0</v>
      </c>
      <c r="P50" s="1063" t="b">
        <f t="shared" si="2"/>
        <v>0</v>
      </c>
      <c r="Q50" s="1063" t="b">
        <f t="shared" si="2"/>
        <v>0</v>
      </c>
      <c r="R50" s="1025" t="b">
        <f t="shared" si="2"/>
        <v>0</v>
      </c>
      <c r="S50" s="1015"/>
      <c r="U50" s="2874"/>
      <c r="V50" s="2876"/>
      <c r="W50" s="2876"/>
      <c r="X50" s="2898"/>
    </row>
    <row r="51" spans="1:24" ht="9" customHeight="1">
      <c r="B51" s="1029"/>
      <c r="C51" s="1029"/>
      <c r="D51" s="1029"/>
      <c r="E51" s="1029"/>
      <c r="F51" s="1029"/>
      <c r="G51" s="1029"/>
      <c r="H51" s="1029"/>
      <c r="I51" s="1051"/>
      <c r="J51" s="1051"/>
      <c r="K51" s="1051"/>
      <c r="L51" s="1051"/>
      <c r="M51" s="1051"/>
      <c r="N51" s="1528"/>
      <c r="O51" s="1062" t="b">
        <f>OR(O47:O50)</f>
        <v>0</v>
      </c>
      <c r="P51" s="1063" t="b">
        <f>OR(P47:P50)</f>
        <v>0</v>
      </c>
      <c r="Q51" s="1063" t="b">
        <f>OR(Q47:Q50)</f>
        <v>0</v>
      </c>
      <c r="R51" s="1025" t="b">
        <f>OR(R47:R50)</f>
        <v>0</v>
      </c>
      <c r="S51" s="1070" t="s">
        <v>1745</v>
      </c>
      <c r="U51" s="2874"/>
      <c r="V51" s="2876"/>
      <c r="W51" s="2876"/>
      <c r="X51" s="2898"/>
    </row>
    <row r="52" spans="1:24" ht="32.1" customHeight="1">
      <c r="A52" s="1528" t="s">
        <v>2847</v>
      </c>
      <c r="B52" s="2908" t="str">
        <f>Uebersetzung!D349</f>
        <v>Selon cette déclaration, les exigences pour la protection thermique estivale sont remplies.</v>
      </c>
      <c r="C52" s="2909"/>
      <c r="D52" s="2909"/>
      <c r="E52" s="2909"/>
      <c r="F52" s="2909"/>
      <c r="G52" s="2909"/>
      <c r="H52" s="2910"/>
      <c r="I52" s="1071" t="str">
        <f>IF(O52,$O32,$O33)</f>
        <v>non</v>
      </c>
      <c r="J52" s="1071" t="str">
        <f>IF(P52,$O32,$O33)</f>
        <v>non</v>
      </c>
      <c r="K52" s="1071" t="str">
        <f>IF(Q52,$O32,$O33)</f>
        <v>non</v>
      </c>
      <c r="L52" s="1072" t="str">
        <f>IF(R52,$O32,$O33)</f>
        <v>non</v>
      </c>
      <c r="M52" s="1073"/>
      <c r="N52" s="1528"/>
      <c r="O52" s="1062" t="b">
        <f>IF($U$33=1,OR(O30,T42,O51),OR(O30,O42,O51))</f>
        <v>0</v>
      </c>
      <c r="P52" s="1062" t="b">
        <f>IF($U$33=1,OR(P30,U42,P51),OR(P30,P42,P51))</f>
        <v>0</v>
      </c>
      <c r="Q52" s="1062" t="b">
        <f>IF($U$33=1,OR(Q30,V42,Q51),OR(Q30,Q42,Q51))</f>
        <v>0</v>
      </c>
      <c r="R52" s="1062" t="b">
        <f>IF($U$33=1,OR(R30,W42,R51),OR(R30,R42,R51))</f>
        <v>0</v>
      </c>
      <c r="S52" s="1074" t="b">
        <f>IF(Zonen&gt;3,AND(O52,P52,Q52,R52),IF(Zonen&gt;2,AND(O52,P52,Q52),IF(Zonen&gt;1,AND(O52,P52),O52)))</f>
        <v>0</v>
      </c>
      <c r="U52" s="2875"/>
      <c r="V52" s="2877"/>
      <c r="W52" s="2877"/>
      <c r="X52" s="2899"/>
    </row>
    <row r="53" spans="1:24">
      <c r="N53" s="1528"/>
    </row>
    <row r="54" spans="1:24">
      <c r="N54" s="1528"/>
    </row>
    <row r="55" spans="1:24">
      <c r="N55" s="1528"/>
    </row>
    <row r="56" spans="1:24">
      <c r="B56" s="1075"/>
      <c r="N56" s="1528"/>
    </row>
    <row r="59" spans="1:24">
      <c r="B59" s="1528"/>
      <c r="C59" s="1528"/>
      <c r="D59" s="1528"/>
      <c r="E59" s="1528"/>
      <c r="F59" s="1528"/>
      <c r="G59" s="1528"/>
      <c r="H59" s="1528"/>
      <c r="I59" s="1528"/>
      <c r="J59" s="1528"/>
      <c r="K59" s="1528"/>
      <c r="L59" s="1528"/>
      <c r="M59" s="1528"/>
      <c r="N59" s="1528"/>
      <c r="O59" s="1528"/>
      <c r="P59" s="1528"/>
      <c r="Q59" s="1528"/>
      <c r="R59" s="1528"/>
    </row>
    <row r="60" spans="1:24">
      <c r="B60" s="1528"/>
      <c r="C60" s="1528"/>
      <c r="D60" s="1528"/>
      <c r="E60" s="1528"/>
      <c r="F60" s="1528"/>
      <c r="G60" s="1528"/>
      <c r="H60" s="1528"/>
      <c r="I60" s="1528"/>
      <c r="J60" s="1528"/>
      <c r="K60" s="1528"/>
      <c r="L60" s="1528"/>
      <c r="M60" s="1528"/>
      <c r="N60" s="1528"/>
      <c r="O60" s="1528"/>
      <c r="P60" s="1528"/>
      <c r="Q60" s="1528"/>
      <c r="R60" s="1528"/>
    </row>
    <row r="61" spans="1:24">
      <c r="B61" s="1528"/>
      <c r="C61" s="1528"/>
      <c r="D61" s="1528"/>
      <c r="E61" s="1528"/>
      <c r="F61" s="1528"/>
      <c r="G61" s="1528"/>
      <c r="H61" s="1528"/>
      <c r="I61" s="1528"/>
      <c r="J61" s="1528"/>
      <c r="K61" s="1528"/>
      <c r="L61" s="1528"/>
      <c r="M61" s="1528"/>
      <c r="N61" s="1528"/>
      <c r="O61" s="1528"/>
      <c r="P61" s="1528"/>
      <c r="Q61" s="1528"/>
      <c r="R61" s="1528"/>
    </row>
    <row r="62" spans="1:24">
      <c r="B62" s="1528"/>
      <c r="C62" s="1528"/>
      <c r="D62" s="1528"/>
      <c r="E62" s="1528"/>
      <c r="F62" s="1528"/>
      <c r="G62" s="1528"/>
      <c r="H62" s="1528"/>
      <c r="I62" s="1528"/>
      <c r="J62" s="1528"/>
      <c r="K62" s="1528"/>
      <c r="L62" s="1528"/>
      <c r="M62" s="1528"/>
      <c r="N62" s="1528"/>
      <c r="O62" s="1528"/>
      <c r="P62" s="1528"/>
      <c r="Q62" s="1528"/>
      <c r="R62" s="1528"/>
    </row>
    <row r="63" spans="1:24" ht="13.15" customHeight="1">
      <c r="B63" s="1528"/>
      <c r="C63" s="1528"/>
      <c r="D63" s="1528"/>
      <c r="E63" s="1528"/>
      <c r="F63" s="1528"/>
      <c r="G63" s="1528"/>
      <c r="H63" s="1528"/>
      <c r="I63" s="1528"/>
      <c r="J63" s="1528"/>
      <c r="K63" s="1528"/>
      <c r="L63" s="1528"/>
      <c r="M63" s="1528"/>
      <c r="N63" s="1528"/>
      <c r="O63" s="1528"/>
      <c r="P63" s="1528"/>
      <c r="Q63" s="1528"/>
      <c r="R63" s="1528"/>
    </row>
    <row r="64" spans="1:24" ht="13.15" customHeight="1">
      <c r="B64" s="1528"/>
      <c r="C64" s="1528"/>
      <c r="D64" s="1528"/>
      <c r="E64" s="1528"/>
      <c r="F64" s="1528"/>
      <c r="G64" s="1528"/>
      <c r="H64" s="1528"/>
      <c r="I64" s="1528"/>
      <c r="J64" s="1528"/>
      <c r="K64" s="1528"/>
      <c r="L64" s="1528"/>
      <c r="M64" s="1528"/>
      <c r="N64" s="1528"/>
      <c r="O64" s="1528"/>
      <c r="P64" s="1528"/>
      <c r="Q64" s="1528"/>
      <c r="R64" s="1528"/>
    </row>
    <row r="65" spans="2:18">
      <c r="B65" s="1528"/>
      <c r="C65" s="1528"/>
      <c r="D65" s="1528"/>
      <c r="E65" s="1528"/>
      <c r="F65" s="1528"/>
      <c r="G65" s="1528"/>
      <c r="H65" s="1528"/>
      <c r="I65" s="1528"/>
      <c r="J65" s="1528"/>
      <c r="K65" s="1528"/>
      <c r="L65" s="1528"/>
      <c r="M65" s="1528"/>
      <c r="N65" s="1528"/>
      <c r="O65" s="1528"/>
      <c r="P65" s="1528"/>
      <c r="Q65" s="1528"/>
      <c r="R65" s="1528"/>
    </row>
    <row r="66" spans="2:18">
      <c r="B66" s="1528"/>
      <c r="C66" s="1528"/>
      <c r="D66" s="1528"/>
      <c r="E66" s="1528"/>
      <c r="F66" s="1528"/>
      <c r="G66" s="1528"/>
      <c r="H66" s="1528"/>
      <c r="I66" s="1528"/>
      <c r="J66" s="1528"/>
      <c r="K66" s="1528"/>
      <c r="L66" s="1528"/>
      <c r="M66" s="1528"/>
      <c r="N66" s="1528"/>
      <c r="O66" s="1528"/>
      <c r="P66" s="1528"/>
      <c r="Q66" s="1528"/>
      <c r="R66" s="1528"/>
    </row>
    <row r="67" spans="2:18">
      <c r="B67" s="1528"/>
      <c r="C67" s="1528"/>
      <c r="D67" s="1528"/>
      <c r="E67" s="1528"/>
      <c r="F67" s="1528"/>
      <c r="G67" s="1528"/>
      <c r="H67" s="1528"/>
      <c r="I67" s="1528"/>
      <c r="J67" s="1528"/>
      <c r="K67" s="1528"/>
      <c r="L67" s="1528"/>
      <c r="M67" s="1528"/>
      <c r="N67" s="1528"/>
      <c r="O67" s="1528"/>
      <c r="P67" s="1528"/>
      <c r="Q67" s="1528"/>
      <c r="R67" s="1528"/>
    </row>
    <row r="68" spans="2:18">
      <c r="B68" s="1528"/>
      <c r="C68" s="1528"/>
      <c r="D68" s="1528"/>
      <c r="E68" s="1528"/>
      <c r="F68" s="1528"/>
      <c r="G68" s="1528"/>
      <c r="H68" s="1528"/>
      <c r="I68" s="1528"/>
      <c r="J68" s="1528"/>
      <c r="K68" s="1528"/>
      <c r="L68" s="1528"/>
      <c r="M68" s="1528"/>
      <c r="N68" s="1528"/>
      <c r="O68" s="1528"/>
      <c r="P68" s="1528"/>
      <c r="Q68" s="1528"/>
      <c r="R68" s="1528"/>
    </row>
    <row r="69" spans="2:18">
      <c r="B69" s="1528"/>
      <c r="C69" s="1528"/>
      <c r="D69" s="1528"/>
      <c r="E69" s="1528"/>
      <c r="F69" s="1528"/>
      <c r="G69" s="1528"/>
      <c r="H69" s="1528"/>
      <c r="I69" s="1528"/>
      <c r="J69" s="1528"/>
      <c r="K69" s="1528"/>
      <c r="L69" s="1528"/>
      <c r="M69" s="1528"/>
      <c r="N69" s="1528"/>
      <c r="O69" s="1528"/>
      <c r="P69" s="1528"/>
      <c r="Q69" s="1528"/>
      <c r="R69" s="1528"/>
    </row>
    <row r="70" spans="2:18">
      <c r="B70" s="1528"/>
      <c r="C70" s="1528"/>
      <c r="D70" s="1528"/>
      <c r="E70" s="1528"/>
      <c r="F70" s="1528"/>
      <c r="G70" s="1528"/>
      <c r="H70" s="1528"/>
      <c r="I70" s="1528"/>
      <c r="J70" s="1528"/>
      <c r="K70" s="1528"/>
      <c r="L70" s="1528"/>
      <c r="M70" s="1528"/>
      <c r="N70" s="1528"/>
      <c r="O70" s="1528"/>
      <c r="P70" s="1528"/>
      <c r="Q70" s="1528"/>
      <c r="R70" s="1528"/>
    </row>
    <row r="71" spans="2:18">
      <c r="B71" s="1528"/>
      <c r="C71" s="1528"/>
      <c r="D71" s="1528"/>
      <c r="E71" s="1528"/>
      <c r="F71" s="1528"/>
      <c r="G71" s="1528"/>
      <c r="H71" s="1528"/>
      <c r="I71" s="1528"/>
      <c r="J71" s="1528"/>
      <c r="K71" s="1528"/>
      <c r="L71" s="1528"/>
      <c r="M71" s="1528"/>
      <c r="N71" s="1528"/>
      <c r="O71" s="1528"/>
      <c r="P71" s="1528"/>
      <c r="Q71" s="1528"/>
      <c r="R71" s="1528"/>
    </row>
    <row r="72" spans="2:18">
      <c r="B72" s="1528"/>
      <c r="C72" s="1528"/>
      <c r="D72" s="1528"/>
      <c r="E72" s="1528"/>
      <c r="F72" s="1528"/>
      <c r="G72" s="1528"/>
      <c r="H72" s="1528"/>
      <c r="I72" s="1528"/>
      <c r="J72" s="1528"/>
      <c r="K72" s="1528"/>
      <c r="L72" s="1528"/>
      <c r="M72" s="1528"/>
      <c r="N72" s="1528"/>
      <c r="O72" s="1528"/>
      <c r="P72" s="1528"/>
      <c r="Q72" s="1528"/>
      <c r="R72" s="1528"/>
    </row>
    <row r="73" spans="2:18">
      <c r="B73" s="1528"/>
      <c r="C73" s="1528"/>
      <c r="D73" s="1528"/>
      <c r="E73" s="1528"/>
      <c r="F73" s="1528"/>
      <c r="G73" s="1528"/>
      <c r="H73" s="1528"/>
      <c r="I73" s="1528"/>
      <c r="J73" s="1528"/>
      <c r="K73" s="1528"/>
      <c r="L73" s="1528"/>
      <c r="M73" s="1528"/>
      <c r="N73" s="1528"/>
      <c r="O73" s="1528"/>
      <c r="P73" s="1528"/>
      <c r="Q73" s="1528"/>
      <c r="R73" s="1528"/>
    </row>
    <row r="74" spans="2:18" ht="12.75" customHeight="1">
      <c r="B74" s="1528"/>
      <c r="C74" s="1528"/>
      <c r="D74" s="1528"/>
      <c r="E74" s="1528"/>
      <c r="F74" s="1528"/>
      <c r="G74" s="1528"/>
      <c r="H74" s="1528"/>
      <c r="I74" s="1528"/>
      <c r="J74" s="1528"/>
      <c r="K74" s="1528"/>
      <c r="L74" s="1528"/>
      <c r="M74" s="1528"/>
      <c r="N74" s="1528"/>
      <c r="O74" s="1528"/>
      <c r="P74" s="1528"/>
      <c r="Q74" s="1528"/>
      <c r="R74" s="1528"/>
    </row>
    <row r="75" spans="2:18">
      <c r="B75" s="1528"/>
      <c r="C75" s="1528"/>
      <c r="D75" s="1528"/>
      <c r="E75" s="1528"/>
      <c r="F75" s="1528"/>
      <c r="G75" s="1528"/>
      <c r="H75" s="1528"/>
      <c r="I75" s="1528"/>
      <c r="J75" s="1528"/>
      <c r="K75" s="1528"/>
      <c r="L75" s="1528"/>
      <c r="M75" s="1528"/>
      <c r="N75" s="1528"/>
      <c r="O75" s="1528"/>
      <c r="P75" s="1528"/>
      <c r="Q75" s="1528"/>
      <c r="R75" s="1528"/>
    </row>
    <row r="76" spans="2:18">
      <c r="B76" s="1528"/>
      <c r="C76" s="1528"/>
      <c r="D76" s="1528"/>
      <c r="E76" s="1528"/>
      <c r="F76" s="1528"/>
      <c r="G76" s="1528"/>
      <c r="H76" s="1528"/>
      <c r="I76" s="1528"/>
      <c r="J76" s="1528"/>
      <c r="K76" s="1528"/>
      <c r="L76" s="1528"/>
      <c r="M76" s="1528"/>
      <c r="N76" s="1528"/>
      <c r="O76" s="1528"/>
      <c r="P76" s="1528"/>
      <c r="Q76" s="1528"/>
      <c r="R76" s="1528"/>
    </row>
    <row r="77" spans="2:18">
      <c r="B77" s="1528"/>
      <c r="C77" s="1528"/>
      <c r="D77" s="1528"/>
      <c r="E77" s="1528"/>
      <c r="F77" s="1528"/>
      <c r="G77" s="1528"/>
      <c r="H77" s="1528"/>
      <c r="I77" s="1528"/>
      <c r="J77" s="1528"/>
      <c r="K77" s="1528"/>
      <c r="L77" s="1528"/>
      <c r="M77" s="1528"/>
      <c r="N77" s="1528"/>
      <c r="O77" s="1528"/>
      <c r="P77" s="1528"/>
      <c r="Q77" s="1528"/>
      <c r="R77" s="1528"/>
    </row>
    <row r="78" spans="2:18">
      <c r="B78" s="1528"/>
      <c r="C78" s="1528"/>
      <c r="D78" s="1528"/>
      <c r="E78" s="1528"/>
      <c r="F78" s="1528"/>
      <c r="G78" s="1528"/>
      <c r="H78" s="1528"/>
      <c r="I78" s="1528"/>
      <c r="J78" s="1528"/>
      <c r="K78" s="1528"/>
      <c r="L78" s="1528"/>
      <c r="M78" s="1528"/>
      <c r="N78" s="1528"/>
      <c r="O78" s="1528"/>
      <c r="P78" s="1528"/>
      <c r="Q78" s="1528"/>
      <c r="R78" s="1528"/>
    </row>
    <row r="79" spans="2:18">
      <c r="B79" s="1528"/>
      <c r="C79" s="1528"/>
      <c r="D79" s="1528"/>
      <c r="E79" s="1528"/>
      <c r="F79" s="1528"/>
      <c r="G79" s="1528"/>
      <c r="H79" s="1528"/>
      <c r="I79" s="1528"/>
      <c r="J79" s="1528"/>
      <c r="K79" s="1528"/>
      <c r="L79" s="1528"/>
      <c r="M79" s="1528"/>
      <c r="N79" s="1528"/>
      <c r="O79" s="1528"/>
      <c r="P79" s="1528"/>
      <c r="Q79" s="1528"/>
      <c r="R79" s="1528"/>
    </row>
    <row r="80" spans="2:18">
      <c r="B80" s="1528"/>
      <c r="C80" s="1528"/>
      <c r="D80" s="1528"/>
      <c r="E80" s="1528"/>
      <c r="F80" s="1528"/>
      <c r="G80" s="1528"/>
      <c r="H80" s="1528"/>
      <c r="I80" s="1528"/>
      <c r="J80" s="1528"/>
      <c r="K80" s="1528"/>
      <c r="L80" s="1528"/>
      <c r="M80" s="1528"/>
      <c r="N80" s="1528"/>
      <c r="O80" s="1528"/>
      <c r="P80" s="1528"/>
      <c r="Q80" s="1528"/>
      <c r="R80" s="1528"/>
    </row>
    <row r="81" spans="2:18">
      <c r="B81" s="1528"/>
      <c r="C81" s="1528"/>
      <c r="D81" s="1528"/>
      <c r="E81" s="1528"/>
      <c r="F81" s="1528"/>
      <c r="G81" s="1528"/>
      <c r="H81" s="1528"/>
      <c r="I81" s="1528"/>
      <c r="J81" s="1528"/>
      <c r="K81" s="1528"/>
      <c r="L81" s="1528"/>
      <c r="M81" s="1528"/>
      <c r="N81" s="1528"/>
      <c r="O81" s="1528"/>
      <c r="P81" s="1528"/>
      <c r="Q81" s="1528"/>
      <c r="R81" s="1528"/>
    </row>
    <row r="82" spans="2:18">
      <c r="B82" s="1528"/>
      <c r="C82" s="1528"/>
      <c r="D82" s="1528"/>
      <c r="E82" s="1528"/>
      <c r="F82" s="1528"/>
      <c r="G82" s="1528"/>
      <c r="H82" s="1528"/>
      <c r="I82" s="1528"/>
      <c r="J82" s="1528"/>
      <c r="K82" s="1528"/>
      <c r="L82" s="1528"/>
      <c r="M82" s="1528"/>
      <c r="N82" s="1528"/>
      <c r="O82" s="1528"/>
      <c r="P82" s="1528"/>
      <c r="Q82" s="1528"/>
      <c r="R82" s="1528"/>
    </row>
    <row r="83" spans="2:18">
      <c r="B83" s="1528"/>
      <c r="C83" s="1528"/>
      <c r="D83" s="1528"/>
      <c r="E83" s="1528"/>
      <c r="F83" s="1528"/>
      <c r="G83" s="1528"/>
      <c r="H83" s="1528"/>
      <c r="I83" s="1528"/>
      <c r="J83" s="1528"/>
      <c r="K83" s="1528"/>
      <c r="L83" s="1528"/>
      <c r="M83" s="1528"/>
      <c r="N83" s="1528"/>
      <c r="O83" s="1528"/>
      <c r="P83" s="1528"/>
      <c r="Q83" s="1528"/>
      <c r="R83" s="1528"/>
    </row>
    <row r="84" spans="2:18">
      <c r="B84" s="1528"/>
      <c r="C84" s="1528"/>
      <c r="D84" s="1528"/>
      <c r="E84" s="1528"/>
      <c r="F84" s="1528"/>
      <c r="G84" s="1528"/>
      <c r="H84" s="1528"/>
      <c r="I84" s="1528"/>
      <c r="J84" s="1528"/>
      <c r="K84" s="1528"/>
      <c r="L84" s="1528"/>
      <c r="M84" s="1528"/>
      <c r="N84" s="1528"/>
      <c r="O84" s="1528"/>
      <c r="P84" s="1528"/>
      <c r="Q84" s="1528"/>
      <c r="R84" s="1528"/>
    </row>
    <row r="85" spans="2:18">
      <c r="B85" s="1528"/>
      <c r="C85" s="1528"/>
      <c r="D85" s="1528"/>
      <c r="E85" s="1528"/>
      <c r="F85" s="1528"/>
      <c r="G85" s="1528"/>
      <c r="H85" s="1528"/>
      <c r="I85" s="1528"/>
      <c r="J85" s="1528"/>
      <c r="K85" s="1528"/>
      <c r="L85" s="1528"/>
      <c r="M85" s="1528"/>
      <c r="N85" s="1528"/>
      <c r="O85" s="1528"/>
      <c r="P85" s="1528"/>
      <c r="Q85" s="1528"/>
      <c r="R85" s="1528"/>
    </row>
    <row r="86" spans="2:18">
      <c r="B86" s="1528"/>
      <c r="C86" s="1528"/>
      <c r="D86" s="1528"/>
      <c r="E86" s="1528"/>
      <c r="F86" s="1528"/>
      <c r="G86" s="1528"/>
      <c r="H86" s="1528"/>
      <c r="I86" s="1528"/>
      <c r="J86" s="1528"/>
      <c r="K86" s="1528"/>
      <c r="L86" s="1528"/>
      <c r="M86" s="1528"/>
      <c r="N86" s="1528"/>
      <c r="O86" s="1528"/>
      <c r="P86" s="1528"/>
      <c r="Q86" s="1528"/>
      <c r="R86" s="1528"/>
    </row>
    <row r="87" spans="2:18">
      <c r="B87" s="1528"/>
      <c r="C87" s="1528"/>
      <c r="D87" s="1528"/>
      <c r="E87" s="1528"/>
      <c r="F87" s="1528"/>
      <c r="G87" s="1528"/>
      <c r="H87" s="1528"/>
      <c r="I87" s="1528"/>
      <c r="J87" s="1528"/>
      <c r="K87" s="1528"/>
      <c r="L87" s="1528"/>
      <c r="M87" s="1528"/>
      <c r="N87" s="1528"/>
      <c r="O87" s="1528"/>
      <c r="P87" s="1528"/>
      <c r="Q87" s="1528"/>
      <c r="R87" s="1528"/>
    </row>
    <row r="88" spans="2:18">
      <c r="B88" s="1528"/>
      <c r="C88" s="1528"/>
      <c r="D88" s="1528"/>
      <c r="E88" s="1528"/>
      <c r="F88" s="1528"/>
      <c r="G88" s="1528"/>
      <c r="H88" s="1528"/>
      <c r="I88" s="1528"/>
      <c r="J88" s="1528"/>
      <c r="K88" s="1528"/>
      <c r="L88" s="1528"/>
      <c r="M88" s="1528"/>
      <c r="N88" s="1528"/>
      <c r="O88" s="1528"/>
      <c r="P88" s="1528"/>
      <c r="Q88" s="1528"/>
      <c r="R88" s="1528"/>
    </row>
    <row r="89" spans="2:18">
      <c r="B89" s="1528"/>
      <c r="C89" s="1528"/>
      <c r="D89" s="1528"/>
      <c r="E89" s="1528"/>
      <c r="F89" s="1528"/>
      <c r="G89" s="1528"/>
      <c r="H89" s="1528"/>
      <c r="I89" s="1528"/>
      <c r="J89" s="1528"/>
      <c r="K89" s="1528"/>
      <c r="L89" s="1528"/>
      <c r="M89" s="1528"/>
      <c r="N89" s="1528"/>
      <c r="O89" s="1528"/>
      <c r="P89" s="1528"/>
      <c r="Q89" s="1528"/>
      <c r="R89" s="1528"/>
    </row>
    <row r="90" spans="2:18">
      <c r="B90" s="1528"/>
      <c r="C90" s="1528"/>
      <c r="D90" s="1528"/>
      <c r="E90" s="1528"/>
      <c r="F90" s="1528"/>
      <c r="G90" s="1528"/>
      <c r="H90" s="1528"/>
      <c r="I90" s="1528"/>
      <c r="J90" s="1528"/>
      <c r="K90" s="1528"/>
      <c r="L90" s="1528"/>
      <c r="M90" s="1528"/>
      <c r="N90" s="1528"/>
      <c r="O90" s="1528"/>
      <c r="P90" s="1528"/>
      <c r="Q90" s="1528"/>
      <c r="R90" s="1528"/>
    </row>
    <row r="91" spans="2:18">
      <c r="B91" s="1528"/>
      <c r="C91" s="1528"/>
      <c r="D91" s="1528"/>
      <c r="E91" s="1528"/>
      <c r="F91" s="1528"/>
      <c r="G91" s="1528"/>
      <c r="H91" s="1528"/>
      <c r="I91" s="1528"/>
      <c r="J91" s="1528"/>
      <c r="K91" s="1528"/>
      <c r="L91" s="1528"/>
      <c r="M91" s="1528"/>
      <c r="N91" s="1528"/>
      <c r="O91" s="1528"/>
      <c r="P91" s="1528"/>
      <c r="Q91" s="1528"/>
      <c r="R91" s="1528"/>
    </row>
    <row r="92" spans="2:18">
      <c r="B92" s="1528"/>
      <c r="C92" s="1528"/>
      <c r="D92" s="1528"/>
      <c r="E92" s="1528"/>
      <c r="F92" s="1528"/>
      <c r="G92" s="1528"/>
      <c r="H92" s="1528"/>
      <c r="I92" s="1528"/>
      <c r="J92" s="1528"/>
      <c r="K92" s="1528"/>
      <c r="L92" s="1528"/>
      <c r="M92" s="1528"/>
      <c r="N92" s="1528"/>
      <c r="O92" s="1528"/>
      <c r="P92" s="1528"/>
      <c r="Q92" s="1528"/>
      <c r="R92" s="1528"/>
    </row>
    <row r="93" spans="2:18">
      <c r="B93" s="1528"/>
      <c r="C93" s="1528"/>
      <c r="D93" s="1528"/>
      <c r="E93" s="1528"/>
      <c r="F93" s="1528"/>
      <c r="G93" s="1528"/>
      <c r="H93" s="1528"/>
      <c r="I93" s="1528"/>
      <c r="J93" s="1528"/>
      <c r="K93" s="1528"/>
      <c r="L93" s="1528"/>
      <c r="M93" s="1528"/>
      <c r="N93" s="1528"/>
      <c r="O93" s="1528"/>
      <c r="P93" s="1528"/>
      <c r="Q93" s="1528"/>
      <c r="R93" s="1528"/>
    </row>
    <row r="94" spans="2:18">
      <c r="B94" s="1528"/>
      <c r="C94" s="1528"/>
      <c r="D94" s="1528"/>
      <c r="E94" s="1528"/>
      <c r="F94" s="1528"/>
      <c r="G94" s="1528"/>
      <c r="H94" s="1528"/>
      <c r="I94" s="1528"/>
      <c r="J94" s="1528"/>
      <c r="K94" s="1528"/>
      <c r="L94" s="1528"/>
      <c r="M94" s="1528"/>
      <c r="N94" s="1528"/>
      <c r="O94" s="1528"/>
      <c r="P94" s="1528"/>
      <c r="Q94" s="1528"/>
      <c r="R94" s="1528"/>
    </row>
    <row r="95" spans="2:18">
      <c r="B95" s="1528"/>
      <c r="C95" s="1528"/>
      <c r="D95" s="1528"/>
      <c r="E95" s="1528"/>
      <c r="F95" s="1528"/>
      <c r="G95" s="1528"/>
      <c r="H95" s="1528"/>
      <c r="I95" s="1528"/>
      <c r="J95" s="1528"/>
      <c r="K95" s="1528"/>
      <c r="L95" s="1528"/>
      <c r="M95" s="1528"/>
      <c r="N95" s="1528"/>
      <c r="O95" s="1528"/>
      <c r="P95" s="1528"/>
      <c r="Q95" s="1528"/>
      <c r="R95" s="1528"/>
    </row>
    <row r="96" spans="2:18">
      <c r="B96" s="1528"/>
      <c r="C96" s="1528"/>
      <c r="D96" s="1528"/>
      <c r="E96" s="1528"/>
      <c r="F96" s="1528"/>
      <c r="G96" s="1528"/>
      <c r="H96" s="1528"/>
      <c r="I96" s="1528"/>
      <c r="J96" s="1528"/>
      <c r="K96" s="1528"/>
      <c r="L96" s="1528"/>
      <c r="M96" s="1528"/>
      <c r="N96" s="1528"/>
      <c r="O96" s="1528"/>
      <c r="P96" s="1528"/>
      <c r="Q96" s="1528"/>
      <c r="R96" s="1528"/>
    </row>
    <row r="97" spans="2:18">
      <c r="B97" s="1528"/>
      <c r="C97" s="1528"/>
      <c r="D97" s="1528"/>
      <c r="E97" s="1528"/>
      <c r="F97" s="1528"/>
      <c r="G97" s="1528"/>
      <c r="H97" s="1528"/>
      <c r="I97" s="1528"/>
      <c r="J97" s="1528"/>
      <c r="K97" s="1528"/>
      <c r="L97" s="1528"/>
      <c r="M97" s="1528"/>
      <c r="N97" s="1528"/>
      <c r="O97" s="1528"/>
      <c r="P97" s="1528"/>
      <c r="Q97" s="1528"/>
      <c r="R97" s="1528"/>
    </row>
    <row r="98" spans="2:18">
      <c r="B98" s="1528"/>
      <c r="C98" s="1528"/>
      <c r="D98" s="1528"/>
      <c r="E98" s="1528"/>
      <c r="F98" s="1528"/>
      <c r="G98" s="1528"/>
      <c r="H98" s="1528"/>
      <c r="I98" s="1528"/>
      <c r="J98" s="1528"/>
      <c r="K98" s="1528"/>
      <c r="L98" s="1528"/>
      <c r="M98" s="1528"/>
      <c r="N98" s="1528"/>
      <c r="O98" s="1528"/>
      <c r="P98" s="1528"/>
      <c r="Q98" s="1528"/>
      <c r="R98" s="1528"/>
    </row>
    <row r="99" spans="2:18">
      <c r="B99" s="1528"/>
      <c r="C99" s="1528"/>
      <c r="D99" s="1528"/>
      <c r="E99" s="1528"/>
      <c r="F99" s="1528"/>
      <c r="G99" s="1528"/>
      <c r="H99" s="1528"/>
      <c r="I99" s="1528"/>
      <c r="J99" s="1528"/>
      <c r="K99" s="1528"/>
      <c r="L99" s="1528"/>
      <c r="M99" s="1528"/>
      <c r="N99" s="1528"/>
      <c r="O99" s="1528"/>
      <c r="P99" s="1528"/>
      <c r="Q99" s="1528"/>
      <c r="R99" s="1528"/>
    </row>
    <row r="100" spans="2:18">
      <c r="B100" s="1528"/>
      <c r="C100" s="1528"/>
      <c r="D100" s="1528"/>
      <c r="E100" s="1528"/>
      <c r="F100" s="1528"/>
      <c r="G100" s="1528"/>
      <c r="H100" s="1528"/>
      <c r="I100" s="1528"/>
      <c r="J100" s="1528"/>
      <c r="K100" s="1528"/>
      <c r="L100" s="1528"/>
      <c r="M100" s="1528"/>
      <c r="N100" s="1528"/>
      <c r="O100" s="1528"/>
      <c r="P100" s="1528"/>
      <c r="Q100" s="1528"/>
      <c r="R100" s="1528"/>
    </row>
    <row r="101" spans="2:18">
      <c r="B101" s="1528"/>
      <c r="C101" s="1528"/>
      <c r="D101" s="1528"/>
      <c r="E101" s="1528"/>
      <c r="F101" s="1528"/>
      <c r="G101" s="1528"/>
      <c r="H101" s="1528"/>
      <c r="I101" s="1528"/>
      <c r="J101" s="1528"/>
      <c r="K101" s="1528"/>
      <c r="L101" s="1528"/>
      <c r="M101" s="1528"/>
      <c r="N101" s="1528"/>
      <c r="O101" s="1528"/>
      <c r="P101" s="1528"/>
      <c r="Q101" s="1528"/>
      <c r="R101" s="1528"/>
    </row>
  </sheetData>
  <sheetProtection password="C616" sheet="1" objects="1" scenarios="1"/>
  <mergeCells count="99">
    <mergeCell ref="M27:M28"/>
    <mergeCell ref="O27:O28"/>
    <mergeCell ref="B35:H35"/>
    <mergeCell ref="B36:H36"/>
    <mergeCell ref="L27:L28"/>
    <mergeCell ref="I27:I28"/>
    <mergeCell ref="J27:J28"/>
    <mergeCell ref="K27:K28"/>
    <mergeCell ref="C34:H34"/>
    <mergeCell ref="B30:L30"/>
    <mergeCell ref="B28:G28"/>
    <mergeCell ref="B27:H27"/>
    <mergeCell ref="I25:I26"/>
    <mergeCell ref="J25:J26"/>
    <mergeCell ref="K25:K26"/>
    <mergeCell ref="L25:L26"/>
    <mergeCell ref="B26:G26"/>
    <mergeCell ref="B25:H25"/>
    <mergeCell ref="P27:P28"/>
    <mergeCell ref="T23:T24"/>
    <mergeCell ref="U23:U24"/>
    <mergeCell ref="V23:V24"/>
    <mergeCell ref="V27:V28"/>
    <mergeCell ref="R23:R24"/>
    <mergeCell ref="T25:T26"/>
    <mergeCell ref="R25:R26"/>
    <mergeCell ref="P25:P26"/>
    <mergeCell ref="Q27:Q28"/>
    <mergeCell ref="U27:U28"/>
    <mergeCell ref="R27:R28"/>
    <mergeCell ref="T27:T28"/>
    <mergeCell ref="W25:W26"/>
    <mergeCell ref="W27:W28"/>
    <mergeCell ref="W23:W24"/>
    <mergeCell ref="U25:U26"/>
    <mergeCell ref="V25:V26"/>
    <mergeCell ref="I23:I24"/>
    <mergeCell ref="J23:J24"/>
    <mergeCell ref="K23:K24"/>
    <mergeCell ref="L23:L24"/>
    <mergeCell ref="B24:G24"/>
    <mergeCell ref="B23:H23"/>
    <mergeCell ref="M23:M24"/>
    <mergeCell ref="O23:O24"/>
    <mergeCell ref="P23:P24"/>
    <mergeCell ref="Q23:Q24"/>
    <mergeCell ref="Q25:Q26"/>
    <mergeCell ref="M25:M26"/>
    <mergeCell ref="O25:O26"/>
    <mergeCell ref="W21:W22"/>
    <mergeCell ref="B22:G22"/>
    <mergeCell ref="M21:M22"/>
    <mergeCell ref="O21:O22"/>
    <mergeCell ref="P21:P22"/>
    <mergeCell ref="Q21:Q22"/>
    <mergeCell ref="R21:R22"/>
    <mergeCell ref="I21:I22"/>
    <mergeCell ref="J21:J22"/>
    <mergeCell ref="K21:K22"/>
    <mergeCell ref="L21:L22"/>
    <mergeCell ref="B21:H21"/>
    <mergeCell ref="B9:M9"/>
    <mergeCell ref="B10:L10"/>
    <mergeCell ref="H2:M4"/>
    <mergeCell ref="F3:G3"/>
    <mergeCell ref="B7:M7"/>
    <mergeCell ref="B8:M8"/>
    <mergeCell ref="X48:X52"/>
    <mergeCell ref="A19:A20"/>
    <mergeCell ref="B19:H19"/>
    <mergeCell ref="I19:I20"/>
    <mergeCell ref="J19:J20"/>
    <mergeCell ref="K19:K20"/>
    <mergeCell ref="L19:L20"/>
    <mergeCell ref="B20:G20"/>
    <mergeCell ref="B52:H52"/>
    <mergeCell ref="C41:H41"/>
    <mergeCell ref="B29:H29"/>
    <mergeCell ref="C37:H37"/>
    <mergeCell ref="C38:H38"/>
    <mergeCell ref="C39:H39"/>
    <mergeCell ref="C40:H40"/>
    <mergeCell ref="B48:H48"/>
    <mergeCell ref="B11:M11"/>
    <mergeCell ref="B16:M16"/>
    <mergeCell ref="U48:U52"/>
    <mergeCell ref="V48:V52"/>
    <mergeCell ref="W48:W52"/>
    <mergeCell ref="B13:M13"/>
    <mergeCell ref="B15:M15"/>
    <mergeCell ref="B12:M12"/>
    <mergeCell ref="B49:H49"/>
    <mergeCell ref="B50:H50"/>
    <mergeCell ref="B43:L43"/>
    <mergeCell ref="C46:H46"/>
    <mergeCell ref="B47:H47"/>
    <mergeCell ref="T21:T22"/>
    <mergeCell ref="U21:U22"/>
    <mergeCell ref="V21:V22"/>
  </mergeCells>
  <conditionalFormatting sqref="I19">
    <cfRule type="expression" dxfId="101" priority="7" stopIfTrue="1">
      <formula>Zonen&gt;0</formula>
    </cfRule>
  </conditionalFormatting>
  <conditionalFormatting sqref="I21 I23 I25 I27 I29 I35:I41 I47:I50">
    <cfRule type="expression" dxfId="100" priority="12" stopIfTrue="1">
      <formula>Zonen&gt;0</formula>
    </cfRule>
  </conditionalFormatting>
  <conditionalFormatting sqref="I52">
    <cfRule type="expression" dxfId="99" priority="8" stopIfTrue="1">
      <formula>$O$52</formula>
    </cfRule>
  </conditionalFormatting>
  <conditionalFormatting sqref="J19">
    <cfRule type="expression" dxfId="98" priority="6" stopIfTrue="1">
      <formula>Zonen&gt;1</formula>
    </cfRule>
  </conditionalFormatting>
  <conditionalFormatting sqref="J21 J23 J25 J27 J29 J35:J41 J47:J50">
    <cfRule type="expression" dxfId="97" priority="13" stopIfTrue="1">
      <formula>Zonen&gt;1</formula>
    </cfRule>
  </conditionalFormatting>
  <conditionalFormatting sqref="J52">
    <cfRule type="expression" dxfId="96" priority="3" stopIfTrue="1">
      <formula>Zonen&lt;2</formula>
    </cfRule>
    <cfRule type="expression" dxfId="95" priority="9" stopIfTrue="1">
      <formula>$P$52</formula>
    </cfRule>
  </conditionalFormatting>
  <conditionalFormatting sqref="K19">
    <cfRule type="expression" dxfId="94" priority="5" stopIfTrue="1">
      <formula>Zonen&gt;2</formula>
    </cfRule>
  </conditionalFormatting>
  <conditionalFormatting sqref="K21 K23 K25 K27 K29 K35:K41 K47:K50">
    <cfRule type="expression" dxfId="93" priority="14" stopIfTrue="1">
      <formula>Zonen&gt;2</formula>
    </cfRule>
  </conditionalFormatting>
  <conditionalFormatting sqref="K52">
    <cfRule type="expression" dxfId="92" priority="2">
      <formula>Zonen&lt;3</formula>
    </cfRule>
    <cfRule type="expression" dxfId="91" priority="10" stopIfTrue="1">
      <formula>$Q$52</formula>
    </cfRule>
  </conditionalFormatting>
  <conditionalFormatting sqref="L19">
    <cfRule type="expression" dxfId="90" priority="4" stopIfTrue="1">
      <formula>Zonen&gt;3</formula>
    </cfRule>
  </conditionalFormatting>
  <conditionalFormatting sqref="L21 L23 L25 L27 L29 L35:L41 L47:L50">
    <cfRule type="expression" dxfId="89" priority="15" stopIfTrue="1">
      <formula>Zonen&gt;3</formula>
    </cfRule>
  </conditionalFormatting>
  <conditionalFormatting sqref="L52">
    <cfRule type="expression" dxfId="88" priority="1">
      <formula>Zonen&lt;4</formula>
    </cfRule>
    <cfRule type="expression" dxfId="87" priority="11" stopIfTrue="1">
      <formula>$R$52</formula>
    </cfRule>
  </conditionalFormatting>
  <dataValidations disablePrompts="1" count="5">
    <dataValidation type="list" allowBlank="1" showInputMessage="1" showErrorMessage="1" sqref="I19:L19">
      <formula1>$Q$12:$Q$15</formula1>
    </dataValidation>
    <dataValidation type="list" allowBlank="1" showInputMessage="1" showErrorMessage="1" sqref="I29:L29">
      <formula1>$P$12:$P$14</formula1>
    </dataValidation>
    <dataValidation type="list" allowBlank="1" showInputMessage="1" showErrorMessage="1" sqref="I21:L21 I27:L28 I25:L25 I23:L23">
      <formula1>$O$12:$O$14</formula1>
    </dataValidation>
    <dataValidation type="list" allowBlank="1" showInputMessage="1" showErrorMessage="1" sqref="I35:L41">
      <formula1>$O$32:$O$33</formula1>
    </dataValidation>
    <dataValidation type="list" allowBlank="1" showInputMessage="1" showErrorMessage="1" sqref="I47:L50">
      <formula1>$O$31:$O$33</formula1>
    </dataValidation>
  </dataValidations>
  <pageMargins left="0.31496062992125984" right="0.31496062992125984" top="0.39370078740157483" bottom="0.27559055118110237" header="0.23622047244094491" footer="0.23622047244094491"/>
  <pageSetup paperSize="9" scale="90" orientation="portrait" horizontalDpi="72" verticalDpi="72" r:id="rId1"/>
  <headerFooter>
    <oddFooter>&amp;L&amp;8&amp;F / &amp;A / &amp;D, &amp;T</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pageSetUpPr fitToPage="1"/>
  </sheetPr>
  <dimension ref="A1:X72"/>
  <sheetViews>
    <sheetView showZeros="0" zoomScaleNormal="100" workbookViewId="0"/>
  </sheetViews>
  <sheetFormatPr baseColWidth="10" defaultColWidth="11.42578125" defaultRowHeight="12.75"/>
  <cols>
    <col min="1" max="1" width="3.42578125" style="1543" customWidth="1"/>
    <col min="2" max="2" width="23.7109375" style="1236" customWidth="1"/>
    <col min="3" max="3" width="10.7109375" style="1236" customWidth="1"/>
    <col min="4" max="4" width="8.7109375" style="1236" customWidth="1"/>
    <col min="5" max="5" width="6.7109375" style="1236" customWidth="1"/>
    <col min="6" max="9" width="11.7109375" style="1236" customWidth="1"/>
    <col min="10" max="10" width="0.7109375" style="1236" customWidth="1"/>
    <col min="11" max="11" width="12.7109375" style="1236" customWidth="1"/>
    <col min="12" max="12" width="11.42578125" style="1299"/>
    <col min="13" max="13" width="23.42578125" style="1488" customWidth="1"/>
    <col min="14" max="14" width="6.28515625" style="1488" customWidth="1"/>
    <col min="15" max="15" width="8" style="1488" customWidth="1"/>
    <col min="16" max="16" width="17.85546875" style="1488" customWidth="1"/>
    <col min="17" max="20" width="11.42578125" style="1488"/>
    <col min="21" max="24" width="11.42578125" style="1299"/>
    <col min="25" max="16384" width="11.42578125" style="1236"/>
  </cols>
  <sheetData>
    <row r="1" spans="1:24" s="5" customFormat="1" ht="9.9499999999999993" customHeight="1">
      <c r="A1" s="1517"/>
      <c r="B1" s="2525" t="str">
        <f>MOP!A3</f>
        <v>v2.97</v>
      </c>
      <c r="C1" s="3"/>
      <c r="D1" s="3"/>
      <c r="E1" s="340"/>
      <c r="F1" s="3"/>
      <c r="G1" s="3"/>
      <c r="H1" s="3"/>
      <c r="I1" s="158"/>
      <c r="J1" s="3"/>
      <c r="K1" s="1343" t="str">
        <f>Uebersetzung!D5</f>
        <v>Formulaire EN101b, v2.97, à utiliser jusqu'au 31 décembre 2026</v>
      </c>
      <c r="L1" s="803"/>
      <c r="M1" s="1482"/>
      <c r="N1" s="1300"/>
      <c r="O1" s="1300"/>
      <c r="P1" s="1300"/>
      <c r="Q1" s="1300"/>
      <c r="R1" s="1300"/>
      <c r="S1" s="1300"/>
      <c r="T1" s="1300"/>
      <c r="U1" s="804"/>
      <c r="V1" s="804"/>
      <c r="W1" s="804"/>
      <c r="X1" s="804"/>
    </row>
    <row r="2" spans="1:24" s="5" customFormat="1" ht="17.100000000000001" customHeight="1">
      <c r="A2" s="1517"/>
      <c r="B2" s="1221"/>
      <c r="C2" s="1222"/>
      <c r="D2" s="1223"/>
      <c r="E2" s="1221"/>
      <c r="F2" s="1223"/>
      <c r="G2" s="2979" t="str">
        <f>Uebersetzung!D318</f>
        <v>Aperçu</v>
      </c>
      <c r="H2" s="2980"/>
      <c r="I2" s="2980"/>
      <c r="J2" s="2980"/>
      <c r="K2" s="2981"/>
      <c r="L2" s="803"/>
      <c r="M2" s="1482"/>
      <c r="N2" s="1300"/>
      <c r="O2" s="1300"/>
      <c r="P2" s="1300"/>
      <c r="Q2" s="1300"/>
      <c r="R2" s="1300"/>
      <c r="S2" s="1300"/>
      <c r="T2" s="1300"/>
      <c r="U2" s="804"/>
      <c r="V2" s="804"/>
      <c r="W2" s="804"/>
      <c r="X2" s="804"/>
    </row>
    <row r="3" spans="1:24" s="5" customFormat="1" ht="17.100000000000001" customHeight="1">
      <c r="A3" s="1517"/>
      <c r="B3" s="1224"/>
      <c r="C3" s="1225"/>
      <c r="D3" s="1226"/>
      <c r="E3" s="1227"/>
      <c r="F3" s="1228"/>
      <c r="G3" s="2982" t="str">
        <f>Uebersetzung!D376</f>
        <v>justificatif Minergie</v>
      </c>
      <c r="H3" s="2983"/>
      <c r="I3" s="2983"/>
      <c r="J3" s="2983"/>
      <c r="K3" s="2984"/>
      <c r="L3" s="803"/>
      <c r="M3" s="1482"/>
      <c r="N3" s="1300"/>
      <c r="O3" s="1300"/>
      <c r="P3" s="1300"/>
      <c r="Q3" s="1300"/>
      <c r="R3" s="1300"/>
      <c r="S3" s="1300"/>
      <c r="T3" s="1300"/>
      <c r="U3" s="804"/>
      <c r="V3" s="804"/>
      <c r="W3" s="804"/>
      <c r="X3" s="804"/>
    </row>
    <row r="4" spans="1:24" s="5" customFormat="1" ht="9.9499999999999993" customHeight="1">
      <c r="A4" s="1517"/>
      <c r="B4" s="1229"/>
      <c r="C4" s="891"/>
      <c r="D4" s="1230"/>
      <c r="E4" s="1229"/>
      <c r="F4" s="1230"/>
      <c r="G4" s="1231"/>
      <c r="H4" s="1232"/>
      <c r="I4" s="1232"/>
      <c r="J4" s="1232"/>
      <c r="K4" s="1233"/>
      <c r="L4" s="803"/>
      <c r="M4" s="1482"/>
      <c r="N4" s="1300"/>
      <c r="O4" s="1300"/>
      <c r="P4" s="1300"/>
      <c r="Q4" s="1300"/>
      <c r="R4" s="1300"/>
      <c r="S4" s="1300"/>
      <c r="T4" s="1300"/>
      <c r="U4" s="804"/>
      <c r="V4" s="804"/>
      <c r="W4" s="804"/>
      <c r="X4" s="804"/>
    </row>
    <row r="5" spans="1:24" s="5" customFormat="1" ht="8.1" customHeight="1">
      <c r="A5" s="1517"/>
      <c r="B5" s="3"/>
      <c r="C5" s="3"/>
      <c r="D5" s="3"/>
      <c r="E5" s="340"/>
      <c r="F5" s="3"/>
      <c r="G5" s="3"/>
      <c r="H5" s="3"/>
      <c r="I5" s="158"/>
      <c r="J5" s="3"/>
      <c r="K5" s="4"/>
      <c r="L5" s="803"/>
      <c r="M5" s="1482"/>
      <c r="N5" s="1300"/>
      <c r="O5" s="1300"/>
      <c r="P5" s="1300"/>
      <c r="Q5" s="1300"/>
      <c r="R5" s="1300"/>
      <c r="S5" s="1300"/>
      <c r="T5" s="1300"/>
      <c r="U5" s="804"/>
      <c r="V5" s="804"/>
      <c r="W5" s="804"/>
      <c r="X5" s="804"/>
    </row>
    <row r="6" spans="1:24" s="5" customFormat="1" ht="9.9499999999999993" hidden="1" customHeight="1">
      <c r="A6" s="1517"/>
      <c r="B6" s="6"/>
      <c r="C6" s="6"/>
      <c r="D6" s="3"/>
      <c r="E6" s="3"/>
      <c r="F6" s="3"/>
      <c r="G6" s="3"/>
      <c r="H6" s="3"/>
      <c r="I6" s="3"/>
      <c r="J6" s="3"/>
      <c r="L6" s="803"/>
      <c r="M6" s="1482"/>
      <c r="N6" s="1300"/>
      <c r="O6" s="1300"/>
      <c r="P6" s="1300"/>
      <c r="Q6" s="1300"/>
      <c r="R6" s="1300"/>
      <c r="S6" s="1300"/>
      <c r="T6" s="1300"/>
      <c r="U6" s="804"/>
      <c r="V6" s="804"/>
      <c r="W6" s="804"/>
      <c r="X6" s="804"/>
    </row>
    <row r="7" spans="1:24" s="298" customFormat="1" ht="12" hidden="1" customHeight="1">
      <c r="A7" s="1517"/>
      <c r="B7" s="8"/>
      <c r="C7" s="8"/>
      <c r="D7" s="9"/>
      <c r="E7" s="9"/>
      <c r="F7" s="9"/>
      <c r="G7" s="9"/>
      <c r="H7" s="5"/>
      <c r="I7" s="5"/>
      <c r="J7" s="5"/>
      <c r="K7" s="5"/>
      <c r="L7" s="803"/>
      <c r="M7" s="1482"/>
      <c r="N7" s="1300"/>
      <c r="O7" s="1300"/>
      <c r="P7" s="1300"/>
      <c r="Q7" s="1300"/>
      <c r="R7" s="1300"/>
      <c r="S7" s="1300"/>
      <c r="T7" s="1300"/>
      <c r="U7" s="804"/>
      <c r="V7" s="804"/>
      <c r="W7" s="804"/>
      <c r="X7" s="804"/>
    </row>
    <row r="8" spans="1:24" s="298" customFormat="1" ht="6" customHeight="1">
      <c r="A8" s="1517"/>
      <c r="B8" s="1210"/>
      <c r="C8" s="981"/>
      <c r="D8" s="1211"/>
      <c r="E8" s="1211"/>
      <c r="F8" s="1211"/>
      <c r="G8" s="1211"/>
      <c r="H8" s="1006"/>
      <c r="I8" s="1006"/>
      <c r="J8" s="1006"/>
      <c r="K8" s="1119"/>
      <c r="L8" s="803"/>
      <c r="M8" s="1482"/>
      <c r="N8" s="1300"/>
      <c r="O8" s="1300"/>
      <c r="P8" s="1300"/>
      <c r="Q8" s="1300"/>
      <c r="R8" s="1300"/>
      <c r="S8" s="1300"/>
      <c r="T8" s="1300"/>
      <c r="U8" s="804"/>
      <c r="V8" s="804"/>
      <c r="W8" s="804"/>
      <c r="X8" s="804"/>
    </row>
    <row r="9" spans="1:24" s="298" customFormat="1" ht="14.25" customHeight="1">
      <c r="A9" s="1517" t="s">
        <v>2878</v>
      </c>
      <c r="B9" s="1220" t="str">
        <f>"  "&amp;Uebersetzung!D419</f>
        <v xml:space="preserve">  Instructions</v>
      </c>
      <c r="C9" s="8"/>
      <c r="D9" s="9"/>
      <c r="E9" s="9"/>
      <c r="F9" s="9"/>
      <c r="G9" s="9"/>
      <c r="H9" s="143"/>
      <c r="I9" s="143"/>
      <c r="J9" s="143"/>
      <c r="K9" s="1120"/>
      <c r="L9" s="803"/>
      <c r="M9" s="1482"/>
      <c r="N9" s="1300"/>
      <c r="O9" s="1300"/>
      <c r="P9" s="1300"/>
      <c r="Q9" s="1300"/>
      <c r="R9" s="1300"/>
      <c r="S9" s="1300"/>
      <c r="T9" s="1300"/>
      <c r="U9" s="804"/>
      <c r="V9" s="804"/>
      <c r="W9" s="804"/>
      <c r="X9" s="804"/>
    </row>
    <row r="10" spans="1:24" s="298" customFormat="1" ht="16.149999999999999" customHeight="1">
      <c r="A10" s="1517"/>
      <c r="B10" s="1212" t="str">
        <f>"  "&amp;Uebersetzung!D420</f>
        <v xml:space="preserve">  Le présent formulaire sert à la justification des labels Minergie, Minergie-P et Minergie-A. Le label correspondant peut être</v>
      </c>
      <c r="C10" s="8"/>
      <c r="D10" s="8"/>
      <c r="E10" s="8"/>
      <c r="F10" s="8"/>
      <c r="G10" s="8"/>
      <c r="H10" s="8"/>
      <c r="I10" s="8"/>
      <c r="J10" s="8"/>
      <c r="K10" s="641"/>
      <c r="L10" s="803"/>
      <c r="M10" s="1482"/>
      <c r="N10" s="1300"/>
      <c r="O10" s="1300"/>
      <c r="P10" s="1300"/>
      <c r="Q10" s="1300"/>
      <c r="R10" s="1300"/>
      <c r="S10" s="1300"/>
      <c r="T10" s="1300"/>
      <c r="U10" s="804"/>
      <c r="V10" s="804"/>
      <c r="W10" s="804"/>
      <c r="X10" s="804"/>
    </row>
    <row r="11" spans="1:24" s="298" customFormat="1" ht="13.9" customHeight="1">
      <c r="A11" s="1517"/>
      <c r="B11" s="1212" t="str">
        <f>"  "&amp;Uebersetzung!D421</f>
        <v xml:space="preserve">  sélectionné dans la feuille "Entrées". Une fois le justificatif rempli, il doit être téléchargé sur la plateforme Minergie online (MOP).</v>
      </c>
      <c r="C11" s="8"/>
      <c r="D11" s="8"/>
      <c r="E11" s="8"/>
      <c r="F11" s="8"/>
      <c r="G11" s="8"/>
      <c r="H11" s="8"/>
      <c r="I11" s="8"/>
      <c r="J11" s="8"/>
      <c r="K11" s="641"/>
      <c r="L11" s="803"/>
      <c r="M11" s="1482"/>
      <c r="N11" s="1300"/>
      <c r="O11" s="1300"/>
      <c r="P11" s="1300"/>
      <c r="Q11" s="1300"/>
      <c r="R11" s="1300"/>
      <c r="S11" s="1300"/>
      <c r="T11" s="1300"/>
      <c r="U11" s="804"/>
      <c r="V11" s="804"/>
      <c r="W11" s="804"/>
      <c r="X11" s="804"/>
    </row>
    <row r="12" spans="1:24" s="298" customFormat="1" ht="13.9" customHeight="1">
      <c r="A12" s="1517"/>
      <c r="B12" s="1212" t="str">
        <f>"  "&amp;Uebersetzung!D422</f>
        <v xml:space="preserve">  Après transmission sur MOP, le formulaire de demande est généré automatiquement. La demande signée, le présent formulaire</v>
      </c>
      <c r="C12" s="8"/>
      <c r="D12" s="8"/>
      <c r="E12" s="8"/>
      <c r="F12" s="8"/>
      <c r="G12" s="8"/>
      <c r="H12" s="8"/>
      <c r="I12" s="8"/>
      <c r="J12" s="8"/>
      <c r="K12" s="641"/>
      <c r="L12" s="803"/>
      <c r="M12" s="1482"/>
      <c r="N12" s="1300"/>
      <c r="O12" s="1300"/>
      <c r="P12" s="1300"/>
      <c r="Q12" s="1300"/>
      <c r="R12" s="1300"/>
      <c r="S12" s="1300"/>
      <c r="T12" s="1300"/>
      <c r="U12" s="804"/>
      <c r="V12" s="804"/>
      <c r="W12" s="804"/>
      <c r="X12" s="804"/>
    </row>
    <row r="13" spans="1:24" s="298" customFormat="1" ht="13.9" customHeight="1">
      <c r="A13" s="1517"/>
      <c r="B13" s="1212" t="str">
        <f>"  "&amp;Uebersetzung!D423</f>
        <v xml:space="preserve">  justificatif et tous les éventuels documents notifiés sur la demande doivent être envoyés au format papier à l'office de certification</v>
      </c>
      <c r="C13" s="8"/>
      <c r="D13" s="8"/>
      <c r="E13" s="8"/>
      <c r="F13" s="8"/>
      <c r="G13" s="8"/>
      <c r="H13" s="8"/>
      <c r="I13" s="8"/>
      <c r="J13" s="8"/>
      <c r="K13" s="641"/>
      <c r="L13" s="803"/>
      <c r="M13" s="1482"/>
      <c r="N13" s="1300"/>
      <c r="O13" s="1300"/>
      <c r="P13" s="1300"/>
      <c r="Q13" s="1300"/>
      <c r="R13" s="1300"/>
      <c r="S13" s="1300"/>
      <c r="T13" s="1300"/>
      <c r="U13" s="804"/>
      <c r="V13" s="804"/>
      <c r="W13" s="804"/>
      <c r="X13" s="804"/>
    </row>
    <row r="14" spans="1:24" s="298" customFormat="1" ht="13.9" customHeight="1">
      <c r="A14" s="1517"/>
      <c r="B14" s="1212" t="str">
        <f>"  "&amp;Uebersetzung!D424</f>
        <v xml:space="preserve">  compétent. Observer le code couleur suivant pour remplir le formulaire justificatif:</v>
      </c>
      <c r="C14" s="8"/>
      <c r="D14" s="8"/>
      <c r="E14" s="8"/>
      <c r="F14" s="8"/>
      <c r="G14" s="8"/>
      <c r="H14" s="8"/>
      <c r="I14" s="8"/>
      <c r="J14" s="8"/>
      <c r="K14" s="641"/>
      <c r="L14" s="803"/>
      <c r="M14" s="1482"/>
      <c r="N14" s="1300"/>
      <c r="O14" s="1300"/>
      <c r="P14" s="1300"/>
      <c r="Q14" s="1300"/>
      <c r="R14" s="1300"/>
      <c r="S14" s="1300"/>
      <c r="T14" s="1300"/>
      <c r="U14" s="804"/>
      <c r="V14" s="804"/>
      <c r="W14" s="804"/>
      <c r="X14" s="804"/>
    </row>
    <row r="15" spans="1:24" s="298" customFormat="1" ht="12" hidden="1" customHeight="1">
      <c r="A15" s="1517"/>
      <c r="B15" s="1212"/>
      <c r="C15" s="8"/>
      <c r="D15" s="8"/>
      <c r="E15" s="8"/>
      <c r="F15" s="8"/>
      <c r="G15" s="8"/>
      <c r="H15" s="8"/>
      <c r="I15" s="8"/>
      <c r="J15" s="8"/>
      <c r="K15" s="641"/>
      <c r="L15" s="803"/>
      <c r="M15" s="1482"/>
      <c r="N15" s="1300"/>
      <c r="O15" s="1300"/>
      <c r="P15" s="1300"/>
      <c r="Q15" s="1300"/>
      <c r="R15" s="1300"/>
      <c r="S15" s="1300"/>
      <c r="T15" s="1300"/>
      <c r="U15" s="804"/>
      <c r="V15" s="804"/>
      <c r="W15" s="804"/>
      <c r="X15" s="804"/>
    </row>
    <row r="16" spans="1:24" s="298" customFormat="1" ht="19.149999999999999" hidden="1" customHeight="1">
      <c r="A16" s="1517"/>
      <c r="B16" s="1212"/>
      <c r="C16" s="8"/>
      <c r="D16" s="8"/>
      <c r="E16" s="8"/>
      <c r="F16" s="8"/>
      <c r="G16" s="8"/>
      <c r="H16" s="8"/>
      <c r="I16" s="8"/>
      <c r="J16" s="8"/>
      <c r="K16" s="641"/>
      <c r="L16" s="803"/>
      <c r="M16" s="1482"/>
      <c r="N16" s="1300"/>
      <c r="O16" s="1300"/>
      <c r="P16" s="1300"/>
      <c r="Q16" s="1300"/>
      <c r="R16" s="1300"/>
      <c r="S16" s="1300"/>
      <c r="T16" s="1300"/>
      <c r="U16" s="804"/>
      <c r="V16" s="804"/>
      <c r="W16" s="804"/>
      <c r="X16" s="804"/>
    </row>
    <row r="17" spans="1:24" s="298" customFormat="1" ht="9" customHeight="1">
      <c r="A17" s="1517"/>
      <c r="B17" s="1212"/>
      <c r="C17" s="8"/>
      <c r="D17" s="8"/>
      <c r="E17" s="8"/>
      <c r="F17" s="8"/>
      <c r="G17" s="8"/>
      <c r="H17" s="8"/>
      <c r="I17" s="8"/>
      <c r="J17" s="8"/>
      <c r="K17" s="641"/>
      <c r="L17" s="803"/>
      <c r="M17" s="1482"/>
      <c r="N17" s="1300"/>
      <c r="O17" s="1300"/>
      <c r="P17" s="1300"/>
      <c r="Q17" s="1300"/>
      <c r="R17" s="1300"/>
      <c r="S17" s="1300"/>
      <c r="T17" s="1300"/>
      <c r="U17" s="804"/>
      <c r="V17" s="804"/>
      <c r="W17" s="804"/>
      <c r="X17" s="804"/>
    </row>
    <row r="18" spans="1:24" s="298" customFormat="1" ht="19.149999999999999" customHeight="1">
      <c r="A18" s="1517"/>
      <c r="B18" s="1516" t="str">
        <f>Uebersetzung!D425</f>
        <v>Champ de saisie (obligatoire)</v>
      </c>
      <c r="C18" s="1279"/>
      <c r="D18" s="2985" t="str">
        <f>Uebersetzung!D426</f>
        <v>Champ de saisie (facultatif)</v>
      </c>
      <c r="E18" s="2985"/>
      <c r="F18" s="2985"/>
      <c r="G18" s="11"/>
      <c r="H18" s="2986" t="str">
        <f>Uebersetzung!D427</f>
        <v>Liste déroulante (obligatoire)</v>
      </c>
      <c r="I18" s="2986"/>
      <c r="J18" s="151"/>
      <c r="K18" s="603"/>
      <c r="L18" s="803"/>
      <c r="M18" s="1482"/>
      <c r="N18" s="1300"/>
      <c r="O18" s="1300"/>
      <c r="P18" s="1300"/>
      <c r="Q18" s="1300"/>
      <c r="R18" s="1300"/>
      <c r="S18" s="1300"/>
      <c r="T18" s="1300"/>
      <c r="U18" s="804"/>
      <c r="V18" s="804"/>
      <c r="W18" s="804"/>
      <c r="X18" s="804"/>
    </row>
    <row r="19" spans="1:24" s="298" customFormat="1" ht="9.6" customHeight="1">
      <c r="A19" s="1517"/>
      <c r="B19" s="8"/>
      <c r="C19" s="8"/>
      <c r="D19" s="9"/>
      <c r="E19" s="9"/>
      <c r="F19" s="9"/>
      <c r="G19" s="9"/>
      <c r="H19" s="5"/>
      <c r="I19" s="5"/>
      <c r="J19" s="5"/>
      <c r="K19" s="5"/>
      <c r="L19" s="803"/>
      <c r="M19" s="1482"/>
      <c r="N19" s="1300"/>
      <c r="O19" s="1300"/>
      <c r="P19" s="1300"/>
      <c r="Q19" s="1300"/>
      <c r="R19" s="1300"/>
      <c r="S19" s="1300"/>
      <c r="T19" s="1300"/>
      <c r="U19" s="804"/>
      <c r="V19" s="804"/>
      <c r="W19" s="804"/>
      <c r="X19" s="804"/>
    </row>
    <row r="20" spans="1:24" s="298" customFormat="1" ht="20.45" customHeight="1">
      <c r="A20" s="1517" t="s">
        <v>2863</v>
      </c>
      <c r="B20" s="369" t="str">
        <f>Uebersetzung!D418</f>
        <v>Projet</v>
      </c>
      <c r="C20" s="1213"/>
      <c r="D20" s="1214"/>
      <c r="E20" s="1214"/>
      <c r="F20" s="1214"/>
      <c r="G20" s="1214" t="str">
        <f>Uebersetzung!D18</f>
        <v>Justificatif pour:</v>
      </c>
      <c r="H20" s="673"/>
      <c r="I20" s="1214" t="str">
        <f>MINERGIE!F13</f>
        <v>Preuve officielle</v>
      </c>
      <c r="J20" s="673"/>
      <c r="K20" s="882"/>
      <c r="L20" s="803"/>
      <c r="M20" s="1482"/>
      <c r="N20" s="1300"/>
      <c r="O20" s="1300"/>
      <c r="P20" s="1300"/>
      <c r="Q20" s="1300"/>
      <c r="R20" s="1300"/>
      <c r="S20" s="1300"/>
      <c r="T20" s="1300"/>
      <c r="U20" s="804"/>
      <c r="V20" s="804"/>
      <c r="W20" s="804"/>
      <c r="X20" s="804"/>
    </row>
    <row r="21" spans="1:24" s="298" customFormat="1" ht="24" customHeight="1">
      <c r="A21" s="1517" t="s">
        <v>2864</v>
      </c>
      <c r="B21" s="777" t="str">
        <f>IF(MUKEN,Uebersetzung!D9,Uebersetzung!D356)</f>
        <v>Commune:</v>
      </c>
      <c r="C21" s="2989" t="str">
        <f>IF(Projekt1="","",Projekt1)</f>
        <v/>
      </c>
      <c r="D21" s="2989"/>
      <c r="E21" s="2989"/>
      <c r="F21" s="2989"/>
      <c r="G21" s="864" t="str">
        <f>Uebersetzung!D10</f>
        <v>N° cadastre:</v>
      </c>
      <c r="H21" s="1237">
        <f>Projekt2</f>
        <v>0</v>
      </c>
      <c r="I21" s="1396" t="str">
        <f>IF(MUKEN,Uebersetzung!D11,Uebersetzung!D358)</f>
        <v>N° bâtiment:</v>
      </c>
      <c r="J21" s="1234"/>
      <c r="K21" s="1238">
        <f>Projekt3</f>
        <v>0</v>
      </c>
      <c r="L21" s="803"/>
      <c r="M21" s="1482"/>
      <c r="N21" s="1300"/>
      <c r="O21" s="1300"/>
      <c r="P21" s="1300"/>
      <c r="Q21" s="1300"/>
      <c r="R21" s="1300"/>
      <c r="S21" s="1300"/>
      <c r="T21" s="1300"/>
      <c r="U21" s="804"/>
      <c r="V21" s="804"/>
      <c r="W21" s="804"/>
      <c r="X21" s="804"/>
    </row>
    <row r="22" spans="1:24" s="298" customFormat="1" ht="24" customHeight="1">
      <c r="A22" s="1517" t="s">
        <v>2865</v>
      </c>
      <c r="B22" s="778" t="str">
        <f>IF(MUKEN,Uebersetzung!D13,Uebersetzung!D359)</f>
        <v>Objet:</v>
      </c>
      <c r="C22" s="2987">
        <f>Entrées!C8</f>
        <v>0</v>
      </c>
      <c r="D22" s="2987"/>
      <c r="E22" s="2987"/>
      <c r="F22" s="2987"/>
      <c r="G22" s="2987"/>
      <c r="H22" s="2987"/>
      <c r="I22" s="2987"/>
      <c r="J22" s="2987"/>
      <c r="K22" s="2988"/>
      <c r="L22" s="803"/>
      <c r="M22" s="803"/>
      <c r="N22" s="803"/>
      <c r="O22" s="803"/>
      <c r="P22" s="803"/>
      <c r="Q22" s="803"/>
      <c r="R22" s="803"/>
      <c r="S22" s="803"/>
      <c r="T22" s="803"/>
      <c r="U22" s="803"/>
      <c r="V22" s="803"/>
      <c r="W22" s="803"/>
      <c r="X22" s="804"/>
    </row>
    <row r="23" spans="1:24" s="298" customFormat="1" ht="19.149999999999999" hidden="1" customHeight="1">
      <c r="A23" s="1517"/>
      <c r="B23" s="8"/>
      <c r="C23" s="8"/>
      <c r="D23" s="9"/>
      <c r="E23" s="9"/>
      <c r="F23" s="9"/>
      <c r="G23" s="9"/>
      <c r="H23" s="5"/>
      <c r="I23" s="5"/>
      <c r="J23" s="5"/>
      <c r="K23" s="5"/>
      <c r="L23" s="803"/>
      <c r="M23" s="1482"/>
      <c r="N23" s="1300"/>
      <c r="O23" s="1300"/>
      <c r="P23" s="1300"/>
      <c r="Q23" s="1300"/>
      <c r="R23" s="1300"/>
      <c r="S23" s="1300"/>
      <c r="T23" s="1300"/>
      <c r="U23" s="804"/>
      <c r="V23" s="804"/>
      <c r="W23" s="804"/>
      <c r="X23" s="804"/>
    </row>
    <row r="24" spans="1:24" s="298" customFormat="1" ht="19.149999999999999" hidden="1" customHeight="1">
      <c r="A24" s="1517"/>
      <c r="B24" s="8"/>
      <c r="C24" s="8"/>
      <c r="D24" s="9"/>
      <c r="E24" s="9"/>
      <c r="F24" s="9"/>
      <c r="G24" s="9"/>
      <c r="H24" s="5"/>
      <c r="I24" s="5"/>
      <c r="J24" s="5"/>
      <c r="K24" s="5"/>
      <c r="L24" s="803"/>
      <c r="M24" s="1482"/>
      <c r="N24" s="1300"/>
      <c r="O24" s="1300"/>
      <c r="P24" s="1300"/>
      <c r="Q24" s="1300"/>
      <c r="R24" s="1300"/>
      <c r="S24" s="1300"/>
      <c r="T24" s="1300"/>
      <c r="U24" s="804"/>
      <c r="V24" s="804"/>
      <c r="W24" s="804"/>
      <c r="X24" s="804"/>
    </row>
    <row r="25" spans="1:24" s="298" customFormat="1" ht="19.149999999999999" hidden="1" customHeight="1">
      <c r="A25" s="1517"/>
      <c r="B25" s="8"/>
      <c r="C25" s="8"/>
      <c r="D25" s="9"/>
      <c r="E25" s="9"/>
      <c r="F25" s="9"/>
      <c r="G25" s="9"/>
      <c r="H25" s="5"/>
      <c r="I25" s="5"/>
      <c r="J25" s="5"/>
      <c r="K25" s="5"/>
      <c r="L25" s="803"/>
      <c r="M25" s="1482"/>
      <c r="N25" s="1300"/>
      <c r="O25" s="1300"/>
      <c r="P25" s="1300"/>
      <c r="Q25" s="1300"/>
      <c r="R25" s="1300"/>
      <c r="S25" s="1300"/>
      <c r="T25" s="1300"/>
      <c r="U25" s="804"/>
      <c r="V25" s="804"/>
      <c r="W25" s="804"/>
      <c r="X25" s="804"/>
    </row>
    <row r="26" spans="1:24" s="298" customFormat="1" ht="12" customHeight="1">
      <c r="A26" s="1518"/>
      <c r="B26" s="5"/>
      <c r="C26" s="5"/>
      <c r="D26" s="5"/>
      <c r="E26" s="5"/>
      <c r="F26" s="9"/>
      <c r="G26" s="9"/>
      <c r="H26" s="5"/>
      <c r="I26" s="5"/>
      <c r="J26" s="5"/>
      <c r="K26" s="5"/>
      <c r="L26" s="803"/>
      <c r="M26" s="1482"/>
      <c r="N26" s="1300"/>
      <c r="O26" s="1300"/>
      <c r="P26" s="1300"/>
      <c r="Q26" s="1300"/>
      <c r="R26" s="1300"/>
      <c r="S26" s="1300"/>
      <c r="T26" s="1300"/>
      <c r="U26" s="804"/>
      <c r="V26" s="804"/>
      <c r="W26" s="804"/>
      <c r="X26" s="804"/>
    </row>
    <row r="27" spans="1:24" s="298" customFormat="1" ht="1.1499999999999999" customHeight="1">
      <c r="A27" s="1518"/>
      <c r="B27" s="3"/>
      <c r="C27" s="3"/>
      <c r="D27" s="3"/>
      <c r="E27" s="3"/>
      <c r="F27" s="3"/>
      <c r="G27" s="3"/>
      <c r="H27" s="9"/>
      <c r="I27" s="9"/>
      <c r="J27" s="9"/>
      <c r="K27" s="9"/>
      <c r="L27" s="803"/>
      <c r="M27" s="1482"/>
      <c r="N27" s="1300"/>
      <c r="O27" s="1300"/>
      <c r="P27" s="1300"/>
      <c r="Q27" s="1300"/>
      <c r="R27" s="1300"/>
      <c r="S27" s="1300"/>
      <c r="T27" s="1300"/>
      <c r="U27" s="804"/>
      <c r="V27" s="804"/>
      <c r="W27" s="804"/>
      <c r="X27" s="804"/>
    </row>
    <row r="28" spans="1:24" s="298" customFormat="1" ht="20.100000000000001" customHeight="1">
      <c r="A28" s="1518" t="s">
        <v>2866</v>
      </c>
      <c r="B28" s="1280" t="str">
        <f>Uebersetzung!D428</f>
        <v>Satisfaction de l'exigence principale</v>
      </c>
      <c r="C28" s="980"/>
      <c r="D28" s="981"/>
      <c r="E28" s="982"/>
      <c r="F28" s="983"/>
      <c r="G28" s="984"/>
      <c r="H28" s="985"/>
      <c r="I28" s="989"/>
      <c r="J28" s="986"/>
      <c r="K28" s="987"/>
      <c r="L28" s="803"/>
      <c r="M28" s="1482"/>
      <c r="N28" s="1300"/>
      <c r="O28" s="1300"/>
      <c r="P28" s="1300"/>
      <c r="Q28" s="1300"/>
      <c r="R28" s="1300"/>
      <c r="S28" s="1300"/>
      <c r="T28" s="1300"/>
      <c r="U28" s="804"/>
      <c r="V28" s="804"/>
      <c r="W28" s="804"/>
      <c r="X28" s="804"/>
    </row>
    <row r="29" spans="1:24" s="298" customFormat="1" ht="15.95" customHeight="1">
      <c r="A29" s="1518"/>
      <c r="B29" s="1281"/>
      <c r="C29" s="11"/>
      <c r="D29" s="11"/>
      <c r="E29" s="11"/>
      <c r="F29" s="2689" t="str">
        <f>Uebersetzung!D294</f>
        <v>Exigences</v>
      </c>
      <c r="G29" s="2970"/>
      <c r="H29" s="2689" t="str">
        <f>Uebersetzung!D295</f>
        <v>Valeur calculée</v>
      </c>
      <c r="I29" s="2970"/>
      <c r="J29" s="773"/>
      <c r="K29" s="774" t="str">
        <f>Uebersetzung!D299</f>
        <v>Respectée?</v>
      </c>
      <c r="L29" s="803"/>
      <c r="M29" s="1483"/>
      <c r="N29" s="1300"/>
      <c r="O29" s="1300"/>
      <c r="P29" s="1300"/>
      <c r="Q29" s="1300"/>
      <c r="R29" s="1300"/>
      <c r="S29" s="803"/>
      <c r="T29" s="803"/>
      <c r="U29" s="804"/>
      <c r="V29" s="804"/>
      <c r="W29" s="804"/>
      <c r="X29" s="804"/>
    </row>
    <row r="30" spans="1:24" s="298" customFormat="1" ht="20.100000000000001" customHeight="1">
      <c r="A30" s="1518" t="s">
        <v>2867</v>
      </c>
      <c r="B30" s="2384" t="str">
        <f>Uebersetzung!D430&amp;"  "&amp;Uebersetzung!D694</f>
        <v>Indice Minergie en kWh/m2  (exploitation du bâtiment)</v>
      </c>
      <c r="C30" s="1213"/>
      <c r="D30" s="2385"/>
      <c r="E30" s="2386"/>
      <c r="F30" s="2990">
        <f>IF(bern,,MINERGIE!Z43)</f>
        <v>0</v>
      </c>
      <c r="G30" s="2991"/>
      <c r="H30" s="2990" t="b">
        <f>IF(bern,,IF(MUKEN=FALSE,Justificatif!I59))</f>
        <v>0</v>
      </c>
      <c r="I30" s="2991"/>
      <c r="J30" s="918"/>
      <c r="K30" s="2387" t="str">
        <f>IF(OR(MUKEN,bern),Uebersetzung!D26,IF(AND(F38&gt;0,H38=0),Uebersetzung!D26,IF(ROUND(F30,1)&gt;=ROUND(H30,1),IF(EBF&gt;0,Uebersetzung!D25,Uebersetzung!D26),Uebersetzung!D26)))</f>
        <v>non</v>
      </c>
      <c r="L30" s="1440">
        <f>IF(K30=MINERGIE!$N$12,1,IF(K30=MINERGIE!$N$13,2,0))</f>
        <v>2</v>
      </c>
      <c r="M30" s="1484"/>
      <c r="N30" s="1484"/>
      <c r="O30" s="1300"/>
      <c r="P30" s="1300"/>
      <c r="Q30" s="1300"/>
      <c r="R30" s="1300"/>
      <c r="S30" s="803"/>
      <c r="T30" s="803"/>
      <c r="U30" s="804"/>
      <c r="V30" s="804"/>
      <c r="W30" s="804"/>
      <c r="X30" s="804"/>
    </row>
    <row r="31" spans="1:24" s="5" customFormat="1" ht="20.100000000000001" hidden="1" customHeight="1">
      <c r="A31" s="1518" t="s">
        <v>2868</v>
      </c>
      <c r="B31" s="2323" t="str">
        <f>IF(THG_Scope1,Uebersetzung!D693,Uebersetzung!D431)</f>
        <v>Emission de GES pendant l'exploitatio en CO2/m2 (Scope 1)</v>
      </c>
      <c r="C31" s="2324"/>
      <c r="D31" s="2324"/>
      <c r="E31" s="2382"/>
      <c r="F31" s="2965" t="str">
        <f>Uebersetzung!D462</f>
        <v>Pas d’exigence</v>
      </c>
      <c r="G31" s="2966"/>
      <c r="H31" s="2965">
        <f>Justificatif!AL45</f>
        <v>0</v>
      </c>
      <c r="I31" s="2966"/>
      <c r="J31" s="17"/>
      <c r="K31" s="2383"/>
      <c r="L31" s="803"/>
      <c r="M31" s="1482"/>
      <c r="N31" s="1300"/>
      <c r="O31" s="1300"/>
      <c r="P31" s="1300"/>
      <c r="Q31" s="1300"/>
      <c r="R31" s="1300"/>
      <c r="S31" s="1300"/>
      <c r="T31" s="1300"/>
      <c r="U31" s="804"/>
      <c r="V31" s="804"/>
      <c r="W31" s="804"/>
      <c r="X31" s="804"/>
    </row>
    <row r="32" spans="1:24" s="5" customFormat="1" ht="9.9499999999999993" customHeight="1">
      <c r="A32" s="1519"/>
      <c r="B32" s="456"/>
      <c r="C32" s="456"/>
      <c r="D32" s="456"/>
      <c r="E32" s="456"/>
      <c r="F32" s="155"/>
      <c r="G32" s="155"/>
      <c r="H32" s="155"/>
      <c r="I32" s="155"/>
      <c r="J32" s="456"/>
      <c r="K32" s="456"/>
      <c r="L32" s="803"/>
      <c r="M32" s="1482"/>
      <c r="N32" s="1300"/>
      <c r="O32" s="1300"/>
      <c r="P32" s="1300"/>
      <c r="Q32" s="1300"/>
      <c r="R32" s="1300"/>
      <c r="S32" s="1300"/>
      <c r="T32" s="1300"/>
      <c r="U32" s="804"/>
      <c r="V32" s="804"/>
      <c r="W32" s="804"/>
      <c r="X32" s="804"/>
    </row>
    <row r="33" spans="1:24" s="5" customFormat="1" ht="9.6" hidden="1" customHeight="1">
      <c r="A33" s="1519"/>
      <c r="B33" s="456"/>
      <c r="C33" s="456"/>
      <c r="D33" s="456"/>
      <c r="E33" s="456"/>
      <c r="F33" s="155"/>
      <c r="G33" s="155"/>
      <c r="H33" s="155"/>
      <c r="I33" s="155"/>
      <c r="J33" s="456"/>
      <c r="K33" s="456"/>
      <c r="L33" s="803"/>
      <c r="M33" s="1482"/>
      <c r="N33" s="1300"/>
      <c r="O33" s="1300"/>
      <c r="P33" s="1300"/>
      <c r="Q33" s="1300"/>
      <c r="R33" s="1300"/>
      <c r="S33" s="1300"/>
      <c r="T33" s="1300"/>
      <c r="U33" s="804"/>
      <c r="V33" s="804"/>
      <c r="W33" s="804"/>
      <c r="X33" s="804"/>
    </row>
    <row r="34" spans="1:24" s="5" customFormat="1" ht="9.6" hidden="1" customHeight="1">
      <c r="A34" s="1519"/>
      <c r="B34" s="456"/>
      <c r="C34" s="456"/>
      <c r="D34" s="456"/>
      <c r="E34" s="456"/>
      <c r="F34" s="155"/>
      <c r="G34" s="155"/>
      <c r="H34" s="155"/>
      <c r="I34" s="155"/>
      <c r="J34" s="456"/>
      <c r="K34" s="456"/>
      <c r="L34" s="803"/>
      <c r="M34" s="1482"/>
      <c r="N34" s="1300"/>
      <c r="O34" s="1300"/>
      <c r="P34" s="1300"/>
      <c r="Q34" s="1300"/>
      <c r="R34" s="1300"/>
      <c r="S34" s="1300"/>
      <c r="T34" s="1300"/>
      <c r="U34" s="804"/>
      <c r="V34" s="804"/>
      <c r="W34" s="804"/>
      <c r="X34" s="804"/>
    </row>
    <row r="35" spans="1:24" s="5" customFormat="1" ht="19.899999999999999" customHeight="1">
      <c r="A35" s="1517" t="s">
        <v>2869</v>
      </c>
      <c r="B35" s="1280" t="str">
        <f>Uebersetzung!D429&amp;"  "&amp;Uebersetzung!D694</f>
        <v>Satisfaction des exigences de base  (exploitation du bâtiment)</v>
      </c>
      <c r="C35" s="980"/>
      <c r="D35" s="981"/>
      <c r="E35" s="982"/>
      <c r="F35" s="983"/>
      <c r="G35" s="984"/>
      <c r="H35" s="985"/>
      <c r="I35" s="989"/>
      <c r="J35" s="986"/>
      <c r="K35" s="987"/>
      <c r="L35" s="804"/>
      <c r="M35" s="1300"/>
      <c r="N35" s="1300"/>
      <c r="O35" s="1300"/>
      <c r="P35" s="1300"/>
      <c r="Q35" s="1300"/>
      <c r="R35" s="1300"/>
      <c r="S35" s="1300"/>
      <c r="T35" s="1300"/>
      <c r="U35" s="804"/>
      <c r="V35" s="804"/>
      <c r="W35" s="804"/>
      <c r="X35" s="804"/>
    </row>
    <row r="36" spans="1:24" s="5" customFormat="1" ht="15.95" customHeight="1">
      <c r="A36" s="1517"/>
      <c r="B36" s="1281"/>
      <c r="C36" s="11"/>
      <c r="D36" s="11"/>
      <c r="E36" s="11"/>
      <c r="F36" s="2689" t="str">
        <f>Uebersetzung!D294</f>
        <v>Exigences</v>
      </c>
      <c r="G36" s="2970"/>
      <c r="H36" s="2689" t="str">
        <f>Uebersetzung!D295</f>
        <v>Valeur calculée</v>
      </c>
      <c r="I36" s="2970"/>
      <c r="J36" s="773"/>
      <c r="K36" s="774" t="str">
        <f>Uebersetzung!D299</f>
        <v>Respectée?</v>
      </c>
      <c r="L36" s="804"/>
      <c r="M36" s="1300"/>
      <c r="N36" s="1300"/>
      <c r="O36" s="1300"/>
      <c r="P36" s="1300"/>
      <c r="Q36" s="1485" t="s">
        <v>2595</v>
      </c>
      <c r="R36" s="1485" t="s">
        <v>2596</v>
      </c>
      <c r="S36" s="1485" t="s">
        <v>2597</v>
      </c>
      <c r="T36" s="1300"/>
      <c r="U36" s="804"/>
      <c r="V36" s="804"/>
      <c r="W36" s="804"/>
      <c r="X36" s="804"/>
    </row>
    <row r="37" spans="1:24" s="5" customFormat="1" ht="19.899999999999999" customHeight="1">
      <c r="A37" s="1518" t="s">
        <v>2870</v>
      </c>
      <c r="B37" s="1215" t="str">
        <f>Uebersetzung!D432</f>
        <v>Besoins de chaleur en kWh/m²</v>
      </c>
      <c r="C37" s="1216"/>
      <c r="D37" s="1216"/>
      <c r="E37" s="1500" t="s">
        <v>2604</v>
      </c>
      <c r="F37" s="2971">
        <f>MINERGIE!Z19</f>
        <v>0</v>
      </c>
      <c r="G37" s="2972"/>
      <c r="H37" s="2971">
        <f>MINERGIE!Z25</f>
        <v>0</v>
      </c>
      <c r="I37" s="2972"/>
      <c r="J37" s="1001"/>
      <c r="K37" s="1436">
        <f>IF(AND(F37=0,H37&gt;0),Uebersetzung!D25,IF(AND(F37&gt;0,H37&gt;0),IF(ROUND(F37,1)&gt;=ROUND(H37,1),Uebersetzung!D25,Uebersetzung!D26),))</f>
        <v>0</v>
      </c>
      <c r="L37" s="1440">
        <f>IF(K37=MINERGIE!$N$12,1,IF(K37=MINERGIE!$N$13,2,0))</f>
        <v>0</v>
      </c>
      <c r="M37" s="1300"/>
      <c r="N37" s="1300"/>
      <c r="O37" s="1300"/>
      <c r="P37" s="1300"/>
      <c r="Q37" s="1300">
        <v>0</v>
      </c>
      <c r="R37" s="1300">
        <v>0</v>
      </c>
      <c r="S37" s="1301">
        <f>S65-S38</f>
        <v>0</v>
      </c>
      <c r="T37" s="1300"/>
      <c r="U37" s="804"/>
      <c r="V37" s="804"/>
      <c r="W37" s="804"/>
      <c r="X37" s="804"/>
    </row>
    <row r="38" spans="1:24" s="5" customFormat="1" ht="19.899999999999999" customHeight="1">
      <c r="A38" s="1518" t="s">
        <v>2871</v>
      </c>
      <c r="B38" s="1217" t="str">
        <f>Uebersetzung!D433</f>
        <v>Energie finale sans photovoltaïque en kWh/m²</v>
      </c>
      <c r="C38" s="1218"/>
      <c r="D38" s="1218"/>
      <c r="E38" s="1219"/>
      <c r="F38" s="2975">
        <f>IF(bern,,IF(Justificatif!L43="",0,Justificatif!L43))</f>
        <v>0</v>
      </c>
      <c r="G38" s="2976"/>
      <c r="H38" s="2975">
        <f>IF(bern,,IF(Justificatif!I58="",0,Justificatif!I58))</f>
        <v>0</v>
      </c>
      <c r="I38" s="2976"/>
      <c r="J38" s="1094"/>
      <c r="K38" s="1437" t="str">
        <f>IF(AND(F38&gt;0,H38=0),Uebersetzung!D26,IF(ROUND(F38,1)&gt;=ROUND(H38,1),IF(EBF&gt;0,Uebersetzung!D25,Uebersetzung!D26),Uebersetzung!D26))</f>
        <v>non</v>
      </c>
      <c r="L38" s="1440">
        <f>IF(K38=MINERGIE!$N$12,1,IF(K38=MINERGIE!$N$13,2,0))</f>
        <v>2</v>
      </c>
      <c r="M38" s="1300" t="s">
        <v>2703</v>
      </c>
      <c r="N38" s="1508">
        <v>0</v>
      </c>
      <c r="O38" s="1300"/>
      <c r="P38" s="1300"/>
      <c r="Q38" s="1300">
        <v>0</v>
      </c>
      <c r="R38" s="1300">
        <v>0</v>
      </c>
      <c r="S38" s="1301">
        <f>MAX(MIN(S65,N61),0)</f>
        <v>0</v>
      </c>
      <c r="T38" s="1300"/>
      <c r="U38" s="804"/>
      <c r="V38" s="804"/>
      <c r="W38" s="804"/>
      <c r="X38" s="804"/>
    </row>
    <row r="39" spans="1:24" s="5" customFormat="1" ht="20.100000000000001" customHeight="1">
      <c r="A39" s="1518" t="s">
        <v>2872</v>
      </c>
      <c r="B39" s="1212" t="str">
        <f>Uebersetzung!D434</f>
        <v>Valeur limite Minergie pour l'éclairage en kWh/m²</v>
      </c>
      <c r="C39" s="8"/>
      <c r="D39" s="8"/>
      <c r="E39" s="785"/>
      <c r="F39" s="2973">
        <f>MINERGIE!K48</f>
        <v>0</v>
      </c>
      <c r="G39" s="2974"/>
      <c r="H39" s="2973">
        <f>MINERGIE!K49</f>
        <v>0</v>
      </c>
      <c r="I39" s="2974"/>
      <c r="J39" s="1372"/>
      <c r="K39" s="1438" t="str">
        <f>IF(MINERGIE!S63=FALSE,Uebersetzung!D26,IF(AND(F39=0,H39=0),"",IF(AND(F39=0,OR(MINERGIE!S82,MINERGIE!S86,MINERGIE!S90)),Uebersetzung!D26,IF(AND(F39&gt;0,H39&gt;0),IF(ROUND(F39,1)&gt;=ROUND(H39,1),Uebersetzung!D25,Uebersetzung!D26),))))</f>
        <v/>
      </c>
      <c r="L39" s="1440">
        <f>IF(K39=MINERGIE!$N$12,1,IF(K39=MINERGIE!$N$13,2,0))</f>
        <v>0</v>
      </c>
      <c r="M39" s="1300"/>
      <c r="N39" s="1300">
        <f>IF(N38=1,0,1)</f>
        <v>1</v>
      </c>
      <c r="O39" s="1300"/>
      <c r="P39" s="1300"/>
      <c r="Q39" s="1300">
        <v>0</v>
      </c>
      <c r="R39" s="1300">
        <v>0</v>
      </c>
      <c r="S39" s="1301">
        <f>IF(N57&lt;0,MAX(N59-MAX(0,-S65+S38),0),N59)</f>
        <v>0</v>
      </c>
      <c r="T39" s="1300"/>
      <c r="U39" s="804"/>
      <c r="V39" s="804"/>
      <c r="W39" s="804"/>
      <c r="X39" s="804"/>
    </row>
    <row r="40" spans="1:24" s="5" customFormat="1" ht="24" customHeight="1">
      <c r="A40" s="1518" t="s">
        <v>2873</v>
      </c>
      <c r="B40" s="2967" t="str">
        <f>MINERGIE!B119</f>
        <v>Taille min. de l'installation d’autoproduction d’électricité [kWp]:</v>
      </c>
      <c r="C40" s="2731"/>
      <c r="D40" s="2731"/>
      <c r="E40" s="1373" t="s">
        <v>2201</v>
      </c>
      <c r="F40" s="2977">
        <f>IF(bern,,MINERGIE!E119)</f>
        <v>0</v>
      </c>
      <c r="G40" s="2978"/>
      <c r="H40" s="2977">
        <f>IF(bern,,MINERGIE!E117)</f>
        <v>0</v>
      </c>
      <c r="I40" s="2978"/>
      <c r="J40" s="1094"/>
      <c r="K40" s="1437" t="str">
        <f>IF(wkk,Uebersetzung!D25,IF(ROUND(H40,2)&gt;=ROUND(F40,2),IF(EBF&gt;0,Uebersetzung!D25,Uebersetzung!D26),Uebersetzung!D26))</f>
        <v>non</v>
      </c>
      <c r="L40" s="1440">
        <f>IF(K40=MINERGIE!$N$12,1,IF(K40=MINERGIE!$N$13,2,0))</f>
        <v>2</v>
      </c>
      <c r="M40" s="1300"/>
      <c r="N40" s="1300"/>
      <c r="O40" s="1300"/>
      <c r="P40" s="1300"/>
      <c r="Q40" s="1300">
        <v>0</v>
      </c>
      <c r="R40" s="1300">
        <v>0</v>
      </c>
      <c r="S40" s="1301">
        <f>IF(N57&lt;0,MIN(N58,N60),N58)</f>
        <v>0</v>
      </c>
      <c r="T40" s="1300"/>
      <c r="U40" s="804"/>
      <c r="V40" s="804"/>
      <c r="W40" s="804"/>
      <c r="X40" s="804"/>
    </row>
    <row r="41" spans="1:24" s="5" customFormat="1" ht="19.899999999999999" customHeight="1">
      <c r="A41" s="1518" t="s">
        <v>2874</v>
      </c>
      <c r="B41" s="1217" t="str">
        <f>Uebersetzung!D320</f>
        <v>Protection thermique estivale dans le label Minergie</v>
      </c>
      <c r="C41" s="1400"/>
      <c r="D41" s="1400"/>
      <c r="E41" s="1401"/>
      <c r="F41" s="1426"/>
      <c r="G41" s="1427"/>
      <c r="H41" s="1426"/>
      <c r="I41" s="1427"/>
      <c r="J41" s="200"/>
      <c r="K41" s="1439" t="str">
        <f>IF(Eté!S52,Uebersetzung!D25,Uebersetzung!D26)</f>
        <v>non</v>
      </c>
      <c r="L41" s="1440">
        <f>IF(K41=MINERGIE!$N$12,1,IF(K41=MINERGIE!$N$13,2,0))</f>
        <v>2</v>
      </c>
      <c r="M41" s="1482"/>
      <c r="N41" s="1300"/>
      <c r="O41" s="1300"/>
      <c r="P41" s="1506" t="str">
        <f>M43</f>
        <v>Chauffage</v>
      </c>
      <c r="Q41" s="1301" t="e">
        <f>(MINERGIE!Z46)*(1/(R43+R42+R41)*R41)*N39</f>
        <v>#DIV/0!</v>
      </c>
      <c r="R41" s="1301">
        <f t="shared" ref="R41:R51" si="0">N43</f>
        <v>0</v>
      </c>
      <c r="S41" s="1300">
        <v>0</v>
      </c>
      <c r="T41" s="1300"/>
      <c r="U41" s="804"/>
      <c r="V41" s="804"/>
      <c r="W41" s="804"/>
      <c r="X41" s="804"/>
    </row>
    <row r="42" spans="1:24" s="5" customFormat="1" ht="19.899999999999999" customHeight="1">
      <c r="A42" s="1518" t="s">
        <v>2875</v>
      </c>
      <c r="B42" s="1100" t="str">
        <f>Uebersetzung!D464</f>
        <v>Part d'énergies fossiles</v>
      </c>
      <c r="C42" s="1409"/>
      <c r="D42" s="1409"/>
      <c r="E42" s="1410" t="s">
        <v>2482</v>
      </c>
      <c r="F42" s="2963">
        <f>IF(AND(MINERGIE!AH37&gt;0,H42&gt;0),MINERGIE!AH25,)</f>
        <v>0</v>
      </c>
      <c r="G42" s="2964"/>
      <c r="H42" s="2963">
        <f>IF(MINERGIE!AH14&gt;0,MINERGIE!AH38,)</f>
        <v>0</v>
      </c>
      <c r="I42" s="2964"/>
      <c r="J42" s="1409"/>
      <c r="K42" s="1438" t="str">
        <f>IF(Justificatif!P63=FALSE,Uebersetzung!D26,IF(ROUND(H42,3)&lt;=ROUND(F42,3),Uebersetzung!D25,Uebersetzung!D26))</f>
        <v>non</v>
      </c>
      <c r="L42" s="1440">
        <f>IF(K42=MINERGIE!$N$12,1,IF(K42=MINERGIE!$N$13,2,0))</f>
        <v>2</v>
      </c>
      <c r="M42" s="1482" t="str">
        <f>Uebersetzung!D446</f>
        <v>Besoins</v>
      </c>
      <c r="N42" s="1300"/>
      <c r="O42" s="1300"/>
      <c r="P42" s="1506" t="str">
        <f>M49</f>
        <v>Eau chaude</v>
      </c>
      <c r="Q42" s="1301" t="e">
        <f>(MINERGIE!Z46)*(1/(R43+R42+R41)*R42)*N39</f>
        <v>#DIV/0!</v>
      </c>
      <c r="R42" s="1301">
        <f>N49</f>
        <v>0</v>
      </c>
      <c r="S42" s="1300">
        <v>0</v>
      </c>
      <c r="T42" s="1300"/>
      <c r="U42" s="804"/>
      <c r="V42" s="804"/>
      <c r="W42" s="804"/>
      <c r="X42" s="804"/>
    </row>
    <row r="43" spans="1:24" s="5" customFormat="1" ht="23.1" customHeight="1">
      <c r="A43" s="1518" t="s">
        <v>2876</v>
      </c>
      <c r="B43" s="2968" t="str">
        <f>IF(minergiea,Uebersetzung!D465,"")</f>
        <v/>
      </c>
      <c r="C43" s="2969"/>
      <c r="D43" s="2969"/>
      <c r="E43" s="856" t="s">
        <v>2215</v>
      </c>
      <c r="F43" s="2965" t="str">
        <f>IF(minergiea,MINERGIE!G121,"")</f>
        <v/>
      </c>
      <c r="G43" s="2966"/>
      <c r="H43" s="2965" t="str">
        <f>IF(minergiea,MINERGIE!H121,"")</f>
        <v/>
      </c>
      <c r="I43" s="2966"/>
      <c r="J43" s="17"/>
      <c r="K43" s="1514">
        <f>IF(minergiea,IF(AND(F43&gt;0,H43&gt;0),IF(ROUND(F43,1)&lt;=ROUND(H43,1),Uebersetzung!D25,Uebersetzung!D26),),)</f>
        <v>0</v>
      </c>
      <c r="L43" s="1440">
        <f>IF(K43=MINERGIE!$N$12,1,IF(K43=MINERGIE!$N$13,2,0))</f>
        <v>0</v>
      </c>
      <c r="M43" s="1300" t="str">
        <f>Uebersetzung!D436</f>
        <v>Chauffage</v>
      </c>
      <c r="N43" s="1301">
        <f>MINERGIE!S103</f>
        <v>0</v>
      </c>
      <c r="O43" s="1300" t="s">
        <v>524</v>
      </c>
      <c r="P43" s="1506" t="str">
        <f>M50</f>
        <v>ventilation et climatisation</v>
      </c>
      <c r="Q43" s="1301" t="e">
        <f>(MINERGIE!Z46)*(1/(R43+R42+R41)*R43)*N39</f>
        <v>#DIV/0!</v>
      </c>
      <c r="R43" s="1301">
        <f>N50</f>
        <v>0</v>
      </c>
      <c r="S43" s="1300">
        <v>0</v>
      </c>
      <c r="T43" s="1300"/>
      <c r="U43" s="804"/>
      <c r="V43" s="804"/>
      <c r="W43" s="804"/>
      <c r="X43" s="804"/>
    </row>
    <row r="44" spans="1:24" s="5" customFormat="1" ht="23.1" customHeight="1">
      <c r="A44" s="1518"/>
      <c r="B44" s="2325" t="str">
        <f>Uebersetzung!D700</f>
        <v>Autres indicateurs</v>
      </c>
      <c r="C44" s="2374"/>
      <c r="D44" s="2374"/>
      <c r="E44" s="2374"/>
      <c r="F44" s="2374"/>
      <c r="G44" s="2374"/>
      <c r="H44" s="2374"/>
      <c r="I44" s="2374"/>
      <c r="J44" s="2374"/>
      <c r="K44" s="2375"/>
      <c r="L44" s="1440"/>
      <c r="M44" s="1300"/>
      <c r="N44" s="1301"/>
      <c r="O44" s="1300"/>
      <c r="P44" s="1506"/>
      <c r="Q44" s="1301"/>
      <c r="R44" s="1301"/>
      <c r="S44" s="1300"/>
      <c r="T44" s="1300"/>
      <c r="U44" s="804"/>
      <c r="V44" s="804"/>
      <c r="W44" s="804"/>
      <c r="X44" s="804"/>
    </row>
    <row r="45" spans="1:24" s="5" customFormat="1" ht="22.15" customHeight="1">
      <c r="A45" s="1518" t="s">
        <v>4743</v>
      </c>
      <c r="B45" s="2377" t="str">
        <f>IF(THG_Scope1,Uebersetzung!D693,Uebersetzung!D431)</f>
        <v>Emission de GES pendant l'exploitatio en CO2/m2 (Scope 1)</v>
      </c>
      <c r="C45" s="2376"/>
      <c r="D45" s="2376"/>
      <c r="E45" s="2376"/>
      <c r="F45" s="2992" t="str">
        <f>Uebersetzung!D462</f>
        <v>Pas d’exigence</v>
      </c>
      <c r="G45" s="2993"/>
      <c r="H45" s="2992" t="str">
        <f>IF(Justificatif!AL45=0,"0",Justificatif!AL45)</f>
        <v>0</v>
      </c>
      <c r="I45" s="2993"/>
      <c r="J45" s="2380"/>
      <c r="K45" s="2381"/>
      <c r="L45" s="1440"/>
      <c r="M45" s="1300"/>
      <c r="N45" s="1301"/>
      <c r="O45" s="1300"/>
      <c r="P45" s="1506"/>
      <c r="Q45" s="1301"/>
      <c r="R45" s="1301"/>
      <c r="S45" s="1300"/>
      <c r="T45" s="1300"/>
      <c r="U45" s="804"/>
      <c r="V45" s="804"/>
      <c r="W45" s="804"/>
      <c r="X45" s="804"/>
    </row>
    <row r="46" spans="1:24" s="5" customFormat="1" ht="22.15" customHeight="1">
      <c r="A46" s="1518" t="s">
        <v>2877</v>
      </c>
      <c r="B46" s="2378" t="str">
        <f>Uebersetzung!D697&amp;"  "&amp;Uebersetzung!D696</f>
        <v>Gaz à effet de serre GES en kg CO2/m2  (Construction)</v>
      </c>
      <c r="C46" s="2388"/>
      <c r="D46" s="2388"/>
      <c r="E46" s="2388"/>
      <c r="F46" s="2994" t="str">
        <f>Uebersetzung!D462</f>
        <v>Pas d’exigence</v>
      </c>
      <c r="G46" s="2995"/>
      <c r="H46" s="2994">
        <f>Construction!H34</f>
        <v>0</v>
      </c>
      <c r="I46" s="2995"/>
      <c r="J46" s="2388"/>
      <c r="K46" s="2389"/>
      <c r="L46" s="1440"/>
      <c r="M46" s="1300"/>
      <c r="N46" s="1301"/>
      <c r="O46" s="1300"/>
      <c r="P46" s="1506"/>
      <c r="Q46" s="1301"/>
      <c r="R46" s="1301"/>
      <c r="S46" s="1300"/>
      <c r="T46" s="1300"/>
      <c r="U46" s="804"/>
      <c r="V46" s="804"/>
      <c r="W46" s="804"/>
      <c r="X46" s="804"/>
    </row>
    <row r="47" spans="1:24" s="5" customFormat="1" ht="22.15" customHeight="1">
      <c r="A47" s="1518" t="s">
        <v>4744</v>
      </c>
      <c r="B47" s="2379" t="str">
        <f>Uebersetzung!D698&amp;"  "&amp;Uebersetzung!D696</f>
        <v>Carbone stocké en kg  (Construction)</v>
      </c>
      <c r="C47" s="2390"/>
      <c r="D47" s="2390"/>
      <c r="E47" s="2390"/>
      <c r="F47" s="2996" t="str">
        <f>Uebersetzung!D462</f>
        <v>Pas d’exigence</v>
      </c>
      <c r="G47" s="2997"/>
      <c r="H47" s="2996">
        <f>Construction!H36</f>
        <v>0</v>
      </c>
      <c r="I47" s="2997"/>
      <c r="J47" s="2390"/>
      <c r="K47" s="2391"/>
      <c r="L47" s="1440"/>
      <c r="M47" s="1300"/>
      <c r="N47" s="1301"/>
      <c r="O47" s="1300"/>
      <c r="P47" s="1506"/>
      <c r="Q47" s="1301"/>
      <c r="R47" s="1301"/>
      <c r="S47" s="1300"/>
      <c r="T47" s="1300"/>
      <c r="U47" s="804"/>
      <c r="V47" s="804"/>
      <c r="W47" s="804"/>
      <c r="X47" s="804"/>
    </row>
    <row r="48" spans="1:24" s="5" customFormat="1" ht="9.9499999999999993" customHeight="1">
      <c r="A48" s="1518"/>
      <c r="B48" s="2404"/>
      <c r="C48" s="2402"/>
      <c r="D48" s="2402"/>
      <c r="E48" s="2402"/>
      <c r="F48" s="2403"/>
      <c r="G48" s="2403"/>
      <c r="H48" s="2403"/>
      <c r="I48" s="2403"/>
      <c r="J48" s="2402"/>
      <c r="K48" s="2404"/>
      <c r="L48" s="1440"/>
      <c r="M48" s="1300"/>
      <c r="N48" s="1301"/>
      <c r="O48" s="1300"/>
      <c r="P48" s="1506"/>
      <c r="Q48" s="1301"/>
      <c r="R48" s="1301"/>
      <c r="S48" s="1300"/>
      <c r="T48" s="1300"/>
      <c r="U48" s="804"/>
      <c r="V48" s="804"/>
      <c r="W48" s="804"/>
      <c r="X48" s="804"/>
    </row>
    <row r="49" spans="1:24" s="5" customFormat="1" ht="18" customHeight="1">
      <c r="A49" s="1518" t="s">
        <v>4760</v>
      </c>
      <c r="B49" s="2371" t="str">
        <f>"    "&amp;Uebersetzung!D435</f>
        <v xml:space="preserve">    Visualisation de l'indice Minergie</v>
      </c>
      <c r="C49" s="2372"/>
      <c r="D49" s="1006"/>
      <c r="E49" s="1006"/>
      <c r="F49" s="1006"/>
      <c r="G49" s="1006"/>
      <c r="H49" s="1006"/>
      <c r="I49" s="1006"/>
      <c r="J49" s="1006"/>
      <c r="K49" s="2373" t="s">
        <v>2434</v>
      </c>
      <c r="L49" s="804"/>
      <c r="M49" s="1300" t="str">
        <f>Uebersetzung!D437</f>
        <v>Eau chaude</v>
      </c>
      <c r="N49" s="1301">
        <f>MINERGIE!S18</f>
        <v>0</v>
      </c>
      <c r="O49" s="1300" t="s">
        <v>524</v>
      </c>
      <c r="P49" s="1506" t="str">
        <f>M51</f>
        <v>Electricité d'habitation</v>
      </c>
      <c r="Q49" s="1301">
        <f>MINERGIE!Z47</f>
        <v>0</v>
      </c>
      <c r="R49" s="1301">
        <f t="shared" si="0"/>
        <v>0</v>
      </c>
      <c r="S49" s="1300">
        <v>0</v>
      </c>
      <c r="T49" s="1300"/>
      <c r="U49" s="804"/>
      <c r="V49" s="804"/>
      <c r="W49" s="804"/>
      <c r="X49" s="804"/>
    </row>
    <row r="50" spans="1:24" s="5" customFormat="1" ht="19.899999999999999" customHeight="1">
      <c r="A50" s="1518"/>
      <c r="B50" s="2961" t="str">
        <f>M72&amp;"    "</f>
        <v xml:space="preserve">                                  E HWLK,li +
                        Besoins standard électricité
      </v>
      </c>
      <c r="C50" s="2962"/>
      <c r="D50" s="2962"/>
      <c r="E50" s="2962" t="str">
        <f>"             
 "&amp;M70</f>
        <v xml:space="preserve">             
        Valeur de l'objet
 </v>
      </c>
      <c r="F50" s="2962"/>
      <c r="G50" s="2962"/>
      <c r="H50" s="2932" t="str">
        <f>M68</f>
        <v xml:space="preserve">   Production PV</v>
      </c>
      <c r="I50" s="2932"/>
      <c r="J50" s="143"/>
      <c r="K50" s="1398" t="str">
        <f>Uebersetzung!D479&amp;" "&amp;Uebersetzung!D480</f>
        <v>MKZ H</v>
      </c>
      <c r="L50" s="804"/>
      <c r="M50" s="1300" t="str">
        <f>Uebersetzung!D470</f>
        <v>ventilation et climatisation</v>
      </c>
      <c r="N50" s="1504">
        <f>MINERGIE!S104</f>
        <v>0</v>
      </c>
      <c r="O50" s="1300" t="s">
        <v>524</v>
      </c>
      <c r="P50" s="1509" t="str">
        <f>M52</f>
        <v>Eclairage</v>
      </c>
      <c r="Q50" s="1301">
        <f>MINERGIE!Z48</f>
        <v>0</v>
      </c>
      <c r="R50" s="1301">
        <f t="shared" si="0"/>
        <v>0</v>
      </c>
      <c r="S50" s="1300">
        <v>0</v>
      </c>
      <c r="T50" s="1300"/>
      <c r="U50" s="804"/>
      <c r="V50" s="804"/>
      <c r="W50" s="804"/>
      <c r="X50" s="804"/>
    </row>
    <row r="51" spans="1:24" s="5" customFormat="1" ht="24" customHeight="1">
      <c r="A51" s="1518" t="s">
        <v>4761</v>
      </c>
      <c r="B51" s="2961"/>
      <c r="C51" s="2962"/>
      <c r="D51" s="2962"/>
      <c r="E51" s="2962"/>
      <c r="F51" s="2962"/>
      <c r="G51" s="2962"/>
      <c r="H51" s="2932"/>
      <c r="I51" s="2932"/>
      <c r="J51" s="143"/>
      <c r="K51" s="1399">
        <f>N43</f>
        <v>0</v>
      </c>
      <c r="L51" s="804"/>
      <c r="M51" s="1300" t="str">
        <f>Uebersetzung!D443</f>
        <v>Electricité d'habitation</v>
      </c>
      <c r="N51" s="1301">
        <f>MINERGIE!S44</f>
        <v>0</v>
      </c>
      <c r="O51" s="1300" t="s">
        <v>524</v>
      </c>
      <c r="P51" s="1506" t="s">
        <v>1849</v>
      </c>
      <c r="Q51" s="1301">
        <f>MINERGIE!Z49</f>
        <v>0</v>
      </c>
      <c r="R51" s="1301">
        <f t="shared" si="0"/>
        <v>0</v>
      </c>
      <c r="S51" s="1300">
        <v>0</v>
      </c>
      <c r="T51" s="1300"/>
      <c r="U51" s="804"/>
      <c r="V51" s="804"/>
      <c r="W51" s="804"/>
      <c r="X51" s="804"/>
    </row>
    <row r="52" spans="1:24" s="5" customFormat="1" ht="20.100000000000001" customHeight="1">
      <c r="A52" s="1518"/>
      <c r="B52" s="2961"/>
      <c r="C52" s="2962"/>
      <c r="D52" s="2962"/>
      <c r="E52" s="1546"/>
      <c r="F52" s="1546"/>
      <c r="G52" s="1546"/>
      <c r="H52" s="1515"/>
      <c r="I52" s="1515"/>
      <c r="J52" s="143"/>
      <c r="K52" s="1398" t="str">
        <f>Uebersetzung!D479&amp;" "&amp;Uebersetzung!D481</f>
        <v>MKZ ww</v>
      </c>
      <c r="L52" s="804"/>
      <c r="M52" s="1300" t="str">
        <f>Uebersetzung!D438</f>
        <v>Eclairage</v>
      </c>
      <c r="N52" s="1301">
        <f>MINERGIE!S56+MINERGIE!S94+MINERGIE!S100</f>
        <v>0</v>
      </c>
      <c r="O52" s="1300" t="s">
        <v>524</v>
      </c>
      <c r="P52" s="1300" t="str">
        <f>M54</f>
        <v>Installations techn. du bâtiment</v>
      </c>
      <c r="Q52" s="1301">
        <f>MINERGIE!Z50</f>
        <v>0</v>
      </c>
      <c r="R52" s="1301">
        <f>N54</f>
        <v>0</v>
      </c>
      <c r="S52" s="1300">
        <v>0</v>
      </c>
      <c r="T52" s="1300"/>
      <c r="U52" s="804"/>
      <c r="V52" s="804"/>
      <c r="W52" s="804"/>
      <c r="X52" s="804"/>
    </row>
    <row r="53" spans="1:24" s="5" customFormat="1" ht="20.100000000000001" customHeight="1">
      <c r="A53" s="1518" t="s">
        <v>4762</v>
      </c>
      <c r="B53" s="1264"/>
      <c r="C53" s="1265"/>
      <c r="D53" s="143"/>
      <c r="E53" s="143"/>
      <c r="F53" s="143"/>
      <c r="G53" s="143"/>
      <c r="H53" s="143"/>
      <c r="I53" s="143"/>
      <c r="J53" s="143"/>
      <c r="K53" s="1399">
        <f>N49</f>
        <v>0</v>
      </c>
      <c r="L53" s="804"/>
      <c r="M53" s="1300" t="str">
        <f>Uebersetzung!D439</f>
        <v>Appareils</v>
      </c>
      <c r="N53" s="1301">
        <f>MINERGIE!S59</f>
        <v>0</v>
      </c>
      <c r="O53" s="1300" t="s">
        <v>524</v>
      </c>
      <c r="P53" s="1505" t="s">
        <v>2600</v>
      </c>
      <c r="Q53" s="1301">
        <f>MINERGIE!Z46*N38</f>
        <v>0</v>
      </c>
      <c r="R53" s="1300">
        <v>0</v>
      </c>
      <c r="S53" s="1300">
        <v>0</v>
      </c>
      <c r="T53" s="1300"/>
      <c r="U53" s="804"/>
      <c r="V53" s="804"/>
      <c r="W53" s="804"/>
      <c r="X53" s="804"/>
    </row>
    <row r="54" spans="1:24" s="5" customFormat="1" ht="20.100000000000001" customHeight="1">
      <c r="A54" s="1542"/>
      <c r="B54" s="1087"/>
      <c r="C54" s="143"/>
      <c r="D54" s="143"/>
      <c r="E54" s="143"/>
      <c r="F54" s="143"/>
      <c r="G54" s="143"/>
      <c r="H54" s="143"/>
      <c r="I54" s="143"/>
      <c r="J54" s="143"/>
      <c r="K54" s="1398" t="str">
        <f>Uebersetzung!D479&amp;" "&amp;Uebersetzung!D482</f>
        <v>MKZ LK</v>
      </c>
      <c r="L54" s="804"/>
      <c r="M54" s="1300" t="str">
        <f>Uebersetzung!D440</f>
        <v>Installations techn. du bâtiment</v>
      </c>
      <c r="N54" s="1301">
        <f>MINERGIE!S68</f>
        <v>0</v>
      </c>
      <c r="O54" s="1300" t="s">
        <v>524</v>
      </c>
      <c r="P54" s="1300"/>
      <c r="Q54" s="1301">
        <v>0</v>
      </c>
      <c r="R54" s="1300"/>
      <c r="S54" s="1300"/>
      <c r="T54" s="1300"/>
      <c r="U54" s="804"/>
      <c r="V54" s="804"/>
      <c r="W54" s="804"/>
      <c r="X54" s="804"/>
    </row>
    <row r="55" spans="1:24" s="5" customFormat="1" ht="20.100000000000001" customHeight="1">
      <c r="A55" s="1520" t="s">
        <v>4763</v>
      </c>
      <c r="B55" s="1087"/>
      <c r="C55" s="143"/>
      <c r="D55" s="143"/>
      <c r="E55" s="143"/>
      <c r="F55" s="143"/>
      <c r="G55" s="143"/>
      <c r="H55" s="143"/>
      <c r="I55" s="143"/>
      <c r="J55" s="143"/>
      <c r="K55" s="1399">
        <f>N50</f>
        <v>0</v>
      </c>
      <c r="L55" s="804"/>
      <c r="M55" s="1300" t="s">
        <v>691</v>
      </c>
      <c r="N55" s="1301">
        <f>SUM(N43:N54)</f>
        <v>0</v>
      </c>
      <c r="O55" s="1300" t="s">
        <v>524</v>
      </c>
      <c r="P55" s="1300"/>
      <c r="Q55" s="1301">
        <v>0</v>
      </c>
      <c r="R55" s="1300">
        <v>0</v>
      </c>
      <c r="S55" s="1300">
        <v>0</v>
      </c>
      <c r="T55" s="1300"/>
      <c r="U55" s="804"/>
      <c r="V55" s="804"/>
      <c r="W55" s="804"/>
      <c r="X55" s="804"/>
    </row>
    <row r="56" spans="1:24" s="5" customFormat="1" ht="20.100000000000001" customHeight="1">
      <c r="A56" s="1520"/>
      <c r="B56" s="1087"/>
      <c r="C56" s="143"/>
      <c r="D56" s="143"/>
      <c r="E56" s="143"/>
      <c r="F56" s="143"/>
      <c r="G56" s="143"/>
      <c r="H56" s="143"/>
      <c r="I56" s="143"/>
      <c r="J56" s="143"/>
      <c r="K56" s="1511" t="str">
        <f>Uebersetzung!D479&amp;" "&amp;Uebersetzung!D483</f>
        <v>MKZ el,wohn.</v>
      </c>
      <c r="L56" s="804"/>
      <c r="M56" s="1300" t="str">
        <f>Uebersetzung!D441</f>
        <v>Besoins d'énergie finale</v>
      </c>
      <c r="N56" s="1301"/>
      <c r="O56" s="1300"/>
      <c r="P56" s="1506"/>
      <c r="Q56" s="804"/>
      <c r="R56" s="1300">
        <v>0</v>
      </c>
      <c r="S56" s="1300">
        <v>0</v>
      </c>
      <c r="T56" s="1300"/>
      <c r="U56" s="804"/>
      <c r="V56" s="804"/>
      <c r="W56" s="804"/>
      <c r="X56" s="804"/>
    </row>
    <row r="57" spans="1:24" s="5" customFormat="1" ht="20.100000000000001" customHeight="1">
      <c r="A57" s="1520" t="s">
        <v>4764</v>
      </c>
      <c r="B57" s="1087"/>
      <c r="C57" s="871"/>
      <c r="D57" s="143"/>
      <c r="E57" s="143"/>
      <c r="F57" s="143"/>
      <c r="G57" s="143"/>
      <c r="H57" s="143"/>
      <c r="I57" s="143"/>
      <c r="J57" s="143"/>
      <c r="K57" s="1399">
        <f>N51</f>
        <v>0</v>
      </c>
      <c r="L57" s="804"/>
      <c r="M57" s="1300" t="str">
        <f>Uebersetzung!D442</f>
        <v>Indice Minergie calculé</v>
      </c>
      <c r="N57" s="1301" t="b">
        <f>H30</f>
        <v>0</v>
      </c>
      <c r="O57" s="1300" t="s">
        <v>524</v>
      </c>
      <c r="P57" s="1506"/>
      <c r="Q57" s="804"/>
      <c r="R57" s="1300">
        <v>0</v>
      </c>
      <c r="S57" s="1300">
        <v>0</v>
      </c>
      <c r="T57" s="1300"/>
      <c r="U57" s="804"/>
      <c r="V57" s="804"/>
      <c r="W57" s="804"/>
      <c r="X57" s="804"/>
    </row>
    <row r="58" spans="1:24" s="5" customFormat="1" ht="20.100000000000001" customHeight="1">
      <c r="A58" s="1521"/>
      <c r="B58" s="1087"/>
      <c r="C58" s="871"/>
      <c r="D58" s="871"/>
      <c r="E58" s="871"/>
      <c r="F58" s="871"/>
      <c r="G58" s="871"/>
      <c r="H58" s="871"/>
      <c r="I58" s="871"/>
      <c r="J58" s="871"/>
      <c r="K58" s="1398" t="str">
        <f>Uebersetzung!D479&amp;" "&amp;Uebersetzung!D484</f>
        <v>MKZ Bel</v>
      </c>
      <c r="L58" s="873"/>
      <c r="M58" s="1300" t="str">
        <f>Uebersetzung!D444</f>
        <v>PV autoconsommation</v>
      </c>
      <c r="N58" s="1301">
        <f>MINERGIE!S71</f>
        <v>0</v>
      </c>
      <c r="O58" s="1300" t="s">
        <v>524</v>
      </c>
      <c r="P58" s="804"/>
      <c r="Q58" s="804"/>
      <c r="R58" s="1300">
        <v>0</v>
      </c>
      <c r="S58" s="1300">
        <v>0</v>
      </c>
      <c r="T58" s="1300"/>
      <c r="U58" s="804"/>
      <c r="V58" s="804"/>
      <c r="W58" s="804"/>
      <c r="X58" s="804"/>
    </row>
    <row r="59" spans="1:24" s="5" customFormat="1" ht="20.100000000000001" customHeight="1">
      <c r="A59" s="1518" t="s">
        <v>4765</v>
      </c>
      <c r="B59" s="1264"/>
      <c r="C59" s="871"/>
      <c r="D59" s="871"/>
      <c r="E59" s="871"/>
      <c r="F59" s="871"/>
      <c r="G59" s="871"/>
      <c r="H59" s="871"/>
      <c r="I59" s="871"/>
      <c r="J59" s="871"/>
      <c r="K59" s="1399">
        <f>N52</f>
        <v>0</v>
      </c>
      <c r="L59" s="873"/>
      <c r="M59" s="1300" t="str">
        <f>Uebersetzung!D445</f>
        <v>PV part injectée</v>
      </c>
      <c r="N59" s="1507">
        <f>MINERGIE!S72</f>
        <v>0</v>
      </c>
      <c r="O59" s="1300" t="s">
        <v>524</v>
      </c>
      <c r="P59" s="1506"/>
      <c r="Q59" s="804"/>
      <c r="R59" s="1300">
        <v>0</v>
      </c>
      <c r="S59" s="1300">
        <v>0</v>
      </c>
      <c r="T59" s="1300"/>
      <c r="U59" s="804"/>
      <c r="V59" s="804"/>
      <c r="W59" s="804"/>
      <c r="X59" s="804"/>
    </row>
    <row r="60" spans="1:24" s="5" customFormat="1" ht="20.100000000000001" customHeight="1">
      <c r="A60" s="1517"/>
      <c r="B60" s="1264"/>
      <c r="C60" s="1266"/>
      <c r="D60" s="1095"/>
      <c r="E60" s="143"/>
      <c r="F60" s="143"/>
      <c r="G60" s="143"/>
      <c r="H60" s="143"/>
      <c r="I60" s="143"/>
      <c r="J60" s="143"/>
      <c r="K60" s="1398" t="str">
        <f>Uebersetzung!D479&amp;" "&amp;Uebersetzung!D485</f>
        <v>MKZ Geräte</v>
      </c>
      <c r="L60" s="803"/>
      <c r="M60" s="1482" t="s">
        <v>691</v>
      </c>
      <c r="N60" s="1484">
        <f>SUM(N57:N59)</f>
        <v>0</v>
      </c>
      <c r="O60" s="1300" t="s">
        <v>524</v>
      </c>
      <c r="P60" s="1300"/>
      <c r="Q60" s="1301" t="e">
        <f>SUM(Q37:Q58)</f>
        <v>#DIV/0!</v>
      </c>
      <c r="R60" s="1301">
        <f>SUM(R30:R59)</f>
        <v>0</v>
      </c>
      <c r="S60" s="1301">
        <f>SUM(S37:S40)</f>
        <v>0</v>
      </c>
      <c r="T60" s="1301">
        <f>S60</f>
        <v>0</v>
      </c>
      <c r="U60" s="804"/>
      <c r="V60" s="804"/>
      <c r="W60" s="804"/>
      <c r="X60" s="804"/>
    </row>
    <row r="61" spans="1:24" s="5" customFormat="1" ht="20.100000000000001" customHeight="1">
      <c r="A61" s="1517" t="s">
        <v>4766</v>
      </c>
      <c r="B61" s="1264"/>
      <c r="C61" s="1265"/>
      <c r="D61" s="1095"/>
      <c r="E61" s="143"/>
      <c r="F61" s="143"/>
      <c r="G61" s="143"/>
      <c r="H61" s="143"/>
      <c r="I61" s="143"/>
      <c r="J61" s="143"/>
      <c r="K61" s="1399">
        <f>N53</f>
        <v>0</v>
      </c>
      <c r="L61" s="804"/>
      <c r="M61" s="1300" t="str">
        <f>Uebersetzung!D473</f>
        <v>PV non pris en compte</v>
      </c>
      <c r="N61" s="1301">
        <f>N59/4*6</f>
        <v>0</v>
      </c>
      <c r="O61" s="1300" t="s">
        <v>524</v>
      </c>
      <c r="P61" s="1300"/>
      <c r="Q61" s="1301">
        <v>1</v>
      </c>
      <c r="R61" s="1300">
        <v>3</v>
      </c>
      <c r="S61" s="1300">
        <v>1</v>
      </c>
      <c r="T61" s="1300">
        <v>3</v>
      </c>
      <c r="U61" s="804"/>
      <c r="V61" s="804"/>
      <c r="W61" s="804"/>
      <c r="X61" s="804"/>
    </row>
    <row r="62" spans="1:24" s="5" customFormat="1" ht="17.25" customHeight="1">
      <c r="A62" s="1518"/>
      <c r="B62" s="1264"/>
      <c r="C62" s="1267"/>
      <c r="D62" s="1268"/>
      <c r="E62" s="143"/>
      <c r="F62" s="143"/>
      <c r="G62" s="143"/>
      <c r="H62" s="143"/>
      <c r="I62" s="143"/>
      <c r="J62" s="143"/>
      <c r="K62" s="1398" t="str">
        <f>Uebersetzung!D479&amp;" "&amp;Uebersetzung!D486</f>
        <v>MKZ AGT</v>
      </c>
      <c r="L62" s="804"/>
      <c r="M62" s="1300"/>
      <c r="N62" s="1300"/>
      <c r="O62" s="1300"/>
      <c r="P62" s="1300"/>
      <c r="Q62" s="1300"/>
      <c r="R62" s="1300"/>
      <c r="S62" s="1300"/>
      <c r="T62" s="1300"/>
      <c r="U62" s="804"/>
      <c r="V62" s="804"/>
      <c r="W62" s="804"/>
      <c r="X62" s="804"/>
    </row>
    <row r="63" spans="1:24" s="5" customFormat="1" ht="17.25" customHeight="1">
      <c r="A63" s="1517" t="s">
        <v>4767</v>
      </c>
      <c r="B63" s="1264"/>
      <c r="C63" s="1267"/>
      <c r="D63" s="1095"/>
      <c r="E63" s="143"/>
      <c r="F63" s="143"/>
      <c r="G63" s="143"/>
      <c r="H63" s="143"/>
      <c r="I63" s="143"/>
      <c r="J63" s="143"/>
      <c r="K63" s="1399">
        <f>N54</f>
        <v>0</v>
      </c>
      <c r="L63" s="804"/>
      <c r="M63" s="1300" t="str">
        <f>Uebersetzung!D447</f>
        <v>Potentiel d'optimisation</v>
      </c>
      <c r="N63" s="1301">
        <f>H30-F30</f>
        <v>0</v>
      </c>
      <c r="O63" s="1300" t="s">
        <v>524</v>
      </c>
      <c r="P63" s="1300"/>
      <c r="Q63" s="1301"/>
      <c r="R63" s="1300"/>
      <c r="S63" s="1300"/>
      <c r="T63" s="1300"/>
      <c r="U63" s="804"/>
      <c r="V63" s="804"/>
      <c r="W63" s="804"/>
      <c r="X63" s="804"/>
    </row>
    <row r="64" spans="1:24" s="5" customFormat="1" ht="17.25" customHeight="1">
      <c r="A64" s="1518"/>
      <c r="B64" s="1264"/>
      <c r="C64" s="1267"/>
      <c r="D64" s="1095"/>
      <c r="E64" s="143"/>
      <c r="F64" s="143"/>
      <c r="G64" s="143"/>
      <c r="H64" s="143"/>
      <c r="I64" s="143"/>
      <c r="J64" s="143"/>
      <c r="K64" s="1398" t="str">
        <f>"E "&amp;Uebersetzung!D487</f>
        <v>E EB</v>
      </c>
      <c r="L64" s="804"/>
      <c r="M64" s="1300"/>
      <c r="N64" s="1300"/>
      <c r="O64" s="1300"/>
      <c r="P64" s="1300"/>
      <c r="Q64" s="1301"/>
      <c r="R64" s="1300"/>
      <c r="S64" s="1300">
        <v>1</v>
      </c>
      <c r="T64" s="1300">
        <v>3</v>
      </c>
      <c r="U64" s="804"/>
      <c r="V64" s="804"/>
      <c r="W64" s="804"/>
      <c r="X64" s="804"/>
    </row>
    <row r="65" spans="1:24" s="5" customFormat="1" ht="17.25" customHeight="1">
      <c r="A65" s="1517" t="s">
        <v>4768</v>
      </c>
      <c r="B65" s="1264"/>
      <c r="C65" s="1267" t="b">
        <v>0</v>
      </c>
      <c r="D65" s="1095"/>
      <c r="E65" s="143"/>
      <c r="F65" s="143"/>
      <c r="G65" s="143"/>
      <c r="H65" s="143"/>
      <c r="I65" s="143"/>
      <c r="J65" s="143"/>
      <c r="K65" s="1399">
        <f>N58</f>
        <v>0</v>
      </c>
      <c r="L65" s="804"/>
      <c r="M65" s="1300" t="str">
        <f>M57</f>
        <v>Indice Minergie calculé</v>
      </c>
      <c r="N65" s="1296" t="b">
        <f>H30</f>
        <v>0</v>
      </c>
      <c r="O65" s="1300" t="s">
        <v>524</v>
      </c>
      <c r="P65" s="1300"/>
      <c r="Q65" s="804"/>
      <c r="R65" s="804"/>
      <c r="S65" s="1301" t="b">
        <f>N65</f>
        <v>0</v>
      </c>
      <c r="T65" s="1301" t="b">
        <f>S65</f>
        <v>0</v>
      </c>
      <c r="U65" s="804"/>
      <c r="V65" s="804"/>
      <c r="W65" s="804"/>
      <c r="X65" s="804"/>
    </row>
    <row r="66" spans="1:24" s="5" customFormat="1" ht="17.25" customHeight="1">
      <c r="A66" s="1518"/>
      <c r="B66" s="1264"/>
      <c r="C66" s="1267" t="b">
        <v>0</v>
      </c>
      <c r="D66" s="1095"/>
      <c r="E66" s="143"/>
      <c r="F66" s="143"/>
      <c r="G66" s="143"/>
      <c r="H66" s="143"/>
      <c r="I66" s="143"/>
      <c r="J66" s="143"/>
      <c r="K66" s="1398" t="str">
        <f>"E "&amp;Uebersetzung!D488</f>
        <v>E Netz</v>
      </c>
      <c r="L66" s="804"/>
      <c r="M66" s="1300" t="str">
        <f>Uebersetzung!D450</f>
        <v>Indice Minergie max.</v>
      </c>
      <c r="N66" s="1301">
        <f>F30</f>
        <v>0</v>
      </c>
      <c r="O66" s="1300" t="s">
        <v>524</v>
      </c>
      <c r="P66" s="1300"/>
      <c r="Q66" s="804"/>
      <c r="R66" s="804"/>
      <c r="S66" s="1301">
        <f>N66</f>
        <v>0</v>
      </c>
      <c r="T66" s="1301">
        <f>S66</f>
        <v>0</v>
      </c>
      <c r="U66" s="804"/>
      <c r="V66" s="804"/>
      <c r="W66" s="804"/>
      <c r="X66" s="804"/>
    </row>
    <row r="67" spans="1:24" s="5" customFormat="1" ht="17.25" customHeight="1">
      <c r="A67" s="1518" t="s">
        <v>4741</v>
      </c>
      <c r="B67" s="1264"/>
      <c r="C67" s="1267" t="b">
        <v>1</v>
      </c>
      <c r="D67" s="1095"/>
      <c r="E67" s="143"/>
      <c r="F67" s="143"/>
      <c r="G67" s="143"/>
      <c r="H67" s="143"/>
      <c r="I67" s="143"/>
      <c r="J67" s="143"/>
      <c r="K67" s="1399">
        <f>N59</f>
        <v>0</v>
      </c>
      <c r="L67" s="1296"/>
      <c r="M67" s="1300" t="str">
        <f>Uebersetzung!D449</f>
        <v>Besoins</v>
      </c>
      <c r="N67" s="1300"/>
      <c r="O67" s="1300"/>
      <c r="P67" s="1300"/>
      <c r="Q67" s="1301"/>
      <c r="R67" s="1300"/>
      <c r="S67" s="1300"/>
      <c r="T67" s="1300"/>
      <c r="U67" s="804"/>
      <c r="V67" s="804"/>
      <c r="W67" s="804"/>
      <c r="X67" s="804"/>
    </row>
    <row r="68" spans="1:24" s="5" customFormat="1" ht="17.25" customHeight="1">
      <c r="A68" s="1518" t="s">
        <v>4769</v>
      </c>
      <c r="B68" s="209"/>
      <c r="C68" s="1269"/>
      <c r="D68" s="1270"/>
      <c r="E68" s="151"/>
      <c r="F68" s="151"/>
      <c r="G68" s="151"/>
      <c r="H68" s="151"/>
      <c r="I68" s="151"/>
      <c r="J68" s="151"/>
      <c r="K68" s="1476" t="str">
        <f>Uebersetzung!D479&amp;" = "&amp;ROUND(N57,1)</f>
        <v>MKZ = 0</v>
      </c>
      <c r="L68" s="804"/>
      <c r="M68" s="1300" t="str">
        <f>Uebersetzung!D471</f>
        <v xml:space="preserve">   Production PV</v>
      </c>
      <c r="N68" s="1300"/>
      <c r="O68" s="1300"/>
      <c r="P68" s="1300"/>
      <c r="Q68" s="1300"/>
      <c r="R68" s="1300"/>
      <c r="S68" s="1300"/>
      <c r="T68" s="1300"/>
      <c r="U68" s="804"/>
      <c r="V68" s="804"/>
      <c r="W68" s="804"/>
      <c r="X68" s="804"/>
    </row>
    <row r="69" spans="1:24" s="5" customFormat="1" ht="17.25" hidden="1" customHeight="1">
      <c r="A69" s="1518" t="s">
        <v>116</v>
      </c>
      <c r="B69" s="1281" t="str">
        <f>IF(auswahl8&gt;0,INDEX(#REF!,9),"")</f>
        <v/>
      </c>
      <c r="C69" s="1282"/>
      <c r="D69" s="1007" t="str">
        <f>IF(auswahl8&gt;0,INDEX(#REF!,9),"")</f>
        <v/>
      </c>
      <c r="E69" s="1008"/>
      <c r="F69" s="1009"/>
      <c r="G69" s="1010" t="s">
        <v>310</v>
      </c>
      <c r="H69" s="1010" t="s">
        <v>311</v>
      </c>
      <c r="I69" s="1011">
        <f>IF(OR(minergiep,minergiea),IF(Neubau=2,"0.6 1/h",IF(Neubau=3,"1.5 1/h","0.6 (bzw. 1.5)")),)</f>
        <v>0</v>
      </c>
      <c r="J69" s="1283"/>
      <c r="K69" s="1284"/>
      <c r="L69" s="803"/>
      <c r="M69" s="1482" t="b">
        <v>0</v>
      </c>
      <c r="N69" s="1300"/>
      <c r="O69" s="1300"/>
      <c r="P69" s="1300"/>
      <c r="Q69" s="1300"/>
      <c r="R69" s="1300"/>
      <c r="S69" s="1300"/>
      <c r="T69" s="1300"/>
      <c r="U69" s="804"/>
      <c r="V69" s="804"/>
      <c r="W69" s="804"/>
      <c r="X69" s="804"/>
    </row>
    <row r="70" spans="1:24" s="495" customFormat="1">
      <c r="A70" s="1520"/>
      <c r="B70" s="1285">
        <f ca="1">NOW()</f>
        <v>46034.719198842591</v>
      </c>
      <c r="C70" s="5"/>
      <c r="D70" s="5"/>
      <c r="E70" s="5"/>
      <c r="F70" s="5"/>
      <c r="G70" s="5"/>
      <c r="H70" s="5"/>
      <c r="I70" s="5"/>
      <c r="J70" s="5"/>
      <c r="K70" s="779" t="str">
        <f>Entrées!K47</f>
        <v xml:space="preserve"> /  /  /  /  /  / </v>
      </c>
      <c r="L70" s="1297"/>
      <c r="M70" s="1300" t="str">
        <f>Uebersetzung!D472</f>
        <v xml:space="preserve">       Valeur de l'objet
 </v>
      </c>
      <c r="N70" s="1486"/>
      <c r="O70" s="1486"/>
      <c r="P70" s="1486"/>
      <c r="Q70" s="1486"/>
      <c r="R70" s="1486"/>
      <c r="S70" s="1486"/>
      <c r="T70" s="1486"/>
      <c r="U70" s="1298"/>
      <c r="V70" s="1298"/>
      <c r="W70" s="1298"/>
      <c r="X70" s="1298"/>
    </row>
    <row r="71" spans="1:24" s="495" customFormat="1">
      <c r="A71" s="1520"/>
      <c r="F71" s="1235"/>
      <c r="G71" s="1235"/>
      <c r="H71" s="1235"/>
      <c r="I71" s="1602"/>
      <c r="L71" s="1297"/>
      <c r="M71" s="1487"/>
      <c r="N71" s="1486"/>
      <c r="O71" s="1486"/>
      <c r="P71" s="1486"/>
      <c r="Q71" s="1486"/>
      <c r="R71" s="1486"/>
      <c r="S71" s="1486"/>
      <c r="T71" s="1486"/>
      <c r="U71" s="1298"/>
      <c r="V71" s="1298"/>
      <c r="W71" s="1298"/>
      <c r="X71" s="1298"/>
    </row>
    <row r="72" spans="1:24">
      <c r="K72" s="1600"/>
      <c r="M72" s="1488" t="str">
        <f>Uebersetzung!D477</f>
        <v xml:space="preserve">                                  E HWLK,li +
                        Besoins standard électricité
  </v>
      </c>
    </row>
  </sheetData>
  <sheetProtection password="C616" sheet="1" objects="1" scenarios="1"/>
  <mergeCells count="37">
    <mergeCell ref="F45:G45"/>
    <mergeCell ref="F46:G46"/>
    <mergeCell ref="F47:G47"/>
    <mergeCell ref="H45:I45"/>
    <mergeCell ref="H46:I46"/>
    <mergeCell ref="H47:I47"/>
    <mergeCell ref="F38:G38"/>
    <mergeCell ref="H38:I38"/>
    <mergeCell ref="F40:G40"/>
    <mergeCell ref="H40:I40"/>
    <mergeCell ref="G2:K2"/>
    <mergeCell ref="G3:K3"/>
    <mergeCell ref="D18:F18"/>
    <mergeCell ref="H18:I18"/>
    <mergeCell ref="C22:K22"/>
    <mergeCell ref="C21:F21"/>
    <mergeCell ref="F29:G29"/>
    <mergeCell ref="H29:I29"/>
    <mergeCell ref="F30:G30"/>
    <mergeCell ref="H30:I30"/>
    <mergeCell ref="F31:G31"/>
    <mergeCell ref="B50:D52"/>
    <mergeCell ref="H50:I51"/>
    <mergeCell ref="E50:G51"/>
    <mergeCell ref="H42:I42"/>
    <mergeCell ref="H31:I31"/>
    <mergeCell ref="B40:D40"/>
    <mergeCell ref="B43:D43"/>
    <mergeCell ref="F36:G36"/>
    <mergeCell ref="H36:I36"/>
    <mergeCell ref="F37:G37"/>
    <mergeCell ref="H37:I37"/>
    <mergeCell ref="F39:G39"/>
    <mergeCell ref="F43:G43"/>
    <mergeCell ref="H43:I43"/>
    <mergeCell ref="F42:G42"/>
    <mergeCell ref="H39:I39"/>
  </mergeCells>
  <conditionalFormatting sqref="A43:A44">
    <cfRule type="expression" dxfId="86" priority="4">
      <formula>minergiea=FALSE</formula>
    </cfRule>
  </conditionalFormatting>
  <conditionalFormatting sqref="A46:K48">
    <cfRule type="expression" dxfId="85" priority="2">
      <formula>AlleZonenNeu=FALSE</formula>
    </cfRule>
  </conditionalFormatting>
  <conditionalFormatting sqref="B43 E43:F43 H43 J43">
    <cfRule type="expression" dxfId="84" priority="26">
      <formula>minergiea=FALSE</formula>
    </cfRule>
  </conditionalFormatting>
  <conditionalFormatting sqref="B42:K42">
    <cfRule type="expression" dxfId="83" priority="23">
      <formula>minergiea=FALSE</formula>
    </cfRule>
    <cfRule type="expression" dxfId="82" priority="25">
      <formula>minergiea</formula>
    </cfRule>
  </conditionalFormatting>
  <conditionalFormatting sqref="B45:K45">
    <cfRule type="expression" dxfId="81" priority="1">
      <formula>AlleZonenNeu=FALSE</formula>
    </cfRule>
  </conditionalFormatting>
  <conditionalFormatting sqref="F30:K31">
    <cfRule type="expression" dxfId="80" priority="28">
      <formula>MUKEN=TRUE</formula>
    </cfRule>
  </conditionalFormatting>
  <conditionalFormatting sqref="G69:H69">
    <cfRule type="expression" dxfId="79" priority="31" stopIfTrue="1">
      <formula>$B$69&lt;&gt;""</formula>
    </cfRule>
  </conditionalFormatting>
  <conditionalFormatting sqref="J69">
    <cfRule type="expression" dxfId="78" priority="30" stopIfTrue="1">
      <formula>minergiep=TRUE</formula>
    </cfRule>
  </conditionalFormatting>
  <conditionalFormatting sqref="K30">
    <cfRule type="expression" dxfId="77" priority="21">
      <formula>$L$30=2</formula>
    </cfRule>
    <cfRule type="expression" dxfId="76" priority="22">
      <formula>$L$30=1</formula>
    </cfRule>
  </conditionalFormatting>
  <conditionalFormatting sqref="K37">
    <cfRule type="expression" dxfId="75" priority="12">
      <formula>$L$37=2</formula>
    </cfRule>
    <cfRule type="expression" dxfId="74" priority="20">
      <formula>$L$37=1</formula>
    </cfRule>
  </conditionalFormatting>
  <conditionalFormatting sqref="K38">
    <cfRule type="expression" dxfId="73" priority="11">
      <formula>$L$38=2</formula>
    </cfRule>
    <cfRule type="expression" dxfId="72" priority="19">
      <formula>$L$38=1</formula>
    </cfRule>
  </conditionalFormatting>
  <conditionalFormatting sqref="K39">
    <cfRule type="expression" dxfId="71" priority="9">
      <formula>$L$39=2</formula>
    </cfRule>
    <cfRule type="expression" dxfId="70" priority="17">
      <formula>$L$39=1</formula>
    </cfRule>
  </conditionalFormatting>
  <conditionalFormatting sqref="K40">
    <cfRule type="expression" dxfId="69" priority="10">
      <formula>$L$40=2</formula>
    </cfRule>
    <cfRule type="expression" dxfId="68" priority="18">
      <formula>$L$40=1</formula>
    </cfRule>
  </conditionalFormatting>
  <conditionalFormatting sqref="K41">
    <cfRule type="expression" dxfId="67" priority="8">
      <formula>$L$41=2</formula>
    </cfRule>
    <cfRule type="expression" dxfId="66" priority="16">
      <formula>$L$41=1</formula>
    </cfRule>
  </conditionalFormatting>
  <conditionalFormatting sqref="K42">
    <cfRule type="expression" dxfId="65" priority="13">
      <formula>$L$42=2</formula>
    </cfRule>
    <cfRule type="expression" dxfId="64" priority="15">
      <formula>$L$42=1</formula>
    </cfRule>
  </conditionalFormatting>
  <conditionalFormatting sqref="K43">
    <cfRule type="expression" dxfId="63" priority="5">
      <formula>minergiea=FALSE</formula>
    </cfRule>
    <cfRule type="expression" dxfId="62" priority="6">
      <formula>$L$43=2</formula>
    </cfRule>
    <cfRule type="expression" dxfId="61" priority="7">
      <formula>$L$43=1</formula>
    </cfRule>
  </conditionalFormatting>
  <pageMargins left="0.59055118110236227" right="0.39370078740157483" top="0.31496062992125984" bottom="0.27559055118110237" header="0.31496062992125984" footer="0.23622047244094491"/>
  <pageSetup paperSize="9" scale="81"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J794"/>
  <sheetViews>
    <sheetView showZeros="0" workbookViewId="0">
      <selection activeCell="A3" sqref="A3"/>
    </sheetView>
  </sheetViews>
  <sheetFormatPr baseColWidth="10" defaultColWidth="11.42578125" defaultRowHeight="12.75"/>
  <cols>
    <col min="1" max="1" width="56.42578125" style="948" customWidth="1"/>
    <col min="2" max="2" width="6.85546875" style="948" customWidth="1"/>
    <col min="3" max="3" width="11.42578125" style="1328"/>
  </cols>
  <sheetData>
    <row r="1" spans="1:3">
      <c r="A1" s="948">
        <f>Uebersetzung!B2</f>
        <v>2023</v>
      </c>
      <c r="B1" s="947">
        <v>1</v>
      </c>
      <c r="C1" s="1328" t="s">
        <v>2088</v>
      </c>
    </row>
    <row r="2" spans="1:3">
      <c r="A2" s="948">
        <f>Uebersetzung!A2</f>
        <v>1</v>
      </c>
      <c r="B2" s="947">
        <v>2</v>
      </c>
      <c r="C2" s="1328" t="s">
        <v>2089</v>
      </c>
    </row>
    <row r="3" spans="1:3">
      <c r="A3" s="947" t="str">
        <f>Entrées!B1</f>
        <v>v2.97</v>
      </c>
      <c r="B3" s="947">
        <v>3</v>
      </c>
      <c r="C3" s="1328" t="s">
        <v>2090</v>
      </c>
    </row>
    <row r="4" spans="1:3">
      <c r="A4" s="948" t="str">
        <f>Uebersetzung!E4</f>
        <v>v2.97</v>
      </c>
      <c r="B4" s="947">
        <v>4</v>
      </c>
      <c r="C4" s="1328" t="s">
        <v>2087</v>
      </c>
    </row>
    <row r="5" spans="1:3">
      <c r="A5" s="948" t="str">
        <f>IF(A6&gt;1,IF(OR(A6=2,A6=5),"MINERGIE",IF(OR(A6=3,A6=6),"MINERGIE-P",IF(OR(A6=4,A6=7),"MINERGIE-A"))),Entrées!E14)</f>
        <v>Preuve officielle</v>
      </c>
      <c r="B5" s="947">
        <v>5</v>
      </c>
      <c r="C5" s="1328" t="s">
        <v>825</v>
      </c>
    </row>
    <row r="6" spans="1:3">
      <c r="A6" s="948">
        <f>Standardwerte!AK63</f>
        <v>1</v>
      </c>
      <c r="B6" s="947">
        <v>6</v>
      </c>
      <c r="C6" s="1328" t="s">
        <v>1939</v>
      </c>
    </row>
    <row r="7" spans="1:3">
      <c r="A7" s="948" t="str">
        <f>Uebersetzung!C1</f>
        <v>französisch</v>
      </c>
      <c r="B7" s="947">
        <v>7</v>
      </c>
      <c r="C7" s="1328" t="s">
        <v>1082</v>
      </c>
    </row>
    <row r="8" spans="1:3">
      <c r="A8" s="948">
        <f>Uebersetzung!A1</f>
        <v>2</v>
      </c>
      <c r="B8" s="947">
        <v>8</v>
      </c>
      <c r="C8" s="1328" t="s">
        <v>2056</v>
      </c>
    </row>
    <row r="9" spans="1:3">
      <c r="A9" s="948">
        <f>Projekt1</f>
        <v>0</v>
      </c>
      <c r="B9" s="947">
        <v>9</v>
      </c>
      <c r="C9" s="1328" t="s">
        <v>1940</v>
      </c>
    </row>
    <row r="10" spans="1:3">
      <c r="A10" s="948">
        <f>Projekt2</f>
        <v>0</v>
      </c>
      <c r="B10" s="947">
        <v>10</v>
      </c>
      <c r="C10" s="1328" t="s">
        <v>1080</v>
      </c>
    </row>
    <row r="11" spans="1:3">
      <c r="A11" s="948">
        <f>Projekt3</f>
        <v>0</v>
      </c>
      <c r="B11" s="947">
        <v>11</v>
      </c>
      <c r="C11" s="1328" t="s">
        <v>1941</v>
      </c>
    </row>
    <row r="12" spans="1:3">
      <c r="A12" s="948">
        <f>Entrées!J8</f>
        <v>0</v>
      </c>
      <c r="B12" s="947">
        <v>12</v>
      </c>
      <c r="C12" s="1328" t="s">
        <v>1942</v>
      </c>
    </row>
    <row r="13" spans="1:3">
      <c r="A13" s="948">
        <f>Projekt4</f>
        <v>0</v>
      </c>
      <c r="B13" s="947">
        <v>13</v>
      </c>
      <c r="C13" s="1328" t="s">
        <v>1943</v>
      </c>
    </row>
    <row r="14" spans="1:3">
      <c r="A14" s="948">
        <f>Hoehe</f>
        <v>0</v>
      </c>
      <c r="B14" s="947">
        <v>14</v>
      </c>
      <c r="C14" s="1328" t="s">
        <v>1081</v>
      </c>
    </row>
    <row r="15" spans="1:3">
      <c r="A15" s="948">
        <f>Entrées!I13</f>
        <v>0</v>
      </c>
      <c r="B15" s="947">
        <v>15</v>
      </c>
      <c r="C15" s="1328" t="s">
        <v>21</v>
      </c>
    </row>
    <row r="16" spans="1:3">
      <c r="A16" s="948">
        <f>Kanton</f>
        <v>1</v>
      </c>
      <c r="B16" s="947">
        <v>16</v>
      </c>
      <c r="C16" s="1328" t="s">
        <v>1976</v>
      </c>
    </row>
    <row r="17" spans="1:3">
      <c r="A17" s="948" t="str">
        <f>Entrées!I14</f>
        <v xml:space="preserve"> </v>
      </c>
      <c r="B17" s="947">
        <v>17</v>
      </c>
      <c r="C17" s="1328" t="s">
        <v>15</v>
      </c>
    </row>
    <row r="18" spans="1:3">
      <c r="A18" s="948">
        <f>Standardwerte!B51</f>
        <v>1</v>
      </c>
      <c r="B18" s="947">
        <v>18</v>
      </c>
      <c r="C18" s="1328" t="s">
        <v>1944</v>
      </c>
    </row>
    <row r="19" spans="1:3">
      <c r="A19" s="948" t="str">
        <f>Entrées!F16</f>
        <v xml:space="preserve"> </v>
      </c>
      <c r="B19" s="947">
        <v>19</v>
      </c>
      <c r="C19" s="1328" t="s">
        <v>1083</v>
      </c>
    </row>
    <row r="20" spans="1:3">
      <c r="A20" s="948">
        <f>Kategorie1-1</f>
        <v>0</v>
      </c>
      <c r="B20" s="947">
        <v>20</v>
      </c>
      <c r="C20" s="1328" t="s">
        <v>2093</v>
      </c>
    </row>
    <row r="21" spans="1:3">
      <c r="A21" s="948">
        <f>Entrées!G16</f>
        <v>0</v>
      </c>
      <c r="B21" s="947">
        <v>21</v>
      </c>
      <c r="C21" s="1328" t="s">
        <v>1086</v>
      </c>
    </row>
    <row r="22" spans="1:3">
      <c r="A22" s="948">
        <f>Kategorie2-1</f>
        <v>0</v>
      </c>
      <c r="B22" s="947">
        <v>22</v>
      </c>
      <c r="C22" s="1328" t="s">
        <v>2095</v>
      </c>
    </row>
    <row r="23" spans="1:3">
      <c r="A23" s="948">
        <f>Entrées!H16</f>
        <v>0</v>
      </c>
      <c r="B23" s="947">
        <v>23</v>
      </c>
      <c r="C23" s="1328" t="s">
        <v>1085</v>
      </c>
    </row>
    <row r="24" spans="1:3">
      <c r="A24" s="948">
        <f>Kategorie3-1</f>
        <v>0</v>
      </c>
      <c r="B24" s="947">
        <v>24</v>
      </c>
      <c r="C24" s="1328" t="s">
        <v>2096</v>
      </c>
    </row>
    <row r="25" spans="1:3">
      <c r="A25" s="948">
        <f>Entrées!I16</f>
        <v>0</v>
      </c>
      <c r="B25" s="947">
        <v>25</v>
      </c>
      <c r="C25" s="1328" t="s">
        <v>1084</v>
      </c>
    </row>
    <row r="26" spans="1:3">
      <c r="A26" s="948">
        <f>Kategorie4-1</f>
        <v>0</v>
      </c>
      <c r="B26" s="947">
        <v>26</v>
      </c>
      <c r="C26" s="1328" t="s">
        <v>2094</v>
      </c>
    </row>
    <row r="27" spans="1:3">
      <c r="A27" s="948">
        <f>Entrées!F17</f>
        <v>0</v>
      </c>
      <c r="B27" s="947">
        <v>27</v>
      </c>
      <c r="C27" s="1328" t="s">
        <v>1087</v>
      </c>
    </row>
    <row r="28" spans="1:3">
      <c r="A28" s="948">
        <f>IF(A27=Uebersetzung!$D$25,1,IF(A27=Uebersetzung!$D$26,2,0))</f>
        <v>0</v>
      </c>
      <c r="B28" s="947">
        <v>28</v>
      </c>
      <c r="C28" s="1328" t="s">
        <v>2097</v>
      </c>
    </row>
    <row r="29" spans="1:3">
      <c r="A29" s="948">
        <f>Entrées!G17</f>
        <v>0</v>
      </c>
      <c r="B29" s="947">
        <v>29</v>
      </c>
      <c r="C29" s="1328" t="s">
        <v>1088</v>
      </c>
    </row>
    <row r="30" spans="1:3">
      <c r="A30" s="948">
        <f>IF(A29=Uebersetzung!$D$25,1,IF(A29=Uebersetzung!$D$26,2,0))</f>
        <v>0</v>
      </c>
      <c r="B30" s="947">
        <v>30</v>
      </c>
      <c r="C30" s="1328" t="s">
        <v>2100</v>
      </c>
    </row>
    <row r="31" spans="1:3">
      <c r="A31" s="948">
        <f>Entrées!H17</f>
        <v>0</v>
      </c>
      <c r="B31" s="947">
        <v>31</v>
      </c>
      <c r="C31" s="1328" t="s">
        <v>1089</v>
      </c>
    </row>
    <row r="32" spans="1:3">
      <c r="A32" s="948">
        <f>IF(A31=Uebersetzung!$D$25,1,IF(A31=Uebersetzung!$D$26,2,0))</f>
        <v>0</v>
      </c>
      <c r="B32" s="947">
        <v>32</v>
      </c>
      <c r="C32" s="1328" t="s">
        <v>2099</v>
      </c>
    </row>
    <row r="33" spans="1:3">
      <c r="A33" s="948">
        <f>Entrées!I17</f>
        <v>0</v>
      </c>
      <c r="B33" s="947">
        <v>33</v>
      </c>
      <c r="C33" s="1328" t="s">
        <v>1090</v>
      </c>
    </row>
    <row r="34" spans="1:3">
      <c r="A34" s="948">
        <f>IF(A33=Uebersetzung!$D$25,1,IF(A33=Uebersetzung!$D$26,2,0))</f>
        <v>0</v>
      </c>
      <c r="B34" s="947">
        <v>34</v>
      </c>
      <c r="C34" s="1328" t="s">
        <v>2098</v>
      </c>
    </row>
    <row r="35" spans="1:3">
      <c r="A35" s="948">
        <f>Entrées!O2</f>
        <v>0</v>
      </c>
      <c r="B35" s="947">
        <v>35</v>
      </c>
      <c r="C35" s="1328" t="s">
        <v>1091</v>
      </c>
    </row>
    <row r="36" spans="1:3">
      <c r="A36" s="948">
        <f>Entrées!P2</f>
        <v>0</v>
      </c>
      <c r="B36" s="947">
        <v>36</v>
      </c>
      <c r="C36" s="1328" t="s">
        <v>1092</v>
      </c>
    </row>
    <row r="37" spans="1:3">
      <c r="A37" s="948">
        <f>Entrées!Q2</f>
        <v>0</v>
      </c>
      <c r="B37" s="947">
        <v>37</v>
      </c>
      <c r="C37" s="1328" t="s">
        <v>1093</v>
      </c>
    </row>
    <row r="38" spans="1:3">
      <c r="A38" s="948">
        <f>Entrées!R2</f>
        <v>0</v>
      </c>
      <c r="B38" s="947">
        <v>38</v>
      </c>
      <c r="C38" s="1328" t="s">
        <v>1094</v>
      </c>
    </row>
    <row r="39" spans="1:3">
      <c r="A39" s="948" t="str">
        <f>Entrées!F21</f>
        <v xml:space="preserve"> </v>
      </c>
      <c r="B39" s="947">
        <v>39</v>
      </c>
      <c r="C39" s="1328" t="s">
        <v>1095</v>
      </c>
    </row>
    <row r="40" spans="1:3">
      <c r="A40" s="948">
        <f>Neubau1-1</f>
        <v>0</v>
      </c>
      <c r="B40" s="947">
        <v>40</v>
      </c>
      <c r="C40" s="1328" t="s">
        <v>2101</v>
      </c>
    </row>
    <row r="41" spans="1:3">
      <c r="A41" s="948">
        <f>Entrées!G21</f>
        <v>0</v>
      </c>
      <c r="B41" s="947">
        <v>41</v>
      </c>
      <c r="C41" s="1328" t="s">
        <v>1098</v>
      </c>
    </row>
    <row r="42" spans="1:3">
      <c r="A42" s="948">
        <f>Neubau2-1</f>
        <v>0</v>
      </c>
      <c r="B42" s="947">
        <v>42</v>
      </c>
      <c r="C42" s="1328" t="s">
        <v>2103</v>
      </c>
    </row>
    <row r="43" spans="1:3">
      <c r="A43" s="948">
        <f>Entrées!H21</f>
        <v>0</v>
      </c>
      <c r="B43" s="947">
        <v>43</v>
      </c>
      <c r="C43" s="1328" t="s">
        <v>1097</v>
      </c>
    </row>
    <row r="44" spans="1:3">
      <c r="A44" s="948">
        <f>Neubau3-1</f>
        <v>0</v>
      </c>
      <c r="B44" s="947">
        <v>44</v>
      </c>
      <c r="C44" s="1328" t="s">
        <v>2104</v>
      </c>
    </row>
    <row r="45" spans="1:3">
      <c r="A45" s="948">
        <f>Entrées!I21</f>
        <v>0</v>
      </c>
      <c r="B45" s="947">
        <v>45</v>
      </c>
      <c r="C45" s="1328" t="s">
        <v>1096</v>
      </c>
    </row>
    <row r="46" spans="1:3">
      <c r="A46" s="948">
        <f>Neubau4-1</f>
        <v>0</v>
      </c>
      <c r="B46" s="947">
        <v>46</v>
      </c>
      <c r="C46" s="1328" t="s">
        <v>2102</v>
      </c>
    </row>
    <row r="47" spans="1:3">
      <c r="A47" s="948">
        <f>Entrées!F30</f>
        <v>0</v>
      </c>
      <c r="B47" s="947">
        <v>47</v>
      </c>
      <c r="C47" s="1328" t="s">
        <v>3896</v>
      </c>
    </row>
    <row r="48" spans="1:3">
      <c r="A48" s="948">
        <f>IF(A47=Uebersetzung!$D$25,1,IF(A47=Uebersetzung!$D$26,2,0))</f>
        <v>0</v>
      </c>
      <c r="B48" s="947">
        <v>48</v>
      </c>
      <c r="C48" s="1328" t="s">
        <v>3900</v>
      </c>
    </row>
    <row r="49" spans="1:3">
      <c r="A49" s="948">
        <f>Entrées!G30</f>
        <v>0</v>
      </c>
      <c r="B49" s="947">
        <v>49</v>
      </c>
      <c r="C49" s="1328" t="s">
        <v>3899</v>
      </c>
    </row>
    <row r="50" spans="1:3">
      <c r="A50" s="948">
        <f>IF(A49=Uebersetzung!$D$25,1,IF(A49=Uebersetzung!$D$26,2,0))</f>
        <v>0</v>
      </c>
      <c r="B50" s="947">
        <v>50</v>
      </c>
      <c r="C50" s="1328" t="s">
        <v>3901</v>
      </c>
    </row>
    <row r="51" spans="1:3">
      <c r="A51" s="948">
        <f>Entrées!H30</f>
        <v>0</v>
      </c>
      <c r="B51" s="947">
        <v>51</v>
      </c>
      <c r="C51" s="1328" t="s">
        <v>3898</v>
      </c>
    </row>
    <row r="52" spans="1:3">
      <c r="A52" s="948">
        <f>IF(A51=Uebersetzung!$D$25,1,IF(A51=Uebersetzung!$D$26,2,0))</f>
        <v>0</v>
      </c>
      <c r="B52" s="947">
        <v>52</v>
      </c>
      <c r="C52" s="1328" t="s">
        <v>3902</v>
      </c>
    </row>
    <row r="53" spans="1:3">
      <c r="A53" s="948">
        <f>Entrées!I30</f>
        <v>0</v>
      </c>
      <c r="B53" s="947">
        <v>53</v>
      </c>
      <c r="C53" s="1328" t="s">
        <v>3897</v>
      </c>
    </row>
    <row r="54" spans="1:3">
      <c r="A54" s="948">
        <f>IF(A53=Uebersetzung!$D$25,1,IF(A53=Uebersetzung!$D$26,2,0))</f>
        <v>0</v>
      </c>
      <c r="B54" s="947">
        <v>54</v>
      </c>
      <c r="C54" s="1328" t="s">
        <v>3903</v>
      </c>
    </row>
    <row r="55" spans="1:3">
      <c r="A55" s="948">
        <f>Entrées!F31</f>
        <v>0</v>
      </c>
      <c r="B55" s="947">
        <v>55</v>
      </c>
      <c r="C55" s="1328" t="s">
        <v>3904</v>
      </c>
    </row>
    <row r="56" spans="1:3">
      <c r="A56" s="948">
        <f>IF(A55=0,1,VLOOKUP(A55,Standardwerte!$O$35:$T$45,6,FALSE))-1</f>
        <v>0</v>
      </c>
      <c r="B56" s="947">
        <v>56</v>
      </c>
      <c r="C56" s="1328" t="s">
        <v>3908</v>
      </c>
    </row>
    <row r="57" spans="1:3">
      <c r="A57" s="948">
        <f>Entrées!G31</f>
        <v>0</v>
      </c>
      <c r="B57" s="947">
        <v>57</v>
      </c>
      <c r="C57" s="1328" t="s">
        <v>3905</v>
      </c>
    </row>
    <row r="58" spans="1:3">
      <c r="A58" s="948">
        <f>IF(A57=0,1,VLOOKUP(A57,Standardwerte!$O$35:$T$45,6,FALSE))-1</f>
        <v>0</v>
      </c>
      <c r="B58" s="947">
        <v>58</v>
      </c>
      <c r="C58" s="1328" t="s">
        <v>3909</v>
      </c>
    </row>
    <row r="59" spans="1:3">
      <c r="A59" s="948">
        <f>Entrées!H31</f>
        <v>0</v>
      </c>
      <c r="B59" s="947">
        <v>59</v>
      </c>
      <c r="C59" s="1328" t="s">
        <v>3906</v>
      </c>
    </row>
    <row r="60" spans="1:3">
      <c r="A60" s="948">
        <f>IF(A59=0,1,VLOOKUP(A59,Standardwerte!$O$35:$T$45,6,FALSE))-1</f>
        <v>0</v>
      </c>
      <c r="B60" s="947">
        <v>60</v>
      </c>
      <c r="C60" s="1328" t="s">
        <v>3910</v>
      </c>
    </row>
    <row r="61" spans="1:3">
      <c r="A61" s="948">
        <f>Entrées!I31</f>
        <v>0</v>
      </c>
      <c r="B61" s="947">
        <v>61</v>
      </c>
      <c r="C61" s="1328" t="s">
        <v>3907</v>
      </c>
    </row>
    <row r="62" spans="1:3">
      <c r="A62" s="948">
        <f>IF(A61=0,1,VLOOKUP(A61,Standardwerte!$O$35:$T$45,6,FALSE))-1</f>
        <v>0</v>
      </c>
      <c r="B62" s="947">
        <v>62</v>
      </c>
      <c r="C62" s="1328" t="s">
        <v>3911</v>
      </c>
    </row>
    <row r="63" spans="1:3">
      <c r="A63" s="948">
        <f>Raum1</f>
        <v>0</v>
      </c>
      <c r="B63" s="947">
        <v>63</v>
      </c>
      <c r="C63" s="1328" t="s">
        <v>1099</v>
      </c>
    </row>
    <row r="64" spans="1:3">
      <c r="A64" s="948">
        <f>Raum2</f>
        <v>0</v>
      </c>
      <c r="B64" s="947">
        <v>64</v>
      </c>
      <c r="C64" s="1328" t="s">
        <v>1102</v>
      </c>
    </row>
    <row r="65" spans="1:3">
      <c r="A65" s="948">
        <f>Raum3</f>
        <v>0</v>
      </c>
      <c r="B65" s="947">
        <v>65</v>
      </c>
      <c r="C65" s="1328" t="s">
        <v>1101</v>
      </c>
    </row>
    <row r="66" spans="1:3">
      <c r="A66" s="948">
        <f>Raum4</f>
        <v>0</v>
      </c>
      <c r="B66" s="947">
        <v>66</v>
      </c>
      <c r="C66" s="1328" t="s">
        <v>1100</v>
      </c>
    </row>
    <row r="67" spans="1:3">
      <c r="A67" s="948">
        <f>Entrées!F34</f>
        <v>0</v>
      </c>
      <c r="B67" s="947">
        <v>67</v>
      </c>
      <c r="C67" s="1328" t="s">
        <v>1953</v>
      </c>
    </row>
    <row r="68" spans="1:3">
      <c r="A68" s="948">
        <f>IF(A67=0,1,VLOOKUP(A67,Standardwerte!$L$54:$O$59,4,FALSE))-1</f>
        <v>0</v>
      </c>
      <c r="B68" s="947">
        <v>68</v>
      </c>
      <c r="C68" s="1328" t="s">
        <v>2105</v>
      </c>
    </row>
    <row r="69" spans="1:3">
      <c r="A69" s="948">
        <f>Entrées!G34</f>
        <v>0</v>
      </c>
      <c r="B69" s="947">
        <v>69</v>
      </c>
      <c r="C69" s="1328" t="s">
        <v>1954</v>
      </c>
    </row>
    <row r="70" spans="1:3">
      <c r="A70" s="948">
        <f>IF(A69=0,1,VLOOKUP(A69,Standardwerte!$L$54:$O$59,4,FALSE))-1</f>
        <v>0</v>
      </c>
      <c r="B70" s="947">
        <v>70</v>
      </c>
      <c r="C70" s="1328" t="s">
        <v>2106</v>
      </c>
    </row>
    <row r="71" spans="1:3">
      <c r="A71" s="948">
        <f>Entrées!H34</f>
        <v>0</v>
      </c>
      <c r="B71" s="947">
        <v>71</v>
      </c>
      <c r="C71" s="1328" t="s">
        <v>1955</v>
      </c>
    </row>
    <row r="72" spans="1:3">
      <c r="A72" s="948">
        <f>IF(A71=0,1,VLOOKUP(A71,Standardwerte!$L$54:$O$59,4,FALSE))-1</f>
        <v>0</v>
      </c>
      <c r="B72" s="947">
        <v>72</v>
      </c>
      <c r="C72" s="1328" t="s">
        <v>2107</v>
      </c>
    </row>
    <row r="73" spans="1:3">
      <c r="A73" s="948">
        <f>Entrées!I34</f>
        <v>0</v>
      </c>
      <c r="B73" s="947">
        <v>73</v>
      </c>
      <c r="C73" s="1328" t="s">
        <v>1956</v>
      </c>
    </row>
    <row r="74" spans="1:3">
      <c r="A74" s="948">
        <f>IF(A73=0,1,VLOOKUP(A73,Standardwerte!$L$54:$O$59,4,FALSE))-1</f>
        <v>0</v>
      </c>
      <c r="B74" s="947">
        <v>74</v>
      </c>
      <c r="C74" s="1328" t="s">
        <v>2108</v>
      </c>
    </row>
    <row r="75" spans="1:3">
      <c r="A75" s="948">
        <f>Entrées!F35</f>
        <v>0</v>
      </c>
      <c r="B75" s="947">
        <v>75</v>
      </c>
      <c r="C75" s="1328" t="s">
        <v>1957</v>
      </c>
    </row>
    <row r="76" spans="1:3">
      <c r="A76" s="948">
        <f>IF(A75=0,1,VLOOKUP(A75,Standardwerte!$AB$46:$AD$48,3,FALSE))-1</f>
        <v>0</v>
      </c>
      <c r="B76" s="947">
        <v>76</v>
      </c>
      <c r="C76" s="1328" t="s">
        <v>2110</v>
      </c>
    </row>
    <row r="77" spans="1:3">
      <c r="A77" s="948">
        <f>Entrées!G35</f>
        <v>0</v>
      </c>
      <c r="B77" s="947">
        <v>77</v>
      </c>
      <c r="C77" s="1328" t="s">
        <v>1959</v>
      </c>
    </row>
    <row r="78" spans="1:3">
      <c r="A78" s="948">
        <f>IF(A77=0,1,VLOOKUP(A77,Standardwerte!$AB$46:$AD$48,3,FALSE))-1</f>
        <v>0</v>
      </c>
      <c r="B78" s="947">
        <v>78</v>
      </c>
      <c r="C78" s="1328" t="s">
        <v>2111</v>
      </c>
    </row>
    <row r="79" spans="1:3">
      <c r="A79" s="948">
        <f>Entrées!H35</f>
        <v>0</v>
      </c>
      <c r="B79" s="947">
        <v>79</v>
      </c>
      <c r="C79" s="1328" t="s">
        <v>1960</v>
      </c>
    </row>
    <row r="80" spans="1:3">
      <c r="A80" s="948">
        <f>IF(A79=0,1,VLOOKUP(A79,Standardwerte!$AB$46:$AD$48,3,FALSE))-1</f>
        <v>0</v>
      </c>
      <c r="B80" s="947">
        <v>80</v>
      </c>
      <c r="C80" s="1328" t="s">
        <v>2112</v>
      </c>
    </row>
    <row r="81" spans="1:3">
      <c r="A81" s="948">
        <f>Entrées!I35</f>
        <v>0</v>
      </c>
      <c r="B81" s="947">
        <v>81</v>
      </c>
      <c r="C81" s="1328" t="s">
        <v>1958</v>
      </c>
    </row>
    <row r="82" spans="1:3">
      <c r="A82" s="948">
        <f>IF(A81=0,1,VLOOKUP(A81,Standardwerte!$AB$46:$AD$48,3,FALSE))-1</f>
        <v>0</v>
      </c>
      <c r="B82" s="947">
        <v>82</v>
      </c>
      <c r="C82" s="1328" t="s">
        <v>2109</v>
      </c>
    </row>
    <row r="83" spans="1:3">
      <c r="A83" s="948">
        <f>Entrées!F39</f>
        <v>0</v>
      </c>
      <c r="B83" s="947">
        <v>83</v>
      </c>
      <c r="C83" s="1328" t="s">
        <v>1103</v>
      </c>
    </row>
    <row r="84" spans="1:3">
      <c r="A84" s="948">
        <f>Standardwerte!J118-1</f>
        <v>0</v>
      </c>
      <c r="B84" s="947">
        <v>84</v>
      </c>
      <c r="C84" s="1328" t="s">
        <v>2114</v>
      </c>
    </row>
    <row r="85" spans="1:3">
      <c r="A85" s="948">
        <f>Entrées!G39</f>
        <v>0</v>
      </c>
      <c r="B85" s="947">
        <v>85</v>
      </c>
      <c r="C85" s="1328" t="s">
        <v>1106</v>
      </c>
    </row>
    <row r="86" spans="1:3">
      <c r="A86" s="948">
        <f>Standardwerte!K118-1</f>
        <v>0</v>
      </c>
      <c r="B86" s="947">
        <v>86</v>
      </c>
      <c r="C86" s="1328" t="s">
        <v>2115</v>
      </c>
    </row>
    <row r="87" spans="1:3">
      <c r="A87" s="948">
        <f>Entrées!H39</f>
        <v>0</v>
      </c>
      <c r="B87" s="947">
        <v>87</v>
      </c>
      <c r="C87" s="1328" t="s">
        <v>1105</v>
      </c>
    </row>
    <row r="88" spans="1:3">
      <c r="A88" s="948">
        <f>Standardwerte!L118-1</f>
        <v>0</v>
      </c>
      <c r="B88" s="947">
        <v>88</v>
      </c>
      <c r="C88" s="1328" t="s">
        <v>2116</v>
      </c>
    </row>
    <row r="89" spans="1:3">
      <c r="A89" s="948">
        <f>Entrées!I39</f>
        <v>0</v>
      </c>
      <c r="B89" s="947">
        <v>89</v>
      </c>
      <c r="C89" s="1328" t="s">
        <v>1104</v>
      </c>
    </row>
    <row r="90" spans="1:3">
      <c r="A90" s="948">
        <f>Standardwerte!M118-1</f>
        <v>0</v>
      </c>
      <c r="B90" s="947">
        <v>90</v>
      </c>
      <c r="C90" s="1328" t="s">
        <v>2113</v>
      </c>
    </row>
    <row r="91" spans="1:3">
      <c r="A91" s="949">
        <f>Entrées!F40</f>
        <v>0</v>
      </c>
      <c r="B91" s="947">
        <v>91</v>
      </c>
      <c r="C91" s="1328" t="s">
        <v>1107</v>
      </c>
    </row>
    <row r="92" spans="1:3">
      <c r="A92" s="949">
        <f>Entrées!G40</f>
        <v>0</v>
      </c>
      <c r="B92" s="947">
        <v>92</v>
      </c>
      <c r="C92" s="1328" t="s">
        <v>1108</v>
      </c>
    </row>
    <row r="93" spans="1:3">
      <c r="A93" s="949">
        <f>Entrées!H40</f>
        <v>0</v>
      </c>
      <c r="B93" s="947">
        <v>93</v>
      </c>
      <c r="C93" s="1328" t="s">
        <v>1109</v>
      </c>
    </row>
    <row r="94" spans="1:3">
      <c r="A94" s="949">
        <f>Entrées!I40</f>
        <v>0</v>
      </c>
      <c r="B94" s="947">
        <v>94</v>
      </c>
      <c r="C94" s="1328" t="s">
        <v>1110</v>
      </c>
    </row>
    <row r="95" spans="1:3">
      <c r="A95" s="949">
        <f>Entrées!F41</f>
        <v>0</v>
      </c>
      <c r="B95" s="947">
        <v>95</v>
      </c>
      <c r="C95" s="1328" t="s">
        <v>1111</v>
      </c>
    </row>
    <row r="96" spans="1:3">
      <c r="A96" s="949">
        <f>Entrées!G41</f>
        <v>0</v>
      </c>
      <c r="B96" s="947">
        <v>96</v>
      </c>
      <c r="C96" s="1328" t="s">
        <v>1112</v>
      </c>
    </row>
    <row r="97" spans="1:3">
      <c r="A97" s="949">
        <f>Entrées!H41</f>
        <v>0</v>
      </c>
      <c r="B97" s="947">
        <v>97</v>
      </c>
      <c r="C97" s="1328" t="s">
        <v>1113</v>
      </c>
    </row>
    <row r="98" spans="1:3">
      <c r="A98" s="949">
        <f>Entrées!I41</f>
        <v>0</v>
      </c>
      <c r="B98" s="947">
        <v>98</v>
      </c>
      <c r="C98" s="1328" t="s">
        <v>1114</v>
      </c>
    </row>
    <row r="99" spans="1:3">
      <c r="A99" s="949">
        <f>Entrées!F42</f>
        <v>0</v>
      </c>
      <c r="B99" s="947">
        <v>99</v>
      </c>
      <c r="C99" s="1328" t="s">
        <v>1117</v>
      </c>
    </row>
    <row r="100" spans="1:3">
      <c r="A100" s="949">
        <f>Entrées!G42</f>
        <v>0</v>
      </c>
      <c r="B100" s="947">
        <v>100</v>
      </c>
      <c r="C100" s="1328" t="s">
        <v>1118</v>
      </c>
    </row>
    <row r="101" spans="1:3">
      <c r="A101" s="949">
        <f>Entrées!H42</f>
        <v>0</v>
      </c>
      <c r="B101" s="947">
        <v>101</v>
      </c>
      <c r="C101" s="1328" t="s">
        <v>1119</v>
      </c>
    </row>
    <row r="102" spans="1:3">
      <c r="A102" s="949">
        <f>Entrées!I42</f>
        <v>0</v>
      </c>
      <c r="B102" s="947">
        <v>102</v>
      </c>
      <c r="C102" s="1328" t="s">
        <v>1120</v>
      </c>
    </row>
    <row r="103" spans="1:3">
      <c r="A103" s="949">
        <f>Entrées!F43</f>
        <v>0</v>
      </c>
      <c r="B103" s="947">
        <v>103</v>
      </c>
      <c r="C103" s="1328" t="s">
        <v>3892</v>
      </c>
    </row>
    <row r="104" spans="1:3">
      <c r="A104" s="949">
        <f>Entrées!G43</f>
        <v>0</v>
      </c>
      <c r="B104" s="947">
        <v>104</v>
      </c>
      <c r="C104" s="1328" t="s">
        <v>3893</v>
      </c>
    </row>
    <row r="105" spans="1:3">
      <c r="A105" s="949">
        <f>Entrées!H43</f>
        <v>0</v>
      </c>
      <c r="B105" s="947">
        <v>105</v>
      </c>
      <c r="C105" s="1328" t="s">
        <v>3894</v>
      </c>
    </row>
    <row r="106" spans="1:3">
      <c r="A106" s="949">
        <f>Entrées!I43</f>
        <v>0</v>
      </c>
      <c r="B106" s="947">
        <v>106</v>
      </c>
      <c r="C106" s="1328" t="s">
        <v>3895</v>
      </c>
    </row>
    <row r="107" spans="1:3">
      <c r="A107" s="948" t="str">
        <f>Entrées!E46</f>
        <v>kWh/m2</v>
      </c>
      <c r="B107" s="947">
        <v>107</v>
      </c>
      <c r="C107" s="1328" t="s">
        <v>1121</v>
      </c>
    </row>
    <row r="108" spans="1:3">
      <c r="A108" s="948">
        <f>Einheiten</f>
        <v>2</v>
      </c>
      <c r="B108" s="947">
        <v>108</v>
      </c>
      <c r="C108" s="1328" t="s">
        <v>1961</v>
      </c>
    </row>
    <row r="109" spans="1:3">
      <c r="A109" s="948">
        <f>_qh1/3.6</f>
        <v>0</v>
      </c>
      <c r="B109" s="947">
        <v>109</v>
      </c>
      <c r="C109" s="1328" t="s">
        <v>1962</v>
      </c>
    </row>
    <row r="110" spans="1:3">
      <c r="A110" s="948">
        <f>_qh2/3.6</f>
        <v>0</v>
      </c>
      <c r="B110" s="947">
        <v>110</v>
      </c>
      <c r="C110" s="1328" t="s">
        <v>1963</v>
      </c>
    </row>
    <row r="111" spans="1:3">
      <c r="A111" s="948">
        <f>_qh3/3.6</f>
        <v>0</v>
      </c>
      <c r="B111" s="947">
        <v>111</v>
      </c>
      <c r="C111" s="1328" t="s">
        <v>1964</v>
      </c>
    </row>
    <row r="112" spans="1:3">
      <c r="A112" s="948">
        <f>_qh4/3.6</f>
        <v>0</v>
      </c>
      <c r="B112" s="947">
        <v>112</v>
      </c>
      <c r="C112" s="1328" t="s">
        <v>1965</v>
      </c>
    </row>
    <row r="113" spans="1:7">
      <c r="A113" s="948">
        <f>_qhs1/3.6</f>
        <v>0</v>
      </c>
      <c r="B113" s="947">
        <v>113</v>
      </c>
      <c r="C113" s="1328" t="s">
        <v>1949</v>
      </c>
    </row>
    <row r="114" spans="1:7">
      <c r="A114" s="948">
        <f>_qhs2/3.6</f>
        <v>0</v>
      </c>
      <c r="B114" s="947">
        <v>114</v>
      </c>
      <c r="C114" s="1328" t="s">
        <v>1950</v>
      </c>
    </row>
    <row r="115" spans="1:7">
      <c r="A115" s="948">
        <f>_qhs3/3.6</f>
        <v>0</v>
      </c>
      <c r="B115" s="947">
        <v>115</v>
      </c>
      <c r="C115" s="1328" t="s">
        <v>1951</v>
      </c>
    </row>
    <row r="116" spans="1:7">
      <c r="A116" s="948">
        <f>_qhs4/3.6</f>
        <v>0</v>
      </c>
      <c r="B116" s="947">
        <v>116</v>
      </c>
      <c r="C116" s="1328" t="s">
        <v>1952</v>
      </c>
    </row>
    <row r="117" spans="1:7">
      <c r="A117" s="948">
        <f>AEBF1</f>
        <v>0</v>
      </c>
      <c r="B117" s="947">
        <v>117</v>
      </c>
      <c r="C117" s="1328" t="s">
        <v>1945</v>
      </c>
    </row>
    <row r="118" spans="1:7">
      <c r="A118" s="948">
        <f>AEBF2</f>
        <v>0</v>
      </c>
      <c r="B118" s="947">
        <v>118</v>
      </c>
      <c r="C118" s="1328" t="s">
        <v>1946</v>
      </c>
    </row>
    <row r="119" spans="1:7">
      <c r="A119" s="948">
        <f>AEBF3</f>
        <v>0</v>
      </c>
      <c r="B119" s="947">
        <v>119</v>
      </c>
      <c r="C119" s="1328" t="s">
        <v>1947</v>
      </c>
    </row>
    <row r="120" spans="1:7">
      <c r="A120" s="948">
        <f>AEBF4</f>
        <v>0</v>
      </c>
      <c r="B120" s="947">
        <v>120</v>
      </c>
      <c r="C120" s="1328" t="s">
        <v>1948</v>
      </c>
    </row>
    <row r="121" spans="1:7">
      <c r="A121" s="948">
        <f>_Vth1</f>
        <v>0</v>
      </c>
      <c r="B121" s="947">
        <v>121</v>
      </c>
      <c r="C121" s="1328" t="s">
        <v>1966</v>
      </c>
    </row>
    <row r="122" spans="1:7">
      <c r="A122" s="948">
        <f>_Vth2</f>
        <v>0</v>
      </c>
      <c r="B122" s="947">
        <v>122</v>
      </c>
      <c r="C122" s="1328" t="s">
        <v>1969</v>
      </c>
    </row>
    <row r="123" spans="1:7">
      <c r="A123" s="948">
        <f>_Vth3</f>
        <v>0</v>
      </c>
      <c r="B123" s="947">
        <v>123</v>
      </c>
      <c r="C123" s="1328" t="s">
        <v>1968</v>
      </c>
    </row>
    <row r="124" spans="1:7">
      <c r="A124" s="950">
        <f>_Vth4</f>
        <v>0</v>
      </c>
      <c r="B124" s="1332">
        <v>124</v>
      </c>
      <c r="C124" s="1329" t="s">
        <v>1967</v>
      </c>
      <c r="D124" s="951"/>
      <c r="E124" s="951"/>
      <c r="F124" s="951"/>
      <c r="G124" s="951"/>
    </row>
    <row r="125" spans="1:7">
      <c r="A125" s="948" t="str">
        <f>Justificatif!B8</f>
        <v xml:space="preserve">  </v>
      </c>
      <c r="B125" s="947">
        <v>125</v>
      </c>
      <c r="C125" s="939" t="s">
        <v>1122</v>
      </c>
    </row>
    <row r="126" spans="1:7">
      <c r="A126" s="948">
        <f>INDEX(Standardwerte!$AN$108:$AN$155,Justificatif!M8,1)</f>
        <v>0</v>
      </c>
      <c r="B126" s="947">
        <v>126</v>
      </c>
      <c r="C126" s="939" t="s">
        <v>3576</v>
      </c>
    </row>
    <row r="127" spans="1:7">
      <c r="A127" s="948" t="str">
        <f>Justificatif!B12</f>
        <v xml:space="preserve">  </v>
      </c>
      <c r="B127" s="947">
        <v>127</v>
      </c>
      <c r="C127" s="939" t="s">
        <v>1123</v>
      </c>
    </row>
    <row r="128" spans="1:7">
      <c r="A128" s="948">
        <f>INDEX(Standardwerte!$AN$108:$AN$155,Justificatif!M12,1)</f>
        <v>0</v>
      </c>
      <c r="B128" s="947">
        <v>128</v>
      </c>
      <c r="C128" s="1614" t="s">
        <v>3579</v>
      </c>
    </row>
    <row r="129" spans="1:3">
      <c r="A129" s="948" t="str">
        <f>Justificatif!B16</f>
        <v xml:space="preserve">  </v>
      </c>
      <c r="B129" s="947">
        <v>129</v>
      </c>
      <c r="C129" s="939" t="s">
        <v>1124</v>
      </c>
    </row>
    <row r="130" spans="1:3">
      <c r="A130" s="948">
        <f>INDEX(Standardwerte!$AN$108:$AN$155,Justificatif!M16,1)</f>
        <v>0</v>
      </c>
      <c r="B130" s="947">
        <v>130</v>
      </c>
      <c r="C130" s="1614" t="s">
        <v>3578</v>
      </c>
    </row>
    <row r="131" spans="1:3">
      <c r="A131" s="948">
        <f>Justificatif!B20</f>
        <v>0</v>
      </c>
      <c r="B131" s="947">
        <v>131</v>
      </c>
      <c r="C131" s="939" t="s">
        <v>1125</v>
      </c>
    </row>
    <row r="132" spans="1:3">
      <c r="A132" s="948">
        <f>INDEX(Standardwerte!$AN$108:$AN$155,Justificatif!M20,1)</f>
        <v>0</v>
      </c>
      <c r="B132" s="947">
        <v>132</v>
      </c>
      <c r="C132" s="1614" t="s">
        <v>3577</v>
      </c>
    </row>
    <row r="133" spans="1:3">
      <c r="A133" s="952">
        <f>Justificatif!H8</f>
        <v>0</v>
      </c>
      <c r="B133" s="947">
        <v>133</v>
      </c>
      <c r="C133" s="939" t="s">
        <v>1126</v>
      </c>
    </row>
    <row r="134" spans="1:3">
      <c r="A134" s="952">
        <f>Justificatif!H12</f>
        <v>0</v>
      </c>
      <c r="B134" s="947">
        <v>134</v>
      </c>
      <c r="C134" s="939" t="s">
        <v>1127</v>
      </c>
    </row>
    <row r="135" spans="1:3">
      <c r="A135" s="952">
        <f>Justificatif!H16</f>
        <v>0</v>
      </c>
      <c r="B135" s="947">
        <v>135</v>
      </c>
      <c r="C135" s="939" t="s">
        <v>1128</v>
      </c>
    </row>
    <row r="136" spans="1:3">
      <c r="A136" s="952">
        <f>Justificatif!H20</f>
        <v>0</v>
      </c>
      <c r="B136" s="947">
        <v>136</v>
      </c>
      <c r="C136" s="939" t="s">
        <v>1129</v>
      </c>
    </row>
    <row r="137" spans="1:3">
      <c r="A137" s="948">
        <f>Justificatif!J8</f>
        <v>0</v>
      </c>
      <c r="B137" s="947">
        <v>137</v>
      </c>
      <c r="C137" s="939" t="s">
        <v>1130</v>
      </c>
    </row>
    <row r="138" spans="1:3">
      <c r="A138" s="948">
        <f>Justificatif!L8</f>
        <v>0</v>
      </c>
      <c r="B138" s="947">
        <v>138</v>
      </c>
      <c r="C138" s="939" t="s">
        <v>1131</v>
      </c>
    </row>
    <row r="139" spans="1:3">
      <c r="A139" s="948">
        <f>Justificatif!J12</f>
        <v>0</v>
      </c>
      <c r="B139" s="947">
        <v>139</v>
      </c>
      <c r="C139" s="939" t="s">
        <v>1132</v>
      </c>
    </row>
    <row r="140" spans="1:3">
      <c r="A140" s="948">
        <f>Justificatif!L12</f>
        <v>20</v>
      </c>
      <c r="B140" s="947">
        <v>140</v>
      </c>
      <c r="C140" s="939" t="s">
        <v>1133</v>
      </c>
    </row>
    <row r="141" spans="1:3">
      <c r="A141" s="948">
        <f>Justificatif!J16</f>
        <v>0</v>
      </c>
      <c r="B141" s="947">
        <v>141</v>
      </c>
      <c r="C141" s="939" t="s">
        <v>1134</v>
      </c>
    </row>
    <row r="142" spans="1:3">
      <c r="A142" s="948">
        <f>Justificatif!L16</f>
        <v>80</v>
      </c>
      <c r="B142" s="947">
        <v>142</v>
      </c>
      <c r="C142" s="939" t="s">
        <v>1135</v>
      </c>
    </row>
    <row r="143" spans="1:3">
      <c r="A143" s="948">
        <f>Justificatif!J20</f>
        <v>0</v>
      </c>
      <c r="B143" s="947">
        <v>143</v>
      </c>
      <c r="C143" s="939" t="s">
        <v>1136</v>
      </c>
    </row>
    <row r="144" spans="1:3">
      <c r="A144" s="948">
        <f>Justificatif!L20</f>
        <v>0</v>
      </c>
      <c r="B144" s="947">
        <v>144</v>
      </c>
      <c r="C144" s="939" t="s">
        <v>1137</v>
      </c>
    </row>
    <row r="145" spans="1:3">
      <c r="A145" s="948">
        <f>Justificatif!G9</f>
        <v>0</v>
      </c>
      <c r="B145" s="947">
        <v>145</v>
      </c>
      <c r="C145" s="939" t="s">
        <v>1138</v>
      </c>
    </row>
    <row r="146" spans="1:3">
      <c r="A146" s="948">
        <f>Justificatif!G10</f>
        <v>0</v>
      </c>
      <c r="B146" s="947">
        <v>146</v>
      </c>
      <c r="C146" s="939" t="s">
        <v>1139</v>
      </c>
    </row>
    <row r="147" spans="1:3">
      <c r="A147" s="948">
        <f>Justificatif!G13</f>
        <v>0</v>
      </c>
      <c r="B147" s="947">
        <v>147</v>
      </c>
      <c r="C147" s="939" t="s">
        <v>1140</v>
      </c>
    </row>
    <row r="148" spans="1:3">
      <c r="A148" s="948">
        <f>Justificatif!G14</f>
        <v>0</v>
      </c>
      <c r="B148" s="947">
        <v>148</v>
      </c>
      <c r="C148" s="939" t="s">
        <v>1141</v>
      </c>
    </row>
    <row r="149" spans="1:3">
      <c r="A149" s="948">
        <f>Justificatif!G17</f>
        <v>0</v>
      </c>
      <c r="B149" s="947">
        <v>149</v>
      </c>
      <c r="C149" s="939" t="s">
        <v>1142</v>
      </c>
    </row>
    <row r="150" spans="1:3">
      <c r="A150" s="948">
        <f>Justificatif!G18</f>
        <v>0</v>
      </c>
      <c r="B150" s="947">
        <v>150</v>
      </c>
      <c r="C150" s="939" t="s">
        <v>1143</v>
      </c>
    </row>
    <row r="151" spans="1:3">
      <c r="A151" s="948">
        <f>Justificatif!G21</f>
        <v>0</v>
      </c>
      <c r="B151" s="947">
        <v>151</v>
      </c>
      <c r="C151" s="939" t="s">
        <v>1144</v>
      </c>
    </row>
    <row r="152" spans="1:3">
      <c r="A152" s="948">
        <f>Justificatif!G22</f>
        <v>0</v>
      </c>
      <c r="B152" s="947">
        <v>152</v>
      </c>
      <c r="C152" s="939" t="s">
        <v>1145</v>
      </c>
    </row>
    <row r="153" spans="1:3">
      <c r="A153" s="948">
        <f>Justificatif!B24</f>
        <v>0</v>
      </c>
      <c r="B153" s="947">
        <v>153</v>
      </c>
      <c r="C153" s="939" t="s">
        <v>1970</v>
      </c>
    </row>
    <row r="154" spans="1:3">
      <c r="A154" s="948">
        <f>Justificatif!J24</f>
        <v>0</v>
      </c>
      <c r="B154" s="947">
        <v>154</v>
      </c>
      <c r="C154" s="939" t="s">
        <v>1149</v>
      </c>
    </row>
    <row r="155" spans="1:3">
      <c r="A155" s="948">
        <f>Justificatif!L24</f>
        <v>0</v>
      </c>
      <c r="B155" s="947">
        <v>155</v>
      </c>
      <c r="C155" s="939" t="s">
        <v>1150</v>
      </c>
    </row>
    <row r="156" spans="1:3">
      <c r="A156" s="948">
        <f>StrombedarfE</f>
        <v>0</v>
      </c>
      <c r="B156" s="947">
        <v>156</v>
      </c>
      <c r="C156" s="939" t="s">
        <v>1151</v>
      </c>
    </row>
    <row r="157" spans="1:3">
      <c r="A157" s="948">
        <f>EndenergieE</f>
        <v>0</v>
      </c>
      <c r="B157" s="947">
        <v>157</v>
      </c>
      <c r="C157" s="939" t="s">
        <v>1152</v>
      </c>
    </row>
    <row r="158" spans="1:3">
      <c r="A158" s="948" t="str">
        <f>Justificatif!B63</f>
        <v>x</v>
      </c>
      <c r="B158" s="947">
        <v>158</v>
      </c>
      <c r="C158" s="939" t="s">
        <v>1153</v>
      </c>
    </row>
    <row r="159" spans="1:3">
      <c r="A159" s="948" t="str">
        <f>Justificatif!B64</f>
        <v>x</v>
      </c>
      <c r="B159" s="947">
        <v>159</v>
      </c>
      <c r="C159" s="939" t="s">
        <v>1154</v>
      </c>
    </row>
    <row r="160" spans="1:3">
      <c r="A160" s="948">
        <f>Justificatif!G63</f>
        <v>0</v>
      </c>
      <c r="B160" s="947">
        <v>160</v>
      </c>
      <c r="C160" s="939" t="s">
        <v>1155</v>
      </c>
    </row>
    <row r="161" spans="1:7">
      <c r="A161" s="948">
        <f>Justificatif!H63</f>
        <v>0</v>
      </c>
      <c r="B161" s="947">
        <v>161</v>
      </c>
      <c r="C161" s="939" t="s">
        <v>1156</v>
      </c>
    </row>
    <row r="162" spans="1:7">
      <c r="A162" s="948">
        <f>Justificatif!G64</f>
        <v>0</v>
      </c>
      <c r="B162" s="947">
        <v>162</v>
      </c>
      <c r="C162" s="939" t="s">
        <v>1157</v>
      </c>
    </row>
    <row r="163" spans="1:7">
      <c r="A163" s="950">
        <f>Justificatif!H64</f>
        <v>0</v>
      </c>
      <c r="B163" s="1332">
        <v>163</v>
      </c>
      <c r="C163" s="1330" t="s">
        <v>1158</v>
      </c>
      <c r="D163" s="951"/>
      <c r="E163" s="951"/>
      <c r="F163" s="951"/>
      <c r="G163" s="951"/>
    </row>
    <row r="164" spans="1:7">
      <c r="A164" s="948">
        <f>WirkungsgradA</f>
        <v>0</v>
      </c>
      <c r="B164" s="947">
        <v>164</v>
      </c>
      <c r="C164" s="939" t="s">
        <v>1159</v>
      </c>
    </row>
    <row r="165" spans="1:7">
      <c r="A165" s="948">
        <f>WirkungsgradB</f>
        <v>0</v>
      </c>
      <c r="B165" s="947">
        <v>165</v>
      </c>
      <c r="C165" s="939" t="s">
        <v>1160</v>
      </c>
    </row>
    <row r="166" spans="1:7">
      <c r="A166" s="948">
        <f>WirkungsgradC</f>
        <v>0</v>
      </c>
      <c r="B166" s="947">
        <v>166</v>
      </c>
      <c r="C166" s="939" t="s">
        <v>1161</v>
      </c>
    </row>
    <row r="167" spans="1:7">
      <c r="A167" s="948">
        <f>WirkungsgradD</f>
        <v>0</v>
      </c>
      <c r="B167" s="947">
        <v>167</v>
      </c>
      <c r="C167" s="939" t="s">
        <v>1162</v>
      </c>
    </row>
    <row r="168" spans="1:7">
      <c r="A168" s="948">
        <f>Justificatif!G47</f>
        <v>0</v>
      </c>
      <c r="B168" s="947">
        <v>168</v>
      </c>
      <c r="C168" s="939" t="s">
        <v>1188</v>
      </c>
    </row>
    <row r="169" spans="1:7">
      <c r="A169" s="948">
        <f>Justificatif!G48</f>
        <v>0</v>
      </c>
      <c r="B169" s="947">
        <v>169</v>
      </c>
      <c r="C169" s="939" t="s">
        <v>1189</v>
      </c>
    </row>
    <row r="170" spans="1:7">
      <c r="A170" s="948">
        <f>Justificatif!G49</f>
        <v>0</v>
      </c>
      <c r="B170" s="947">
        <v>170</v>
      </c>
      <c r="C170" s="939" t="s">
        <v>1191</v>
      </c>
    </row>
    <row r="171" spans="1:7">
      <c r="A171" s="948">
        <f>Justificatif!G50</f>
        <v>0</v>
      </c>
      <c r="B171" s="947">
        <v>171</v>
      </c>
      <c r="C171" s="939" t="s">
        <v>1190</v>
      </c>
    </row>
    <row r="172" spans="1:7">
      <c r="A172" s="948" t="str">
        <f>Justificatif!G51</f>
        <v/>
      </c>
      <c r="B172" s="947">
        <v>172</v>
      </c>
      <c r="C172" s="939" t="s">
        <v>1192</v>
      </c>
    </row>
    <row r="173" spans="1:7">
      <c r="A173" s="948">
        <f>Justificatif!H47</f>
        <v>0</v>
      </c>
      <c r="B173" s="947">
        <v>173</v>
      </c>
      <c r="C173" s="939" t="s">
        <v>1193</v>
      </c>
    </row>
    <row r="174" spans="1:7">
      <c r="A174" s="948">
        <f>Justificatif!H48</f>
        <v>0</v>
      </c>
      <c r="B174" s="947">
        <v>174</v>
      </c>
      <c r="C174" s="939" t="s">
        <v>1195</v>
      </c>
    </row>
    <row r="175" spans="1:7">
      <c r="A175" s="948">
        <f>Justificatif!H49</f>
        <v>0</v>
      </c>
      <c r="B175" s="947">
        <v>175</v>
      </c>
      <c r="C175" s="939" t="s">
        <v>1196</v>
      </c>
    </row>
    <row r="176" spans="1:7">
      <c r="A176" s="948">
        <f>Justificatif!H50</f>
        <v>0</v>
      </c>
      <c r="B176" s="947">
        <v>176</v>
      </c>
      <c r="C176" s="939" t="s">
        <v>1194</v>
      </c>
    </row>
    <row r="177" spans="1:3">
      <c r="A177" s="948">
        <f>Justificatif!H51</f>
        <v>0</v>
      </c>
      <c r="B177" s="947">
        <v>177</v>
      </c>
      <c r="C177" s="939" t="s">
        <v>1197</v>
      </c>
    </row>
    <row r="178" spans="1:3">
      <c r="A178" s="948">
        <f>DeckungsgradHeizung</f>
        <v>0</v>
      </c>
      <c r="B178" s="947">
        <v>178</v>
      </c>
      <c r="C178" s="939" t="s">
        <v>1163</v>
      </c>
    </row>
    <row r="179" spans="1:3">
      <c r="A179" s="948">
        <f>DeckungsgradWW</f>
        <v>0</v>
      </c>
      <c r="B179" s="947">
        <v>179</v>
      </c>
      <c r="C179" s="939" t="s">
        <v>1164</v>
      </c>
    </row>
    <row r="180" spans="1:3">
      <c r="A180" s="948">
        <f>Justificatif!F47</f>
        <v>0</v>
      </c>
      <c r="B180" s="947">
        <v>180</v>
      </c>
      <c r="C180" s="939" t="s">
        <v>1198</v>
      </c>
    </row>
    <row r="181" spans="1:3">
      <c r="A181" s="948">
        <f>Justificatif!F48</f>
        <v>0</v>
      </c>
      <c r="B181" s="947">
        <v>181</v>
      </c>
      <c r="C181" s="939" t="s">
        <v>1199</v>
      </c>
    </row>
    <row r="182" spans="1:3">
      <c r="A182" s="948">
        <f>Justificatif!F49</f>
        <v>0</v>
      </c>
      <c r="B182" s="947">
        <v>182</v>
      </c>
      <c r="C182" s="939" t="s">
        <v>1200</v>
      </c>
    </row>
    <row r="183" spans="1:3">
      <c r="A183" s="948">
        <f>Justificatif!F50</f>
        <v>0</v>
      </c>
      <c r="B183" s="947">
        <v>183</v>
      </c>
      <c r="C183" s="939" t="s">
        <v>1201</v>
      </c>
    </row>
    <row r="184" spans="1:3">
      <c r="A184" s="948">
        <f>Justificatif!G34</f>
        <v>0</v>
      </c>
      <c r="B184" s="947">
        <v>184</v>
      </c>
      <c r="C184" s="1328" t="s">
        <v>1165</v>
      </c>
    </row>
    <row r="185" spans="1:3">
      <c r="A185" s="948">
        <f>Justificatif!H34</f>
        <v>0</v>
      </c>
      <c r="B185" s="947">
        <v>185</v>
      </c>
      <c r="C185" s="1328" t="s">
        <v>1166</v>
      </c>
    </row>
    <row r="186" spans="1:3">
      <c r="A186" s="948">
        <f>Justificatif!I34</f>
        <v>0</v>
      </c>
      <c r="B186" s="947">
        <v>186</v>
      </c>
      <c r="C186" s="1328" t="s">
        <v>1167</v>
      </c>
    </row>
    <row r="187" spans="1:3">
      <c r="A187" s="948">
        <f>Justificatif!J34</f>
        <v>0</v>
      </c>
      <c r="B187" s="947">
        <v>187</v>
      </c>
      <c r="C187" s="1328" t="s">
        <v>1168</v>
      </c>
    </row>
    <row r="188" spans="1:3">
      <c r="A188" s="948">
        <f>Justificatif!L34</f>
        <v>0</v>
      </c>
      <c r="B188" s="947">
        <v>188</v>
      </c>
      <c r="C188" s="1328" t="s">
        <v>1169</v>
      </c>
    </row>
    <row r="189" spans="1:3">
      <c r="A189" s="948">
        <f>_qw1</f>
        <v>0</v>
      </c>
      <c r="B189" s="947">
        <v>189</v>
      </c>
      <c r="C189" s="1328" t="s">
        <v>1170</v>
      </c>
    </row>
    <row r="190" spans="1:3">
      <c r="A190" s="948">
        <f>_qw2</f>
        <v>0</v>
      </c>
      <c r="B190" s="947">
        <v>190</v>
      </c>
      <c r="C190" s="1328" t="s">
        <v>1171</v>
      </c>
    </row>
    <row r="191" spans="1:3">
      <c r="A191" s="948">
        <f>_qw3</f>
        <v>0</v>
      </c>
      <c r="B191" s="947">
        <v>191</v>
      </c>
      <c r="C191" s="1328" t="s">
        <v>1172</v>
      </c>
    </row>
    <row r="192" spans="1:3">
      <c r="A192" s="948">
        <f>_qw4</f>
        <v>0</v>
      </c>
      <c r="B192" s="947">
        <v>192</v>
      </c>
      <c r="C192" s="1328" t="s">
        <v>1173</v>
      </c>
    </row>
    <row r="193" spans="1:3">
      <c r="A193" s="948">
        <f>qw</f>
        <v>0</v>
      </c>
      <c r="B193" s="947">
        <v>193</v>
      </c>
      <c r="C193" s="1328" t="s">
        <v>1174</v>
      </c>
    </row>
    <row r="194" spans="1:3">
      <c r="A194" s="953">
        <f>Justificatif!G39</f>
        <v>0</v>
      </c>
      <c r="B194" s="947">
        <v>194</v>
      </c>
      <c r="C194" s="1328" t="s">
        <v>1175</v>
      </c>
    </row>
    <row r="195" spans="1:3">
      <c r="A195" s="953">
        <f>Justificatif!H39</f>
        <v>0</v>
      </c>
      <c r="B195" s="947">
        <v>195</v>
      </c>
      <c r="C195" s="1328" t="s">
        <v>1176</v>
      </c>
    </row>
    <row r="196" spans="1:3">
      <c r="A196" s="953">
        <f>Justificatif!I39</f>
        <v>0</v>
      </c>
      <c r="B196" s="947">
        <v>196</v>
      </c>
      <c r="C196" s="1328" t="s">
        <v>1177</v>
      </c>
    </row>
    <row r="197" spans="1:3">
      <c r="A197" s="953">
        <f>Justificatif!J39</f>
        <v>0</v>
      </c>
      <c r="B197" s="947">
        <v>197</v>
      </c>
      <c r="C197" s="1328" t="s">
        <v>1178</v>
      </c>
    </row>
    <row r="198" spans="1:3">
      <c r="A198" s="953">
        <f>Justificatif!L39</f>
        <v>0</v>
      </c>
      <c r="B198" s="947">
        <v>198</v>
      </c>
      <c r="C198" s="1328" t="s">
        <v>1179</v>
      </c>
    </row>
    <row r="199" spans="1:3">
      <c r="A199" s="948">
        <f>Justificatif!G40</f>
        <v>0</v>
      </c>
      <c r="B199" s="947">
        <v>199</v>
      </c>
      <c r="C199" s="1328" t="s">
        <v>1181</v>
      </c>
    </row>
    <row r="200" spans="1:3">
      <c r="A200" s="948">
        <f>Justificatif!H40</f>
        <v>0</v>
      </c>
      <c r="B200" s="947">
        <v>200</v>
      </c>
      <c r="C200" s="1328" t="s">
        <v>1182</v>
      </c>
    </row>
    <row r="201" spans="1:3">
      <c r="A201" s="948">
        <f>Justificatif!I40</f>
        <v>0</v>
      </c>
      <c r="B201" s="947">
        <v>201</v>
      </c>
      <c r="C201" s="1328" t="s">
        <v>1183</v>
      </c>
    </row>
    <row r="202" spans="1:3">
      <c r="A202" s="948">
        <f>Justificatif!J40</f>
        <v>0</v>
      </c>
      <c r="B202" s="947">
        <v>202</v>
      </c>
      <c r="C202" s="1328" t="s">
        <v>1184</v>
      </c>
    </row>
    <row r="203" spans="1:3">
      <c r="A203" s="948">
        <f>Justificatif!L40</f>
        <v>0</v>
      </c>
      <c r="B203" s="947">
        <v>203</v>
      </c>
      <c r="C203" s="1328" t="s">
        <v>1185</v>
      </c>
    </row>
    <row r="204" spans="1:3">
      <c r="A204" s="948">
        <f>Justificatif!G43</f>
        <v>0</v>
      </c>
      <c r="B204" s="947">
        <v>204</v>
      </c>
      <c r="C204" s="1328" t="s">
        <v>1971</v>
      </c>
    </row>
    <row r="205" spans="1:3">
      <c r="A205" s="948">
        <f>Justificatif!H43</f>
        <v>0</v>
      </c>
      <c r="B205" s="947">
        <v>205</v>
      </c>
      <c r="C205" s="1328" t="s">
        <v>1972</v>
      </c>
    </row>
    <row r="206" spans="1:3">
      <c r="A206" s="948">
        <f>Justificatif!I43</f>
        <v>0</v>
      </c>
      <c r="B206" s="947">
        <v>206</v>
      </c>
      <c r="C206" s="1328" t="s">
        <v>1973</v>
      </c>
    </row>
    <row r="207" spans="1:3">
      <c r="A207" s="948">
        <f>Justificatif!J43</f>
        <v>0</v>
      </c>
      <c r="B207" s="947">
        <v>207</v>
      </c>
      <c r="C207" s="1328" t="s">
        <v>1974</v>
      </c>
    </row>
    <row r="208" spans="1:3">
      <c r="A208" s="948">
        <f>Justificatif!L43</f>
        <v>0</v>
      </c>
      <c r="B208" s="947">
        <v>208</v>
      </c>
      <c r="C208" s="1328" t="s">
        <v>1186</v>
      </c>
    </row>
    <row r="209" spans="1:8">
      <c r="A209" s="948">
        <f>Justificatif!G58</f>
        <v>0</v>
      </c>
      <c r="B209" s="947">
        <v>209</v>
      </c>
      <c r="C209" s="1328" t="s">
        <v>1977</v>
      </c>
    </row>
    <row r="210" spans="1:8">
      <c r="A210" s="948">
        <f>MINERGIE_Wert</f>
        <v>0</v>
      </c>
      <c r="B210" s="947">
        <v>210</v>
      </c>
      <c r="C210" s="1328" t="s">
        <v>1978</v>
      </c>
    </row>
    <row r="211" spans="1:8">
      <c r="A211" s="948" t="str">
        <f>Justificatif!L58</f>
        <v/>
      </c>
      <c r="B211" s="947">
        <v>211</v>
      </c>
      <c r="C211" s="1328" t="s">
        <v>1975</v>
      </c>
    </row>
    <row r="212" spans="1:8">
      <c r="A212" s="948">
        <f>IF(A211="",0,IF(A211=0,1,VLOOKUP(A211,MINERGIE!$N$11:$P$13,3,FALSE))-1)</f>
        <v>0</v>
      </c>
      <c r="B212" s="947">
        <v>212</v>
      </c>
      <c r="C212" s="1328" t="s">
        <v>2117</v>
      </c>
    </row>
    <row r="213" spans="1:8">
      <c r="A213" s="948">
        <f>Justificatif!L60</f>
        <v>0</v>
      </c>
      <c r="B213" s="947">
        <v>213</v>
      </c>
      <c r="C213" s="1328" t="s">
        <v>1202</v>
      </c>
    </row>
    <row r="214" spans="1:8">
      <c r="A214" s="948">
        <f>IF(A213=0,1,VLOOKUP(A213,MINERGIE!$N$11:$P$13,3,FALSE))-1</f>
        <v>0</v>
      </c>
      <c r="B214" s="947">
        <v>214</v>
      </c>
      <c r="C214" s="1331" t="s">
        <v>2118</v>
      </c>
      <c r="D214" s="1324"/>
      <c r="E214" s="1324"/>
      <c r="F214" s="1324"/>
      <c r="G214" s="1324"/>
    </row>
    <row r="215" spans="1:8">
      <c r="A215" s="948">
        <f>Justificatif!G59</f>
        <v>0</v>
      </c>
      <c r="B215" s="947">
        <v>215</v>
      </c>
      <c r="C215" s="1328" t="s">
        <v>1979</v>
      </c>
    </row>
    <row r="216" spans="1:8">
      <c r="A216" s="948">
        <f>Justificatif!I59</f>
        <v>0</v>
      </c>
      <c r="B216" s="947">
        <v>216</v>
      </c>
      <c r="C216" s="1328" t="s">
        <v>1980</v>
      </c>
    </row>
    <row r="217" spans="1:8">
      <c r="A217" s="948" t="str">
        <f>Justificatif!L59</f>
        <v/>
      </c>
      <c r="B217" s="947">
        <v>217</v>
      </c>
      <c r="C217" s="1328" t="s">
        <v>1981</v>
      </c>
    </row>
    <row r="218" spans="1:8">
      <c r="A218" s="948">
        <f>IF(A217="",0,IF(A217=0,1,VLOOKUP(A217,MINERGIE!$N$11:$P$13,3,FALSE))-1)</f>
        <v>0</v>
      </c>
      <c r="B218" s="947">
        <v>218</v>
      </c>
      <c r="C218" s="1328" t="s">
        <v>2119</v>
      </c>
    </row>
    <row r="219" spans="1:8">
      <c r="A219" s="948">
        <f>Justificatif!G44</f>
        <v>0</v>
      </c>
      <c r="B219" s="947">
        <v>219</v>
      </c>
      <c r="C219" s="1328" t="s">
        <v>1982</v>
      </c>
    </row>
    <row r="220" spans="1:8">
      <c r="A220" s="948">
        <f>Justificatif!H44</f>
        <v>0</v>
      </c>
      <c r="B220" s="947">
        <v>220</v>
      </c>
      <c r="C220" s="1328" t="s">
        <v>1983</v>
      </c>
    </row>
    <row r="221" spans="1:8">
      <c r="A221" s="948">
        <f>Justificatif!I44</f>
        <v>0</v>
      </c>
      <c r="B221" s="947">
        <v>221</v>
      </c>
      <c r="C221" s="1328" t="s">
        <v>1984</v>
      </c>
    </row>
    <row r="222" spans="1:8">
      <c r="A222" s="950">
        <f>Justificatif!J44</f>
        <v>0</v>
      </c>
      <c r="B222" s="1332">
        <v>222</v>
      </c>
      <c r="C222" s="1329" t="s">
        <v>1985</v>
      </c>
      <c r="D222" s="951"/>
      <c r="E222" s="951"/>
      <c r="F222" s="951"/>
      <c r="G222" s="951"/>
      <c r="H222" s="951"/>
    </row>
    <row r="223" spans="1:8">
      <c r="A223" s="948">
        <f>MINERGIE!F19</f>
        <v>0</v>
      </c>
      <c r="B223" s="947">
        <v>223</v>
      </c>
      <c r="C223" s="939" t="s">
        <v>1986</v>
      </c>
    </row>
    <row r="224" spans="1:8">
      <c r="A224" s="948">
        <f>IF(A223=0,1,VLOOKUP(A223,MINERGIE!$N$11:$P$13,3,FALSE))-1</f>
        <v>0</v>
      </c>
      <c r="B224" s="947">
        <v>224</v>
      </c>
      <c r="C224" s="939" t="s">
        <v>2120</v>
      </c>
    </row>
    <row r="225" spans="1:3">
      <c r="A225" s="948">
        <f>MINERGIE!G19</f>
        <v>0</v>
      </c>
      <c r="B225" s="947">
        <v>225</v>
      </c>
      <c r="C225" s="939" t="s">
        <v>1987</v>
      </c>
    </row>
    <row r="226" spans="1:3">
      <c r="A226" s="948">
        <f>IF(A225=0,1,VLOOKUP(A225,MINERGIE!$N$11:$P$13,3,FALSE))-1</f>
        <v>0</v>
      </c>
      <c r="B226" s="947">
        <v>226</v>
      </c>
      <c r="C226" s="939" t="s">
        <v>2123</v>
      </c>
    </row>
    <row r="227" spans="1:3">
      <c r="A227" s="948">
        <f>MINERGIE!H19</f>
        <v>0</v>
      </c>
      <c r="B227" s="947">
        <v>227</v>
      </c>
      <c r="C227" s="939" t="s">
        <v>1988</v>
      </c>
    </row>
    <row r="228" spans="1:3">
      <c r="A228" s="948">
        <f>IF(A227=0,1,VLOOKUP(A227,MINERGIE!$N$11:$P$13,3,FALSE))-1</f>
        <v>0</v>
      </c>
      <c r="B228" s="947">
        <v>228</v>
      </c>
      <c r="C228" s="939" t="s">
        <v>2122</v>
      </c>
    </row>
    <row r="229" spans="1:3">
      <c r="A229" s="948">
        <f>MINERGIE!I19</f>
        <v>0</v>
      </c>
      <c r="B229" s="947">
        <v>229</v>
      </c>
      <c r="C229" s="939" t="s">
        <v>1989</v>
      </c>
    </row>
    <row r="230" spans="1:3">
      <c r="A230" s="948">
        <f>IF(A229=0,1,VLOOKUP(A229,MINERGIE!$N$11:$P$13,3,FALSE))-1</f>
        <v>0</v>
      </c>
      <c r="B230" s="947">
        <v>230</v>
      </c>
      <c r="C230" s="939" t="s">
        <v>2121</v>
      </c>
    </row>
    <row r="231" spans="1:3">
      <c r="B231" s="947">
        <v>231</v>
      </c>
      <c r="C231" s="939"/>
    </row>
    <row r="232" spans="1:3">
      <c r="B232" s="947">
        <v>232</v>
      </c>
      <c r="C232" s="939"/>
    </row>
    <row r="233" spans="1:3">
      <c r="B233" s="947">
        <v>233</v>
      </c>
      <c r="C233" s="939"/>
    </row>
    <row r="234" spans="1:3">
      <c r="B234" s="947">
        <v>234</v>
      </c>
      <c r="C234" s="939"/>
    </row>
    <row r="235" spans="1:3">
      <c r="B235" s="947">
        <v>235</v>
      </c>
      <c r="C235" s="939"/>
    </row>
    <row r="236" spans="1:3">
      <c r="B236" s="947">
        <v>236</v>
      </c>
      <c r="C236" s="939"/>
    </row>
    <row r="237" spans="1:3">
      <c r="B237" s="947">
        <v>237</v>
      </c>
      <c r="C237" s="939"/>
    </row>
    <row r="238" spans="1:3">
      <c r="B238" s="947">
        <v>238</v>
      </c>
      <c r="C238" s="939"/>
    </row>
    <row r="239" spans="1:3">
      <c r="A239" s="948">
        <f>MINERGIE!O25</f>
        <v>0</v>
      </c>
      <c r="B239" s="947">
        <v>239</v>
      </c>
      <c r="C239" s="939" t="s">
        <v>1990</v>
      </c>
    </row>
    <row r="240" spans="1:3">
      <c r="A240" s="948">
        <f>MINERGIE!P25</f>
        <v>0</v>
      </c>
      <c r="B240" s="947">
        <v>240</v>
      </c>
      <c r="C240" s="939" t="s">
        <v>1992</v>
      </c>
    </row>
    <row r="241" spans="1:3">
      <c r="A241" s="948">
        <f>MINERGIE!Q25</f>
        <v>0</v>
      </c>
      <c r="B241" s="947">
        <v>241</v>
      </c>
      <c r="C241" s="939" t="s">
        <v>1993</v>
      </c>
    </row>
    <row r="242" spans="1:3">
      <c r="A242" s="948">
        <f>MINERGIE!R25</f>
        <v>0</v>
      </c>
      <c r="B242" s="947">
        <v>242</v>
      </c>
      <c r="C242" s="939" t="s">
        <v>1991</v>
      </c>
    </row>
    <row r="243" spans="1:3">
      <c r="A243" s="948">
        <f>MINERGIE!F33</f>
        <v>0</v>
      </c>
      <c r="B243" s="947">
        <v>243</v>
      </c>
      <c r="C243" s="939" t="s">
        <v>1995</v>
      </c>
    </row>
    <row r="244" spans="1:3">
      <c r="A244" s="948">
        <f>IF(A243=0,1,VLOOKUP(A243,MINERGIE!$N$11:$P$13,3,FALSE))-1</f>
        <v>0</v>
      </c>
      <c r="B244" s="947">
        <v>244</v>
      </c>
      <c r="C244" s="939" t="s">
        <v>2124</v>
      </c>
    </row>
    <row r="245" spans="1:3">
      <c r="A245" s="948">
        <f>MINERGIE!G33</f>
        <v>0</v>
      </c>
      <c r="B245" s="947">
        <v>245</v>
      </c>
      <c r="C245" s="939" t="s">
        <v>1997</v>
      </c>
    </row>
    <row r="246" spans="1:3">
      <c r="A246" s="948">
        <f>IF(A245=0,1,VLOOKUP(A245,MINERGIE!$N$11:$P$13,3,FALSE))-1</f>
        <v>0</v>
      </c>
      <c r="B246" s="947">
        <v>246</v>
      </c>
      <c r="C246" s="939" t="s">
        <v>2125</v>
      </c>
    </row>
    <row r="247" spans="1:3">
      <c r="A247" s="948">
        <f>MINERGIE!H33</f>
        <v>0</v>
      </c>
      <c r="B247" s="947">
        <v>247</v>
      </c>
      <c r="C247" s="939" t="s">
        <v>1998</v>
      </c>
    </row>
    <row r="248" spans="1:3">
      <c r="A248" s="948">
        <f>IF(A247=0,1,VLOOKUP(A247,MINERGIE!$N$11:$P$13,3,FALSE))-1</f>
        <v>0</v>
      </c>
      <c r="B248" s="947">
        <v>248</v>
      </c>
      <c r="C248" s="939" t="s">
        <v>2126</v>
      </c>
    </row>
    <row r="249" spans="1:3">
      <c r="A249" s="948">
        <f>MINERGIE!I33</f>
        <v>0</v>
      </c>
      <c r="B249" s="947">
        <v>249</v>
      </c>
      <c r="C249" s="939" t="s">
        <v>1996</v>
      </c>
    </row>
    <row r="250" spans="1:3">
      <c r="A250" s="948">
        <f>IF(A249=0,1,VLOOKUP(A249,MINERGIE!$N$11:$P$13,3,FALSE))-1</f>
        <v>0</v>
      </c>
      <c r="B250" s="947">
        <v>250</v>
      </c>
      <c r="C250" s="939" t="s">
        <v>2127</v>
      </c>
    </row>
    <row r="251" spans="1:3">
      <c r="A251" s="948">
        <f>MINERGIE!F34</f>
        <v>0</v>
      </c>
      <c r="B251" s="947">
        <v>251</v>
      </c>
      <c r="C251" s="1328" t="s">
        <v>3961</v>
      </c>
    </row>
    <row r="252" spans="1:3">
      <c r="A252" s="948">
        <f>IF(A251=0,1,VLOOKUP(A251,MINERGIE!$N$11:$P$13,3,FALSE))-1</f>
        <v>0</v>
      </c>
      <c r="B252" s="947">
        <v>252</v>
      </c>
      <c r="C252" s="1328" t="s">
        <v>3962</v>
      </c>
    </row>
    <row r="253" spans="1:3">
      <c r="A253" s="948">
        <f>MINERGIE!G34</f>
        <v>0</v>
      </c>
      <c r="B253" s="947">
        <v>253</v>
      </c>
      <c r="C253" s="1328" t="s">
        <v>3963</v>
      </c>
    </row>
    <row r="254" spans="1:3">
      <c r="A254" s="948">
        <f>IF(A253=0,1,VLOOKUP(A253,MINERGIE!$N$11:$P$13,3,FALSE))-1</f>
        <v>0</v>
      </c>
      <c r="B254" s="947">
        <v>254</v>
      </c>
      <c r="C254" s="1328" t="s">
        <v>3964</v>
      </c>
    </row>
    <row r="255" spans="1:3">
      <c r="A255" s="948">
        <f>MINERGIE!H34</f>
        <v>0</v>
      </c>
      <c r="B255" s="947">
        <v>255</v>
      </c>
      <c r="C255" s="1328" t="s">
        <v>3965</v>
      </c>
    </row>
    <row r="256" spans="1:3">
      <c r="A256" s="948">
        <f>IF(A255=0,1,VLOOKUP(A255,MINERGIE!$N$11:$P$13,3,FALSE))-1</f>
        <v>0</v>
      </c>
      <c r="B256" s="947">
        <v>256</v>
      </c>
      <c r="C256" s="1328" t="s">
        <v>3966</v>
      </c>
    </row>
    <row r="257" spans="1:4">
      <c r="A257" s="948">
        <f>MINERGIE!I34</f>
        <v>0</v>
      </c>
      <c r="B257" s="947">
        <v>257</v>
      </c>
      <c r="C257" s="1328" t="s">
        <v>3967</v>
      </c>
    </row>
    <row r="258" spans="1:4">
      <c r="A258" s="948">
        <f>IF(A257=0,1,VLOOKUP(A257,MINERGIE!$N$11:$P$13,3,FALSE))-1</f>
        <v>0</v>
      </c>
      <c r="B258" s="947">
        <v>258</v>
      </c>
      <c r="C258" s="1328" t="s">
        <v>3968</v>
      </c>
    </row>
    <row r="259" spans="1:4">
      <c r="A259" s="948">
        <f>MINERGIE!F35</f>
        <v>0</v>
      </c>
      <c r="B259" s="947">
        <v>259</v>
      </c>
      <c r="C259" s="1328" t="s">
        <v>3969</v>
      </c>
    </row>
    <row r="260" spans="1:4">
      <c r="A260" s="948">
        <f>IF(A259=0,1,VLOOKUP(A259,MINERGIE!$N$11:$P$13,3,FALSE))-1</f>
        <v>0</v>
      </c>
      <c r="B260" s="947">
        <v>260</v>
      </c>
      <c r="C260" s="1328" t="s">
        <v>3970</v>
      </c>
      <c r="D260" s="1323"/>
    </row>
    <row r="261" spans="1:4">
      <c r="A261" s="948">
        <f>MINERGIE!G35</f>
        <v>0</v>
      </c>
      <c r="B261" s="947">
        <v>261</v>
      </c>
      <c r="C261" s="1328" t="s">
        <v>3971</v>
      </c>
    </row>
    <row r="262" spans="1:4">
      <c r="A262" s="948">
        <f>IF(A261=0,1,VLOOKUP(A261,MINERGIE!$N$11:$P$13,3,FALSE))-1</f>
        <v>0</v>
      </c>
      <c r="B262" s="947">
        <v>262</v>
      </c>
      <c r="C262" s="1328" t="s">
        <v>3972</v>
      </c>
    </row>
    <row r="263" spans="1:4">
      <c r="A263" s="948">
        <f>MINERGIE!H35</f>
        <v>0</v>
      </c>
      <c r="B263" s="947">
        <v>263</v>
      </c>
      <c r="C263" s="1328" t="s">
        <v>3973</v>
      </c>
    </row>
    <row r="264" spans="1:4">
      <c r="A264" s="948">
        <f>IF(A263=0,1,VLOOKUP(A263,MINERGIE!$N$11:$P$13,3,FALSE))-1</f>
        <v>0</v>
      </c>
      <c r="B264" s="947">
        <v>264</v>
      </c>
      <c r="C264" s="1328" t="s">
        <v>3974</v>
      </c>
    </row>
    <row r="265" spans="1:4">
      <c r="A265" s="947">
        <f>MINERGIE!I35</f>
        <v>0</v>
      </c>
      <c r="B265" s="947">
        <v>265</v>
      </c>
      <c r="C265" s="1328" t="s">
        <v>3975</v>
      </c>
    </row>
    <row r="266" spans="1:4">
      <c r="A266" s="948">
        <f>IF(A265=0,1,VLOOKUP(A265,MINERGIE!$N$11:$P$13,3,FALSE))-1</f>
        <v>0</v>
      </c>
      <c r="B266" s="947">
        <v>266</v>
      </c>
      <c r="C266" s="1328" t="s">
        <v>3976</v>
      </c>
    </row>
    <row r="267" spans="1:4">
      <c r="A267" s="948">
        <f>MINERGIE!F37</f>
        <v>0</v>
      </c>
      <c r="B267" s="947">
        <v>267</v>
      </c>
      <c r="C267" s="1328" t="s">
        <v>3977</v>
      </c>
    </row>
    <row r="268" spans="1:4">
      <c r="A268" s="948">
        <f>IF(A267=0,1,VLOOKUP(A267,MINERGIE!$N$11:$P$13,3,FALSE))-1</f>
        <v>0</v>
      </c>
      <c r="B268" s="947">
        <v>268</v>
      </c>
      <c r="C268" s="1328" t="s">
        <v>3978</v>
      </c>
    </row>
    <row r="269" spans="1:4">
      <c r="A269" s="948">
        <f>MINERGIE!G37</f>
        <v>0</v>
      </c>
      <c r="B269" s="947">
        <v>269</v>
      </c>
      <c r="C269" s="1328" t="s">
        <v>3979</v>
      </c>
    </row>
    <row r="270" spans="1:4">
      <c r="A270" s="948">
        <f>IF(A269=0,1,VLOOKUP(A269,MINERGIE!$N$11:$P$13,3,FALSE))-1</f>
        <v>0</v>
      </c>
      <c r="B270" s="947">
        <v>270</v>
      </c>
      <c r="C270" s="1328" t="s">
        <v>3980</v>
      </c>
    </row>
    <row r="271" spans="1:4">
      <c r="A271" s="948">
        <f>MINERGIE!H37</f>
        <v>0</v>
      </c>
      <c r="B271" s="947">
        <v>271</v>
      </c>
      <c r="C271" s="1328" t="s">
        <v>3981</v>
      </c>
    </row>
    <row r="272" spans="1:4">
      <c r="A272" s="948">
        <f>IF(A271=0,1,VLOOKUP(A271,MINERGIE!$N$11:$P$13,3,FALSE))-1</f>
        <v>0</v>
      </c>
      <c r="B272" s="947">
        <v>272</v>
      </c>
      <c r="C272" s="1328" t="s">
        <v>3982</v>
      </c>
    </row>
    <row r="273" spans="1:4">
      <c r="A273" s="947">
        <f>MINERGIE!I37</f>
        <v>0</v>
      </c>
      <c r="B273" s="947">
        <v>273</v>
      </c>
      <c r="C273" s="1328" t="s">
        <v>3983</v>
      </c>
    </row>
    <row r="274" spans="1:4">
      <c r="A274" s="948">
        <f>IF(A273=0,1,VLOOKUP(A273,MINERGIE!$N$11:$P$13,3,FALSE))-1</f>
        <v>0</v>
      </c>
      <c r="B274" s="947">
        <v>274</v>
      </c>
      <c r="C274" s="1328" t="s">
        <v>3984</v>
      </c>
    </row>
    <row r="275" spans="1:4">
      <c r="A275" s="948">
        <f>MINERGIE!F38</f>
        <v>0</v>
      </c>
      <c r="B275" s="947">
        <v>275</v>
      </c>
      <c r="C275" s="1328" t="s">
        <v>1999</v>
      </c>
      <c r="D275" s="1323"/>
    </row>
    <row r="276" spans="1:4">
      <c r="A276" s="948">
        <f>IF(A275=0,1,VLOOKUP(A275,MINERGIE!$N$11:$P$13,3,FALSE))-1</f>
        <v>0</v>
      </c>
      <c r="B276" s="947">
        <v>276</v>
      </c>
      <c r="C276" s="1328" t="s">
        <v>2128</v>
      </c>
    </row>
    <row r="277" spans="1:4">
      <c r="A277" s="948">
        <f>MINERGIE!G38</f>
        <v>0</v>
      </c>
      <c r="B277" s="947">
        <v>277</v>
      </c>
      <c r="C277" s="1328" t="s">
        <v>2000</v>
      </c>
    </row>
    <row r="278" spans="1:4">
      <c r="A278" s="948">
        <f>IF(A277=0,1,VLOOKUP(A277,MINERGIE!$N$11:$P$13,3,FALSE))-1</f>
        <v>0</v>
      </c>
      <c r="B278" s="947">
        <v>278</v>
      </c>
      <c r="C278" s="1328" t="s">
        <v>2129</v>
      </c>
    </row>
    <row r="279" spans="1:4">
      <c r="A279" s="948">
        <f>MINERGIE!H38</f>
        <v>0</v>
      </c>
      <c r="B279" s="947">
        <v>279</v>
      </c>
      <c r="C279" s="1328" t="s">
        <v>2001</v>
      </c>
    </row>
    <row r="280" spans="1:4">
      <c r="A280" s="948">
        <f>IF(A279=0,1,VLOOKUP(A279,MINERGIE!$N$11:$P$13,3,FALSE))-1</f>
        <v>0</v>
      </c>
      <c r="B280" s="947">
        <v>280</v>
      </c>
      <c r="C280" s="1328" t="s">
        <v>2130</v>
      </c>
    </row>
    <row r="281" spans="1:4">
      <c r="A281" s="948">
        <f>MINERGIE!I38</f>
        <v>0</v>
      </c>
      <c r="B281" s="947">
        <v>281</v>
      </c>
      <c r="C281" s="1328" t="s">
        <v>2002</v>
      </c>
    </row>
    <row r="282" spans="1:4">
      <c r="A282" s="948">
        <f>IF(A281=0,1,VLOOKUP(A281,MINERGIE!$N$11:$P$13,3,FALSE))-1</f>
        <v>0</v>
      </c>
      <c r="B282" s="947">
        <v>282</v>
      </c>
      <c r="C282" s="1328" t="s">
        <v>2131</v>
      </c>
    </row>
    <row r="283" spans="1:4">
      <c r="A283" s="948">
        <f>MINERGIE!F39</f>
        <v>0</v>
      </c>
      <c r="B283" s="947">
        <v>283</v>
      </c>
      <c r="C283" s="1328" t="s">
        <v>2003</v>
      </c>
    </row>
    <row r="284" spans="1:4">
      <c r="A284" s="948">
        <f>IF(A283=0,1,VLOOKUP(A283,MINERGIE!$N$11:$P$13,3,FALSE))-1</f>
        <v>0</v>
      </c>
      <c r="B284" s="947">
        <v>284</v>
      </c>
      <c r="C284" s="1328" t="s">
        <v>2132</v>
      </c>
    </row>
    <row r="285" spans="1:4">
      <c r="A285" s="948">
        <f>MINERGIE!G39</f>
        <v>0</v>
      </c>
      <c r="B285" s="947">
        <v>285</v>
      </c>
      <c r="C285" s="1328" t="s">
        <v>2004</v>
      </c>
    </row>
    <row r="286" spans="1:4">
      <c r="A286" s="948">
        <f>IF(A285=0,1,VLOOKUP(A285,MINERGIE!$N$11:$P$13,3,FALSE))-1</f>
        <v>0</v>
      </c>
      <c r="B286" s="947">
        <v>286</v>
      </c>
      <c r="C286" s="1328" t="s">
        <v>2133</v>
      </c>
    </row>
    <row r="287" spans="1:4">
      <c r="A287" s="948">
        <f>MINERGIE!H39</f>
        <v>0</v>
      </c>
      <c r="B287" s="947">
        <v>287</v>
      </c>
      <c r="C287" s="1328" t="s">
        <v>2005</v>
      </c>
    </row>
    <row r="288" spans="1:4">
      <c r="A288" s="948">
        <f>IF(A287=0,1,VLOOKUP(A287,MINERGIE!$N$11:$P$13,3,FALSE))-1</f>
        <v>0</v>
      </c>
      <c r="B288" s="947">
        <v>288</v>
      </c>
      <c r="C288" s="1328" t="s">
        <v>2134</v>
      </c>
    </row>
    <row r="289" spans="1:5">
      <c r="A289" s="948">
        <f>MINERGIE!I39</f>
        <v>0</v>
      </c>
      <c r="B289" s="947">
        <v>289</v>
      </c>
      <c r="C289" s="1328" t="s">
        <v>2006</v>
      </c>
    </row>
    <row r="290" spans="1:5">
      <c r="A290" s="948">
        <f>IF(A289=0,1,VLOOKUP(A289,MINERGIE!$N$11:$P$13,3,FALSE))-1</f>
        <v>0</v>
      </c>
      <c r="B290" s="947">
        <v>290</v>
      </c>
      <c r="C290" s="1328" t="s">
        <v>2135</v>
      </c>
    </row>
    <row r="291" spans="1:5">
      <c r="B291" s="947">
        <v>291</v>
      </c>
      <c r="D291" s="1323"/>
    </row>
    <row r="292" spans="1:5">
      <c r="B292" s="947">
        <v>292</v>
      </c>
      <c r="D292" s="1323"/>
      <c r="E292" s="1323"/>
    </row>
    <row r="293" spans="1:5">
      <c r="B293" s="947">
        <v>293</v>
      </c>
    </row>
    <row r="294" spans="1:5">
      <c r="B294" s="947">
        <v>294</v>
      </c>
    </row>
    <row r="295" spans="1:5">
      <c r="B295" s="947">
        <v>295</v>
      </c>
    </row>
    <row r="296" spans="1:5">
      <c r="B296" s="947">
        <v>296</v>
      </c>
    </row>
    <row r="297" spans="1:5">
      <c r="B297" s="947">
        <v>297</v>
      </c>
    </row>
    <row r="298" spans="1:5">
      <c r="B298" s="947">
        <v>298</v>
      </c>
    </row>
    <row r="299" spans="1:5">
      <c r="A299" s="948">
        <f>MINERGIE!F40</f>
        <v>0</v>
      </c>
      <c r="B299" s="947">
        <v>299</v>
      </c>
      <c r="C299" s="1328" t="s">
        <v>3775</v>
      </c>
      <c r="D299" s="1323"/>
    </row>
    <row r="300" spans="1:5">
      <c r="A300" s="948">
        <f>IF(A299=0,1,VLOOKUP(A299,MINERGIE!$N$11:$P$13,3,FALSE))-1</f>
        <v>0</v>
      </c>
      <c r="B300" s="947">
        <v>300</v>
      </c>
      <c r="C300" s="1328" t="s">
        <v>3776</v>
      </c>
    </row>
    <row r="301" spans="1:5">
      <c r="A301" s="948">
        <f>MINERGIE!G40</f>
        <v>0</v>
      </c>
      <c r="B301" s="947">
        <v>301</v>
      </c>
      <c r="C301" s="1328" t="s">
        <v>3777</v>
      </c>
    </row>
    <row r="302" spans="1:5">
      <c r="A302" s="948">
        <f>IF(A301=0,1,VLOOKUP(A301,MINERGIE!$N$11:$P$13,3,FALSE))-1</f>
        <v>0</v>
      </c>
      <c r="B302" s="947">
        <v>302</v>
      </c>
      <c r="C302" s="1328" t="s">
        <v>3778</v>
      </c>
    </row>
    <row r="303" spans="1:5">
      <c r="A303" s="948">
        <f>MINERGIE!H40</f>
        <v>0</v>
      </c>
      <c r="B303" s="947">
        <v>303</v>
      </c>
      <c r="C303" s="1328" t="s">
        <v>3779</v>
      </c>
    </row>
    <row r="304" spans="1:5">
      <c r="A304" s="948">
        <f>IF(A303=0,1,VLOOKUP(A303,MINERGIE!$N$11:$P$13,3,FALSE))-1</f>
        <v>0</v>
      </c>
      <c r="B304" s="947">
        <v>304</v>
      </c>
      <c r="C304" s="1328" t="s">
        <v>3780</v>
      </c>
    </row>
    <row r="305" spans="1:5">
      <c r="A305" s="948">
        <f>MINERGIE!I40</f>
        <v>0</v>
      </c>
      <c r="B305" s="947">
        <v>305</v>
      </c>
      <c r="C305" s="1328" t="s">
        <v>3781</v>
      </c>
    </row>
    <row r="306" spans="1:5">
      <c r="A306" s="948">
        <f>IF(A305=0,1,VLOOKUP(A305,MINERGIE!$N$11:$P$13,3,FALSE))-1</f>
        <v>0</v>
      </c>
      <c r="B306" s="947">
        <v>306</v>
      </c>
      <c r="C306" s="1328" t="s">
        <v>3782</v>
      </c>
    </row>
    <row r="307" spans="1:5">
      <c r="A307" s="948">
        <f>MINERGIE!F44</f>
        <v>0</v>
      </c>
      <c r="B307" s="947">
        <v>307</v>
      </c>
      <c r="C307" s="1328" t="s">
        <v>2007</v>
      </c>
      <c r="D307" s="1323"/>
    </row>
    <row r="308" spans="1:5">
      <c r="A308" s="948">
        <f>IF(A307=0,1,VLOOKUP(A307,MINERGIE!$N$11:$P$13,3,FALSE))-1</f>
        <v>0</v>
      </c>
      <c r="B308" s="947">
        <v>308</v>
      </c>
      <c r="C308" s="1328" t="s">
        <v>2136</v>
      </c>
    </row>
    <row r="309" spans="1:5">
      <c r="A309" s="948">
        <f>MINERGIE!G44</f>
        <v>0</v>
      </c>
      <c r="B309" s="947">
        <v>309</v>
      </c>
      <c r="C309" s="1328" t="s">
        <v>2008</v>
      </c>
    </row>
    <row r="310" spans="1:5">
      <c r="A310" s="948">
        <f>IF(A309=0,1,VLOOKUP(A309,MINERGIE!$N$11:$P$13,3,FALSE))-1</f>
        <v>0</v>
      </c>
      <c r="B310" s="947">
        <v>310</v>
      </c>
      <c r="C310" s="1328" t="s">
        <v>2137</v>
      </c>
    </row>
    <row r="311" spans="1:5">
      <c r="A311" s="948">
        <f>MINERGIE!H44</f>
        <v>0</v>
      </c>
      <c r="B311" s="947">
        <v>311</v>
      </c>
      <c r="C311" s="1328" t="s">
        <v>2009</v>
      </c>
    </row>
    <row r="312" spans="1:5">
      <c r="A312" s="948">
        <f>IF(A311=0,1,VLOOKUP(A311,MINERGIE!$N$11:$P$13,3,FALSE))-1</f>
        <v>0</v>
      </c>
      <c r="B312" s="947">
        <v>312</v>
      </c>
      <c r="C312" s="1328" t="s">
        <v>2138</v>
      </c>
    </row>
    <row r="313" spans="1:5">
      <c r="A313" s="948">
        <f>MINERGIE!I44</f>
        <v>0</v>
      </c>
      <c r="B313" s="947">
        <v>313</v>
      </c>
      <c r="C313" s="1328" t="s">
        <v>2010</v>
      </c>
    </row>
    <row r="314" spans="1:5">
      <c r="A314" s="948">
        <f>IF(A313=0,1,VLOOKUP(A313,MINERGIE!$N$11:$P$13,3,FALSE))-1</f>
        <v>0</v>
      </c>
      <c r="B314" s="947">
        <v>314</v>
      </c>
      <c r="C314" s="1328" t="s">
        <v>2139</v>
      </c>
    </row>
    <row r="315" spans="1:5">
      <c r="A315" s="948">
        <f>MINERGIE!F46</f>
        <v>0</v>
      </c>
      <c r="B315" s="947">
        <v>315</v>
      </c>
      <c r="C315" s="1328" t="s">
        <v>2011</v>
      </c>
      <c r="D315" s="1323"/>
    </row>
    <row r="316" spans="1:5">
      <c r="A316" s="948">
        <f>IF(A315=0,1,VLOOKUP(A315,MINERGIE!$N$11:$P$13,3,FALSE))-1</f>
        <v>0</v>
      </c>
      <c r="B316" s="947">
        <v>316</v>
      </c>
      <c r="C316" s="1328" t="s">
        <v>2140</v>
      </c>
      <c r="D316" s="1323"/>
      <c r="E316" s="1323"/>
    </row>
    <row r="317" spans="1:5">
      <c r="A317" s="948">
        <f>MINERGIE!G46</f>
        <v>0</v>
      </c>
      <c r="B317" s="947">
        <v>317</v>
      </c>
      <c r="C317" s="1328" t="s">
        <v>2012</v>
      </c>
    </row>
    <row r="318" spans="1:5">
      <c r="A318" s="948">
        <f>IF(A317=0,1,VLOOKUP(A317,MINERGIE!$N$11:$P$13,3,FALSE))-1</f>
        <v>0</v>
      </c>
      <c r="B318" s="947">
        <v>318</v>
      </c>
      <c r="C318" s="1328" t="s">
        <v>2141</v>
      </c>
    </row>
    <row r="319" spans="1:5">
      <c r="A319" s="948">
        <f>MINERGIE!H46</f>
        <v>0</v>
      </c>
      <c r="B319" s="947">
        <v>319</v>
      </c>
      <c r="C319" s="1328" t="s">
        <v>2013</v>
      </c>
    </row>
    <row r="320" spans="1:5">
      <c r="A320" s="948">
        <f>IF(A319=0,1,VLOOKUP(A319,MINERGIE!$N$11:$P$13,3,FALSE))-1</f>
        <v>0</v>
      </c>
      <c r="B320" s="947">
        <v>320</v>
      </c>
      <c r="C320" s="1328" t="s">
        <v>2142</v>
      </c>
    </row>
    <row r="321" spans="1:4">
      <c r="A321" s="948">
        <f>MINERGIE!I46</f>
        <v>0</v>
      </c>
      <c r="B321" s="947">
        <v>321</v>
      </c>
      <c r="C321" s="1328" t="s">
        <v>2014</v>
      </c>
    </row>
    <row r="322" spans="1:4">
      <c r="A322" s="948">
        <f>IF(A321=0,1,VLOOKUP(A321,MINERGIE!$N$11:$P$13,3,FALSE))-1</f>
        <v>0</v>
      </c>
      <c r="B322" s="947">
        <v>322</v>
      </c>
      <c r="C322" s="1328" t="s">
        <v>2143</v>
      </c>
    </row>
    <row r="323" spans="1:4">
      <c r="A323" s="948">
        <f>MINERGIE!F47</f>
        <v>0</v>
      </c>
      <c r="B323" s="947">
        <v>323</v>
      </c>
      <c r="C323" s="1328" t="s">
        <v>2015</v>
      </c>
      <c r="D323" s="1323"/>
    </row>
    <row r="324" spans="1:4">
      <c r="A324" s="948">
        <f>IF(A323=0,1,VLOOKUP(A323,MINERGIE!$N$11:$P$13,3,FALSE))-1</f>
        <v>0</v>
      </c>
      <c r="B324" s="947">
        <v>324</v>
      </c>
      <c r="C324" s="1328" t="s">
        <v>2144</v>
      </c>
    </row>
    <row r="325" spans="1:4">
      <c r="A325" s="948">
        <f>MINERGIE!G47</f>
        <v>0</v>
      </c>
      <c r="B325" s="947">
        <v>325</v>
      </c>
      <c r="C325" s="1328" t="s">
        <v>2016</v>
      </c>
    </row>
    <row r="326" spans="1:4">
      <c r="A326" s="948">
        <f>IF(A325=0,1,VLOOKUP(A325,MINERGIE!$N$11:$P$13,3,FALSE))-1</f>
        <v>0</v>
      </c>
      <c r="B326" s="947">
        <v>326</v>
      </c>
      <c r="C326" s="1328" t="s">
        <v>2145</v>
      </c>
    </row>
    <row r="327" spans="1:4">
      <c r="A327" s="948">
        <f>MINERGIE!H47</f>
        <v>0</v>
      </c>
      <c r="B327" s="947">
        <v>327</v>
      </c>
      <c r="C327" s="1328" t="s">
        <v>2017</v>
      </c>
    </row>
    <row r="328" spans="1:4">
      <c r="A328" s="948">
        <f>IF(A327=0,1,VLOOKUP(A327,MINERGIE!$N$11:$P$13,3,FALSE))-1</f>
        <v>0</v>
      </c>
      <c r="B328" s="947">
        <v>328</v>
      </c>
      <c r="C328" s="1328" t="s">
        <v>2146</v>
      </c>
    </row>
    <row r="329" spans="1:4">
      <c r="A329" s="948">
        <f>MINERGIE!I47</f>
        <v>0</v>
      </c>
      <c r="B329" s="947">
        <v>329</v>
      </c>
      <c r="C329" s="1328" t="s">
        <v>2018</v>
      </c>
    </row>
    <row r="330" spans="1:4">
      <c r="A330" s="948">
        <f>IF(A329=0,1,VLOOKUP(A329,MINERGIE!$N$11:$P$13,3,FALSE))-1</f>
        <v>0</v>
      </c>
      <c r="B330" s="947">
        <v>330</v>
      </c>
      <c r="C330" s="1328" t="s">
        <v>2147</v>
      </c>
    </row>
    <row r="331" spans="1:4">
      <c r="A331" s="948">
        <f>MINERGIE!O92</f>
        <v>0</v>
      </c>
      <c r="B331" s="947">
        <v>331</v>
      </c>
      <c r="C331" s="1328" t="s">
        <v>2019</v>
      </c>
    </row>
    <row r="332" spans="1:4">
      <c r="A332" s="948">
        <f>MINERGIE!P92</f>
        <v>0</v>
      </c>
      <c r="B332" s="947">
        <v>332</v>
      </c>
      <c r="C332" s="1328" t="s">
        <v>2021</v>
      </c>
    </row>
    <row r="333" spans="1:4">
      <c r="A333" s="948">
        <f>MINERGIE!Q92</f>
        <v>0</v>
      </c>
      <c r="B333" s="947">
        <v>333</v>
      </c>
      <c r="C333" s="1328" t="s">
        <v>2022</v>
      </c>
    </row>
    <row r="334" spans="1:4">
      <c r="A334" s="948">
        <f>MINERGIE!R92</f>
        <v>0</v>
      </c>
      <c r="B334" s="947">
        <v>334</v>
      </c>
      <c r="C334" s="1328" t="s">
        <v>2023</v>
      </c>
    </row>
    <row r="335" spans="1:4">
      <c r="A335" s="948">
        <f>MINERGIE!O93</f>
        <v>0</v>
      </c>
      <c r="B335" s="947">
        <v>335</v>
      </c>
      <c r="C335" s="1328" t="s">
        <v>2020</v>
      </c>
    </row>
    <row r="336" spans="1:4">
      <c r="A336" s="948">
        <f>MINERGIE!P93</f>
        <v>0</v>
      </c>
      <c r="B336" s="947">
        <v>336</v>
      </c>
      <c r="C336" s="1328" t="s">
        <v>2024</v>
      </c>
    </row>
    <row r="337" spans="1:5">
      <c r="A337" s="948">
        <f>MINERGIE!Q93</f>
        <v>0</v>
      </c>
      <c r="B337" s="947">
        <v>337</v>
      </c>
      <c r="C337" s="1328" t="s">
        <v>2025</v>
      </c>
    </row>
    <row r="338" spans="1:5">
      <c r="A338" s="948">
        <f>MINERGIE!R93</f>
        <v>0</v>
      </c>
      <c r="B338" s="947">
        <v>338</v>
      </c>
      <c r="C338" s="1328" t="s">
        <v>2026</v>
      </c>
    </row>
    <row r="339" spans="1:5">
      <c r="A339" s="948" t="str">
        <f>MINERGIE!D50</f>
        <v/>
      </c>
      <c r="B339" s="947">
        <v>339</v>
      </c>
      <c r="C339" s="1328" t="s">
        <v>1812</v>
      </c>
      <c r="D339" s="1323"/>
    </row>
    <row r="340" spans="1:5">
      <c r="A340" s="948">
        <f>IF(OR(A339=0,A339=""),1,VLOOKUP(A339,MINERGIE!$Q$11:$S$13,3,FALSE))-1</f>
        <v>0</v>
      </c>
      <c r="B340" s="947">
        <v>340</v>
      </c>
      <c r="C340" s="1328" t="s">
        <v>2148</v>
      </c>
    </row>
    <row r="341" spans="1:5">
      <c r="A341" s="948">
        <f>MINERGIE!E117</f>
        <v>0</v>
      </c>
      <c r="B341" s="947">
        <v>341</v>
      </c>
      <c r="C341" s="1328" t="s">
        <v>2425</v>
      </c>
    </row>
    <row r="342" spans="1:5">
      <c r="A342" s="948">
        <f>MINERGIE!H117</f>
        <v>0</v>
      </c>
      <c r="B342" s="947">
        <v>342</v>
      </c>
      <c r="C342" s="1328" t="s">
        <v>2027</v>
      </c>
      <c r="D342" s="1323"/>
    </row>
    <row r="343" spans="1:5">
      <c r="A343" s="948">
        <f>MINERGIE!G117</f>
        <v>800</v>
      </c>
      <c r="B343" s="947">
        <v>343</v>
      </c>
      <c r="C343" s="1328" t="s">
        <v>2028</v>
      </c>
    </row>
    <row r="344" spans="1:5">
      <c r="A344" s="948">
        <f>MINERGIE!K117</f>
        <v>0</v>
      </c>
      <c r="B344" s="947">
        <v>344</v>
      </c>
      <c r="C344" s="1328" t="s">
        <v>2029</v>
      </c>
      <c r="D344" s="1323"/>
      <c r="E344" s="1323"/>
    </row>
    <row r="345" spans="1:5">
      <c r="A345" s="948">
        <f>MINERGIE!I117</f>
        <v>0.2</v>
      </c>
      <c r="B345" s="947">
        <v>345</v>
      </c>
      <c r="C345" s="1328" t="s">
        <v>2030</v>
      </c>
    </row>
    <row r="346" spans="1:5">
      <c r="A346" s="948">
        <f>MINERGIE!E118</f>
        <v>0</v>
      </c>
      <c r="B346" s="947">
        <v>346</v>
      </c>
      <c r="C346" s="1328" t="s">
        <v>2424</v>
      </c>
    </row>
    <row r="347" spans="1:5">
      <c r="A347" s="953">
        <f>MINERGIE!E119</f>
        <v>0</v>
      </c>
      <c r="B347" s="947">
        <v>347</v>
      </c>
      <c r="C347" s="1328" t="s">
        <v>2423</v>
      </c>
    </row>
    <row r="348" spans="1:5">
      <c r="A348" s="948" t="str">
        <f>MINERGIE!I119</f>
        <v/>
      </c>
      <c r="B348" s="947">
        <v>348</v>
      </c>
      <c r="C348" s="1328" t="s">
        <v>2426</v>
      </c>
    </row>
    <row r="349" spans="1:5">
      <c r="A349" s="948">
        <f>IF(OR(A348=0,A348=""),1,VLOOKUP(A348,MINERGIE!$N$11:$P$13,3,FALSE))-1</f>
        <v>0</v>
      </c>
      <c r="B349" s="947">
        <v>349</v>
      </c>
      <c r="C349" s="1328" t="s">
        <v>2427</v>
      </c>
    </row>
    <row r="350" spans="1:5">
      <c r="A350" s="1325">
        <f>MINERGIE!I63</f>
        <v>0</v>
      </c>
      <c r="B350" s="947">
        <v>350</v>
      </c>
      <c r="C350" s="1328" t="s">
        <v>1925</v>
      </c>
      <c r="D350" s="1323"/>
    </row>
    <row r="351" spans="1:5">
      <c r="A351" s="948">
        <f>IF(A350=0,1,VLOOKUP(A350,MINERGIE!$N$11:$P$13,3,FALSE))-1</f>
        <v>0</v>
      </c>
      <c r="B351" s="947">
        <v>351</v>
      </c>
      <c r="C351" s="1328" t="s">
        <v>2149</v>
      </c>
    </row>
    <row r="352" spans="1:5">
      <c r="A352" s="1325">
        <f>MINERGIE!J63</f>
        <v>0</v>
      </c>
      <c r="B352" s="947">
        <v>352</v>
      </c>
      <c r="C352" s="1328" t="s">
        <v>2031</v>
      </c>
    </row>
    <row r="353" spans="1:6">
      <c r="B353" s="947">
        <v>353</v>
      </c>
      <c r="C353" s="1328" t="s">
        <v>2032</v>
      </c>
    </row>
    <row r="354" spans="1:6">
      <c r="A354" s="1325">
        <f>MINERGIE!I64</f>
        <v>0</v>
      </c>
      <c r="B354" s="947">
        <v>354</v>
      </c>
      <c r="C354" s="1328" t="s">
        <v>1926</v>
      </c>
    </row>
    <row r="355" spans="1:6">
      <c r="A355" s="948">
        <f>IF(A354=0,1,VLOOKUP(A354,MINERGIE!$N$11:$P$13,3,FALSE))-1</f>
        <v>0</v>
      </c>
      <c r="B355" s="947">
        <v>355</v>
      </c>
      <c r="C355" s="1328" t="s">
        <v>2150</v>
      </c>
    </row>
    <row r="356" spans="1:6">
      <c r="A356" s="948" t="str">
        <f>MINERGIE!K64</f>
        <v>1.6 m3/hm2</v>
      </c>
      <c r="B356" s="947">
        <v>356</v>
      </c>
      <c r="C356" s="1328" t="s">
        <v>2033</v>
      </c>
    </row>
    <row r="357" spans="1:6">
      <c r="A357" s="948">
        <f>MINERGIE!J64</f>
        <v>0</v>
      </c>
      <c r="B357" s="947">
        <v>357</v>
      </c>
      <c r="C357" s="1328" t="s">
        <v>2034</v>
      </c>
    </row>
    <row r="358" spans="1:6">
      <c r="A358" s="1325">
        <f>MINERGIE!I65</f>
        <v>0</v>
      </c>
      <c r="B358" s="947">
        <v>358</v>
      </c>
      <c r="C358" s="1328" t="s">
        <v>2035</v>
      </c>
    </row>
    <row r="359" spans="1:6">
      <c r="A359" s="948">
        <f>IF(A358=0,1,VLOOKUP(A358,MINERGIE!$N$11:$P$13,3,FALSE))-1</f>
        <v>0</v>
      </c>
      <c r="B359" s="947">
        <v>359</v>
      </c>
      <c r="C359" s="1328" t="s">
        <v>2151</v>
      </c>
    </row>
    <row r="360" spans="1:6">
      <c r="A360" s="948">
        <f>MINERGIE!J65</f>
        <v>0</v>
      </c>
      <c r="B360" s="947">
        <v>360</v>
      </c>
      <c r="C360" s="1328" t="s">
        <v>2036</v>
      </c>
    </row>
    <row r="361" spans="1:6">
      <c r="A361" s="948">
        <f>IF(A360=0,1,VLOOKUP(A360,MINERGIE!$Q$11:$S$13,3,FALSE))-1</f>
        <v>0</v>
      </c>
      <c r="B361" s="947">
        <v>361</v>
      </c>
      <c r="C361" s="1328" t="s">
        <v>2154</v>
      </c>
    </row>
    <row r="362" spans="1:6">
      <c r="A362" s="1325">
        <f>MINERGIE!I66</f>
        <v>0</v>
      </c>
      <c r="B362" s="947">
        <v>362</v>
      </c>
      <c r="C362" s="1328" t="s">
        <v>2037</v>
      </c>
    </row>
    <row r="363" spans="1:6">
      <c r="A363" s="948">
        <f>IF(A362=0,1,VLOOKUP(A362,MINERGIE!$N$11:$P$13,3,FALSE))-1</f>
        <v>0</v>
      </c>
      <c r="B363" s="947">
        <v>363</v>
      </c>
      <c r="C363" s="1328" t="s">
        <v>2153</v>
      </c>
    </row>
    <row r="364" spans="1:6">
      <c r="A364" s="948">
        <f>MINERGIE!K66</f>
        <v>0</v>
      </c>
      <c r="B364" s="947">
        <v>364</v>
      </c>
      <c r="C364" s="1328" t="s">
        <v>2038</v>
      </c>
    </row>
    <row r="365" spans="1:6">
      <c r="A365" s="948">
        <f>IF(A364=0,1,VLOOKUP(A364,MINERGIE!$Q$11:$S$13,3,FALSE))-1</f>
        <v>0</v>
      </c>
      <c r="B365" s="947">
        <v>365</v>
      </c>
      <c r="C365" s="1328" t="s">
        <v>2152</v>
      </c>
    </row>
    <row r="366" spans="1:6">
      <c r="A366" s="1325">
        <f>MINERGIE!I67</f>
        <v>0</v>
      </c>
      <c r="B366" s="947">
        <v>366</v>
      </c>
      <c r="C366" s="1328" t="s">
        <v>37</v>
      </c>
      <c r="D366" s="1323"/>
      <c r="E366" s="1323"/>
      <c r="F366" s="1323"/>
    </row>
    <row r="367" spans="1:6">
      <c r="A367" s="948">
        <f>IF(A366=0,1,VLOOKUP(A366,MINERGIE!$N$11:$P$13,3,FALSE))-1</f>
        <v>0</v>
      </c>
      <c r="B367" s="947">
        <v>367</v>
      </c>
      <c r="C367" s="1328" t="s">
        <v>2155</v>
      </c>
    </row>
    <row r="368" spans="1:6">
      <c r="A368" s="1325">
        <f>MINERGIE!I68</f>
        <v>0</v>
      </c>
      <c r="B368" s="947">
        <v>368</v>
      </c>
      <c r="C368" s="1328" t="s">
        <v>1808</v>
      </c>
      <c r="D368" s="1323"/>
      <c r="E368" s="1323"/>
      <c r="F368" s="1323"/>
    </row>
    <row r="369" spans="1:9">
      <c r="A369" s="948">
        <f>IF(A368=0,1,VLOOKUP(A368,MINERGIE!$N$11:$P$13,3,FALSE))-1</f>
        <v>0</v>
      </c>
      <c r="B369" s="947">
        <v>369</v>
      </c>
      <c r="C369" s="1328" t="s">
        <v>2156</v>
      </c>
    </row>
    <row r="370" spans="1:9">
      <c r="A370" s="1325">
        <f>MINERGIE!I69</f>
        <v>0</v>
      </c>
      <c r="B370" s="947">
        <v>370</v>
      </c>
      <c r="C370" s="1328" t="s">
        <v>2039</v>
      </c>
    </row>
    <row r="371" spans="1:9">
      <c r="A371" s="948">
        <f>IF(A370=0,1,VLOOKUP(A370,MINERGIE!$N$11:$P$13,3,FALSE))-1</f>
        <v>0</v>
      </c>
      <c r="B371" s="947">
        <v>371</v>
      </c>
      <c r="C371" s="1328" t="s">
        <v>2157</v>
      </c>
    </row>
    <row r="372" spans="1:9">
      <c r="A372" s="948">
        <f>MINERGIE!J69</f>
        <v>0</v>
      </c>
      <c r="B372" s="947">
        <v>372</v>
      </c>
      <c r="C372" s="1328" t="s">
        <v>2040</v>
      </c>
    </row>
    <row r="373" spans="1:9">
      <c r="A373" s="948">
        <f>IF(A372=0,1,VLOOKUP(A372,MINERGIE!$Q$11:$S$13,3,FALSE))-1</f>
        <v>0</v>
      </c>
      <c r="B373" s="947">
        <v>373</v>
      </c>
      <c r="C373" s="1328" t="s">
        <v>2158</v>
      </c>
    </row>
    <row r="374" spans="1:9">
      <c r="A374" s="1325">
        <f>MINERGIE!I70</f>
        <v>0</v>
      </c>
      <c r="B374" s="947">
        <v>374</v>
      </c>
      <c r="C374" s="1328" t="s">
        <v>1934</v>
      </c>
    </row>
    <row r="375" spans="1:9">
      <c r="A375" s="948">
        <f>IF(A374=0,1,VLOOKUP(A374,MINERGIE!$N$11:$P$13,3,FALSE))-1</f>
        <v>0</v>
      </c>
      <c r="B375" s="947">
        <v>375</v>
      </c>
      <c r="C375" s="1328" t="s">
        <v>2159</v>
      </c>
    </row>
    <row r="376" spans="1:9">
      <c r="A376" s="1325">
        <f>MINERGIE!I71</f>
        <v>0</v>
      </c>
      <c r="B376" s="947">
        <v>376</v>
      </c>
      <c r="C376" s="1328" t="s">
        <v>1931</v>
      </c>
    </row>
    <row r="377" spans="1:9">
      <c r="A377" s="948">
        <f>IF(A376=0,1,VLOOKUP(A376,MINERGIE!$N$11:$P$13,3,FALSE))-1</f>
        <v>0</v>
      </c>
      <c r="B377" s="947">
        <v>377</v>
      </c>
      <c r="C377" s="1328" t="s">
        <v>2160</v>
      </c>
    </row>
    <row r="378" spans="1:9">
      <c r="A378" s="948">
        <f>MINERGIE!J71</f>
        <v>0</v>
      </c>
      <c r="B378" s="947">
        <v>378</v>
      </c>
      <c r="C378" s="1328" t="s">
        <v>2041</v>
      </c>
    </row>
    <row r="379" spans="1:9">
      <c r="A379" s="950">
        <f>IF(A378=0,1,VLOOKUP(A378,MINERGIE!$Q$11:$S$13,3,FALSE))-1</f>
        <v>0</v>
      </c>
      <c r="B379" s="1332">
        <v>379</v>
      </c>
      <c r="C379" s="1329" t="s">
        <v>2161</v>
      </c>
      <c r="D379" s="951"/>
      <c r="E379" s="951"/>
      <c r="F379" s="951"/>
      <c r="G379" s="951"/>
    </row>
    <row r="380" spans="1:9">
      <c r="A380" s="948">
        <f>Eté!I19</f>
        <v>0</v>
      </c>
      <c r="B380" s="947">
        <v>380</v>
      </c>
      <c r="C380" s="1328" t="s">
        <v>2043</v>
      </c>
      <c r="D380" s="1323"/>
      <c r="E380" s="1323"/>
      <c r="F380" s="1323"/>
      <c r="G380" s="1323"/>
      <c r="H380" s="1323"/>
      <c r="I380" s="1323"/>
    </row>
    <row r="381" spans="1:9">
      <c r="A381" s="1326">
        <f>IF(A380=0,1,VLOOKUP(A380,Eté!$Q$11:$R$15,2,FALSE))-1</f>
        <v>0</v>
      </c>
      <c r="B381" s="947">
        <v>381</v>
      </c>
      <c r="C381" s="1328" t="s">
        <v>2163</v>
      </c>
    </row>
    <row r="382" spans="1:9">
      <c r="A382" s="948">
        <f>Eté!J19</f>
        <v>0</v>
      </c>
      <c r="B382" s="947">
        <v>382</v>
      </c>
      <c r="C382" s="1328" t="s">
        <v>2042</v>
      </c>
    </row>
    <row r="383" spans="1:9">
      <c r="A383" s="1326">
        <f>IF(A382=0,1,VLOOKUP(A382,Eté!$Q$11:$R$15,2,FALSE))-1</f>
        <v>0</v>
      </c>
      <c r="B383" s="947">
        <v>383</v>
      </c>
      <c r="C383" s="1328" t="s">
        <v>2164</v>
      </c>
    </row>
    <row r="384" spans="1:9">
      <c r="A384" s="948">
        <f>Eté!K19</f>
        <v>0</v>
      </c>
      <c r="B384" s="947">
        <v>384</v>
      </c>
      <c r="C384" s="1328" t="s">
        <v>2044</v>
      </c>
    </row>
    <row r="385" spans="1:3">
      <c r="A385" s="1326">
        <f>IF(A384=0,1,VLOOKUP(A384,Eté!$Q$11:$R$15,2,FALSE))-1</f>
        <v>0</v>
      </c>
      <c r="B385" s="947">
        <v>385</v>
      </c>
      <c r="C385" s="1328" t="s">
        <v>2165</v>
      </c>
    </row>
    <row r="386" spans="1:3">
      <c r="A386" s="948">
        <f>Eté!L19</f>
        <v>0</v>
      </c>
      <c r="B386" s="947">
        <v>386</v>
      </c>
      <c r="C386" s="1328" t="s">
        <v>2045</v>
      </c>
    </row>
    <row r="387" spans="1:3">
      <c r="A387" s="1326">
        <f>IF(A386=0,1,VLOOKUP(A386,Eté!$Q$11:$R$15,2,FALSE))-1</f>
        <v>0</v>
      </c>
      <c r="B387" s="947">
        <v>387</v>
      </c>
      <c r="C387" s="1328" t="s">
        <v>2162</v>
      </c>
    </row>
    <row r="388" spans="1:3">
      <c r="A388" s="948">
        <f>Eté!B20</f>
        <v>0</v>
      </c>
      <c r="B388" s="947">
        <v>388</v>
      </c>
      <c r="C388" s="1328" t="s">
        <v>2046</v>
      </c>
    </row>
    <row r="389" spans="1:3">
      <c r="A389" s="948">
        <f>Eté!I21</f>
        <v>0</v>
      </c>
      <c r="B389" s="947">
        <v>389</v>
      </c>
      <c r="C389" s="1328" t="s">
        <v>3324</v>
      </c>
    </row>
    <row r="390" spans="1:3">
      <c r="A390" s="1326">
        <f>IF(A389=0,1,VLOOKUP(A389,Eté!$P$11:$S$14,4,FALSE))-1</f>
        <v>0</v>
      </c>
      <c r="B390" s="947">
        <v>390</v>
      </c>
      <c r="C390" s="1328" t="s">
        <v>3325</v>
      </c>
    </row>
    <row r="391" spans="1:3">
      <c r="A391" s="948">
        <f>Eté!J21</f>
        <v>0</v>
      </c>
      <c r="B391" s="947">
        <v>391</v>
      </c>
      <c r="C391" s="1328" t="s">
        <v>3326</v>
      </c>
    </row>
    <row r="392" spans="1:3">
      <c r="A392" s="1326">
        <f>IF(A391=0,1,VLOOKUP(A391,Eté!$P$11:$S$14,4,FALSE))-1</f>
        <v>0</v>
      </c>
      <c r="B392" s="947">
        <v>392</v>
      </c>
      <c r="C392" s="1328" t="s">
        <v>3327</v>
      </c>
    </row>
    <row r="393" spans="1:3">
      <c r="A393" s="948">
        <f>Eté!K21</f>
        <v>0</v>
      </c>
      <c r="B393" s="947">
        <v>393</v>
      </c>
      <c r="C393" s="1328" t="s">
        <v>3328</v>
      </c>
    </row>
    <row r="394" spans="1:3">
      <c r="A394" s="1326">
        <f>IF(A393=0,1,VLOOKUP(A393,Eté!$P$11:$S$14,4,FALSE))-1</f>
        <v>0</v>
      </c>
      <c r="B394" s="947">
        <v>394</v>
      </c>
      <c r="C394" s="1328" t="s">
        <v>3329</v>
      </c>
    </row>
    <row r="395" spans="1:3">
      <c r="A395" s="948">
        <f>Eté!L21</f>
        <v>0</v>
      </c>
      <c r="B395" s="947">
        <v>395</v>
      </c>
      <c r="C395" s="1328" t="s">
        <v>3330</v>
      </c>
    </row>
    <row r="396" spans="1:3">
      <c r="A396" s="1326">
        <f>IF(A395=0,1,VLOOKUP(A395,Eté!$P$11:$S$14,4,FALSE))-1</f>
        <v>0</v>
      </c>
      <c r="B396" s="947">
        <v>396</v>
      </c>
      <c r="C396" s="1328" t="s">
        <v>3331</v>
      </c>
    </row>
    <row r="397" spans="1:3">
      <c r="B397" s="947">
        <v>397</v>
      </c>
    </row>
    <row r="398" spans="1:3">
      <c r="B398" s="947">
        <v>398</v>
      </c>
    </row>
    <row r="399" spans="1:3">
      <c r="B399" s="947">
        <v>399</v>
      </c>
    </row>
    <row r="400" spans="1:3">
      <c r="B400" s="947">
        <v>400</v>
      </c>
    </row>
    <row r="401" spans="1:3">
      <c r="B401" s="947">
        <v>401</v>
      </c>
    </row>
    <row r="402" spans="1:3">
      <c r="B402" s="947">
        <v>402</v>
      </c>
    </row>
    <row r="403" spans="1:3">
      <c r="B403" s="947">
        <v>403</v>
      </c>
    </row>
    <row r="404" spans="1:3">
      <c r="B404" s="947">
        <v>404</v>
      </c>
    </row>
    <row r="405" spans="1:3">
      <c r="A405" s="948">
        <f>Eté!I23</f>
        <v>0</v>
      </c>
      <c r="B405" s="947">
        <v>405</v>
      </c>
      <c r="C405" s="1328" t="s">
        <v>3348</v>
      </c>
    </row>
    <row r="406" spans="1:3">
      <c r="A406" s="1326">
        <f>IF(A405=0,1,VLOOKUP(A405,Eté!$P$11:$S$14,4,FALSE))-1</f>
        <v>0</v>
      </c>
      <c r="B406" s="947">
        <v>406</v>
      </c>
      <c r="C406" s="1328" t="s">
        <v>3349</v>
      </c>
    </row>
    <row r="407" spans="1:3">
      <c r="A407" s="948">
        <f>Eté!J23</f>
        <v>0</v>
      </c>
      <c r="B407" s="947">
        <v>407</v>
      </c>
      <c r="C407" s="1328" t="s">
        <v>3350</v>
      </c>
    </row>
    <row r="408" spans="1:3">
      <c r="A408" s="1326">
        <f>IF(A407=0,1,VLOOKUP(A407,Eté!$P$11:$S$14,4,FALSE))-1</f>
        <v>0</v>
      </c>
      <c r="B408" s="947">
        <v>408</v>
      </c>
      <c r="C408" s="1328" t="s">
        <v>3351</v>
      </c>
    </row>
    <row r="409" spans="1:3">
      <c r="A409" s="948">
        <f>Eté!K23</f>
        <v>0</v>
      </c>
      <c r="B409" s="947">
        <v>409</v>
      </c>
      <c r="C409" s="1328" t="s">
        <v>3352</v>
      </c>
    </row>
    <row r="410" spans="1:3">
      <c r="A410" s="1326">
        <f>IF(A409=0,1,VLOOKUP(A409,Eté!$P$11:$S$14,4,FALSE))-1</f>
        <v>0</v>
      </c>
      <c r="B410" s="947">
        <v>410</v>
      </c>
      <c r="C410" s="1328" t="s">
        <v>3353</v>
      </c>
    </row>
    <row r="411" spans="1:3">
      <c r="A411" s="948">
        <f>Eté!L23</f>
        <v>0</v>
      </c>
      <c r="B411" s="947">
        <v>411</v>
      </c>
      <c r="C411" s="1328" t="s">
        <v>3354</v>
      </c>
    </row>
    <row r="412" spans="1:3">
      <c r="A412" s="1326">
        <f>IF(A411=0,1,VLOOKUP(A411,Eté!$P$11:$S$14,4,FALSE))-1</f>
        <v>0</v>
      </c>
      <c r="B412" s="947">
        <v>412</v>
      </c>
      <c r="C412" s="1328" t="s">
        <v>3355</v>
      </c>
    </row>
    <row r="413" spans="1:3">
      <c r="A413" s="948">
        <f>Eté!I25</f>
        <v>0</v>
      </c>
      <c r="B413" s="947">
        <v>413</v>
      </c>
      <c r="C413" s="1328" t="s">
        <v>3340</v>
      </c>
    </row>
    <row r="414" spans="1:3">
      <c r="A414" s="1326">
        <f>IF(A413=0,1,VLOOKUP(A413,Eté!$P$11:$S$14,4,FALSE))-1</f>
        <v>0</v>
      </c>
      <c r="B414" s="947">
        <v>414</v>
      </c>
      <c r="C414" s="1328" t="s">
        <v>3341</v>
      </c>
    </row>
    <row r="415" spans="1:3">
      <c r="A415" s="948">
        <f>Eté!J25</f>
        <v>0</v>
      </c>
      <c r="B415" s="947">
        <v>415</v>
      </c>
      <c r="C415" s="1328" t="s">
        <v>3342</v>
      </c>
    </row>
    <row r="416" spans="1:3">
      <c r="A416" s="1326">
        <f>IF(A415=0,1,VLOOKUP(A415,Eté!$P$11:$S$14,4,FALSE))-1</f>
        <v>0</v>
      </c>
      <c r="B416" s="947">
        <v>416</v>
      </c>
      <c r="C416" s="1328" t="s">
        <v>3343</v>
      </c>
    </row>
    <row r="417" spans="1:9">
      <c r="A417" s="948">
        <f>Eté!K25</f>
        <v>0</v>
      </c>
      <c r="B417" s="947">
        <v>417</v>
      </c>
      <c r="C417" s="1328" t="s">
        <v>3344</v>
      </c>
    </row>
    <row r="418" spans="1:9">
      <c r="A418" s="1326">
        <f>IF(A417=0,1,VLOOKUP(A417,Eté!$P$11:$S$14,4,FALSE))-1</f>
        <v>0</v>
      </c>
      <c r="B418" s="947">
        <v>418</v>
      </c>
      <c r="C418" s="1328" t="s">
        <v>3345</v>
      </c>
    </row>
    <row r="419" spans="1:9">
      <c r="A419" s="948">
        <f>Eté!L25</f>
        <v>0</v>
      </c>
      <c r="B419" s="947">
        <v>419</v>
      </c>
      <c r="C419" s="1328" t="s">
        <v>3346</v>
      </c>
    </row>
    <row r="420" spans="1:9">
      <c r="A420" s="1326">
        <f>IF(A419=0,1,VLOOKUP(A419,Eté!$P$11:$S$14,4,FALSE))-1</f>
        <v>0</v>
      </c>
      <c r="B420" s="947">
        <v>420</v>
      </c>
      <c r="C420" s="1328" t="s">
        <v>3347</v>
      </c>
    </row>
    <row r="421" spans="1:9">
      <c r="A421" s="948">
        <f>Eté!I27</f>
        <v>0</v>
      </c>
      <c r="B421" s="947">
        <v>421</v>
      </c>
      <c r="C421" s="1328" t="s">
        <v>3332</v>
      </c>
      <c r="D421" s="1323"/>
      <c r="E421" s="1323"/>
      <c r="F421" s="1323"/>
      <c r="G421" s="1323"/>
      <c r="H421" s="1323"/>
      <c r="I421" s="1323"/>
    </row>
    <row r="422" spans="1:9">
      <c r="A422" s="1326">
        <f>IF(A421=0,1,VLOOKUP(A421,Eté!$P$11:$S$14,4,FALSE))-1</f>
        <v>0</v>
      </c>
      <c r="B422" s="947">
        <v>422</v>
      </c>
      <c r="C422" s="1328" t="s">
        <v>3336</v>
      </c>
    </row>
    <row r="423" spans="1:9">
      <c r="A423" s="948">
        <f>Eté!J27</f>
        <v>0</v>
      </c>
      <c r="B423" s="947">
        <v>423</v>
      </c>
      <c r="C423" s="1328" t="s">
        <v>3335</v>
      </c>
    </row>
    <row r="424" spans="1:9">
      <c r="A424" s="1326">
        <f>IF(A423=0,1,VLOOKUP(A423,Eté!$P$11:$S$14,4,FALSE))-1</f>
        <v>0</v>
      </c>
      <c r="B424" s="947">
        <v>424</v>
      </c>
      <c r="C424" s="1328" t="s">
        <v>3339</v>
      </c>
    </row>
    <row r="425" spans="1:9">
      <c r="A425" s="948">
        <f>Eté!K27</f>
        <v>0</v>
      </c>
      <c r="B425" s="947">
        <v>425</v>
      </c>
      <c r="C425" s="1328" t="s">
        <v>3334</v>
      </c>
    </row>
    <row r="426" spans="1:9">
      <c r="A426" s="1326">
        <f>IF(A425=0,1,VLOOKUP(A425,Eté!$P$11:$S$14,4,FALSE))-1</f>
        <v>0</v>
      </c>
      <c r="B426" s="947">
        <v>426</v>
      </c>
      <c r="C426" s="1328" t="s">
        <v>3338</v>
      </c>
    </row>
    <row r="427" spans="1:9">
      <c r="A427" s="948">
        <f>Eté!L27</f>
        <v>0</v>
      </c>
      <c r="B427" s="947">
        <v>427</v>
      </c>
      <c r="C427" s="1328" t="s">
        <v>3333</v>
      </c>
    </row>
    <row r="428" spans="1:9">
      <c r="A428" s="1326">
        <f>IF(A427=0,1,VLOOKUP(A427,Eté!$P$11:$S$14,4,FALSE))-1</f>
        <v>0</v>
      </c>
      <c r="B428" s="947">
        <v>428</v>
      </c>
      <c r="C428" s="1328" t="s">
        <v>3337</v>
      </c>
    </row>
    <row r="429" spans="1:9">
      <c r="B429" s="947">
        <v>429</v>
      </c>
    </row>
    <row r="430" spans="1:9">
      <c r="B430" s="947">
        <v>430</v>
      </c>
    </row>
    <row r="431" spans="1:9">
      <c r="B431" s="947">
        <v>431</v>
      </c>
    </row>
    <row r="432" spans="1:9">
      <c r="B432" s="947">
        <v>432</v>
      </c>
    </row>
    <row r="433" spans="1:8">
      <c r="B433" s="947">
        <v>433</v>
      </c>
    </row>
    <row r="434" spans="1:8">
      <c r="B434" s="947">
        <v>434</v>
      </c>
    </row>
    <row r="435" spans="1:8">
      <c r="B435" s="947">
        <v>435</v>
      </c>
    </row>
    <row r="436" spans="1:8">
      <c r="B436" s="947">
        <v>436</v>
      </c>
    </row>
    <row r="437" spans="1:8">
      <c r="A437" s="948">
        <f>Eté!I35</f>
        <v>0</v>
      </c>
      <c r="B437" s="947">
        <v>437</v>
      </c>
      <c r="C437" s="1328" t="s">
        <v>3315</v>
      </c>
      <c r="D437" s="1323"/>
      <c r="E437" s="1323"/>
      <c r="F437" s="1323"/>
      <c r="G437" s="1323"/>
      <c r="H437" s="1323"/>
    </row>
    <row r="438" spans="1:8">
      <c r="A438" s="1326">
        <f>IF(A437=0,1,VLOOKUP(A437,Eté!$P$11:$S$14,4,FALSE))-1</f>
        <v>0</v>
      </c>
      <c r="B438" s="947">
        <v>438</v>
      </c>
      <c r="C438" s="1328" t="s">
        <v>3316</v>
      </c>
    </row>
    <row r="439" spans="1:8">
      <c r="A439" s="948">
        <f>Eté!J35</f>
        <v>0</v>
      </c>
      <c r="B439" s="947">
        <v>439</v>
      </c>
      <c r="C439" s="1328" t="s">
        <v>3317</v>
      </c>
    </row>
    <row r="440" spans="1:8">
      <c r="A440" s="1326">
        <f>IF(A439=0,1,VLOOKUP(A439,Eté!$P$11:$S$14,4,FALSE))-1</f>
        <v>0</v>
      </c>
      <c r="B440" s="947">
        <v>440</v>
      </c>
      <c r="C440" s="1328" t="s">
        <v>3318</v>
      </c>
    </row>
    <row r="441" spans="1:8">
      <c r="A441" s="948">
        <f>Eté!K35</f>
        <v>0</v>
      </c>
      <c r="B441" s="947">
        <v>441</v>
      </c>
      <c r="C441" s="1328" t="s">
        <v>3319</v>
      </c>
    </row>
    <row r="442" spans="1:8">
      <c r="A442" s="1326">
        <f>IF(A441=0,1,VLOOKUP(A441,Eté!$P$11:$S$14,4,FALSE))-1</f>
        <v>0</v>
      </c>
      <c r="B442" s="947">
        <v>442</v>
      </c>
      <c r="C442" s="1328" t="s">
        <v>3320</v>
      </c>
    </row>
    <row r="443" spans="1:8">
      <c r="A443" s="948">
        <f>Eté!L35</f>
        <v>0</v>
      </c>
      <c r="B443" s="947">
        <v>443</v>
      </c>
      <c r="C443" s="1328" t="s">
        <v>3321</v>
      </c>
    </row>
    <row r="444" spans="1:8">
      <c r="A444" s="1326">
        <f>IF(A443=0,1,VLOOKUP(A443,Eté!$P$11:$S$14,4,FALSE))-1</f>
        <v>0</v>
      </c>
      <c r="B444" s="947">
        <v>444</v>
      </c>
      <c r="C444" s="1328" t="s">
        <v>3322</v>
      </c>
    </row>
    <row r="445" spans="1:8">
      <c r="A445" s="948">
        <f>Eté!B43</f>
        <v>0</v>
      </c>
      <c r="B445" s="947">
        <v>445</v>
      </c>
      <c r="C445" s="1328" t="s">
        <v>2047</v>
      </c>
    </row>
    <row r="446" spans="1:8">
      <c r="A446" s="1326">
        <f>Eté!I47</f>
        <v>0</v>
      </c>
      <c r="B446" s="947">
        <v>446</v>
      </c>
      <c r="C446" s="1328" t="s">
        <v>2048</v>
      </c>
    </row>
    <row r="447" spans="1:8">
      <c r="A447" s="1326">
        <f>IF(A446=0,1,VLOOKUP(A446,Eté!$P$11:$S$14,4,FALSE))-1</f>
        <v>0</v>
      </c>
      <c r="B447" s="947">
        <v>447</v>
      </c>
      <c r="C447" s="1328" t="s">
        <v>2171</v>
      </c>
    </row>
    <row r="448" spans="1:8">
      <c r="A448" s="948">
        <f>Eté!J47</f>
        <v>0</v>
      </c>
      <c r="B448" s="947">
        <v>448</v>
      </c>
      <c r="C448" s="1328" t="s">
        <v>2049</v>
      </c>
    </row>
    <row r="449" spans="1:3">
      <c r="A449" s="1326">
        <f>IF(A448=0,1,VLOOKUP(A448,Eté!$P$11:$S$14,4,FALSE))-1</f>
        <v>0</v>
      </c>
      <c r="B449" s="947">
        <v>449</v>
      </c>
      <c r="C449" s="1328" t="s">
        <v>2172</v>
      </c>
    </row>
    <row r="450" spans="1:3">
      <c r="A450" s="948">
        <f>Eté!K47</f>
        <v>0</v>
      </c>
      <c r="B450" s="947">
        <v>450</v>
      </c>
      <c r="C450" s="1328" t="s">
        <v>2050</v>
      </c>
    </row>
    <row r="451" spans="1:3">
      <c r="A451" s="1326">
        <f>IF(A450=0,1,VLOOKUP(A450,Eté!$P$11:$S$14,4,FALSE))-1</f>
        <v>0</v>
      </c>
      <c r="B451" s="947">
        <v>451</v>
      </c>
      <c r="C451" s="1328" t="s">
        <v>2173</v>
      </c>
    </row>
    <row r="452" spans="1:3">
      <c r="A452" s="948">
        <f>Eté!L47</f>
        <v>0</v>
      </c>
      <c r="B452" s="947">
        <v>452</v>
      </c>
      <c r="C452" s="1328" t="s">
        <v>2051</v>
      </c>
    </row>
    <row r="453" spans="1:3">
      <c r="A453" s="1326">
        <f>IF(A452=0,1,VLOOKUP(A452,Eté!$P$11:$S$14,4,FALSE))-1</f>
        <v>0</v>
      </c>
      <c r="B453" s="947">
        <v>453</v>
      </c>
      <c r="C453" s="1328" t="s">
        <v>2170</v>
      </c>
    </row>
    <row r="454" spans="1:3">
      <c r="A454" s="948">
        <f>Eté!I48</f>
        <v>0</v>
      </c>
      <c r="B454" s="947">
        <v>454</v>
      </c>
      <c r="C454" s="1328" t="s">
        <v>2052</v>
      </c>
    </row>
    <row r="455" spans="1:3">
      <c r="A455" s="1326">
        <f>IF(A454=0,1,VLOOKUP(A454,Eté!$P$11:$S$14,4,FALSE))-1</f>
        <v>0</v>
      </c>
      <c r="B455" s="947">
        <v>455</v>
      </c>
      <c r="C455" s="1328" t="s">
        <v>2169</v>
      </c>
    </row>
    <row r="456" spans="1:3">
      <c r="A456" s="948">
        <f>Eté!J48</f>
        <v>0</v>
      </c>
      <c r="B456" s="947">
        <v>456</v>
      </c>
      <c r="C456" s="1328" t="s">
        <v>2053</v>
      </c>
    </row>
    <row r="457" spans="1:3">
      <c r="A457" s="1326">
        <f>IF(A456=0,1,VLOOKUP(A456,Eté!$P$11:$S$14,4,FALSE))-1</f>
        <v>0</v>
      </c>
      <c r="B457" s="947">
        <v>457</v>
      </c>
      <c r="C457" s="1328" t="s">
        <v>2168</v>
      </c>
    </row>
    <row r="458" spans="1:3">
      <c r="A458" s="948">
        <f>Eté!K48</f>
        <v>0</v>
      </c>
      <c r="B458" s="947">
        <v>458</v>
      </c>
      <c r="C458" s="1328" t="s">
        <v>2054</v>
      </c>
    </row>
    <row r="459" spans="1:3">
      <c r="A459" s="1326">
        <f>IF(A458=0,1,VLOOKUP(A458,Eté!$P$11:$S$14,4,FALSE))-1</f>
        <v>0</v>
      </c>
      <c r="B459" s="947">
        <v>459</v>
      </c>
      <c r="C459" s="1328" t="s">
        <v>2167</v>
      </c>
    </row>
    <row r="460" spans="1:3">
      <c r="A460" s="948">
        <f>Eté!L48</f>
        <v>0</v>
      </c>
      <c r="B460" s="947">
        <v>460</v>
      </c>
      <c r="C460" s="1328" t="s">
        <v>2055</v>
      </c>
    </row>
    <row r="461" spans="1:3">
      <c r="A461" s="1326">
        <f>IF(A460=0,1,VLOOKUP(A460,Eté!$P$11:$S$14,4,FALSE))-1</f>
        <v>0</v>
      </c>
      <c r="B461" s="947">
        <v>461</v>
      </c>
      <c r="C461" s="1328" t="s">
        <v>2166</v>
      </c>
    </row>
    <row r="462" spans="1:3">
      <c r="A462" s="948">
        <f>IF(Kategorie1=1,0,Eté!I52)</f>
        <v>0</v>
      </c>
      <c r="B462" s="947">
        <v>462</v>
      </c>
      <c r="C462" s="1328" t="s">
        <v>3372</v>
      </c>
    </row>
    <row r="463" spans="1:3">
      <c r="A463" s="1326">
        <f>IF(A462=0,1,VLOOKUP(A462,Eté!$P$11:$S$14,4,FALSE))-1</f>
        <v>0</v>
      </c>
      <c r="B463" s="947">
        <v>463</v>
      </c>
      <c r="C463" s="1328" t="s">
        <v>3376</v>
      </c>
    </row>
    <row r="464" spans="1:3">
      <c r="A464" s="948">
        <f>IF(Kategorie2=1,0,Eté!J52)</f>
        <v>0</v>
      </c>
      <c r="B464" s="947">
        <v>464</v>
      </c>
      <c r="C464" s="1328" t="s">
        <v>3373</v>
      </c>
    </row>
    <row r="465" spans="1:8">
      <c r="A465" s="1326">
        <f>IF(A464=0,1,VLOOKUP(A464,Eté!$P$11:$S$14,4,FALSE))-1</f>
        <v>0</v>
      </c>
      <c r="B465" s="947">
        <v>465</v>
      </c>
      <c r="C465" s="1328" t="s">
        <v>3379</v>
      </c>
    </row>
    <row r="466" spans="1:8">
      <c r="A466" s="948">
        <f>IF(Kategorie3=1,0,Eté!K52)</f>
        <v>0</v>
      </c>
      <c r="B466" s="947">
        <v>466</v>
      </c>
      <c r="C466" s="1328" t="s">
        <v>3374</v>
      </c>
    </row>
    <row r="467" spans="1:8">
      <c r="A467" s="1326">
        <f>IF(A466=0,1,VLOOKUP(A466,Eté!$P$11:$S$14,4,FALSE))-1</f>
        <v>0</v>
      </c>
      <c r="B467" s="947">
        <v>467</v>
      </c>
      <c r="C467" s="1328" t="s">
        <v>3378</v>
      </c>
    </row>
    <row r="468" spans="1:8">
      <c r="A468" s="948">
        <f>IF(Kategorie4=1,0,Eté!L52)</f>
        <v>0</v>
      </c>
      <c r="B468" s="947">
        <v>468</v>
      </c>
      <c r="C468" s="1328" t="s">
        <v>3375</v>
      </c>
    </row>
    <row r="469" spans="1:8">
      <c r="A469" s="950">
        <f>IF(A468=0,1,VLOOKUP(A468,Eté!$P$11:$S$14,4,FALSE))-1</f>
        <v>0</v>
      </c>
      <c r="B469" s="1332">
        <v>469</v>
      </c>
      <c r="C469" s="1329" t="s">
        <v>3377</v>
      </c>
      <c r="D469" s="951"/>
      <c r="E469" s="951"/>
      <c r="F469" s="951"/>
      <c r="G469" s="951"/>
      <c r="H469" s="951"/>
    </row>
    <row r="470" spans="1:8">
      <c r="A470" s="948">
        <f>Aperçu!F30</f>
        <v>0</v>
      </c>
      <c r="B470" s="947">
        <v>470</v>
      </c>
      <c r="C470" s="1328" t="s">
        <v>2057</v>
      </c>
    </row>
    <row r="471" spans="1:8">
      <c r="A471" s="948" t="b">
        <f>Aperçu!H30</f>
        <v>0</v>
      </c>
      <c r="B471" s="947">
        <v>471</v>
      </c>
      <c r="C471" s="1328" t="s">
        <v>2063</v>
      </c>
    </row>
    <row r="472" spans="1:8">
      <c r="A472" s="953" t="str">
        <f>Aperçu!K30</f>
        <v>non</v>
      </c>
      <c r="B472" s="947">
        <v>472</v>
      </c>
      <c r="C472" s="1328" t="s">
        <v>2058</v>
      </c>
    </row>
    <row r="473" spans="1:8">
      <c r="A473" s="1326">
        <f>IF(A472=0,1,VLOOKUP(A472,Eté!$P$11:$S$14,4,FALSE))-1</f>
        <v>2</v>
      </c>
      <c r="B473" s="947">
        <v>473</v>
      </c>
      <c r="C473" s="1328" t="s">
        <v>2174</v>
      </c>
    </row>
    <row r="474" spans="1:8">
      <c r="A474" s="948" t="str">
        <f>Aperçu!F31</f>
        <v>Pas d’exigence</v>
      </c>
      <c r="B474" s="947">
        <v>474</v>
      </c>
      <c r="C474" s="1328" t="s">
        <v>2059</v>
      </c>
    </row>
    <row r="475" spans="1:8">
      <c r="A475" s="948">
        <f>Aperçu!H31</f>
        <v>0</v>
      </c>
      <c r="B475" s="947">
        <v>475</v>
      </c>
      <c r="C475" s="1328" t="s">
        <v>2060</v>
      </c>
    </row>
    <row r="476" spans="1:8">
      <c r="A476" s="948">
        <f>Aperçu!F37</f>
        <v>0</v>
      </c>
      <c r="B476" s="947">
        <v>476</v>
      </c>
      <c r="C476" s="1328" t="s">
        <v>2061</v>
      </c>
    </row>
    <row r="477" spans="1:8">
      <c r="A477" s="948">
        <f>Aperçu!H37</f>
        <v>0</v>
      </c>
      <c r="B477" s="947">
        <v>477</v>
      </c>
      <c r="C477" s="1328" t="s">
        <v>2062</v>
      </c>
    </row>
    <row r="478" spans="1:8">
      <c r="A478" s="948">
        <f>Aperçu!K37</f>
        <v>0</v>
      </c>
      <c r="B478" s="947">
        <v>478</v>
      </c>
      <c r="C478" s="1328" t="s">
        <v>2064</v>
      </c>
    </row>
    <row r="479" spans="1:8">
      <c r="A479" s="1326">
        <f>IF(A478=0,1,VLOOKUP(A478,Eté!$P$11:$S$14,4,FALSE))-1</f>
        <v>0</v>
      </c>
      <c r="B479" s="947">
        <v>479</v>
      </c>
      <c r="C479" s="1328" t="s">
        <v>2175</v>
      </c>
    </row>
    <row r="480" spans="1:8">
      <c r="A480" s="948">
        <f>Aperçu!F38</f>
        <v>0</v>
      </c>
      <c r="B480" s="947">
        <v>480</v>
      </c>
      <c r="C480" s="1328" t="s">
        <v>2065</v>
      </c>
    </row>
    <row r="481" spans="1:8">
      <c r="A481" s="948">
        <f>Aperçu!H38</f>
        <v>0</v>
      </c>
      <c r="B481" s="947">
        <v>481</v>
      </c>
      <c r="C481" s="1328" t="s">
        <v>2066</v>
      </c>
    </row>
    <row r="482" spans="1:8">
      <c r="A482" s="948" t="str">
        <f>Aperçu!K38</f>
        <v>non</v>
      </c>
      <c r="B482" s="947">
        <v>482</v>
      </c>
      <c r="C482" s="1328" t="s">
        <v>2067</v>
      </c>
    </row>
    <row r="483" spans="1:8">
      <c r="A483" s="1326">
        <f>IF(A482=0,1,VLOOKUP(A482,Eté!$P$11:$S$14,4,FALSE))-1</f>
        <v>2</v>
      </c>
      <c r="B483" s="947">
        <v>483</v>
      </c>
      <c r="C483" s="1328" t="s">
        <v>2176</v>
      </c>
    </row>
    <row r="484" spans="1:8">
      <c r="A484" s="948">
        <f>Aperçu!F39</f>
        <v>0</v>
      </c>
      <c r="B484" s="947">
        <v>484</v>
      </c>
      <c r="C484" s="1328" t="s">
        <v>2068</v>
      </c>
    </row>
    <row r="485" spans="1:8">
      <c r="A485" s="948">
        <f>Aperçu!H39</f>
        <v>0</v>
      </c>
      <c r="B485" s="947">
        <v>485</v>
      </c>
      <c r="C485" s="1328" t="s">
        <v>2069</v>
      </c>
    </row>
    <row r="486" spans="1:8">
      <c r="A486" s="948" t="str">
        <f>Aperçu!K39</f>
        <v/>
      </c>
      <c r="B486" s="947">
        <v>486</v>
      </c>
      <c r="C486" s="1328" t="s">
        <v>2070</v>
      </c>
      <c r="G486" t="str">
        <f>A486&amp;"ss"</f>
        <v>ss</v>
      </c>
    </row>
    <row r="487" spans="1:8">
      <c r="A487" s="950">
        <f>IF(OR(A486=0,A486=""),1,VLOOKUP(A486,Eté!$P$11:$S$14,4,FALSE))-1</f>
        <v>0</v>
      </c>
      <c r="B487" s="1332">
        <v>487</v>
      </c>
      <c r="C487" s="1329" t="s">
        <v>2177</v>
      </c>
      <c r="D487" s="951"/>
      <c r="E487" s="951"/>
      <c r="F487" s="951"/>
      <c r="G487" s="951"/>
      <c r="H487" s="951"/>
    </row>
    <row r="488" spans="1:8">
      <c r="A488" s="948">
        <f>Entrées!C51</f>
        <v>0</v>
      </c>
      <c r="B488" s="947">
        <v>488</v>
      </c>
      <c r="C488" s="939" t="s">
        <v>2071</v>
      </c>
    </row>
    <row r="489" spans="1:8">
      <c r="A489" s="948">
        <f>Entrées!C55</f>
        <v>0</v>
      </c>
      <c r="B489" s="947">
        <v>489</v>
      </c>
      <c r="C489" s="939" t="s">
        <v>2073</v>
      </c>
    </row>
    <row r="490" spans="1:8">
      <c r="A490" s="948">
        <f>Entrées!C57</f>
        <v>0</v>
      </c>
      <c r="B490" s="947">
        <v>490</v>
      </c>
      <c r="C490" s="939" t="s">
        <v>2076</v>
      </c>
    </row>
    <row r="491" spans="1:8">
      <c r="A491" s="948">
        <f>Entrées!E53</f>
        <v>0</v>
      </c>
      <c r="B491" s="947">
        <v>491</v>
      </c>
      <c r="C491" s="939" t="s">
        <v>2072</v>
      </c>
    </row>
    <row r="492" spans="1:8">
      <c r="A492" s="948">
        <f>Entrées!G55</f>
        <v>0</v>
      </c>
      <c r="B492" s="947">
        <v>492</v>
      </c>
      <c r="C492" s="939" t="s">
        <v>2074</v>
      </c>
    </row>
    <row r="493" spans="1:8">
      <c r="A493" s="948">
        <f>Entrées!G57</f>
        <v>0</v>
      </c>
      <c r="B493" s="947">
        <v>493</v>
      </c>
      <c r="C493" s="939" t="s">
        <v>2075</v>
      </c>
    </row>
    <row r="494" spans="1:8">
      <c r="A494" s="948">
        <f>Entrées!D60</f>
        <v>0</v>
      </c>
      <c r="B494" s="947">
        <v>494</v>
      </c>
      <c r="C494" s="939" t="s">
        <v>2077</v>
      </c>
    </row>
    <row r="495" spans="1:8">
      <c r="A495" s="1326">
        <f>IF(A494=0,1,VLOOKUP(A494,Eté!$P$11:$S$14,4,FALSE))-1</f>
        <v>0</v>
      </c>
      <c r="B495" s="947">
        <v>495</v>
      </c>
      <c r="C495" s="939" t="s">
        <v>2178</v>
      </c>
    </row>
    <row r="496" spans="1:8">
      <c r="A496" s="950">
        <f>Entrées!G60</f>
        <v>0</v>
      </c>
      <c r="B496" s="1332">
        <v>496</v>
      </c>
      <c r="C496" s="1330" t="s">
        <v>2078</v>
      </c>
      <c r="D496" s="951"/>
      <c r="E496" s="951"/>
      <c r="F496" s="951"/>
      <c r="G496" s="951"/>
      <c r="H496" s="951"/>
    </row>
    <row r="497" spans="1:3">
      <c r="A497" s="948">
        <f>Justificatif!AL45</f>
        <v>0</v>
      </c>
      <c r="B497" s="948">
        <v>497</v>
      </c>
      <c r="C497" s="939" t="s">
        <v>2197</v>
      </c>
    </row>
    <row r="498" spans="1:3">
      <c r="A498" s="948">
        <f>MINERGIE!F41</f>
        <v>0</v>
      </c>
      <c r="B498" s="948">
        <v>498</v>
      </c>
      <c r="C498" s="1328" t="s">
        <v>2414</v>
      </c>
    </row>
    <row r="499" spans="1:3">
      <c r="A499" s="1326">
        <f>IF(A498=0,1,VLOOKUP(A498,Eté!$P$11:$S$14,4,FALSE))-1</f>
        <v>0</v>
      </c>
      <c r="B499" s="948">
        <v>499</v>
      </c>
      <c r="C499" s="1328" t="s">
        <v>2415</v>
      </c>
    </row>
    <row r="500" spans="1:3">
      <c r="A500" s="948">
        <f>MINERGIE!G41</f>
        <v>0</v>
      </c>
      <c r="B500" s="948">
        <v>500</v>
      </c>
      <c r="C500" s="1328" t="s">
        <v>2416</v>
      </c>
    </row>
    <row r="501" spans="1:3">
      <c r="A501" s="1326">
        <f>IF(A500=0,1,VLOOKUP(A500,Eté!$P$11:$S$14,4,FALSE))-1</f>
        <v>0</v>
      </c>
      <c r="B501" s="948">
        <v>501</v>
      </c>
      <c r="C501" s="1328" t="s">
        <v>2417</v>
      </c>
    </row>
    <row r="502" spans="1:3">
      <c r="A502" s="948">
        <f>MINERGIE!H41</f>
        <v>0</v>
      </c>
      <c r="B502" s="948">
        <v>502</v>
      </c>
      <c r="C502" s="1328" t="s">
        <v>2418</v>
      </c>
    </row>
    <row r="503" spans="1:3">
      <c r="A503" s="1326">
        <f>IF(A502=0,1,VLOOKUP(A502,Eté!$P$11:$S$14,4,FALSE))-1</f>
        <v>0</v>
      </c>
      <c r="B503" s="948">
        <v>503</v>
      </c>
      <c r="C503" s="1328" t="s">
        <v>2419</v>
      </c>
    </row>
    <row r="504" spans="1:3">
      <c r="A504" s="948">
        <f>MINERGIE!I41</f>
        <v>0</v>
      </c>
      <c r="B504" s="948">
        <v>504</v>
      </c>
      <c r="C504" s="1328" t="s">
        <v>2420</v>
      </c>
    </row>
    <row r="505" spans="1:3">
      <c r="A505" s="1326">
        <f>IF(A504=0,1,VLOOKUP(A504,Eté!$P$11:$S$14,4,FALSE))-1</f>
        <v>0</v>
      </c>
      <c r="B505" s="948">
        <v>505</v>
      </c>
      <c r="C505" s="1328" t="s">
        <v>2421</v>
      </c>
    </row>
    <row r="506" spans="1:3">
      <c r="A506" s="948">
        <f>Entrées!O2+Entrées!P2+Entrées!Q2+Entrées!R2</f>
        <v>0</v>
      </c>
      <c r="B506" s="948">
        <v>506</v>
      </c>
      <c r="C506" s="1328" t="s">
        <v>2422</v>
      </c>
    </row>
    <row r="507" spans="1:3">
      <c r="A507" s="948" t="str">
        <f>Aperçu!K41</f>
        <v>non</v>
      </c>
      <c r="B507" s="948">
        <v>507</v>
      </c>
      <c r="C507" s="1328" t="s">
        <v>2428</v>
      </c>
    </row>
    <row r="508" spans="1:3">
      <c r="A508" s="1326">
        <f>IF(A507=0,1,VLOOKUP(A507,Eté!$P$11:$S$14,4,FALSE))-1</f>
        <v>2</v>
      </c>
      <c r="B508" s="948">
        <v>508</v>
      </c>
      <c r="C508" s="1328" t="s">
        <v>2429</v>
      </c>
    </row>
    <row r="509" spans="1:3">
      <c r="A509" s="948">
        <f>MINERGIE!S15</f>
        <v>0</v>
      </c>
      <c r="B509" s="948">
        <v>509</v>
      </c>
      <c r="C509" s="1328" t="s">
        <v>2435</v>
      </c>
    </row>
    <row r="510" spans="1:3">
      <c r="A510" s="948">
        <f>Aperçu!K53</f>
        <v>0</v>
      </c>
      <c r="B510" s="948">
        <v>510</v>
      </c>
      <c r="C510" s="1328" t="s">
        <v>2436</v>
      </c>
    </row>
    <row r="511" spans="1:3">
      <c r="A511" s="948">
        <f>Aperçu!K57</f>
        <v>0</v>
      </c>
      <c r="B511" s="948">
        <v>511</v>
      </c>
      <c r="C511" s="1328" t="s">
        <v>2437</v>
      </c>
    </row>
    <row r="512" spans="1:3">
      <c r="A512" s="948">
        <f>Aperçu!K59</f>
        <v>0</v>
      </c>
      <c r="B512" s="948">
        <v>512</v>
      </c>
      <c r="C512" s="1328" t="s">
        <v>2438</v>
      </c>
    </row>
    <row r="513" spans="1:3">
      <c r="A513" s="948">
        <f>Aperçu!K61</f>
        <v>0</v>
      </c>
      <c r="B513" s="948">
        <v>513</v>
      </c>
      <c r="C513" s="1328" t="s">
        <v>2439</v>
      </c>
    </row>
    <row r="514" spans="1:3">
      <c r="A514" s="948">
        <f>Aperçu!K63</f>
        <v>0</v>
      </c>
      <c r="B514" s="948">
        <v>514</v>
      </c>
      <c r="C514" s="1328" t="s">
        <v>2440</v>
      </c>
    </row>
    <row r="515" spans="1:3">
      <c r="A515" s="948">
        <f>Aperçu!K65</f>
        <v>0</v>
      </c>
      <c r="B515" s="948">
        <v>515</v>
      </c>
      <c r="C515" s="1328" t="s">
        <v>2441</v>
      </c>
    </row>
    <row r="516" spans="1:3">
      <c r="A516" s="948">
        <f>Aperçu!K67</f>
        <v>0</v>
      </c>
      <c r="B516" s="948">
        <v>516</v>
      </c>
      <c r="C516" s="1328" t="s">
        <v>2442</v>
      </c>
    </row>
    <row r="517" spans="1:3">
      <c r="A517" s="948">
        <f>Justificatif!L39</f>
        <v>0</v>
      </c>
      <c r="B517" s="948">
        <v>517</v>
      </c>
      <c r="C517" s="1328" t="s">
        <v>2443</v>
      </c>
    </row>
    <row r="518" spans="1:3">
      <c r="A518" s="948">
        <f>Justificatif!L40</f>
        <v>0</v>
      </c>
      <c r="B518" s="948">
        <v>518</v>
      </c>
      <c r="C518" s="1328" t="s">
        <v>2444</v>
      </c>
    </row>
    <row r="519" spans="1:3">
      <c r="A519" s="948">
        <f>Justificatif!I47</f>
        <v>0</v>
      </c>
      <c r="B519" s="948">
        <v>519</v>
      </c>
      <c r="C519" s="1328" t="s">
        <v>2450</v>
      </c>
    </row>
    <row r="520" spans="1:3">
      <c r="A520" s="948">
        <f>Justificatif!I48</f>
        <v>0</v>
      </c>
      <c r="B520" s="948">
        <v>520</v>
      </c>
      <c r="C520" s="1328" t="s">
        <v>2451</v>
      </c>
    </row>
    <row r="521" spans="1:3">
      <c r="A521" s="948">
        <f>Justificatif!I49</f>
        <v>0</v>
      </c>
      <c r="B521" s="948">
        <v>521</v>
      </c>
      <c r="C521" s="1328" t="s">
        <v>2452</v>
      </c>
    </row>
    <row r="522" spans="1:3">
      <c r="A522" s="948">
        <f>Justificatif!I50</f>
        <v>0</v>
      </c>
      <c r="B522" s="948">
        <v>522</v>
      </c>
      <c r="C522" s="1328" t="s">
        <v>2453</v>
      </c>
    </row>
    <row r="523" spans="1:3">
      <c r="A523" s="948">
        <f>Justificatif!I51</f>
        <v>0</v>
      </c>
      <c r="B523" s="948">
        <v>523</v>
      </c>
      <c r="C523" s="1328" t="s">
        <v>2454</v>
      </c>
    </row>
    <row r="524" spans="1:3">
      <c r="A524" s="948">
        <f>Justificatif!J47</f>
        <v>0</v>
      </c>
      <c r="B524" s="948">
        <v>524</v>
      </c>
      <c r="C524" s="1328" t="s">
        <v>2455</v>
      </c>
    </row>
    <row r="525" spans="1:3">
      <c r="A525" s="948">
        <f>Justificatif!J48</f>
        <v>0</v>
      </c>
      <c r="B525" s="948">
        <v>525</v>
      </c>
      <c r="C525" s="1328" t="s">
        <v>2459</v>
      </c>
    </row>
    <row r="526" spans="1:3">
      <c r="A526" s="948">
        <f>Justificatif!J49</f>
        <v>0</v>
      </c>
      <c r="B526" s="948">
        <v>526</v>
      </c>
      <c r="C526" s="1328" t="s">
        <v>2458</v>
      </c>
    </row>
    <row r="527" spans="1:3">
      <c r="A527" s="948">
        <f>Justificatif!J50</f>
        <v>0</v>
      </c>
      <c r="B527" s="948">
        <v>527</v>
      </c>
      <c r="C527" s="1328" t="s">
        <v>2457</v>
      </c>
    </row>
    <row r="528" spans="1:3">
      <c r="A528" s="948">
        <f>Justificatif!J51</f>
        <v>0</v>
      </c>
      <c r="B528" s="948">
        <v>528</v>
      </c>
      <c r="C528" s="1328" t="s">
        <v>2456</v>
      </c>
    </row>
    <row r="529" spans="1:3">
      <c r="A529" s="948">
        <f>Justificatif!I52</f>
        <v>0</v>
      </c>
      <c r="B529" s="948">
        <v>529</v>
      </c>
      <c r="C529" s="1328" t="s">
        <v>2460</v>
      </c>
    </row>
    <row r="530" spans="1:3">
      <c r="A530" s="948">
        <f>Justificatif!I53</f>
        <v>0</v>
      </c>
      <c r="B530" s="948">
        <v>530</v>
      </c>
      <c r="C530" s="1328" t="s">
        <v>2461</v>
      </c>
    </row>
    <row r="531" spans="1:3">
      <c r="A531" s="948">
        <f>Aperçu!F42</f>
        <v>0</v>
      </c>
      <c r="B531" s="948">
        <v>531</v>
      </c>
      <c r="C531" s="1328" t="s">
        <v>2509</v>
      </c>
    </row>
    <row r="532" spans="1:3">
      <c r="A532" s="948">
        <f>Aperçu!H42</f>
        <v>0</v>
      </c>
      <c r="B532" s="948">
        <v>532</v>
      </c>
      <c r="C532" s="1328" t="s">
        <v>2510</v>
      </c>
    </row>
    <row r="533" spans="1:3">
      <c r="A533" s="948" t="str">
        <f>Aperçu!K42</f>
        <v>non</v>
      </c>
      <c r="B533" s="948">
        <v>533</v>
      </c>
      <c r="C533" s="1328" t="s">
        <v>2511</v>
      </c>
    </row>
    <row r="534" spans="1:3">
      <c r="A534" s="1326">
        <f>IF(A533=0,1,VLOOKUP(A533,Eté!$P$11:$S$14,4,FALSE))-1</f>
        <v>2</v>
      </c>
      <c r="B534" s="948">
        <v>534</v>
      </c>
      <c r="C534" s="1328" t="s">
        <v>2512</v>
      </c>
    </row>
    <row r="535" spans="1:3">
      <c r="A535" s="948" t="str">
        <f>Aperçu!F43</f>
        <v/>
      </c>
      <c r="B535" s="948">
        <v>535</v>
      </c>
      <c r="C535" s="1328" t="s">
        <v>2513</v>
      </c>
    </row>
    <row r="536" spans="1:3">
      <c r="A536" s="948" t="str">
        <f>Aperçu!H43</f>
        <v/>
      </c>
      <c r="B536" s="948">
        <v>536</v>
      </c>
      <c r="C536" s="1328" t="s">
        <v>2514</v>
      </c>
    </row>
    <row r="537" spans="1:3">
      <c r="A537" s="948">
        <f>Aperçu!K43</f>
        <v>0</v>
      </c>
      <c r="B537" s="948">
        <v>537</v>
      </c>
      <c r="C537" s="1328" t="s">
        <v>2515</v>
      </c>
    </row>
    <row r="538" spans="1:3">
      <c r="A538" s="1326">
        <f>IF(OR(A537="",A537=0),1,VLOOKUP(A537,Eté!$P$11:$S$14,4,FALSE))-1</f>
        <v>0</v>
      </c>
      <c r="B538" s="948">
        <v>538</v>
      </c>
      <c r="C538" s="1328" t="s">
        <v>2516</v>
      </c>
    </row>
    <row r="539" spans="1:3">
      <c r="A539" s="953">
        <f>MINERGIE!F17</f>
        <v>0</v>
      </c>
      <c r="B539" s="948">
        <v>539</v>
      </c>
      <c r="C539" s="1328" t="s">
        <v>2557</v>
      </c>
    </row>
    <row r="540" spans="1:3">
      <c r="A540" s="953">
        <f>MINERGIE!G17</f>
        <v>0</v>
      </c>
      <c r="B540" s="948">
        <v>540</v>
      </c>
      <c r="C540" s="1328" t="s">
        <v>2558</v>
      </c>
    </row>
    <row r="541" spans="1:3">
      <c r="A541" s="953">
        <f>MINERGIE!H17</f>
        <v>0</v>
      </c>
      <c r="B541" s="948">
        <v>541</v>
      </c>
      <c r="C541" s="1328" t="s">
        <v>2559</v>
      </c>
    </row>
    <row r="542" spans="1:3">
      <c r="A542" s="953">
        <f>MINERGIE!I17</f>
        <v>0</v>
      </c>
      <c r="B542" s="948">
        <v>542</v>
      </c>
      <c r="C542" s="1328" t="s">
        <v>2560</v>
      </c>
    </row>
    <row r="543" spans="1:3">
      <c r="A543" s="948">
        <f>MINERGIE!F45</f>
        <v>0</v>
      </c>
      <c r="B543" s="948">
        <v>543</v>
      </c>
      <c r="C543" s="1328" t="s">
        <v>2643</v>
      </c>
    </row>
    <row r="544" spans="1:3">
      <c r="A544" s="948">
        <f>IF(A543=0,1,VLOOKUP(A543,MINERGIE!$N$11:$P$13,3,FALSE))-1</f>
        <v>0</v>
      </c>
      <c r="B544" s="948">
        <v>544</v>
      </c>
      <c r="C544" s="1328" t="s">
        <v>2647</v>
      </c>
    </row>
    <row r="545" spans="1:3">
      <c r="A545" s="948">
        <f>MINERGIE!G45</f>
        <v>0</v>
      </c>
      <c r="B545" s="948">
        <v>545</v>
      </c>
      <c r="C545" s="1328" t="s">
        <v>2644</v>
      </c>
    </row>
    <row r="546" spans="1:3">
      <c r="A546" s="948">
        <f>IF(A545=0,1,VLOOKUP(A545,MINERGIE!$N$11:$P$13,3,FALSE))-1</f>
        <v>0</v>
      </c>
      <c r="B546" s="948">
        <v>546</v>
      </c>
      <c r="C546" s="1328" t="s">
        <v>2648</v>
      </c>
    </row>
    <row r="547" spans="1:3">
      <c r="A547" s="948">
        <f>MINERGIE!H45</f>
        <v>0</v>
      </c>
      <c r="B547" s="948">
        <v>547</v>
      </c>
      <c r="C547" s="1328" t="s">
        <v>2645</v>
      </c>
    </row>
    <row r="548" spans="1:3">
      <c r="A548" s="948">
        <f>IF(A547=0,1,VLOOKUP(A547,MINERGIE!$N$11:$P$13,3,FALSE))-1</f>
        <v>0</v>
      </c>
      <c r="B548" s="948">
        <v>548</v>
      </c>
      <c r="C548" s="1328" t="s">
        <v>2649</v>
      </c>
    </row>
    <row r="549" spans="1:3">
      <c r="A549" s="948">
        <f>MINERGIE!I45</f>
        <v>0</v>
      </c>
      <c r="B549" s="948">
        <v>549</v>
      </c>
      <c r="C549" s="1328" t="s">
        <v>2646</v>
      </c>
    </row>
    <row r="550" spans="1:3">
      <c r="A550" s="948">
        <f>IF(A549=0,1,VLOOKUP(A549,MINERGIE!$N$11:$P$13,3,FALSE))-1</f>
        <v>0</v>
      </c>
      <c r="B550" s="948">
        <v>550</v>
      </c>
      <c r="C550" s="1328" t="s">
        <v>2650</v>
      </c>
    </row>
    <row r="551" spans="1:3">
      <c r="A551" s="948">
        <f>MINERGIE!O56</f>
        <v>0</v>
      </c>
      <c r="B551" s="948">
        <v>551</v>
      </c>
      <c r="C551" s="1328" t="s">
        <v>2651</v>
      </c>
    </row>
    <row r="552" spans="1:3">
      <c r="A552" s="948">
        <f>MINERGIE!P56</f>
        <v>0</v>
      </c>
      <c r="B552" s="948">
        <v>552</v>
      </c>
      <c r="C552" s="1328" t="s">
        <v>2652</v>
      </c>
    </row>
    <row r="553" spans="1:3">
      <c r="A553" s="948">
        <f>MINERGIE!Q56</f>
        <v>0</v>
      </c>
      <c r="B553" s="948">
        <v>553</v>
      </c>
      <c r="C553" s="1328" t="s">
        <v>2653</v>
      </c>
    </row>
    <row r="554" spans="1:3">
      <c r="A554" s="948">
        <f>MINERGIE!R56</f>
        <v>0</v>
      </c>
      <c r="B554" s="948">
        <v>554</v>
      </c>
      <c r="C554" s="1328" t="s">
        <v>2654</v>
      </c>
    </row>
    <row r="555" spans="1:3">
      <c r="A555" s="948">
        <f>MINERGIE!S56</f>
        <v>0</v>
      </c>
      <c r="B555" s="948">
        <v>555</v>
      </c>
      <c r="C555" s="1328" t="s">
        <v>2655</v>
      </c>
    </row>
    <row r="556" spans="1:3">
      <c r="A556" s="948">
        <f>MINERGIE!O100</f>
        <v>0</v>
      </c>
      <c r="B556" s="948">
        <v>556</v>
      </c>
      <c r="C556" s="1328" t="s">
        <v>2656</v>
      </c>
    </row>
    <row r="557" spans="1:3">
      <c r="A557" s="948">
        <f>MINERGIE!P100</f>
        <v>0</v>
      </c>
      <c r="B557" s="948">
        <v>557</v>
      </c>
      <c r="C557" s="1328" t="s">
        <v>2657</v>
      </c>
    </row>
    <row r="558" spans="1:3">
      <c r="A558" s="948">
        <f>MINERGIE!Q100</f>
        <v>0</v>
      </c>
      <c r="B558" s="948">
        <v>558</v>
      </c>
      <c r="C558" s="1328" t="s">
        <v>2658</v>
      </c>
    </row>
    <row r="559" spans="1:3">
      <c r="A559" s="948">
        <f>MINERGIE!R100</f>
        <v>0</v>
      </c>
      <c r="B559" s="948">
        <v>559</v>
      </c>
      <c r="C559" s="1328" t="s">
        <v>2659</v>
      </c>
    </row>
    <row r="560" spans="1:3">
      <c r="A560" s="948">
        <f>MINERGIE!S100</f>
        <v>0</v>
      </c>
      <c r="B560" s="948">
        <v>560</v>
      </c>
      <c r="C560" s="1328" t="s">
        <v>2660</v>
      </c>
    </row>
    <row r="561" spans="1:3">
      <c r="A561" s="948">
        <f>MINERGIE!O94</f>
        <v>0</v>
      </c>
      <c r="B561" s="948">
        <v>561</v>
      </c>
      <c r="C561" s="1328" t="s">
        <v>2661</v>
      </c>
    </row>
    <row r="562" spans="1:3">
      <c r="A562" s="948">
        <f>MINERGIE!P94</f>
        <v>0</v>
      </c>
      <c r="B562" s="948">
        <v>562</v>
      </c>
      <c r="C562" s="1328" t="s">
        <v>2662</v>
      </c>
    </row>
    <row r="563" spans="1:3">
      <c r="A563" s="948">
        <f>MINERGIE!Q94</f>
        <v>0</v>
      </c>
      <c r="B563" s="948">
        <v>563</v>
      </c>
      <c r="C563" s="1328" t="s">
        <v>2663</v>
      </c>
    </row>
    <row r="564" spans="1:3">
      <c r="A564" s="948">
        <f>MINERGIE!R94</f>
        <v>0</v>
      </c>
      <c r="B564" s="948">
        <v>564</v>
      </c>
      <c r="C564" s="1328" t="s">
        <v>2664</v>
      </c>
    </row>
    <row r="565" spans="1:3">
      <c r="A565" s="948">
        <f>MINERGIE!S94</f>
        <v>0</v>
      </c>
      <c r="B565" s="948">
        <v>565</v>
      </c>
      <c r="C565" s="1328" t="s">
        <v>2665</v>
      </c>
    </row>
    <row r="566" spans="1:3">
      <c r="A566" s="948">
        <f>MINERGIE!O68</f>
        <v>0</v>
      </c>
      <c r="B566" s="948">
        <v>566</v>
      </c>
      <c r="C566" s="1328" t="s">
        <v>2666</v>
      </c>
    </row>
    <row r="567" spans="1:3">
      <c r="A567" s="948">
        <f>MINERGIE!P68</f>
        <v>0</v>
      </c>
      <c r="B567" s="948">
        <v>567</v>
      </c>
      <c r="C567" s="1328" t="s">
        <v>2667</v>
      </c>
    </row>
    <row r="568" spans="1:3">
      <c r="A568" s="948">
        <f>MINERGIE!Q68</f>
        <v>0</v>
      </c>
      <c r="B568" s="948">
        <v>568</v>
      </c>
      <c r="C568" s="1328" t="s">
        <v>2668</v>
      </c>
    </row>
    <row r="569" spans="1:3">
      <c r="A569" s="948">
        <f>MINERGIE!R68</f>
        <v>0</v>
      </c>
      <c r="B569" s="948">
        <v>569</v>
      </c>
      <c r="C569" s="1328" t="s">
        <v>2669</v>
      </c>
    </row>
    <row r="570" spans="1:3">
      <c r="A570" s="948">
        <f>MINERGIE!S68</f>
        <v>0</v>
      </c>
      <c r="B570" s="948">
        <v>570</v>
      </c>
      <c r="C570" s="1328" t="s">
        <v>2670</v>
      </c>
    </row>
    <row r="571" spans="1:3">
      <c r="A571" s="948">
        <f>MINERGIE!O59</f>
        <v>0</v>
      </c>
      <c r="B571" s="948">
        <v>571</v>
      </c>
      <c r="C571" s="1328" t="s">
        <v>2671</v>
      </c>
    </row>
    <row r="572" spans="1:3">
      <c r="A572" s="948">
        <f>MINERGIE!P59</f>
        <v>0</v>
      </c>
      <c r="B572" s="948">
        <v>572</v>
      </c>
      <c r="C572" s="1328" t="s">
        <v>2672</v>
      </c>
    </row>
    <row r="573" spans="1:3">
      <c r="A573" s="948">
        <f>MINERGIE!Q59</f>
        <v>0</v>
      </c>
      <c r="B573" s="948">
        <v>573</v>
      </c>
      <c r="C573" s="1328" t="s">
        <v>2673</v>
      </c>
    </row>
    <row r="574" spans="1:3">
      <c r="A574" s="948">
        <f>MINERGIE!R59</f>
        <v>0</v>
      </c>
      <c r="B574" s="948">
        <v>574</v>
      </c>
      <c r="C574" s="1328" t="s">
        <v>2674</v>
      </c>
    </row>
    <row r="575" spans="1:3">
      <c r="A575" s="948">
        <f>MINERGIE!S59</f>
        <v>0</v>
      </c>
      <c r="B575" s="948">
        <v>575</v>
      </c>
      <c r="C575" s="1328" t="s">
        <v>2675</v>
      </c>
    </row>
    <row r="576" spans="1:3">
      <c r="A576" s="948">
        <f>MINERGIE!O44</f>
        <v>0</v>
      </c>
      <c r="B576" s="948">
        <v>576</v>
      </c>
      <c r="C576" s="1328" t="s">
        <v>2676</v>
      </c>
    </row>
    <row r="577" spans="1:3">
      <c r="A577" s="948">
        <f>MINERGIE!P44</f>
        <v>0</v>
      </c>
      <c r="B577" s="948">
        <v>577</v>
      </c>
      <c r="C577" s="1328" t="s">
        <v>2677</v>
      </c>
    </row>
    <row r="578" spans="1:3">
      <c r="A578" s="948">
        <f>MINERGIE!Q44</f>
        <v>0</v>
      </c>
      <c r="B578" s="948">
        <v>578</v>
      </c>
      <c r="C578" s="1328" t="s">
        <v>2678</v>
      </c>
    </row>
    <row r="579" spans="1:3">
      <c r="A579" s="948">
        <f>MINERGIE!R44</f>
        <v>0</v>
      </c>
      <c r="B579" s="948">
        <v>579</v>
      </c>
      <c r="C579" s="1328" t="s">
        <v>2679</v>
      </c>
    </row>
    <row r="580" spans="1:3">
      <c r="A580" s="948">
        <f>MINERGIE!S44</f>
        <v>0</v>
      </c>
      <c r="B580" s="948">
        <v>580</v>
      </c>
      <c r="C580" s="1328" t="s">
        <v>2680</v>
      </c>
    </row>
    <row r="581" spans="1:3">
      <c r="A581" s="953">
        <f>MINERGIE!O15</f>
        <v>0</v>
      </c>
      <c r="B581" s="948">
        <v>581</v>
      </c>
      <c r="C581" s="1328" t="s">
        <v>2681</v>
      </c>
    </row>
    <row r="582" spans="1:3">
      <c r="A582" s="953">
        <f>MINERGIE!P15</f>
        <v>0</v>
      </c>
      <c r="B582" s="948">
        <v>582</v>
      </c>
      <c r="C582" s="1328" t="s">
        <v>2682</v>
      </c>
    </row>
    <row r="583" spans="1:3">
      <c r="A583" s="953">
        <f>MINERGIE!Q15</f>
        <v>0</v>
      </c>
      <c r="B583" s="948">
        <v>583</v>
      </c>
      <c r="C583" s="1328" t="s">
        <v>2683</v>
      </c>
    </row>
    <row r="584" spans="1:3">
      <c r="A584" s="953">
        <f>MINERGIE!R15</f>
        <v>0</v>
      </c>
      <c r="B584" s="948">
        <v>584</v>
      </c>
      <c r="C584" s="1328" t="s">
        <v>2684</v>
      </c>
    </row>
    <row r="585" spans="1:3">
      <c r="A585" s="948">
        <f>MINERGIE!S15</f>
        <v>0</v>
      </c>
      <c r="B585" s="948">
        <v>585</v>
      </c>
      <c r="C585" s="1328" t="s">
        <v>2685</v>
      </c>
    </row>
    <row r="586" spans="1:3">
      <c r="A586" s="953">
        <f>MINERGIE!O18</f>
        <v>0</v>
      </c>
      <c r="B586" s="948">
        <v>586</v>
      </c>
      <c r="C586" s="1328" t="s">
        <v>2686</v>
      </c>
    </row>
    <row r="587" spans="1:3">
      <c r="A587" s="953">
        <f>MINERGIE!P18</f>
        <v>0</v>
      </c>
      <c r="B587" s="948">
        <v>587</v>
      </c>
      <c r="C587" s="1328" t="s">
        <v>2687</v>
      </c>
    </row>
    <row r="588" spans="1:3">
      <c r="A588" s="953">
        <f>MINERGIE!Q18</f>
        <v>0</v>
      </c>
      <c r="B588" s="948">
        <v>588</v>
      </c>
      <c r="C588" s="1328" t="s">
        <v>2688</v>
      </c>
    </row>
    <row r="589" spans="1:3">
      <c r="A589" s="953">
        <f>MINERGIE!R18</f>
        <v>0</v>
      </c>
      <c r="B589" s="948">
        <v>589</v>
      </c>
      <c r="C589" s="1328" t="s">
        <v>2689</v>
      </c>
    </row>
    <row r="590" spans="1:3">
      <c r="A590" s="948">
        <f>MINERGIE!S18</f>
        <v>0</v>
      </c>
      <c r="B590" s="948">
        <v>590</v>
      </c>
      <c r="C590" s="1328" t="s">
        <v>2690</v>
      </c>
    </row>
    <row r="591" spans="1:3">
      <c r="A591" s="948">
        <f>MINERGIE!O103</f>
        <v>0</v>
      </c>
      <c r="B591" s="948">
        <v>591</v>
      </c>
      <c r="C591" s="1328" t="s">
        <v>2691</v>
      </c>
    </row>
    <row r="592" spans="1:3">
      <c r="A592" s="948">
        <f>MINERGIE!P103</f>
        <v>0</v>
      </c>
      <c r="B592" s="948">
        <v>592</v>
      </c>
      <c r="C592" s="1328" t="s">
        <v>2692</v>
      </c>
    </row>
    <row r="593" spans="1:10">
      <c r="A593" s="948">
        <f>MINERGIE!Q103</f>
        <v>0</v>
      </c>
      <c r="B593" s="948">
        <v>593</v>
      </c>
      <c r="C593" s="1328" t="s">
        <v>2693</v>
      </c>
    </row>
    <row r="594" spans="1:10">
      <c r="A594" s="948">
        <f>MINERGIE!R103</f>
        <v>0</v>
      </c>
      <c r="B594" s="948">
        <v>594</v>
      </c>
      <c r="C594" s="1328" t="s">
        <v>2694</v>
      </c>
    </row>
    <row r="595" spans="1:10">
      <c r="A595" s="948">
        <f>MINERGIE!S103</f>
        <v>0</v>
      </c>
      <c r="B595" s="948">
        <v>595</v>
      </c>
      <c r="C595" s="1328" t="s">
        <v>2695</v>
      </c>
    </row>
    <row r="596" spans="1:10">
      <c r="A596" s="948">
        <f>MINERGIE!O104</f>
        <v>0</v>
      </c>
      <c r="B596" s="948">
        <v>596</v>
      </c>
      <c r="C596" s="1328" t="s">
        <v>2696</v>
      </c>
    </row>
    <row r="597" spans="1:10">
      <c r="A597" s="948">
        <f>MINERGIE!P104</f>
        <v>0</v>
      </c>
      <c r="B597" s="948">
        <v>597</v>
      </c>
      <c r="C597" s="1328" t="s">
        <v>2697</v>
      </c>
    </row>
    <row r="598" spans="1:10">
      <c r="A598" s="948">
        <f>MINERGIE!Q104</f>
        <v>0</v>
      </c>
      <c r="B598" s="948">
        <v>598</v>
      </c>
      <c r="C598" s="1328" t="s">
        <v>2698</v>
      </c>
    </row>
    <row r="599" spans="1:10">
      <c r="A599" s="948">
        <f>MINERGIE!R104</f>
        <v>0</v>
      </c>
      <c r="B599" s="948">
        <v>599</v>
      </c>
      <c r="C599" s="1328" t="s">
        <v>2699</v>
      </c>
    </row>
    <row r="600" spans="1:10">
      <c r="A600" s="948">
        <f>MINERGIE!S104</f>
        <v>0</v>
      </c>
      <c r="B600" s="948">
        <v>600</v>
      </c>
      <c r="C600" s="1328" t="s">
        <v>2700</v>
      </c>
    </row>
    <row r="601" spans="1:10">
      <c r="A601" s="948">
        <f>MINERGIE!O109</f>
        <v>0</v>
      </c>
      <c r="B601" s="948">
        <v>601</v>
      </c>
      <c r="C601" s="1328" t="s">
        <v>2610</v>
      </c>
    </row>
    <row r="602" spans="1:10">
      <c r="A602" s="948">
        <f>MINERGIE!J118</f>
        <v>0</v>
      </c>
      <c r="B602" s="948">
        <v>602</v>
      </c>
      <c r="C602" s="1328" t="s">
        <v>2611</v>
      </c>
    </row>
    <row r="603" spans="1:10">
      <c r="A603" s="950">
        <f>MINERGIE!Z36</f>
        <v>0</v>
      </c>
      <c r="B603" s="950">
        <v>603</v>
      </c>
      <c r="C603" s="1329" t="s">
        <v>3891</v>
      </c>
      <c r="D603" s="951"/>
      <c r="E603" s="951"/>
      <c r="F603" s="951"/>
      <c r="G603" s="951"/>
      <c r="H603" s="951"/>
      <c r="I603" s="951"/>
      <c r="J603" s="951"/>
    </row>
    <row r="604" spans="1:10">
      <c r="A604" s="947">
        <f>Eté!I36</f>
        <v>0</v>
      </c>
      <c r="B604" s="947">
        <v>604</v>
      </c>
      <c r="C604" s="1328" t="s">
        <v>3308</v>
      </c>
      <c r="D604" s="1323"/>
      <c r="E604" s="1323"/>
    </row>
    <row r="605" spans="1:10">
      <c r="A605" s="1719">
        <f>IF(A604=0,1,VLOOKUP(A604,Eté!$P$11:$S$14,4,FALSE))-1</f>
        <v>0</v>
      </c>
      <c r="B605" s="947">
        <v>605</v>
      </c>
      <c r="C605" s="1328" t="s">
        <v>3307</v>
      </c>
    </row>
    <row r="606" spans="1:10">
      <c r="A606" s="947">
        <f>Eté!J36</f>
        <v>0</v>
      </c>
      <c r="B606" s="947">
        <v>606</v>
      </c>
      <c r="C606" s="1328" t="s">
        <v>3309</v>
      </c>
      <c r="D606" s="1323"/>
      <c r="E606" s="1323"/>
    </row>
    <row r="607" spans="1:10">
      <c r="A607" s="1719">
        <f>IF(A606=0,1,VLOOKUP(A606,Eté!$P$11:$S$14,4,FALSE))-1</f>
        <v>0</v>
      </c>
      <c r="B607" s="947">
        <v>607</v>
      </c>
      <c r="C607" s="1328" t="s">
        <v>3312</v>
      </c>
      <c r="D607" s="1323"/>
      <c r="E607" s="1323"/>
    </row>
    <row r="608" spans="1:10">
      <c r="A608" s="947">
        <f>Eté!K36</f>
        <v>0</v>
      </c>
      <c r="B608" s="947">
        <v>608</v>
      </c>
      <c r="C608" s="1328" t="s">
        <v>3310</v>
      </c>
    </row>
    <row r="609" spans="1:3">
      <c r="A609" s="1719">
        <f>IF(A608=0,1,VLOOKUP(A608,Eté!$P$11:$S$14,4,FALSE))-1</f>
        <v>0</v>
      </c>
      <c r="B609" s="947">
        <v>609</v>
      </c>
      <c r="C609" s="1328" t="s">
        <v>3311</v>
      </c>
    </row>
    <row r="610" spans="1:3">
      <c r="A610" s="947">
        <f>Eté!L36</f>
        <v>0</v>
      </c>
      <c r="B610" s="947">
        <v>610</v>
      </c>
      <c r="C610" s="1328" t="s">
        <v>3313</v>
      </c>
    </row>
    <row r="611" spans="1:3">
      <c r="A611" s="1719">
        <f>IF(A610=0,1,VLOOKUP(A610,Eté!$P$11:$S$14,4,FALSE))-1</f>
        <v>0</v>
      </c>
      <c r="B611" s="947">
        <v>611</v>
      </c>
      <c r="C611" s="1328" t="s">
        <v>3314</v>
      </c>
    </row>
    <row r="612" spans="1:3">
      <c r="A612" s="947" t="str">
        <f>Eté!H22</f>
        <v/>
      </c>
      <c r="B612" s="947">
        <v>612</v>
      </c>
      <c r="C612" s="1328" t="s">
        <v>3357</v>
      </c>
    </row>
    <row r="613" spans="1:3">
      <c r="A613" s="948" t="str">
        <f>Eté!H24</f>
        <v/>
      </c>
      <c r="B613" s="947">
        <v>613</v>
      </c>
      <c r="C613" s="1328" t="s">
        <v>3356</v>
      </c>
    </row>
    <row r="614" spans="1:3">
      <c r="A614" s="948" t="str">
        <f>Eté!H26</f>
        <v/>
      </c>
      <c r="B614" s="947">
        <v>614</v>
      </c>
      <c r="C614" s="1328" t="s">
        <v>3358</v>
      </c>
    </row>
    <row r="615" spans="1:3">
      <c r="A615" s="948" t="str">
        <f>Eté!H28</f>
        <v/>
      </c>
      <c r="B615" s="947">
        <v>615</v>
      </c>
      <c r="C615" s="1328" t="s">
        <v>3359</v>
      </c>
    </row>
    <row r="616" spans="1:3">
      <c r="A616" s="948">
        <f>Eté!I29</f>
        <v>0</v>
      </c>
      <c r="B616" s="947">
        <v>616</v>
      </c>
      <c r="C616" s="1328" t="s">
        <v>3360</v>
      </c>
    </row>
    <row r="617" spans="1:3">
      <c r="A617" s="1326">
        <f>IF(A616=0,1,VLOOKUP(A616,Eté!$P$11:$S$14,4,FALSE))-1</f>
        <v>0</v>
      </c>
      <c r="B617" s="947">
        <v>617</v>
      </c>
      <c r="C617" s="1328" t="s">
        <v>3361</v>
      </c>
    </row>
    <row r="618" spans="1:3">
      <c r="A618" s="948">
        <f>Eté!J29</f>
        <v>0</v>
      </c>
      <c r="B618" s="947">
        <v>618</v>
      </c>
      <c r="C618" s="1328" t="s">
        <v>3362</v>
      </c>
    </row>
    <row r="619" spans="1:3">
      <c r="A619" s="1326">
        <f>IF(A618=0,1,VLOOKUP(A618,Eté!$P$11:$S$14,4,FALSE))-1</f>
        <v>0</v>
      </c>
      <c r="B619" s="947">
        <v>619</v>
      </c>
      <c r="C619" s="1328" t="s">
        <v>3363</v>
      </c>
    </row>
    <row r="620" spans="1:3">
      <c r="A620" s="948">
        <f>Eté!K29</f>
        <v>0</v>
      </c>
      <c r="B620" s="947">
        <v>620</v>
      </c>
      <c r="C620" s="1328" t="s">
        <v>3364</v>
      </c>
    </row>
    <row r="621" spans="1:3">
      <c r="A621" s="1326">
        <f>IF(A620=0,1,VLOOKUP(A620,Eté!$P$11:$S$14,4,FALSE))-1</f>
        <v>0</v>
      </c>
      <c r="B621" s="947">
        <v>621</v>
      </c>
      <c r="C621" s="1328" t="s">
        <v>3365</v>
      </c>
    </row>
    <row r="622" spans="1:3">
      <c r="A622" s="948">
        <f>Eté!L29</f>
        <v>0</v>
      </c>
      <c r="B622" s="947">
        <v>622</v>
      </c>
      <c r="C622" s="1328" t="s">
        <v>3366</v>
      </c>
    </row>
    <row r="623" spans="1:3">
      <c r="A623" s="1326">
        <f>IF(A622=0,1,VLOOKUP(A622,Eté!$P$11:$S$14,4,FALSE))-1</f>
        <v>0</v>
      </c>
      <c r="B623" s="947">
        <v>623</v>
      </c>
      <c r="C623" s="1328" t="s">
        <v>3367</v>
      </c>
    </row>
    <row r="624" spans="1:3">
      <c r="A624" s="948" t="str">
        <f>Eté!U47</f>
        <v/>
      </c>
      <c r="B624" s="947">
        <v>624</v>
      </c>
      <c r="C624" s="1328" t="s">
        <v>3381</v>
      </c>
    </row>
    <row r="625" spans="1:3">
      <c r="A625" s="948" t="str">
        <f>Eté!V47</f>
        <v/>
      </c>
      <c r="B625" s="947">
        <v>625</v>
      </c>
      <c r="C625" s="1328" t="s">
        <v>3382</v>
      </c>
    </row>
    <row r="626" spans="1:3">
      <c r="A626" s="948" t="str">
        <f>Eté!W47</f>
        <v/>
      </c>
      <c r="B626" s="947">
        <v>626</v>
      </c>
      <c r="C626" s="1328" t="s">
        <v>3383</v>
      </c>
    </row>
    <row r="627" spans="1:3">
      <c r="A627" s="948" t="str">
        <f>Eté!X47</f>
        <v/>
      </c>
      <c r="B627" s="947">
        <v>627</v>
      </c>
      <c r="C627" s="1328" t="s">
        <v>3384</v>
      </c>
    </row>
    <row r="628" spans="1:3">
      <c r="A628" s="948" t="b">
        <f>Eté!S52</f>
        <v>0</v>
      </c>
      <c r="B628" s="947">
        <v>628</v>
      </c>
      <c r="C628" s="1328" t="s">
        <v>2428</v>
      </c>
    </row>
    <row r="629" spans="1:3">
      <c r="A629" s="948">
        <f>IF(A628,1,2)</f>
        <v>2</v>
      </c>
      <c r="B629" s="947">
        <v>629</v>
      </c>
      <c r="C629" s="1328" t="s">
        <v>3441</v>
      </c>
    </row>
    <row r="630" spans="1:3">
      <c r="A630" s="948">
        <f>IF(_SIA2009,2,1)</f>
        <v>1</v>
      </c>
      <c r="B630" s="947">
        <v>630</v>
      </c>
      <c r="C630" s="1328" t="s">
        <v>3559</v>
      </c>
    </row>
    <row r="631" spans="1:3">
      <c r="A631" s="948" t="str">
        <f>Entrées!F37</f>
        <v/>
      </c>
      <c r="B631" s="947">
        <v>631</v>
      </c>
      <c r="C631" s="1328" t="s">
        <v>3827</v>
      </c>
    </row>
    <row r="632" spans="1:3">
      <c r="A632" s="948" t="str">
        <f>Entrées!G37</f>
        <v/>
      </c>
      <c r="B632" s="947">
        <v>632</v>
      </c>
      <c r="C632" s="1328" t="s">
        <v>3828</v>
      </c>
    </row>
    <row r="633" spans="1:3">
      <c r="A633" s="948" t="str">
        <f>Entrées!H37</f>
        <v/>
      </c>
      <c r="B633" s="947">
        <v>633</v>
      </c>
      <c r="C633" s="1328" t="s">
        <v>3829</v>
      </c>
    </row>
    <row r="634" spans="1:3">
      <c r="A634" s="948" t="str">
        <f>Entrées!I37</f>
        <v/>
      </c>
      <c r="B634" s="947">
        <v>634</v>
      </c>
      <c r="C634" s="1328" t="s">
        <v>3830</v>
      </c>
    </row>
    <row r="635" spans="1:3">
      <c r="A635" s="1325">
        <f>MINERGIE!F21</f>
        <v>0</v>
      </c>
      <c r="B635" s="947">
        <v>635</v>
      </c>
      <c r="C635" s="1328" t="s">
        <v>3835</v>
      </c>
    </row>
    <row r="636" spans="1:3">
      <c r="A636" s="1325">
        <f>MINERGIE!G21</f>
        <v>0</v>
      </c>
      <c r="B636" s="947">
        <v>636</v>
      </c>
      <c r="C636" s="1328" t="s">
        <v>3836</v>
      </c>
    </row>
    <row r="637" spans="1:3">
      <c r="A637" s="1325">
        <f>MINERGIE!H21</f>
        <v>0</v>
      </c>
      <c r="B637" s="947">
        <v>637</v>
      </c>
      <c r="C637" s="1328" t="s">
        <v>3837</v>
      </c>
    </row>
    <row r="638" spans="1:3">
      <c r="A638" s="1325">
        <f>MINERGIE!I21</f>
        <v>0</v>
      </c>
      <c r="B638" s="947">
        <v>638</v>
      </c>
      <c r="C638" s="1328" t="s">
        <v>3838</v>
      </c>
    </row>
    <row r="639" spans="1:3">
      <c r="A639" s="948">
        <f>MINERGIE!V77</f>
        <v>0</v>
      </c>
      <c r="B639" s="947">
        <v>639</v>
      </c>
      <c r="C639" s="1328" t="s">
        <v>3831</v>
      </c>
    </row>
    <row r="640" spans="1:3">
      <c r="A640" s="948">
        <f>MINERGIE!W77</f>
        <v>0</v>
      </c>
      <c r="B640" s="947">
        <v>640</v>
      </c>
      <c r="C640" s="1328" t="s">
        <v>3832</v>
      </c>
    </row>
    <row r="641" spans="1:3">
      <c r="A641" s="948">
        <f>MINERGIE!X77</f>
        <v>0</v>
      </c>
      <c r="B641" s="947">
        <v>641</v>
      </c>
      <c r="C641" s="1328" t="s">
        <v>3833</v>
      </c>
    </row>
    <row r="642" spans="1:3">
      <c r="A642" s="948">
        <f>MINERGIE!Y77</f>
        <v>0</v>
      </c>
      <c r="B642" s="947">
        <v>642</v>
      </c>
      <c r="C642" s="1328" t="s">
        <v>3834</v>
      </c>
    </row>
    <row r="643" spans="1:3">
      <c r="A643" s="948">
        <f>MINERGIE!F41</f>
        <v>0</v>
      </c>
      <c r="B643" s="947">
        <v>643</v>
      </c>
      <c r="C643" s="1328" t="s">
        <v>3839</v>
      </c>
    </row>
    <row r="644" spans="1:3">
      <c r="A644" s="948">
        <f>IF(A643=0,1,VLOOKUP(A643,MINERGIE!$N$11:$T$13,6,FALSE))-1</f>
        <v>0</v>
      </c>
      <c r="B644" s="947">
        <v>644</v>
      </c>
      <c r="C644" s="1328" t="s">
        <v>3850</v>
      </c>
    </row>
    <row r="645" spans="1:3">
      <c r="A645" s="948">
        <f>MINERGIE!G41</f>
        <v>0</v>
      </c>
      <c r="B645" s="947">
        <v>645</v>
      </c>
      <c r="C645" s="1328" t="s">
        <v>3840</v>
      </c>
    </row>
    <row r="646" spans="1:3">
      <c r="A646" s="948">
        <f>IF(A645=0,1,VLOOKUP(A645,MINERGIE!$N$11:$T$13,6,FALSE))-1</f>
        <v>0</v>
      </c>
      <c r="B646" s="947">
        <v>646</v>
      </c>
      <c r="C646" s="1328" t="s">
        <v>3849</v>
      </c>
    </row>
    <row r="647" spans="1:3">
      <c r="A647" s="948">
        <f>MINERGIE!H41</f>
        <v>0</v>
      </c>
      <c r="B647" s="947">
        <v>647</v>
      </c>
      <c r="C647" s="1328" t="s">
        <v>3841</v>
      </c>
    </row>
    <row r="648" spans="1:3">
      <c r="A648" s="948">
        <f>IF(A647=0,1,VLOOKUP(A647,MINERGIE!$N$11:$T$13,6,FALSE))-1</f>
        <v>0</v>
      </c>
      <c r="B648" s="947">
        <v>648</v>
      </c>
      <c r="C648" s="1328" t="s">
        <v>3848</v>
      </c>
    </row>
    <row r="649" spans="1:3">
      <c r="A649" s="948">
        <f>MINERGIE!I41</f>
        <v>0</v>
      </c>
      <c r="B649" s="947">
        <v>649</v>
      </c>
      <c r="C649" s="1328" t="s">
        <v>3842</v>
      </c>
    </row>
    <row r="650" spans="1:3">
      <c r="A650" s="948">
        <f>IF(A649=0,1,VLOOKUP(A649,MINERGIE!$N$11:$T$13,6,FALSE))-1</f>
        <v>0</v>
      </c>
      <c r="B650" s="947">
        <v>650</v>
      </c>
      <c r="C650" s="1328" t="s">
        <v>3847</v>
      </c>
    </row>
    <row r="651" spans="1:3">
      <c r="A651" s="948">
        <f>MINERGIE!F45</f>
        <v>0</v>
      </c>
      <c r="B651" s="947">
        <v>651</v>
      </c>
      <c r="C651" s="1328" t="s">
        <v>3858</v>
      </c>
    </row>
    <row r="652" spans="1:3">
      <c r="A652" s="948">
        <f>IF(A651=0,1,VLOOKUP(A651,MINERGIE!$N$11:$T$13,6,FALSE))-1</f>
        <v>0</v>
      </c>
      <c r="B652" s="947">
        <v>652</v>
      </c>
      <c r="C652" s="1328" t="s">
        <v>3851</v>
      </c>
    </row>
    <row r="653" spans="1:3">
      <c r="A653" s="948">
        <f>MINERGIE!G45</f>
        <v>0</v>
      </c>
      <c r="B653" s="947">
        <v>653</v>
      </c>
      <c r="C653" s="1328" t="s">
        <v>3857</v>
      </c>
    </row>
    <row r="654" spans="1:3">
      <c r="A654" s="948">
        <f>IF(A653=0,1,VLOOKUP(A653,MINERGIE!$N$11:$T$13,6,FALSE))-1</f>
        <v>0</v>
      </c>
      <c r="B654" s="947">
        <v>654</v>
      </c>
      <c r="C654" s="1328" t="s">
        <v>3856</v>
      </c>
    </row>
    <row r="655" spans="1:3">
      <c r="A655" s="948">
        <f>MINERGIE!H45</f>
        <v>0</v>
      </c>
      <c r="B655" s="947">
        <v>655</v>
      </c>
      <c r="C655" s="1328" t="s">
        <v>3854</v>
      </c>
    </row>
    <row r="656" spans="1:3">
      <c r="A656" s="948">
        <f>IF(A655=0,1,VLOOKUP(A655,MINERGIE!$N$11:$T$13,6,FALSE))-1</f>
        <v>0</v>
      </c>
      <c r="B656" s="947">
        <v>656</v>
      </c>
      <c r="C656" s="1328" t="s">
        <v>3853</v>
      </c>
    </row>
    <row r="657" spans="1:3">
      <c r="A657" s="948">
        <f>MINERGIE!I45</f>
        <v>0</v>
      </c>
      <c r="B657" s="947">
        <v>657</v>
      </c>
      <c r="C657" s="1328" t="s">
        <v>3855</v>
      </c>
    </row>
    <row r="658" spans="1:3">
      <c r="A658" s="948">
        <f>IF(A657=0,1,VLOOKUP(A657,MINERGIE!$N$11:$T$13,6,FALSE))-1</f>
        <v>0</v>
      </c>
      <c r="B658" s="947">
        <v>658</v>
      </c>
      <c r="C658" s="1328" t="s">
        <v>3852</v>
      </c>
    </row>
    <row r="659" spans="1:3">
      <c r="A659" s="948">
        <f>MINERGIE!F48</f>
        <v>0</v>
      </c>
      <c r="B659" s="947">
        <v>659</v>
      </c>
      <c r="C659" s="1328" t="s">
        <v>3843</v>
      </c>
    </row>
    <row r="660" spans="1:3">
      <c r="A660" s="948">
        <f>MINERGIE!G48</f>
        <v>0</v>
      </c>
      <c r="B660" s="947">
        <v>660</v>
      </c>
      <c r="C660" s="1328" t="s">
        <v>3846</v>
      </c>
    </row>
    <row r="661" spans="1:3">
      <c r="A661" s="948">
        <f>MINERGIE!H48</f>
        <v>0</v>
      </c>
      <c r="B661" s="947">
        <v>661</v>
      </c>
      <c r="C661" s="1328" t="s">
        <v>3845</v>
      </c>
    </row>
    <row r="662" spans="1:3">
      <c r="A662" s="948">
        <f>MINERGIE!I48</f>
        <v>0</v>
      </c>
      <c r="B662" s="947">
        <v>662</v>
      </c>
      <c r="C662" s="1328" t="s">
        <v>3844</v>
      </c>
    </row>
    <row r="663" spans="1:3">
      <c r="A663" s="948">
        <f>MINERGIE!E117</f>
        <v>0</v>
      </c>
      <c r="B663" s="947">
        <v>663</v>
      </c>
      <c r="C663" s="1328" t="s">
        <v>2608</v>
      </c>
    </row>
    <row r="664" spans="1:3">
      <c r="A664" s="1325">
        <f>MINERGIE!I63</f>
        <v>0</v>
      </c>
      <c r="B664" s="947">
        <v>664</v>
      </c>
      <c r="C664" s="1328" t="s">
        <v>3859</v>
      </c>
    </row>
    <row r="665" spans="1:3">
      <c r="A665" s="948">
        <f>IF(A664=0,1,VLOOKUP(A664,MINERGIE!$N$11:$T$13,6,FALSE))-1</f>
        <v>0</v>
      </c>
      <c r="B665" s="947">
        <v>665</v>
      </c>
      <c r="C665" s="1328" t="s">
        <v>3860</v>
      </c>
    </row>
    <row r="666" spans="1:3">
      <c r="A666" s="1325">
        <f>MINERGIE!I72</f>
        <v>0</v>
      </c>
      <c r="B666" s="947">
        <v>666</v>
      </c>
      <c r="C666" s="1328" t="s">
        <v>3370</v>
      </c>
    </row>
    <row r="667" spans="1:3">
      <c r="A667" s="948">
        <f>IF(A666=0,1,VLOOKUP(A666,MINERGIE!$N$11:$T$14,7,FALSE))-1</f>
        <v>0</v>
      </c>
      <c r="B667" s="947">
        <v>667</v>
      </c>
      <c r="C667" s="1328" t="s">
        <v>3861</v>
      </c>
    </row>
    <row r="668" spans="1:3">
      <c r="A668" s="948">
        <f>Eté!I35</f>
        <v>0</v>
      </c>
      <c r="B668" s="947">
        <v>668</v>
      </c>
      <c r="C668" s="1328" t="s">
        <v>3862</v>
      </c>
    </row>
    <row r="669" spans="1:3">
      <c r="A669" s="1326">
        <f>IF(A668=0,1,VLOOKUP(A668,Eté!$P$11:$S$14,4,FALSE))-1</f>
        <v>0</v>
      </c>
      <c r="B669" s="947">
        <v>669</v>
      </c>
      <c r="C669" s="1328" t="s">
        <v>3863</v>
      </c>
    </row>
    <row r="670" spans="1:3">
      <c r="A670" s="948">
        <f>Eté!J35</f>
        <v>0</v>
      </c>
      <c r="B670" s="947">
        <v>670</v>
      </c>
      <c r="C670" s="1328" t="s">
        <v>3867</v>
      </c>
    </row>
    <row r="671" spans="1:3">
      <c r="A671" s="1326">
        <f>IF(A670=0,1,VLOOKUP(A670,Eté!$P$11:$S$14,4,FALSE))-1</f>
        <v>0</v>
      </c>
      <c r="B671" s="947">
        <v>671</v>
      </c>
      <c r="C671" s="1328" t="s">
        <v>3866</v>
      </c>
    </row>
    <row r="672" spans="1:3">
      <c r="A672" s="948">
        <f>Eté!K35</f>
        <v>0</v>
      </c>
      <c r="B672" s="947">
        <v>672</v>
      </c>
      <c r="C672" s="1328" t="s">
        <v>3868</v>
      </c>
    </row>
    <row r="673" spans="1:3">
      <c r="A673" s="1326">
        <f>IF(A672=0,1,VLOOKUP(A672,Eté!$P$11:$S$14,4,FALSE))-1</f>
        <v>0</v>
      </c>
      <c r="B673" s="947">
        <v>673</v>
      </c>
      <c r="C673" s="1328" t="s">
        <v>3865</v>
      </c>
    </row>
    <row r="674" spans="1:3">
      <c r="A674" s="948">
        <f>Eté!L35</f>
        <v>0</v>
      </c>
      <c r="B674" s="947">
        <v>674</v>
      </c>
      <c r="C674" s="1328" t="s">
        <v>3869</v>
      </c>
    </row>
    <row r="675" spans="1:3">
      <c r="A675" s="1326">
        <f>IF(A674=0,1,VLOOKUP(A674,Eté!$P$11:$S$14,4,FALSE))-1</f>
        <v>0</v>
      </c>
      <c r="B675" s="947">
        <v>675</v>
      </c>
      <c r="C675" s="1328" t="s">
        <v>3864</v>
      </c>
    </row>
    <row r="676" spans="1:3">
      <c r="A676" s="948">
        <f>Eté!I36</f>
        <v>0</v>
      </c>
      <c r="B676" s="947">
        <v>676</v>
      </c>
      <c r="C676" s="1328" t="s">
        <v>3870</v>
      </c>
    </row>
    <row r="677" spans="1:3">
      <c r="A677" s="1326">
        <f>IF(A676=0,1,VLOOKUP(A676,Eté!$P$11:$S$14,4,FALSE))-1</f>
        <v>0</v>
      </c>
      <c r="B677" s="947">
        <v>677</v>
      </c>
      <c r="C677" s="1328" t="s">
        <v>3871</v>
      </c>
    </row>
    <row r="678" spans="1:3">
      <c r="A678" s="948">
        <f>Eté!J36</f>
        <v>0</v>
      </c>
      <c r="B678" s="947">
        <v>678</v>
      </c>
      <c r="C678" s="1328" t="s">
        <v>3872</v>
      </c>
    </row>
    <row r="679" spans="1:3">
      <c r="A679" s="1326">
        <f>IF(A678=0,1,VLOOKUP(A678,Eté!$P$11:$S$14,4,FALSE))-1</f>
        <v>0</v>
      </c>
      <c r="B679" s="947">
        <v>679</v>
      </c>
      <c r="C679" s="1328" t="s">
        <v>3873</v>
      </c>
    </row>
    <row r="680" spans="1:3">
      <c r="A680" s="948">
        <f>Eté!K36</f>
        <v>0</v>
      </c>
      <c r="B680" s="947">
        <v>680</v>
      </c>
      <c r="C680" s="1328" t="s">
        <v>3874</v>
      </c>
    </row>
    <row r="681" spans="1:3">
      <c r="A681" s="1326">
        <f>IF(A680=0,1,VLOOKUP(A680,Eté!$P$11:$S$14,4,FALSE))-1</f>
        <v>0</v>
      </c>
      <c r="B681" s="947">
        <v>681</v>
      </c>
      <c r="C681" s="1328" t="s">
        <v>3875</v>
      </c>
    </row>
    <row r="682" spans="1:3">
      <c r="A682" s="948">
        <f>Eté!L36</f>
        <v>0</v>
      </c>
      <c r="B682" s="947">
        <v>682</v>
      </c>
      <c r="C682" s="1328" t="s">
        <v>3876</v>
      </c>
    </row>
    <row r="683" spans="1:3">
      <c r="A683" s="1326">
        <f>IF(A682=0,1,VLOOKUP(A682,Eté!$P$11:$S$14,4,FALSE))-1</f>
        <v>0</v>
      </c>
      <c r="B683" s="947">
        <v>683</v>
      </c>
      <c r="C683" s="1328" t="s">
        <v>3877</v>
      </c>
    </row>
    <row r="684" spans="1:3">
      <c r="A684" s="948">
        <f>Eté!B43</f>
        <v>0</v>
      </c>
      <c r="B684" s="947">
        <v>684</v>
      </c>
      <c r="C684" s="1328" t="s">
        <v>3878</v>
      </c>
    </row>
    <row r="685" spans="1:3">
      <c r="A685" s="948">
        <f>Eté!I47</f>
        <v>0</v>
      </c>
      <c r="B685" s="947">
        <v>685</v>
      </c>
      <c r="C685" s="1328" t="s">
        <v>3879</v>
      </c>
    </row>
    <row r="686" spans="1:3">
      <c r="A686" s="1326">
        <f>IF(A685=0,1,VLOOKUP(A685,Eté!$P$11:$S$14,4,FALSE))-1</f>
        <v>0</v>
      </c>
      <c r="B686" s="947">
        <v>686</v>
      </c>
      <c r="C686" s="1328" t="s">
        <v>3880</v>
      </c>
    </row>
    <row r="687" spans="1:3">
      <c r="A687" s="948">
        <f>Eté!J47</f>
        <v>0</v>
      </c>
      <c r="B687" s="947">
        <v>687</v>
      </c>
      <c r="C687" s="1328" t="s">
        <v>3881</v>
      </c>
    </row>
    <row r="688" spans="1:3">
      <c r="A688" s="1326">
        <f>IF(A687=0,1,VLOOKUP(A687,Eté!$P$11:$S$14,4,FALSE))-1</f>
        <v>0</v>
      </c>
      <c r="B688" s="947">
        <v>688</v>
      </c>
      <c r="C688" s="1328" t="s">
        <v>3882</v>
      </c>
    </row>
    <row r="689" spans="1:4">
      <c r="A689" s="948">
        <f>Eté!K47</f>
        <v>0</v>
      </c>
      <c r="B689" s="947">
        <v>689</v>
      </c>
      <c r="C689" s="1328" t="s">
        <v>3883</v>
      </c>
    </row>
    <row r="690" spans="1:4">
      <c r="A690" s="1326">
        <f>IF(A689=0,1,VLOOKUP(A689,Eté!$P$11:$S$14,4,FALSE))-1</f>
        <v>0</v>
      </c>
      <c r="B690" s="947">
        <v>690</v>
      </c>
      <c r="C690" s="1328" t="s">
        <v>3884</v>
      </c>
    </row>
    <row r="691" spans="1:4">
      <c r="A691" s="948">
        <f>Eté!L47</f>
        <v>0</v>
      </c>
      <c r="B691" s="947">
        <v>691</v>
      </c>
      <c r="C691" s="1328" t="s">
        <v>3885</v>
      </c>
    </row>
    <row r="692" spans="1:4">
      <c r="A692" s="1326">
        <f>IF(A691=0,1,VLOOKUP(A691,Eté!$P$11:$S$14,4,FALSE))-1</f>
        <v>0</v>
      </c>
      <c r="B692" s="947">
        <v>692</v>
      </c>
      <c r="C692" s="1328" t="s">
        <v>3886</v>
      </c>
    </row>
    <row r="693" spans="1:4">
      <c r="A693" s="948">
        <f>Aperçu!F42</f>
        <v>0</v>
      </c>
      <c r="B693" s="947">
        <v>693</v>
      </c>
      <c r="C693" s="1328" t="s">
        <v>3887</v>
      </c>
    </row>
    <row r="694" spans="1:4">
      <c r="A694" s="948">
        <f>Aperçu!H42</f>
        <v>0</v>
      </c>
      <c r="B694" s="947">
        <v>694</v>
      </c>
      <c r="C694" s="1328" t="s">
        <v>3888</v>
      </c>
    </row>
    <row r="695" spans="1:4">
      <c r="A695" s="948" t="str">
        <f>IF(A693&lt;&gt;"",Aperçu!K42,"")</f>
        <v>non</v>
      </c>
      <c r="B695" s="947">
        <v>695</v>
      </c>
      <c r="C695" s="1328" t="s">
        <v>3889</v>
      </c>
    </row>
    <row r="696" spans="1:4">
      <c r="A696" s="1326">
        <f>IF(A695="",1,VLOOKUP(A695,Eté!$P$11:$S$14,4,FALSE))-1</f>
        <v>2</v>
      </c>
      <c r="B696" s="947">
        <v>696</v>
      </c>
      <c r="C696" s="1328" t="s">
        <v>3890</v>
      </c>
    </row>
    <row r="697" spans="1:4">
      <c r="A697" s="948">
        <f>MINERGIE!F36</f>
        <v>0</v>
      </c>
      <c r="B697" s="947">
        <v>697</v>
      </c>
      <c r="C697" s="1328" t="s">
        <v>3985</v>
      </c>
    </row>
    <row r="698" spans="1:4">
      <c r="A698" s="948">
        <f>IF(A697=0,1,VLOOKUP(A697,MINERGIE!$N$11:$P$13,3,FALSE))-1</f>
        <v>0</v>
      </c>
      <c r="B698" s="947">
        <v>698</v>
      </c>
      <c r="C698" s="1328" t="s">
        <v>3986</v>
      </c>
      <c r="D698" s="1323"/>
    </row>
    <row r="699" spans="1:4">
      <c r="A699" s="948">
        <f>MINERGIE!G36</f>
        <v>0</v>
      </c>
      <c r="B699" s="947">
        <v>699</v>
      </c>
      <c r="C699" s="1328" t="s">
        <v>3987</v>
      </c>
    </row>
    <row r="700" spans="1:4">
      <c r="A700" s="948">
        <f>IF(A699=0,1,VLOOKUP(A699,MINERGIE!$N$11:$P$13,3,FALSE))-1</f>
        <v>0</v>
      </c>
      <c r="B700" s="947">
        <v>700</v>
      </c>
      <c r="C700" s="1328" t="s">
        <v>3988</v>
      </c>
    </row>
    <row r="701" spans="1:4">
      <c r="A701" s="948">
        <f>MINERGIE!H36</f>
        <v>0</v>
      </c>
      <c r="B701" s="947">
        <v>701</v>
      </c>
      <c r="C701" s="1328" t="s">
        <v>3989</v>
      </c>
    </row>
    <row r="702" spans="1:4">
      <c r="A702" s="948">
        <f>IF(A701=0,1,VLOOKUP(A701,MINERGIE!$N$11:$P$13,3,FALSE))-1</f>
        <v>0</v>
      </c>
      <c r="B702" s="947">
        <v>702</v>
      </c>
      <c r="C702" s="1328" t="s">
        <v>3990</v>
      </c>
    </row>
    <row r="703" spans="1:4">
      <c r="A703" s="948">
        <f>MINERGIE!I36</f>
        <v>0</v>
      </c>
      <c r="B703" s="947">
        <v>703</v>
      </c>
      <c r="C703" s="1328" t="s">
        <v>3991</v>
      </c>
    </row>
    <row r="704" spans="1:4">
      <c r="A704" s="948">
        <f>IF(A703=0,1,VLOOKUP(A703,MINERGIE!$N$11:$P$13,3,FALSE))-1</f>
        <v>0</v>
      </c>
      <c r="B704" s="947">
        <v>704</v>
      </c>
      <c r="C704" s="1328" t="s">
        <v>3992</v>
      </c>
    </row>
    <row r="705" spans="1:3">
      <c r="A705" s="948">
        <f>IF(AlleZonenNeu,GF_1,)</f>
        <v>0</v>
      </c>
      <c r="B705" s="947">
        <v>705</v>
      </c>
      <c r="C705" s="1328" t="s">
        <v>4611</v>
      </c>
    </row>
    <row r="706" spans="1:3">
      <c r="A706" s="947">
        <f>IF(AlleZonenNeu,Construction!F24,)</f>
        <v>0</v>
      </c>
      <c r="B706" s="947">
        <v>706</v>
      </c>
      <c r="C706" s="1328" t="s">
        <v>4034</v>
      </c>
    </row>
    <row r="707" spans="1:3">
      <c r="A707" s="948">
        <f>IF(AlleZonenNeu,Construction!K24,)</f>
        <v>0</v>
      </c>
      <c r="B707" s="947">
        <v>707</v>
      </c>
      <c r="C707" s="1328" t="s">
        <v>4613</v>
      </c>
    </row>
    <row r="708" spans="1:3">
      <c r="A708" s="947">
        <f>IF(AlleZonenNeu,Construction!F25,)</f>
        <v>0</v>
      </c>
      <c r="B708" s="947">
        <v>708</v>
      </c>
      <c r="C708" s="1328" t="s">
        <v>4033</v>
      </c>
    </row>
    <row r="709" spans="1:3">
      <c r="A709" s="948">
        <f>IF(AlleZonenNeu,Construction!K25,)</f>
        <v>0</v>
      </c>
      <c r="B709" s="947">
        <v>709</v>
      </c>
      <c r="C709" s="1328" t="s">
        <v>4612</v>
      </c>
    </row>
    <row r="710" spans="1:3">
      <c r="A710" s="947">
        <f>IF(AlleZonenNeu,Construction!F26,)</f>
        <v>0</v>
      </c>
      <c r="B710" s="947">
        <v>710</v>
      </c>
      <c r="C710" s="1328" t="s">
        <v>4031</v>
      </c>
    </row>
    <row r="711" spans="1:3">
      <c r="A711" s="948">
        <f>IF(AlleZonenNeu,Construction!K26,)</f>
        <v>0</v>
      </c>
      <c r="B711" s="947">
        <v>711</v>
      </c>
      <c r="C711" s="1328" t="s">
        <v>4614</v>
      </c>
    </row>
    <row r="712" spans="1:3">
      <c r="A712" s="947">
        <f>IF(AlleZonenNeu,Construction!F27,)</f>
        <v>0</v>
      </c>
      <c r="B712" s="947">
        <v>712</v>
      </c>
      <c r="C712" s="1328" t="s">
        <v>4027</v>
      </c>
    </row>
    <row r="713" spans="1:3">
      <c r="A713" s="948">
        <f>IF(AlleZonenNeu,Construction!K27,)</f>
        <v>0</v>
      </c>
      <c r="B713" s="947">
        <v>713</v>
      </c>
      <c r="C713" s="1328" t="s">
        <v>4615</v>
      </c>
    </row>
    <row r="714" spans="1:3">
      <c r="A714" s="947">
        <f>IF(AlleZonenNeu,Construction!F28,)</f>
        <v>0</v>
      </c>
      <c r="B714" s="947">
        <v>714</v>
      </c>
      <c r="C714" s="1328" t="s">
        <v>4032</v>
      </c>
    </row>
    <row r="715" spans="1:3">
      <c r="A715" s="948">
        <f>IF(AlleZonenNeu,Construction!K28,)</f>
        <v>0</v>
      </c>
      <c r="B715" s="947">
        <v>715</v>
      </c>
      <c r="C715" s="1328" t="s">
        <v>4759</v>
      </c>
    </row>
    <row r="716" spans="1:3">
      <c r="A716" s="947">
        <f>IF(AlleZonenNeu,Construction!F29/100,)</f>
        <v>0</v>
      </c>
      <c r="B716" s="947">
        <v>716</v>
      </c>
      <c r="C716" s="1328" t="s">
        <v>4029</v>
      </c>
    </row>
    <row r="717" spans="1:3">
      <c r="A717" s="948">
        <f>IF(AlleZonenNeu,Construction!K29,)</f>
        <v>0</v>
      </c>
      <c r="B717" s="947">
        <v>717</v>
      </c>
      <c r="C717" s="1328" t="s">
        <v>4616</v>
      </c>
    </row>
    <row r="718" spans="1:3">
      <c r="A718" s="947">
        <f>IF(AlleZonenNeu,Construction!F30,)</f>
        <v>0</v>
      </c>
      <c r="B718" s="947">
        <v>718</v>
      </c>
      <c r="C718" s="1328" t="s">
        <v>4030</v>
      </c>
    </row>
    <row r="719" spans="1:3">
      <c r="A719" s="948">
        <f>IF(AlleZonenNeu,Construction!K30,)</f>
        <v>0</v>
      </c>
      <c r="B719" s="947">
        <v>719</v>
      </c>
      <c r="C719" s="1328" t="s">
        <v>4617</v>
      </c>
    </row>
    <row r="720" spans="1:3">
      <c r="A720" s="947">
        <f>IF(AlleZonenNeu,Construction!F31,)</f>
        <v>0</v>
      </c>
      <c r="B720" s="947">
        <v>720</v>
      </c>
      <c r="C720" t="s">
        <v>4028</v>
      </c>
    </row>
    <row r="721" spans="1:3">
      <c r="A721" s="948">
        <f>IF(AlleZonenNeu,IF(Construction!K31=1,0,IF(Construction!K31,1,2)),)</f>
        <v>0</v>
      </c>
      <c r="B721" s="947">
        <v>721</v>
      </c>
      <c r="C721" s="1328" t="s">
        <v>4618</v>
      </c>
    </row>
    <row r="722" spans="1:3">
      <c r="A722" s="947">
        <f>IF(AlleZonenNeu,Construction!F34,)</f>
        <v>0</v>
      </c>
      <c r="B722" s="947">
        <v>722</v>
      </c>
      <c r="C722" s="1328" t="s">
        <v>4619</v>
      </c>
    </row>
    <row r="723" spans="1:3">
      <c r="A723" s="947">
        <f>IF(AlleZonenNeu,Construction!H34,)</f>
        <v>0</v>
      </c>
      <c r="B723" s="947">
        <v>723</v>
      </c>
      <c r="C723" s="1328" t="s">
        <v>4620</v>
      </c>
    </row>
    <row r="724" spans="1:3">
      <c r="A724" s="947">
        <f>IF(AlleZonenNeu,Construction!F35,)</f>
        <v>0</v>
      </c>
      <c r="B724" s="947">
        <v>724</v>
      </c>
      <c r="C724" s="1328" t="s">
        <v>4621</v>
      </c>
    </row>
    <row r="725" spans="1:3">
      <c r="A725" s="947">
        <f>IF(AlleZonenNeu,Construction!H35,)</f>
        <v>0</v>
      </c>
      <c r="B725" s="947">
        <v>725</v>
      </c>
      <c r="C725" s="1328" t="s">
        <v>4622</v>
      </c>
    </row>
    <row r="726" spans="1:3">
      <c r="A726" s="947">
        <f>IF(AlleZonenNeu,Construction!H36,)</f>
        <v>0</v>
      </c>
      <c r="B726" s="947">
        <v>726</v>
      </c>
      <c r="C726" s="1328" t="s">
        <v>4623</v>
      </c>
    </row>
    <row r="727" spans="1:3">
      <c r="A727" s="953">
        <f>IF(AlleZonenNeu,Construction!R9,)</f>
        <v>0</v>
      </c>
      <c r="B727" s="947">
        <v>727</v>
      </c>
      <c r="C727" s="1328" t="s">
        <v>4655</v>
      </c>
    </row>
    <row r="728" spans="1:3">
      <c r="A728" s="953">
        <f>IF(AlleZonenNeu,Construction!T9,)</f>
        <v>0</v>
      </c>
      <c r="B728" s="947">
        <v>728</v>
      </c>
      <c r="C728" s="1328" t="s">
        <v>4656</v>
      </c>
    </row>
    <row r="729" spans="1:3">
      <c r="A729" s="953">
        <f>IF(AlleZonenNeu,Construction!V9,)</f>
        <v>0</v>
      </c>
      <c r="B729" s="947">
        <v>729</v>
      </c>
      <c r="C729" s="1328" t="s">
        <v>4657</v>
      </c>
    </row>
    <row r="730" spans="1:3">
      <c r="A730" s="953">
        <f>IF(AlleZonenNeu,Construction!X9,)</f>
        <v>0</v>
      </c>
      <c r="B730" s="947">
        <v>730</v>
      </c>
      <c r="C730" s="1328" t="s">
        <v>4658</v>
      </c>
    </row>
    <row r="731" spans="1:3">
      <c r="A731" s="948">
        <f>IF(AlleZonenNeu,Construction!S9,)</f>
        <v>0</v>
      </c>
      <c r="B731" s="947">
        <v>731</v>
      </c>
      <c r="C731" s="1328" t="s">
        <v>4659</v>
      </c>
    </row>
    <row r="732" spans="1:3">
      <c r="A732" s="948">
        <f>IF(AlleZonenNeu,Construction!U9,)</f>
        <v>0</v>
      </c>
      <c r="B732" s="947">
        <v>732</v>
      </c>
      <c r="C732" s="1328" t="s">
        <v>4660</v>
      </c>
    </row>
    <row r="733" spans="1:3">
      <c r="A733" s="948">
        <f>IF(AlleZonenNeu,Construction!W9,)</f>
        <v>0</v>
      </c>
      <c r="B733" s="947">
        <v>733</v>
      </c>
      <c r="C733" s="1328" t="s">
        <v>4661</v>
      </c>
    </row>
    <row r="734" spans="1:3">
      <c r="A734" s="948">
        <f>IF(AlleZonenNeu,Construction!Y9,)</f>
        <v>0</v>
      </c>
      <c r="B734" s="947">
        <v>734</v>
      </c>
      <c r="C734" s="1328" t="s">
        <v>4662</v>
      </c>
    </row>
    <row r="735" spans="1:3">
      <c r="A735" s="948">
        <f>IF(AlleZonenNeu,Construction!R26,)</f>
        <v>0</v>
      </c>
      <c r="B735" s="947">
        <v>735</v>
      </c>
      <c r="C735" s="1328" t="s">
        <v>4663</v>
      </c>
    </row>
    <row r="736" spans="1:3">
      <c r="A736" s="948">
        <f>IF(AlleZonenNeu,Construction!T26,)</f>
        <v>0</v>
      </c>
      <c r="B736" s="947">
        <v>736</v>
      </c>
      <c r="C736" s="1328" t="s">
        <v>4664</v>
      </c>
    </row>
    <row r="737" spans="1:3">
      <c r="A737" s="948">
        <f>IF(AlleZonenNeu,Construction!V26,)</f>
        <v>0</v>
      </c>
      <c r="B737" s="947">
        <v>737</v>
      </c>
      <c r="C737" s="1328" t="s">
        <v>4665</v>
      </c>
    </row>
    <row r="738" spans="1:3">
      <c r="A738" s="948">
        <f>IF(AlleZonenNeu,Construction!X26,)</f>
        <v>0</v>
      </c>
      <c r="B738" s="947">
        <v>738</v>
      </c>
      <c r="C738" s="1328" t="s">
        <v>4666</v>
      </c>
    </row>
    <row r="739" spans="1:3">
      <c r="A739" s="948">
        <f>IF(AlleZonenNeu,Construction!S26,)</f>
        <v>0</v>
      </c>
      <c r="B739" s="947">
        <v>739</v>
      </c>
      <c r="C739" s="1328" t="s">
        <v>4667</v>
      </c>
    </row>
    <row r="740" spans="1:3">
      <c r="A740" s="948">
        <f>IF(AlleZonenNeu,Construction!U26,)</f>
        <v>0</v>
      </c>
      <c r="B740" s="947">
        <v>740</v>
      </c>
      <c r="C740" s="1328" t="s">
        <v>4668</v>
      </c>
    </row>
    <row r="741" spans="1:3">
      <c r="A741" s="948">
        <f>IF(AlleZonenNeu,Construction!W26,)</f>
        <v>0</v>
      </c>
      <c r="B741" s="947">
        <v>741</v>
      </c>
      <c r="C741" s="1328" t="s">
        <v>4669</v>
      </c>
    </row>
    <row r="742" spans="1:3">
      <c r="A742" s="948">
        <f>IF(AlleZonenNeu,Construction!Y26,)</f>
        <v>0</v>
      </c>
      <c r="B742" s="947">
        <v>742</v>
      </c>
      <c r="C742" s="1328" t="s">
        <v>4670</v>
      </c>
    </row>
    <row r="743" spans="1:3">
      <c r="A743" s="948">
        <f>IF(AlleZonenNeu,Construction!R27,)</f>
        <v>0</v>
      </c>
      <c r="B743" s="947">
        <v>743</v>
      </c>
      <c r="C743" s="1328" t="s">
        <v>4671</v>
      </c>
    </row>
    <row r="744" spans="1:3">
      <c r="A744" s="948">
        <f>IF(AlleZonenNeu,Construction!T27,)</f>
        <v>0</v>
      </c>
      <c r="B744" s="947">
        <v>744</v>
      </c>
      <c r="C744" s="1328" t="s">
        <v>4672</v>
      </c>
    </row>
    <row r="745" spans="1:3">
      <c r="A745" s="948">
        <f>IF(AlleZonenNeu,Construction!V27,)</f>
        <v>0</v>
      </c>
      <c r="B745" s="947">
        <v>745</v>
      </c>
      <c r="C745" s="1328" t="s">
        <v>4673</v>
      </c>
    </row>
    <row r="746" spans="1:3">
      <c r="A746" s="948">
        <f>IF(AlleZonenNeu,Construction!X27,)</f>
        <v>0</v>
      </c>
      <c r="B746" s="947">
        <v>746</v>
      </c>
      <c r="C746" s="1328" t="s">
        <v>4674</v>
      </c>
    </row>
    <row r="747" spans="1:3">
      <c r="A747" s="948">
        <f>IF(AlleZonenNeu,Construction!S27,)</f>
        <v>0</v>
      </c>
      <c r="B747" s="947">
        <v>747</v>
      </c>
      <c r="C747" s="1328" t="s">
        <v>4675</v>
      </c>
    </row>
    <row r="748" spans="1:3">
      <c r="A748" s="948">
        <f>IF(AlleZonenNeu,Construction!U27,)</f>
        <v>0</v>
      </c>
      <c r="B748" s="947">
        <v>748</v>
      </c>
      <c r="C748" s="1328" t="s">
        <v>4676</v>
      </c>
    </row>
    <row r="749" spans="1:3">
      <c r="A749" s="948">
        <f>IF(AlleZonenNeu,Construction!W27,)</f>
        <v>0</v>
      </c>
      <c r="B749" s="947">
        <v>749</v>
      </c>
      <c r="C749" s="1328" t="s">
        <v>4677</v>
      </c>
    </row>
    <row r="750" spans="1:3">
      <c r="A750" s="948">
        <f>IF(AlleZonenNeu,Construction!Y27,)</f>
        <v>0</v>
      </c>
      <c r="B750" s="947">
        <v>750</v>
      </c>
      <c r="C750" s="1328" t="s">
        <v>4678</v>
      </c>
    </row>
    <row r="751" spans="1:3">
      <c r="A751" s="948">
        <f>IF(AlleZonenNeu,Construction!R28,)</f>
        <v>0</v>
      </c>
      <c r="B751" s="947">
        <v>751</v>
      </c>
      <c r="C751" s="1328" t="s">
        <v>4679</v>
      </c>
    </row>
    <row r="752" spans="1:3">
      <c r="A752" s="948">
        <f>IF(AlleZonenNeu,Construction!T28,)</f>
        <v>0</v>
      </c>
      <c r="B752" s="947">
        <v>752</v>
      </c>
      <c r="C752" s="1328" t="s">
        <v>4680</v>
      </c>
    </row>
    <row r="753" spans="1:3">
      <c r="A753" s="948">
        <f>IF(AlleZonenNeu,Construction!V28,)</f>
        <v>0</v>
      </c>
      <c r="B753" s="947">
        <v>753</v>
      </c>
      <c r="C753" s="1328" t="s">
        <v>4681</v>
      </c>
    </row>
    <row r="754" spans="1:3">
      <c r="A754" s="948">
        <f>IF(AlleZonenNeu,Construction!X28,)</f>
        <v>0</v>
      </c>
      <c r="B754" s="947">
        <v>754</v>
      </c>
      <c r="C754" s="1328" t="s">
        <v>4682</v>
      </c>
    </row>
    <row r="755" spans="1:3">
      <c r="A755" s="948">
        <f>IF(AlleZonenNeu,Construction!S28,)</f>
        <v>0</v>
      </c>
      <c r="B755" s="947">
        <v>755</v>
      </c>
      <c r="C755" s="1328" t="s">
        <v>4683</v>
      </c>
    </row>
    <row r="756" spans="1:3">
      <c r="A756" s="948">
        <f>IF(AlleZonenNeu,Construction!U28,)</f>
        <v>0</v>
      </c>
      <c r="B756" s="947">
        <v>756</v>
      </c>
      <c r="C756" s="1328" t="s">
        <v>4684</v>
      </c>
    </row>
    <row r="757" spans="1:3">
      <c r="A757" s="948">
        <f>IF(AlleZonenNeu,Construction!W28,)</f>
        <v>0</v>
      </c>
      <c r="B757" s="947">
        <v>757</v>
      </c>
      <c r="C757" s="1328" t="s">
        <v>4685</v>
      </c>
    </row>
    <row r="758" spans="1:3">
      <c r="A758" s="948">
        <f>IF(AlleZonenNeu,Construction!Y28,)</f>
        <v>0</v>
      </c>
      <c r="B758" s="947">
        <v>758</v>
      </c>
      <c r="C758" s="1328" t="s">
        <v>4686</v>
      </c>
    </row>
    <row r="759" spans="1:3">
      <c r="A759" s="948">
        <f>IF(AlleZonenNeu,Construction!R29,)</f>
        <v>0</v>
      </c>
      <c r="B759" s="947">
        <v>759</v>
      </c>
      <c r="C759" s="1328" t="s">
        <v>4687</v>
      </c>
    </row>
    <row r="760" spans="1:3">
      <c r="A760" s="948">
        <f>IF(AlleZonenNeu,Construction!T29,)</f>
        <v>0</v>
      </c>
      <c r="B760" s="947">
        <v>760</v>
      </c>
      <c r="C760" s="1328" t="s">
        <v>4688</v>
      </c>
    </row>
    <row r="761" spans="1:3">
      <c r="A761" s="948">
        <f>IF(AlleZonenNeu,Construction!V29,)</f>
        <v>0</v>
      </c>
      <c r="B761" s="947">
        <v>761</v>
      </c>
      <c r="C761" s="1328" t="s">
        <v>4689</v>
      </c>
    </row>
    <row r="762" spans="1:3">
      <c r="A762" s="948">
        <f>IF(AlleZonenNeu,Construction!X29,)</f>
        <v>0</v>
      </c>
      <c r="B762" s="947">
        <v>762</v>
      </c>
      <c r="C762" s="1328" t="s">
        <v>4690</v>
      </c>
    </row>
    <row r="763" spans="1:3">
      <c r="A763" s="948">
        <f>IF(AlleZonenNeu,Construction!S29,)</f>
        <v>0</v>
      </c>
      <c r="B763" s="947">
        <v>763</v>
      </c>
      <c r="C763" s="1328" t="s">
        <v>4691</v>
      </c>
    </row>
    <row r="764" spans="1:3">
      <c r="A764" s="948">
        <f>IF(AlleZonenNeu,Construction!U29,)</f>
        <v>0</v>
      </c>
      <c r="B764" s="947">
        <v>764</v>
      </c>
      <c r="C764" s="1328" t="s">
        <v>4692</v>
      </c>
    </row>
    <row r="765" spans="1:3">
      <c r="A765" s="948">
        <f>IF(AlleZonenNeu,Construction!W29,)</f>
        <v>0</v>
      </c>
      <c r="B765" s="947">
        <v>765</v>
      </c>
      <c r="C765" s="1328" t="s">
        <v>4693</v>
      </c>
    </row>
    <row r="766" spans="1:3">
      <c r="A766" s="948">
        <f>IF(AlleZonenNeu,Construction!Y29,)</f>
        <v>0</v>
      </c>
      <c r="B766" s="947">
        <v>766</v>
      </c>
      <c r="C766" s="1328" t="s">
        <v>4694</v>
      </c>
    </row>
    <row r="767" spans="1:3">
      <c r="A767" s="948">
        <f>IF(AlleZonenNeu,Construction!R30,)</f>
        <v>0</v>
      </c>
      <c r="B767" s="947">
        <v>767</v>
      </c>
      <c r="C767" s="1328" t="s">
        <v>4695</v>
      </c>
    </row>
    <row r="768" spans="1:3">
      <c r="A768" s="948">
        <f>IF(AlleZonenNeu,Construction!T30,)</f>
        <v>0</v>
      </c>
      <c r="B768" s="947">
        <v>768</v>
      </c>
      <c r="C768" s="1328" t="s">
        <v>4696</v>
      </c>
    </row>
    <row r="769" spans="1:3">
      <c r="A769" s="948">
        <f>IF(AlleZonenNeu,Construction!V30,)</f>
        <v>0</v>
      </c>
      <c r="B769" s="947">
        <v>769</v>
      </c>
      <c r="C769" s="1328" t="s">
        <v>4697</v>
      </c>
    </row>
    <row r="770" spans="1:3">
      <c r="A770" s="948">
        <f>IF(AlleZonenNeu,Construction!X30,)</f>
        <v>0</v>
      </c>
      <c r="B770" s="947">
        <v>770</v>
      </c>
      <c r="C770" s="1328" t="s">
        <v>4698</v>
      </c>
    </row>
    <row r="771" spans="1:3">
      <c r="A771" s="948">
        <f>IF(AlleZonenNeu,Construction!S30,)</f>
        <v>0</v>
      </c>
      <c r="B771" s="947">
        <v>771</v>
      </c>
      <c r="C771" s="1328" t="s">
        <v>4699</v>
      </c>
    </row>
    <row r="772" spans="1:3">
      <c r="A772" s="948">
        <f>IF(AlleZonenNeu,Construction!U30,)</f>
        <v>0</v>
      </c>
      <c r="B772" s="947">
        <v>772</v>
      </c>
      <c r="C772" s="1328" t="s">
        <v>4700</v>
      </c>
    </row>
    <row r="773" spans="1:3">
      <c r="A773" s="948">
        <f>IF(AlleZonenNeu,Construction!W30,)</f>
        <v>0</v>
      </c>
      <c r="B773" s="947">
        <v>773</v>
      </c>
      <c r="C773" s="1328" t="s">
        <v>4701</v>
      </c>
    </row>
    <row r="774" spans="1:3">
      <c r="A774" s="948">
        <f>IF(AlleZonenNeu,Construction!Y30,)</f>
        <v>0</v>
      </c>
      <c r="B774" s="947">
        <v>774</v>
      </c>
      <c r="C774" s="1328" t="s">
        <v>4702</v>
      </c>
    </row>
    <row r="775" spans="1:3">
      <c r="A775" s="2341">
        <f>IF(AlleZonenNeu,Construction!R31,)</f>
        <v>0</v>
      </c>
      <c r="B775" s="2340">
        <v>775</v>
      </c>
      <c r="C775" s="2332" t="s">
        <v>4704</v>
      </c>
    </row>
    <row r="776" spans="1:3">
      <c r="A776" s="2341">
        <f>IF(AlleZonenNeu,Construction!T31,)</f>
        <v>0</v>
      </c>
      <c r="B776" s="2340">
        <v>776</v>
      </c>
      <c r="C776" s="2332" t="s">
        <v>4705</v>
      </c>
    </row>
    <row r="777" spans="1:3">
      <c r="A777" s="2341">
        <f>IF(AlleZonenNeu,Construction!V31,)</f>
        <v>0</v>
      </c>
      <c r="B777" s="2340">
        <v>777</v>
      </c>
      <c r="C777" s="2332" t="s">
        <v>4706</v>
      </c>
    </row>
    <row r="778" spans="1:3">
      <c r="A778" s="2341">
        <f>IF(AlleZonenNeu,Construction!X31,)</f>
        <v>0</v>
      </c>
      <c r="B778" s="2340">
        <v>778</v>
      </c>
      <c r="C778" s="2332" t="s">
        <v>4707</v>
      </c>
    </row>
    <row r="779" spans="1:3">
      <c r="A779" s="2341">
        <f>IF(AlleZonenNeu,Construction!S31,)</f>
        <v>0</v>
      </c>
      <c r="B779" s="2340">
        <v>779</v>
      </c>
      <c r="C779" s="2332" t="s">
        <v>4708</v>
      </c>
    </row>
    <row r="780" spans="1:3">
      <c r="A780" s="2341">
        <f>IF(AlleZonenNeu,Construction!U31,)</f>
        <v>0</v>
      </c>
      <c r="B780" s="2340">
        <v>780</v>
      </c>
      <c r="C780" s="2332" t="s">
        <v>4709</v>
      </c>
    </row>
    <row r="781" spans="1:3">
      <c r="A781" s="2341">
        <f>IF(AlleZonenNeu,Construction!W31,)</f>
        <v>0</v>
      </c>
      <c r="B781" s="2340">
        <v>781</v>
      </c>
      <c r="C781" s="2332" t="s">
        <v>4710</v>
      </c>
    </row>
    <row r="782" spans="1:3">
      <c r="A782" s="2341">
        <f>IF(AlleZonenNeu,Construction!Y31,)</f>
        <v>0</v>
      </c>
      <c r="B782" s="2340">
        <v>782</v>
      </c>
      <c r="C782" s="2332" t="s">
        <v>4711</v>
      </c>
    </row>
    <row r="783" spans="1:3">
      <c r="A783" s="2341">
        <f>IF(AlleZonenNeu,Construction!R32,)</f>
        <v>0</v>
      </c>
      <c r="B783" s="2340">
        <v>783</v>
      </c>
      <c r="C783" s="2332" t="s">
        <v>4712</v>
      </c>
    </row>
    <row r="784" spans="1:3">
      <c r="A784" s="2341">
        <f>IF(AlleZonenNeu,Construction!T32,)</f>
        <v>0</v>
      </c>
      <c r="B784" s="2340">
        <v>784</v>
      </c>
      <c r="C784" s="2332" t="s">
        <v>4713</v>
      </c>
    </row>
    <row r="785" spans="1:3">
      <c r="A785" s="2341">
        <f>IF(AlleZonenNeu,Construction!V32,)</f>
        <v>0</v>
      </c>
      <c r="B785" s="2340">
        <v>785</v>
      </c>
      <c r="C785" s="2332" t="s">
        <v>4714</v>
      </c>
    </row>
    <row r="786" spans="1:3">
      <c r="A786" s="2341">
        <f>IF(AlleZonenNeu,Construction!X32,)</f>
        <v>0</v>
      </c>
      <c r="B786" s="2340">
        <v>786</v>
      </c>
      <c r="C786" s="2332" t="s">
        <v>4715</v>
      </c>
    </row>
    <row r="787" spans="1:3">
      <c r="A787" s="2341">
        <f>IF(AlleZonenNeu,Construction!S32,)</f>
        <v>0</v>
      </c>
      <c r="B787" s="2340">
        <v>787</v>
      </c>
      <c r="C787" s="2332" t="s">
        <v>4716</v>
      </c>
    </row>
    <row r="788" spans="1:3">
      <c r="A788" s="2341">
        <f>IF(AlleZonenNeu,Construction!U32,)</f>
        <v>0</v>
      </c>
      <c r="B788" s="2340">
        <v>788</v>
      </c>
      <c r="C788" s="2332" t="s">
        <v>4717</v>
      </c>
    </row>
    <row r="789" spans="1:3">
      <c r="A789" s="2341">
        <f>IF(AlleZonenNeu,Construction!W32,)</f>
        <v>0</v>
      </c>
      <c r="B789" s="2340">
        <v>789</v>
      </c>
      <c r="C789" s="2332" t="s">
        <v>4718</v>
      </c>
    </row>
    <row r="790" spans="1:3">
      <c r="A790" s="2341">
        <f>IF(AlleZonenNeu,Construction!Y32,)</f>
        <v>0</v>
      </c>
      <c r="B790" s="2340">
        <v>790</v>
      </c>
      <c r="C790" s="2332" t="s">
        <v>4719</v>
      </c>
    </row>
    <row r="791" spans="1:3">
      <c r="A791" s="2341">
        <f>IF(AlleZonenNeu,Construction!R18,)</f>
        <v>0</v>
      </c>
      <c r="B791" s="2340">
        <v>791</v>
      </c>
      <c r="C791" s="2332" t="s">
        <v>4727</v>
      </c>
    </row>
    <row r="792" spans="1:3">
      <c r="A792" s="2341">
        <f>IF(AlleZonenNeu,Construction!S18,)</f>
        <v>0</v>
      </c>
      <c r="B792" s="2340">
        <v>792</v>
      </c>
      <c r="C792" s="2332" t="s">
        <v>4728</v>
      </c>
    </row>
    <row r="793" spans="1:3">
      <c r="A793" s="2341">
        <f>IF(AlleZonenNeu,Construction!R19,)</f>
        <v>0</v>
      </c>
      <c r="B793" s="2340">
        <v>793</v>
      </c>
      <c r="C793" s="2332" t="s">
        <v>4729</v>
      </c>
    </row>
    <row r="794" spans="1:3">
      <c r="A794" s="2341">
        <f>IF(AlleZonenNeu,Construction!S19,)</f>
        <v>0</v>
      </c>
      <c r="B794" s="2340">
        <v>794</v>
      </c>
      <c r="C794" s="2332" t="s">
        <v>4730</v>
      </c>
    </row>
  </sheetData>
  <sheetProtection password="C616" sheet="1" objects="1" scenario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Zeros="0" workbookViewId="0"/>
  </sheetViews>
  <sheetFormatPr baseColWidth="10" defaultColWidth="11.42578125" defaultRowHeight="12.75"/>
  <cols>
    <col min="1" max="1" width="3.42578125" style="1543" customWidth="1"/>
    <col min="2" max="2" width="24.7109375" style="1236" customWidth="1"/>
    <col min="3" max="3" width="14.7109375" style="1236" customWidth="1"/>
    <col min="4" max="4" width="7.7109375" style="1236" customWidth="1"/>
    <col min="5" max="5" width="6.7109375" style="1236" customWidth="1"/>
    <col min="6" max="6" width="7.7109375" style="1236" customWidth="1"/>
    <col min="7" max="7" width="10.7109375" style="1236" customWidth="1"/>
    <col min="8" max="8" width="7.7109375" style="1236" customWidth="1"/>
    <col min="9" max="9" width="10.7109375" style="1236" customWidth="1"/>
    <col min="10" max="10" width="0.7109375" style="1236" customWidth="1"/>
    <col min="11" max="11" width="12.7109375" style="1236" customWidth="1"/>
    <col min="12" max="12" width="2.42578125" style="1299" customWidth="1"/>
    <col min="13" max="16384" width="11.42578125" style="1236"/>
  </cols>
  <sheetData>
    <row r="1" spans="1:12" s="5" customFormat="1" ht="15" customHeight="1">
      <c r="A1" s="1517"/>
      <c r="B1" s="2525" t="str">
        <f>MOP!A3</f>
        <v>v2.97</v>
      </c>
      <c r="C1" s="3"/>
      <c r="D1" s="3"/>
      <c r="E1" s="340"/>
      <c r="F1" s="3"/>
      <c r="G1" s="3"/>
      <c r="H1" s="3"/>
      <c r="I1" s="158"/>
      <c r="J1" s="3"/>
      <c r="K1" s="2508" t="str">
        <f>Uebersetzung!D5</f>
        <v>Formulaire EN101b, v2.97, à utiliser jusqu'au 31 décembre 2026</v>
      </c>
      <c r="L1" s="2485"/>
    </row>
    <row r="2" spans="1:12" s="5" customFormat="1" ht="20.100000000000001" customHeight="1">
      <c r="A2" s="1517"/>
      <c r="B2" s="1221"/>
      <c r="C2" s="1222"/>
      <c r="D2" s="1223"/>
      <c r="E2" s="1221"/>
      <c r="F2" s="1223"/>
      <c r="G2" s="2979"/>
      <c r="H2" s="2980"/>
      <c r="I2" s="2980"/>
      <c r="J2" s="2980"/>
      <c r="K2" s="2981"/>
      <c r="L2" s="2485"/>
    </row>
    <row r="3" spans="1:12" s="5" customFormat="1" ht="20.100000000000001" customHeight="1">
      <c r="A3" s="1517"/>
      <c r="B3" s="1224"/>
      <c r="C3" s="1225"/>
      <c r="D3" s="1226"/>
      <c r="E3" s="2982" t="str">
        <f>IF(bern,Entrées!E3,"")</f>
        <v/>
      </c>
      <c r="F3" s="2984"/>
      <c r="G3" s="2982">
        <f>IF(bern,Uebersetzung!D726,)</f>
        <v>0</v>
      </c>
      <c r="H3" s="2983"/>
      <c r="I3" s="2983"/>
      <c r="J3" s="2983"/>
      <c r="K3" s="2984"/>
      <c r="L3" s="2485"/>
    </row>
    <row r="4" spans="1:12" s="5" customFormat="1" ht="20.100000000000001" customHeight="1">
      <c r="A4" s="1517"/>
      <c r="B4" s="1229"/>
      <c r="C4" s="891"/>
      <c r="D4" s="1230"/>
      <c r="E4" s="1229"/>
      <c r="F4" s="1230"/>
      <c r="G4" s="2999">
        <f>IF(bern,Uebersetzung!D727,)</f>
        <v>0</v>
      </c>
      <c r="H4" s="3000"/>
      <c r="I4" s="3000"/>
      <c r="J4" s="3000"/>
      <c r="K4" s="3001"/>
      <c r="L4" s="2485"/>
    </row>
    <row r="5" spans="1:12" s="5" customFormat="1" ht="8.1" customHeight="1">
      <c r="A5" s="1517"/>
      <c r="B5" s="3"/>
      <c r="C5" s="3"/>
      <c r="D5" s="3"/>
      <c r="E5" s="340"/>
      <c r="F5" s="3"/>
      <c r="G5" s="3"/>
      <c r="H5" s="3"/>
      <c r="I5" s="158"/>
      <c r="J5" s="3"/>
      <c r="K5" s="4"/>
      <c r="L5" s="2485"/>
    </row>
    <row r="6" spans="1:12" s="5" customFormat="1" ht="9.9499999999999993" hidden="1" customHeight="1">
      <c r="A6" s="1517"/>
      <c r="B6" s="6"/>
      <c r="C6" s="6"/>
      <c r="D6" s="3"/>
      <c r="E6" s="3"/>
      <c r="F6" s="3"/>
      <c r="G6" s="3"/>
      <c r="H6" s="3"/>
      <c r="I6" s="3"/>
      <c r="J6" s="3"/>
      <c r="L6" s="2485"/>
    </row>
    <row r="7" spans="1:12" s="298" customFormat="1" ht="12" hidden="1" customHeight="1">
      <c r="A7" s="1517"/>
      <c r="B7" s="8"/>
      <c r="C7" s="8"/>
      <c r="D7" s="9"/>
      <c r="E7" s="9"/>
      <c r="F7" s="9"/>
      <c r="G7" s="9"/>
      <c r="H7" s="5"/>
      <c r="I7" s="5"/>
      <c r="J7" s="5"/>
      <c r="K7" s="5"/>
      <c r="L7" s="2485"/>
    </row>
    <row r="8" spans="1:12" s="298" customFormat="1" ht="6" customHeight="1">
      <c r="A8" s="1517"/>
      <c r="B8" s="1210"/>
      <c r="C8" s="981"/>
      <c r="D8" s="1211"/>
      <c r="E8" s="1211"/>
      <c r="F8" s="1211"/>
      <c r="G8" s="1211"/>
      <c r="H8" s="1006"/>
      <c r="I8" s="1006"/>
      <c r="J8" s="1006"/>
      <c r="K8" s="1119"/>
      <c r="L8" s="2485"/>
    </row>
    <row r="9" spans="1:12" s="2581" customFormat="1" ht="24" customHeight="1">
      <c r="A9" s="1518" t="s">
        <v>5225</v>
      </c>
      <c r="B9" s="1220" t="str">
        <f>"  "&amp;Uebersetzung!D725</f>
        <v xml:space="preserve">  Explication</v>
      </c>
      <c r="C9" s="8"/>
      <c r="D9" s="9"/>
      <c r="E9" s="9"/>
      <c r="F9" s="9"/>
      <c r="G9" s="9"/>
      <c r="H9" s="9"/>
      <c r="I9" s="9"/>
      <c r="J9" s="9"/>
      <c r="K9" s="2562"/>
      <c r="L9" s="2580"/>
    </row>
    <row r="10" spans="1:12" s="298" customFormat="1" ht="18" customHeight="1">
      <c r="A10" s="1517"/>
      <c r="B10" s="3002" t="str">
        <f>"  "&amp;Uebersetzung!D728</f>
        <v xml:space="preserve">  L'efficacité énergétique globale pondérée (EEGp), conformément à l'article 42 LCEn et à l'article 30 OCEn, ainsi que l'obligation</v>
      </c>
      <c r="C10" s="3003"/>
      <c r="D10" s="3003"/>
      <c r="E10" s="3003"/>
      <c r="F10" s="3003"/>
      <c r="G10" s="3003"/>
      <c r="H10" s="3003"/>
      <c r="I10" s="3003"/>
      <c r="J10" s="3003"/>
      <c r="K10" s="3004"/>
      <c r="L10" s="2485"/>
    </row>
    <row r="11" spans="1:12" s="298" customFormat="1" ht="18" customHeight="1">
      <c r="A11" s="1517"/>
      <c r="B11" s="3002" t="str">
        <f>"  "&amp;Uebersetzung!D729</f>
        <v xml:space="preserve">  d’utiliser l’énergie solaire, doivent être respectées dans tous les cas.</v>
      </c>
      <c r="C11" s="3003"/>
      <c r="D11" s="3003"/>
      <c r="E11" s="3003"/>
      <c r="F11" s="3003"/>
      <c r="G11" s="3003"/>
      <c r="H11" s="3003"/>
      <c r="I11" s="3003"/>
      <c r="J11" s="3003"/>
      <c r="K11" s="3004"/>
      <c r="L11" s="2485"/>
    </row>
    <row r="12" spans="1:12" s="298" customFormat="1" ht="18" customHeight="1">
      <c r="A12" s="1517"/>
      <c r="B12" s="1212" t="str">
        <f>"  "&amp;Uebersetzung!D730</f>
        <v xml:space="preserve">  Pour les petits bâtiments d’habitation (surface déterminante de construction ≤ 300 m²), construits neufs et de manière</v>
      </c>
      <c r="C12" s="8"/>
      <c r="D12" s="8"/>
      <c r="E12" s="8"/>
      <c r="F12" s="8"/>
      <c r="G12" s="8"/>
      <c r="H12" s="8"/>
      <c r="I12" s="8"/>
      <c r="J12" s="8"/>
      <c r="K12" s="641"/>
      <c r="L12" s="2485"/>
    </row>
    <row r="13" spans="1:12" s="298" customFormat="1" ht="18" customHeight="1">
      <c r="A13" s="1517"/>
      <c r="B13" s="1212" t="str">
        <f>"  "&amp;Uebersetzung!D731</f>
        <v xml:space="preserve">  permanente, l'obligation allégée selon l'art. 39b LCEN peut être appliquée, si la production d'énergie solaire correspond</v>
      </c>
      <c r="C13" s="8"/>
      <c r="D13" s="8"/>
      <c r="E13" s="8"/>
      <c r="F13" s="8"/>
      <c r="G13" s="8"/>
      <c r="H13" s="8"/>
      <c r="I13" s="8"/>
      <c r="J13" s="8"/>
      <c r="K13" s="641"/>
      <c r="L13" s="2485"/>
    </row>
    <row r="14" spans="1:12" s="298" customFormat="1" ht="18" customHeight="1">
      <c r="A14" s="1517"/>
      <c r="B14" s="1212" t="str">
        <f>"  "&amp;Uebersetzung!D732</f>
        <v xml:space="preserve">  au moins à la moitié du besoin normalisé.</v>
      </c>
      <c r="C14" s="8"/>
      <c r="D14" s="8"/>
      <c r="E14" s="8"/>
      <c r="F14" s="8"/>
      <c r="G14" s="8"/>
      <c r="H14" s="8"/>
      <c r="I14" s="8"/>
      <c r="J14" s="8"/>
      <c r="K14" s="641"/>
      <c r="L14" s="2485"/>
    </row>
    <row r="15" spans="1:12" s="298" customFormat="1" ht="18" customHeight="1">
      <c r="A15" s="1517"/>
      <c r="B15" s="1212" t="str">
        <f>"  "&amp;Uebersetzung!D746</f>
        <v xml:space="preserve">  Remarque : Le calcul automatique de la feuille s’effectue si le nouveau bâtiment est exclusivement destiné à l'habitation </v>
      </c>
      <c r="C15" s="8"/>
      <c r="D15" s="8"/>
      <c r="E15" s="8"/>
      <c r="F15" s="8"/>
      <c r="G15" s="8"/>
      <c r="H15" s="8"/>
      <c r="I15" s="8"/>
      <c r="J15" s="8"/>
      <c r="K15" s="641"/>
      <c r="L15" s="2485"/>
    </row>
    <row r="16" spans="1:12" s="298" customFormat="1" ht="18" customHeight="1">
      <c r="A16" s="1517"/>
      <c r="B16" s="2682" t="str">
        <f>"  "&amp;Uebersetzung!D747</f>
        <v xml:space="preserve">  et présente une surface déterminante de construction ≤ 300 m².</v>
      </c>
      <c r="C16" s="2683"/>
      <c r="D16" s="2683"/>
      <c r="E16" s="2683"/>
      <c r="F16" s="2683"/>
      <c r="G16" s="2683"/>
      <c r="H16" s="2683"/>
      <c r="I16" s="2683"/>
      <c r="J16" s="2683"/>
      <c r="K16" s="2998"/>
      <c r="L16" s="2485"/>
    </row>
    <row r="17" spans="1:14" s="298" customFormat="1" ht="9.9499999999999993" customHeight="1">
      <c r="A17" s="1517"/>
      <c r="B17" s="8"/>
      <c r="C17" s="8"/>
      <c r="D17" s="9"/>
      <c r="E17" s="9"/>
      <c r="F17" s="9"/>
      <c r="G17" s="9"/>
      <c r="H17" s="5"/>
      <c r="I17" s="5"/>
      <c r="J17" s="5"/>
      <c r="K17" s="5"/>
      <c r="L17" s="2485"/>
    </row>
    <row r="18" spans="1:14" s="298" customFormat="1" ht="27.95" customHeight="1">
      <c r="A18" s="1518" t="s">
        <v>5226</v>
      </c>
      <c r="B18" s="369" t="str">
        <f>"  "&amp;Uebersetzung!D418</f>
        <v xml:space="preserve">  Projet</v>
      </c>
      <c r="C18" s="1213"/>
      <c r="D18" s="1214"/>
      <c r="E18" s="1214"/>
      <c r="F18" s="1214"/>
      <c r="G18" s="1214" t="str">
        <f>Uebersetzung!D18</f>
        <v>Justificatif pour:</v>
      </c>
      <c r="H18" s="673"/>
      <c r="I18" s="1214" t="str">
        <f>MINERGIE!F13</f>
        <v>Preuve officielle</v>
      </c>
      <c r="J18" s="673"/>
      <c r="K18" s="882"/>
      <c r="L18" s="2485"/>
    </row>
    <row r="19" spans="1:14" s="298" customFormat="1" ht="27.95" customHeight="1">
      <c r="A19" s="1517" t="s">
        <v>5227</v>
      </c>
      <c r="B19" s="777" t="str">
        <f>"  "&amp;Uebersetzung!D356</f>
        <v xml:space="preserve">  Nom du projet:</v>
      </c>
      <c r="C19" s="2989" t="str">
        <f>IF(Projekt1="","",Projekt1)</f>
        <v/>
      </c>
      <c r="D19" s="2989"/>
      <c r="E19" s="2989"/>
      <c r="F19" s="2989"/>
      <c r="G19" s="864" t="str">
        <f>Uebersetzung!D10</f>
        <v>N° cadastre:</v>
      </c>
      <c r="H19" s="1237">
        <f>Projekt2</f>
        <v>0</v>
      </c>
      <c r="I19" s="1396" t="str">
        <f>Uebersetzung!D11</f>
        <v>N° bâtiment:</v>
      </c>
      <c r="J19" s="1234"/>
      <c r="K19" s="1238">
        <f>Projekt3</f>
        <v>0</v>
      </c>
      <c r="L19" s="2485"/>
    </row>
    <row r="20" spans="1:14" s="298" customFormat="1" ht="27.95" customHeight="1">
      <c r="A20" s="1517" t="s">
        <v>5268</v>
      </c>
      <c r="B20" s="778" t="str">
        <f>"  "&amp;Uebersetzung!D359</f>
        <v xml:space="preserve">  Adresse du bâtiment:</v>
      </c>
      <c r="C20" s="2987">
        <f>Entrées!C8</f>
        <v>0</v>
      </c>
      <c r="D20" s="2987"/>
      <c r="E20" s="2987"/>
      <c r="F20" s="2987"/>
      <c r="G20" s="2987"/>
      <c r="H20" s="2987"/>
      <c r="I20" s="2987"/>
      <c r="J20" s="2987"/>
      <c r="K20" s="2988"/>
      <c r="L20" s="2485"/>
    </row>
    <row r="21" spans="1:14" s="298" customFormat="1" ht="9.9499999999999993" customHeight="1">
      <c r="A21" s="1518"/>
      <c r="B21" s="5"/>
      <c r="C21" s="5"/>
      <c r="D21" s="5"/>
      <c r="E21" s="5"/>
      <c r="F21" s="9"/>
      <c r="G21" s="9"/>
      <c r="H21" s="5"/>
      <c r="I21" s="5"/>
      <c r="J21" s="5"/>
      <c r="K21" s="5"/>
      <c r="L21" s="2485"/>
    </row>
    <row r="22" spans="1:14" s="298" customFormat="1" ht="24" customHeight="1">
      <c r="A22" s="1518" t="s">
        <v>5283</v>
      </c>
      <c r="B22" s="2507" t="str">
        <f>"  "&amp;Uebersetzung!D294</f>
        <v xml:space="preserve">  Exigences</v>
      </c>
      <c r="C22" s="980"/>
      <c r="D22" s="981"/>
      <c r="E22" s="982"/>
      <c r="F22" s="983"/>
      <c r="G22" s="984"/>
      <c r="H22" s="985"/>
      <c r="I22" s="989"/>
      <c r="J22" s="986"/>
      <c r="K22" s="987"/>
      <c r="L22" s="2485"/>
    </row>
    <row r="23" spans="1:14" s="298" customFormat="1" ht="15.95" customHeight="1">
      <c r="A23" s="1517"/>
      <c r="B23" s="2563"/>
      <c r="C23" s="2577"/>
      <c r="D23" s="2577"/>
      <c r="E23" s="2564"/>
      <c r="F23" s="3005" t="str">
        <f>Uebersetzung!D744</f>
        <v>Valeur du projet</v>
      </c>
      <c r="G23" s="3005"/>
      <c r="H23" s="3005" t="str">
        <f>Uebersetzung!D294</f>
        <v>Exigences</v>
      </c>
      <c r="I23" s="3005"/>
      <c r="J23" s="3010"/>
      <c r="K23" s="3011"/>
      <c r="L23" s="2485"/>
    </row>
    <row r="24" spans="1:14" s="298" customFormat="1" ht="30" customHeight="1">
      <c r="A24" s="1518" t="s">
        <v>5284</v>
      </c>
      <c r="B24" s="1217" t="str">
        <f>"  "&amp;Uebersetzung!D736</f>
        <v xml:space="preserve">  Surface déterminante de construction</v>
      </c>
      <c r="C24" s="2565"/>
      <c r="D24" s="2578"/>
      <c r="E24" s="2566" t="s">
        <v>5220</v>
      </c>
      <c r="F24" s="3006">
        <f>K43</f>
        <v>0</v>
      </c>
      <c r="G24" s="3006"/>
      <c r="H24" s="3006" t="s">
        <v>5263</v>
      </c>
      <c r="I24" s="3006"/>
      <c r="J24" s="3007" t="str">
        <f>IF(Solarpflicht,Uebersetzung!D25,Uebersetzung!D26)</f>
        <v>non</v>
      </c>
      <c r="K24" s="3008"/>
      <c r="L24" s="2485"/>
    </row>
    <row r="25" spans="1:14" s="298" customFormat="1" ht="30" customHeight="1">
      <c r="A25" s="1518" t="s">
        <v>5228</v>
      </c>
      <c r="B25" s="1217" t="str">
        <f>"  "&amp;Uebersetzung!D737</f>
        <v xml:space="preserve">  Besoins de chauffage des logements neufs</v>
      </c>
      <c r="C25" s="2565"/>
      <c r="D25" s="2579" t="s">
        <v>5218</v>
      </c>
      <c r="E25" s="2566" t="s">
        <v>5221</v>
      </c>
      <c r="F25" s="3012">
        <f>K40*K45</f>
        <v>0</v>
      </c>
      <c r="G25" s="3012"/>
      <c r="H25" s="3006"/>
      <c r="I25" s="3006"/>
      <c r="J25" s="3013"/>
      <c r="K25" s="3014"/>
      <c r="L25" s="2485"/>
    </row>
    <row r="26" spans="1:14" s="298" customFormat="1" ht="30" customHeight="1">
      <c r="A26" s="1518" t="s">
        <v>5229</v>
      </c>
      <c r="B26" s="1217" t="str">
        <f>"  "&amp;Uebersetzung!D748</f>
        <v xml:space="preserve">  Besoin normalisé en eau chaude</v>
      </c>
      <c r="C26" s="2599"/>
      <c r="D26" s="2579" t="s">
        <v>5286</v>
      </c>
      <c r="E26" s="2600" t="s">
        <v>5221</v>
      </c>
      <c r="F26" s="3012">
        <f>K40*K46</f>
        <v>0</v>
      </c>
      <c r="G26" s="3012"/>
      <c r="H26" s="3006"/>
      <c r="I26" s="3006"/>
      <c r="J26" s="3013"/>
      <c r="K26" s="3014"/>
      <c r="L26" s="2485"/>
    </row>
    <row r="27" spans="1:14" s="298" customFormat="1" ht="30" customHeight="1">
      <c r="A27" s="1518" t="s">
        <v>5230</v>
      </c>
      <c r="B27" s="1217" t="str">
        <f>"  "&amp;Uebersetzung!D738</f>
        <v xml:space="preserve">  Besoins électriques normalisés de l’habitat</v>
      </c>
      <c r="C27" s="2565"/>
      <c r="D27" s="2579" t="s">
        <v>5219</v>
      </c>
      <c r="E27" s="2566" t="s">
        <v>5221</v>
      </c>
      <c r="F27" s="3012">
        <f>K47*K40</f>
        <v>0</v>
      </c>
      <c r="G27" s="3012"/>
      <c r="H27" s="3006"/>
      <c r="I27" s="3006"/>
      <c r="J27" s="3013"/>
      <c r="K27" s="3014"/>
      <c r="L27" s="2485"/>
    </row>
    <row r="28" spans="1:14" s="298" customFormat="1" ht="30" customHeight="1">
      <c r="A28" s="1518" t="s">
        <v>5231</v>
      </c>
      <c r="B28" s="2603" t="str">
        <f>"  "&amp;Uebersetzung!D739</f>
        <v xml:space="preserve">  La moitié du besoin normalisé</v>
      </c>
      <c r="C28" s="2604"/>
      <c r="D28" s="2605" t="s">
        <v>5308</v>
      </c>
      <c r="E28" s="2606" t="s">
        <v>5221</v>
      </c>
      <c r="F28" s="3016"/>
      <c r="G28" s="3017"/>
      <c r="H28" s="3009">
        <f>(F25+F26+F27)/2</f>
        <v>0</v>
      </c>
      <c r="I28" s="3009"/>
      <c r="J28" s="3018"/>
      <c r="K28" s="3019"/>
      <c r="L28" s="2485"/>
    </row>
    <row r="29" spans="1:14" s="298" customFormat="1" ht="30" customHeight="1">
      <c r="A29" s="1518" t="s">
        <v>5232</v>
      </c>
      <c r="B29" s="1217" t="str">
        <f>"  "&amp;Uebersetzung!D740</f>
        <v xml:space="preserve">  Production annuelle solaire thermique</v>
      </c>
      <c r="C29" s="2565"/>
      <c r="D29" s="2578"/>
      <c r="E29" s="2566" t="s">
        <v>5221</v>
      </c>
      <c r="F29" s="3012">
        <f>K52</f>
        <v>0</v>
      </c>
      <c r="G29" s="3012"/>
      <c r="H29" s="3006"/>
      <c r="I29" s="3006"/>
      <c r="J29" s="3013"/>
      <c r="K29" s="3014"/>
      <c r="L29" s="2485"/>
    </row>
    <row r="30" spans="1:14" s="298" customFormat="1" ht="30" customHeight="1">
      <c r="A30" s="1518" t="s">
        <v>5233</v>
      </c>
      <c r="B30" s="1217" t="str">
        <f>"  "&amp;Uebersetzung!D741</f>
        <v xml:space="preserve">  Production annuelle photovoltaïque</v>
      </c>
      <c r="C30" s="2565"/>
      <c r="D30" s="2578"/>
      <c r="E30" s="2566" t="s">
        <v>5221</v>
      </c>
      <c r="F30" s="3012">
        <f>K55</f>
        <v>0</v>
      </c>
      <c r="G30" s="3012"/>
      <c r="H30" s="3006"/>
      <c r="I30" s="3006"/>
      <c r="J30" s="3013"/>
      <c r="K30" s="3014"/>
      <c r="L30" s="804"/>
    </row>
    <row r="31" spans="1:14" s="298" customFormat="1" ht="30" customHeight="1">
      <c r="A31" s="1518" t="s">
        <v>5234</v>
      </c>
      <c r="B31" s="2603" t="str">
        <f>"  "&amp;Uebersetzung!D742</f>
        <v xml:space="preserve">  Production annuelle solaire (thermique et PV)</v>
      </c>
      <c r="C31" s="2604"/>
      <c r="D31" s="2607"/>
      <c r="E31" s="2606" t="s">
        <v>5221</v>
      </c>
      <c r="F31" s="3009">
        <f>F29+F30</f>
        <v>0</v>
      </c>
      <c r="G31" s="3009"/>
      <c r="H31" s="3016"/>
      <c r="I31" s="3017"/>
      <c r="J31" s="3022"/>
      <c r="K31" s="3023"/>
      <c r="L31" s="2485"/>
      <c r="M31" s="3015"/>
      <c r="N31" s="3015"/>
    </row>
    <row r="32" spans="1:14" s="5" customFormat="1" ht="30" customHeight="1">
      <c r="A32" s="1518" t="s">
        <v>5269</v>
      </c>
      <c r="B32" s="2594" t="str">
        <f>"  "&amp;Uebersetzung!D743</f>
        <v xml:space="preserve">  Production correspond au moins à la moitié du besoin normalisé?</v>
      </c>
      <c r="C32" s="2595"/>
      <c r="D32" s="2595"/>
      <c r="E32" s="2596"/>
      <c r="F32" s="3024"/>
      <c r="G32" s="3024"/>
      <c r="H32" s="3024"/>
      <c r="I32" s="3024"/>
      <c r="J32" s="3020" t="str">
        <f>IF(AND(solar_erfüllt=FALSE,Solarpflicht),Uebersetzung!D26,Uebersetzung!D25)</f>
        <v>oui</v>
      </c>
      <c r="K32" s="3021"/>
      <c r="L32" s="2488"/>
    </row>
    <row r="33" spans="1:12" s="5" customFormat="1" ht="15.95" customHeight="1">
      <c r="A33" s="1518"/>
      <c r="B33" s="2597" t="str">
        <f>"  "&amp;Uebersetzung!D752</f>
        <v xml:space="preserve">  </v>
      </c>
      <c r="C33" s="981"/>
      <c r="D33" s="981"/>
      <c r="E33" s="981"/>
      <c r="F33" s="981"/>
      <c r="G33" s="981"/>
      <c r="H33" s="981"/>
      <c r="I33" s="981"/>
      <c r="J33" s="981"/>
      <c r="K33" s="2598"/>
      <c r="L33" s="2488"/>
    </row>
    <row r="34" spans="1:12" s="5" customFormat="1" ht="15.95" customHeight="1">
      <c r="A34" s="1518" t="s">
        <v>5270</v>
      </c>
      <c r="B34" s="1212" t="str">
        <f>"  "&amp;Uebersetzung!D733</f>
        <v xml:space="preserve">  Si la production annuelle totale (P31) est au moins égale à la moitié du besoin normalisé (P28) et si le bâtiment</v>
      </c>
      <c r="C34" s="8"/>
      <c r="D34" s="8"/>
      <c r="E34" s="8"/>
      <c r="F34" s="8"/>
      <c r="G34" s="8"/>
      <c r="H34" s="8"/>
      <c r="I34" s="8"/>
      <c r="J34" s="8"/>
      <c r="K34" s="641"/>
      <c r="L34" s="2488"/>
    </row>
    <row r="35" spans="1:12" s="5" customFormat="1" ht="15.95" customHeight="1">
      <c r="A35" s="1518"/>
      <c r="B35" s="1212" t="str">
        <f>"  "&amp;Uebersetzung!D734</f>
        <v xml:space="preserve">  remplit les conditions pour l'obligation allégée, cette feuille sert d'annexe pour le justificatif EN-Solaire BE.</v>
      </c>
      <c r="C35" s="8"/>
      <c r="D35" s="8"/>
      <c r="E35" s="8"/>
      <c r="F35" s="8"/>
      <c r="G35" s="8"/>
      <c r="H35" s="8"/>
      <c r="I35" s="8"/>
      <c r="J35" s="8"/>
      <c r="K35" s="641"/>
      <c r="L35" s="2488"/>
    </row>
    <row r="36" spans="1:12" s="5" customFormat="1" ht="15.95" customHeight="1">
      <c r="A36" s="1518"/>
      <c r="B36" s="1212" t="str">
        <f>"  "&amp;Uebersetzung!D735</f>
        <v xml:space="preserve">  </v>
      </c>
      <c r="C36" s="8"/>
      <c r="D36" s="8"/>
      <c r="E36" s="8"/>
      <c r="F36" s="8"/>
      <c r="G36" s="8"/>
      <c r="H36" s="8"/>
      <c r="I36" s="8"/>
      <c r="J36" s="8"/>
      <c r="K36" s="641"/>
      <c r="L36" s="2485"/>
    </row>
    <row r="37" spans="1:12" s="5" customFormat="1" ht="9.9499999999999993" customHeight="1">
      <c r="A37" s="1518"/>
      <c r="B37" s="2590"/>
      <c r="C37" s="2591"/>
      <c r="D37" s="2591"/>
      <c r="E37" s="2591"/>
      <c r="F37" s="2591"/>
      <c r="G37" s="2591"/>
      <c r="H37" s="2591"/>
      <c r="I37" s="2591"/>
      <c r="J37" s="2591"/>
      <c r="K37" s="2592"/>
      <c r="L37" s="2485"/>
    </row>
    <row r="38" spans="1:12" s="495" customFormat="1">
      <c r="A38" s="1520"/>
      <c r="B38" s="2567">
        <f ca="1">NOW()</f>
        <v>46034.719198842591</v>
      </c>
      <c r="C38" s="5"/>
      <c r="D38" s="5"/>
      <c r="E38" s="5"/>
      <c r="F38" s="5"/>
      <c r="G38" s="5"/>
      <c r="H38" s="5"/>
      <c r="I38" s="5"/>
      <c r="J38" s="5"/>
      <c r="K38" s="779" t="str">
        <f>Entrées!K47</f>
        <v xml:space="preserve"> /  /  /  /  /  / </v>
      </c>
      <c r="L38" s="2500"/>
    </row>
    <row r="39" spans="1:12" s="495" customFormat="1" ht="15.95" hidden="1" customHeight="1">
      <c r="A39" s="1520"/>
      <c r="E39" s="1235" t="s">
        <v>5207</v>
      </c>
      <c r="F39" s="2573">
        <v>1</v>
      </c>
      <c r="G39" s="2573">
        <v>2</v>
      </c>
      <c r="H39" s="2573">
        <v>3</v>
      </c>
      <c r="I39" s="2574">
        <v>4</v>
      </c>
      <c r="L39" s="2500"/>
    </row>
    <row r="40" spans="1:12" ht="15.95" hidden="1" customHeight="1">
      <c r="B40" s="2213" t="s">
        <v>5203</v>
      </c>
      <c r="F40" s="2570">
        <f>IF(AND(wohnen1,_neu1),Entrées!F19,0)</f>
        <v>0</v>
      </c>
      <c r="G40" s="2570">
        <f>IF(AND(wohnen2,_neu2),Entrées!G19,0)</f>
        <v>0</v>
      </c>
      <c r="H40" s="2570">
        <f>IF(AND(wohnen3,_neu3),Entrées!H19,0)</f>
        <v>0</v>
      </c>
      <c r="I40" s="2570">
        <f>IF(AND(wohnen4,_neu4),Entrées!I19,0)</f>
        <v>0</v>
      </c>
      <c r="J40" s="2570"/>
      <c r="K40" s="2570">
        <f>SUM(F40:I40)</f>
        <v>0</v>
      </c>
    </row>
    <row r="41" spans="1:12" ht="15.95" hidden="1" customHeight="1">
      <c r="B41" s="2213" t="s">
        <v>5253</v>
      </c>
      <c r="F41" s="2570">
        <f>IF(AND(_neu1,Kategorie1&gt;3,Entrées!F19&gt;0),Entrées!F19,0)</f>
        <v>0</v>
      </c>
      <c r="G41" s="2570">
        <f>IF(AND(_neu2,Kategorie2&gt;3,Entrées!G19&gt;0),Entrées!G19,0)</f>
        <v>0</v>
      </c>
      <c r="H41" s="2570">
        <f>IF(AND(_neu3,Kategorie3&gt;3,Entrées!H19&gt;0),Entrées!H19,0)</f>
        <v>0</v>
      </c>
      <c r="I41" s="2570">
        <f>IF(AND(_neu4,Kategorie4&gt;3,Entrées!I19&gt;0),Entrées!I19,0)</f>
        <v>0</v>
      </c>
      <c r="J41" s="2570"/>
      <c r="K41" s="2570">
        <f>SUM(F41:I41)</f>
        <v>0</v>
      </c>
    </row>
    <row r="42" spans="1:12" ht="15.95" hidden="1" customHeight="1">
      <c r="B42" s="2213" t="s">
        <v>5254</v>
      </c>
      <c r="F42" s="2570"/>
      <c r="G42" s="2570"/>
      <c r="H42" s="2570"/>
      <c r="I42" s="2570"/>
      <c r="J42" s="2570"/>
      <c r="K42" s="2570" t="b">
        <f>IF(K41&gt;0,TRUE,FALSE)</f>
        <v>0</v>
      </c>
    </row>
    <row r="43" spans="1:12" ht="15.95" hidden="1" customHeight="1">
      <c r="B43" s="2213" t="s">
        <v>5248</v>
      </c>
      <c r="F43" s="2585">
        <f>IF(AND(bern,EBF_wohnen_neu1&gt;0),Entrées!F20,0)</f>
        <v>0</v>
      </c>
      <c r="G43" s="2585">
        <f>IF(AND(bern,EBF_wohnen_neu2&gt;0),Entrées!G20,0)</f>
        <v>0</v>
      </c>
      <c r="H43" s="2585">
        <f>IF(AND(bern,EBF_wohnen_neu3&gt;0),Entrées!H20,0)</f>
        <v>0</v>
      </c>
      <c r="I43" s="2585">
        <f>IF(AND(bern,EBF_wohnen_neu4&gt;0),Entrées!I20,0)</f>
        <v>0</v>
      </c>
      <c r="K43" s="2570">
        <f>SUM(F43:J43)</f>
        <v>0</v>
      </c>
    </row>
    <row r="44" spans="1:12" ht="15.95" hidden="1" customHeight="1">
      <c r="B44" s="2213" t="s">
        <v>5252</v>
      </c>
      <c r="F44" s="2570"/>
      <c r="G44" s="2570"/>
      <c r="H44" s="2570"/>
      <c r="I44" s="2570"/>
      <c r="J44" s="2570"/>
      <c r="K44" s="2570" t="b">
        <f>IF(AND(K43&lt;=300,K43&gt;0),IF(K41&gt;0,FALSE,TRUE),FALSE)</f>
        <v>0</v>
      </c>
    </row>
    <row r="45" spans="1:12" ht="15.95" hidden="1" customHeight="1">
      <c r="B45" s="2213" t="s">
        <v>5204</v>
      </c>
      <c r="F45" s="2571">
        <f>IF(AND(wohnen1,_neu1),Entrées!F46,0)</f>
        <v>0</v>
      </c>
      <c r="G45" s="2571">
        <f>IF(AND(wohnen2,_neu2),Entrées!G46,0)</f>
        <v>0</v>
      </c>
      <c r="H45" s="2571">
        <f>IF(AND(wohnen3,_neu3),Entrées!H46,0)</f>
        <v>0</v>
      </c>
      <c r="I45" s="2571">
        <f>IF(AND(wohnen4,_neu4),Entrées!I46,0)</f>
        <v>0</v>
      </c>
      <c r="K45" s="2571">
        <f>IF(K40&gt;0,SUMPRODUCT(F40:I40,F45:I45)/K40,0)</f>
        <v>0</v>
      </c>
    </row>
    <row r="46" spans="1:12" ht="15.95" hidden="1" customHeight="1">
      <c r="B46" s="2213" t="s">
        <v>5288</v>
      </c>
      <c r="F46" s="2571">
        <f>IF(AND(wohnen1,_neu1),_qw1,0)</f>
        <v>0</v>
      </c>
      <c r="G46" s="2571">
        <f>IF(AND(wohnen2,_neu2),_qw2,0)</f>
        <v>0</v>
      </c>
      <c r="H46" s="2571">
        <f>IF(AND(wohnen3,_neu3),_qw3,0)</f>
        <v>0</v>
      </c>
      <c r="I46" s="2571">
        <f>IF(AND(wohnen4,_neu4),_qw4,0)</f>
        <v>0</v>
      </c>
      <c r="K46" s="2571">
        <f>IF(K40&gt;0,SUMPRODUCT(F40:I40,F46:I46)/K40,0)</f>
        <v>0</v>
      </c>
    </row>
    <row r="47" spans="1:12" ht="15.95" hidden="1" customHeight="1">
      <c r="B47" s="2213" t="s">
        <v>5205</v>
      </c>
      <c r="F47" s="2571">
        <f>IF(_neu1,MINERGIE!O44/2,0)</f>
        <v>0</v>
      </c>
      <c r="G47" s="2571">
        <f>IF(_neu2,MINERGIE!P44/2,0)</f>
        <v>0</v>
      </c>
      <c r="H47" s="2571">
        <f>IF(_neu3,MINERGIE!Q44/2,0)</f>
        <v>0</v>
      </c>
      <c r="I47" s="2571">
        <f>IF(_neu4,MINERGIE!R44/2,0)</f>
        <v>0</v>
      </c>
      <c r="K47" s="2571">
        <f>IF(K40&gt;0,SUMPRODUCT(F40:I40,F47:I47)/K40,0)</f>
        <v>0</v>
      </c>
    </row>
    <row r="48" spans="1:12" ht="15.95" hidden="1" customHeight="1">
      <c r="B48" s="2213" t="s">
        <v>5206</v>
      </c>
      <c r="K48" s="2572">
        <f>(K45+K46+K47)/2*K40</f>
        <v>0</v>
      </c>
    </row>
    <row r="49" spans="2:11" ht="15.95" hidden="1" customHeight="1">
      <c r="E49" s="2575" t="s">
        <v>5208</v>
      </c>
      <c r="F49" s="2576" t="s">
        <v>3254</v>
      </c>
      <c r="G49" s="2576" t="s">
        <v>3253</v>
      </c>
      <c r="H49" s="2576" t="s">
        <v>3251</v>
      </c>
      <c r="I49" s="2576" t="s">
        <v>3250</v>
      </c>
    </row>
    <row r="50" spans="2:11" ht="15.95" hidden="1" customHeight="1">
      <c r="B50" s="2213" t="s">
        <v>5209</v>
      </c>
      <c r="F50" s="2571">
        <f>IF(OR(Justificatif!M8=31,Justificatif!M8=32,Justificatif!M8=33),Justificatif!G9,0)</f>
        <v>0</v>
      </c>
      <c r="G50" s="2571">
        <f>IF(OR(Justificatif!M12=31,Justificatif!M12=32,Justificatif!M12=33),Justificatif!G13,0)</f>
        <v>0</v>
      </c>
      <c r="H50" s="2571">
        <f>IF(OR(Justificatif!M16=31,Justificatif!M16=32,Justificatif!M16=33),Justificatif!G17,0)</f>
        <v>0</v>
      </c>
      <c r="I50" s="2571">
        <f>IF(OR(Justificatif!M20=31,Justificatif!M20=32,Justificatif!M20=33),Justificatif!G21,0)</f>
        <v>0</v>
      </c>
    </row>
    <row r="51" spans="2:11" ht="15.95" hidden="1" customHeight="1">
      <c r="B51" s="2213" t="s">
        <v>5210</v>
      </c>
      <c r="F51" s="2571">
        <f>IF(OR(Justificatif!M8=32,Justificatif!M8=33),Justificatif!F10,IF(Justificatif!M8=31,Justificatif!G10,0))</f>
        <v>0</v>
      </c>
      <c r="G51" s="2571">
        <f>IF(OR(Justificatif!M12=32,Justificatif!M12=33),Justificatif!F14,IF(Justificatif!M12=31,Justificatif!G14,0))</f>
        <v>0</v>
      </c>
      <c r="H51" s="2571">
        <f>IF(OR(Justificatif!M16=32,Justificatif!M16=33),Justificatif!F18,IF(Justificatif!M16=31,Justificatif!G18,0))</f>
        <v>0</v>
      </c>
      <c r="I51" s="2571">
        <f>IF(OR(Justificatif!M20=32,Justificatif!M20=33),Justificatif!F22,IF(Justificatif!M20=31,Justificatif!G22,0))</f>
        <v>0</v>
      </c>
    </row>
    <row r="52" spans="2:11" ht="15.95" hidden="1" customHeight="1">
      <c r="B52" s="1236" t="s">
        <v>5211</v>
      </c>
      <c r="F52" s="2572">
        <f>F50*F51</f>
        <v>0</v>
      </c>
      <c r="G52" s="2572">
        <f t="shared" ref="G52:I52" si="0">G50*G51</f>
        <v>0</v>
      </c>
      <c r="H52" s="2572">
        <f t="shared" si="0"/>
        <v>0</v>
      </c>
      <c r="I52" s="2572">
        <f t="shared" si="0"/>
        <v>0</v>
      </c>
      <c r="K52" s="2572">
        <f>SUM(F52:I52)</f>
        <v>0</v>
      </c>
    </row>
    <row r="53" spans="2:11" ht="15.95" hidden="1" customHeight="1">
      <c r="B53" s="2213" t="s">
        <v>5212</v>
      </c>
      <c r="K53" s="2570">
        <f>Entrées!F51</f>
        <v>0</v>
      </c>
    </row>
    <row r="54" spans="2:11" ht="15.95" hidden="1" customHeight="1">
      <c r="B54" s="2213" t="s">
        <v>5213</v>
      </c>
      <c r="K54" s="2570">
        <f>Entrées!E53</f>
        <v>0</v>
      </c>
    </row>
    <row r="55" spans="2:11" ht="15.95" hidden="1" customHeight="1">
      <c r="B55" s="1236" t="s">
        <v>5214</v>
      </c>
      <c r="K55" s="2572">
        <f>K53*K54</f>
        <v>0</v>
      </c>
    </row>
    <row r="56" spans="2:11" ht="15.95" hidden="1" customHeight="1">
      <c r="B56" s="2213" t="s">
        <v>5215</v>
      </c>
      <c r="K56" s="2572">
        <f>K55+K52</f>
        <v>0</v>
      </c>
    </row>
    <row r="57" spans="2:11" ht="15.95" hidden="1" customHeight="1">
      <c r="B57" s="2213" t="s">
        <v>5216</v>
      </c>
      <c r="K57" s="2570" t="b">
        <f>IF(Solarpflicht,IF(K56&gt;=K48,TRUE,FALSE),TRUE)</f>
        <v>1</v>
      </c>
    </row>
    <row r="58" spans="2:11" ht="15.95" customHeight="1"/>
    <row r="59" spans="2:11" ht="15.95" customHeight="1"/>
  </sheetData>
  <sheetProtection password="C616" sheet="1" objects="1" scenarios="1"/>
  <mergeCells count="40">
    <mergeCell ref="M31:N31"/>
    <mergeCell ref="H31:I31"/>
    <mergeCell ref="J28:K28"/>
    <mergeCell ref="C19:F19"/>
    <mergeCell ref="J32:K32"/>
    <mergeCell ref="F28:G28"/>
    <mergeCell ref="J30:K30"/>
    <mergeCell ref="J31:K31"/>
    <mergeCell ref="F32:G32"/>
    <mergeCell ref="H32:I32"/>
    <mergeCell ref="H28:I28"/>
    <mergeCell ref="F29:G29"/>
    <mergeCell ref="J29:K29"/>
    <mergeCell ref="H29:I29"/>
    <mergeCell ref="F30:G30"/>
    <mergeCell ref="H30:I30"/>
    <mergeCell ref="F31:G31"/>
    <mergeCell ref="J23:K23"/>
    <mergeCell ref="F25:G25"/>
    <mergeCell ref="H25:I25"/>
    <mergeCell ref="F27:G27"/>
    <mergeCell ref="H27:I27"/>
    <mergeCell ref="J25:K25"/>
    <mergeCell ref="J27:K27"/>
    <mergeCell ref="F26:G26"/>
    <mergeCell ref="H26:I26"/>
    <mergeCell ref="J26:K26"/>
    <mergeCell ref="C20:K20"/>
    <mergeCell ref="F23:G23"/>
    <mergeCell ref="H23:I23"/>
    <mergeCell ref="F24:G24"/>
    <mergeCell ref="H24:I24"/>
    <mergeCell ref="J24:K24"/>
    <mergeCell ref="B16:K16"/>
    <mergeCell ref="G2:K2"/>
    <mergeCell ref="E3:F3"/>
    <mergeCell ref="G3:K3"/>
    <mergeCell ref="G4:K4"/>
    <mergeCell ref="B10:K10"/>
    <mergeCell ref="B11:K11"/>
  </mergeCells>
  <conditionalFormatting sqref="B10:B14">
    <cfRule type="expression" dxfId="60" priority="21">
      <formula>bern</formula>
    </cfRule>
  </conditionalFormatting>
  <conditionalFormatting sqref="B33:B37">
    <cfRule type="expression" dxfId="59" priority="15">
      <formula>bern</formula>
    </cfRule>
  </conditionalFormatting>
  <conditionalFormatting sqref="F25:I30 F31:G31">
    <cfRule type="expression" dxfId="58" priority="6">
      <formula>Solarpflicht=FALSE</formula>
    </cfRule>
  </conditionalFormatting>
  <conditionalFormatting sqref="F25:K30 F32:K32 J31:K31 F31:G31">
    <cfRule type="expression" dxfId="57" priority="5">
      <formula>OR(bern=FALSE,Solarpflicht=FALSE)</formula>
    </cfRule>
  </conditionalFormatting>
  <conditionalFormatting sqref="J24:K24">
    <cfRule type="expression" dxfId="56" priority="11">
      <formula>OR(bern=FALSE,Mischnutzung)</formula>
    </cfRule>
  </conditionalFormatting>
  <conditionalFormatting sqref="J32:K32">
    <cfRule type="expression" dxfId="55" priority="7">
      <formula>AND(bern,Solarpflicht=FALSE)</formula>
    </cfRule>
    <cfRule type="expression" dxfId="54" priority="9">
      <formula>$K$40=0</formula>
    </cfRule>
    <cfRule type="expression" dxfId="53" priority="16">
      <formula>AND(solar_erfüllt=FALSE,Solarpflicht)</formula>
    </cfRule>
  </conditionalFormatting>
  <conditionalFormatting sqref="M31:N31">
    <cfRule type="expression" dxfId="52" priority="4">
      <formula>Solarpflicht=FALSE</formula>
    </cfRule>
  </conditionalFormatting>
  <conditionalFormatting sqref="M31:N31">
    <cfRule type="expression" dxfId="51" priority="3">
      <formula>OR(bern=FALSE,Solarpflicht=FALSE)</formula>
    </cfRule>
  </conditionalFormatting>
  <conditionalFormatting sqref="H31:I31">
    <cfRule type="expression" dxfId="50" priority="2">
      <formula>Solarpflicht=FALSE</formula>
    </cfRule>
  </conditionalFormatting>
  <conditionalFormatting sqref="H31:I31">
    <cfRule type="expression" dxfId="49" priority="1">
      <formula>OR(bern=FALSE,Solarpflicht=FALSE)</formula>
    </cfRule>
  </conditionalFormatting>
  <pageMargins left="0.47244094488188981" right="0.39370078740157483" top="0.78740157480314965" bottom="0.47244094488188981"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X89"/>
  <sheetViews>
    <sheetView showZeros="0" workbookViewId="0"/>
  </sheetViews>
  <sheetFormatPr baseColWidth="10" defaultColWidth="11.42578125" defaultRowHeight="12.75"/>
  <cols>
    <col min="1" max="1" width="3.42578125" style="1543" customWidth="1"/>
    <col min="2" max="2" width="23.7109375" style="1236" customWidth="1"/>
    <col min="3" max="3" width="10.7109375" style="1236" customWidth="1"/>
    <col min="4" max="4" width="8.7109375" style="1236" customWidth="1"/>
    <col min="5" max="5" width="6.7109375" style="1236" customWidth="1"/>
    <col min="6" max="9" width="11.7109375" style="1236" customWidth="1"/>
    <col min="10" max="10" width="0.7109375" style="1236" customWidth="1"/>
    <col min="11" max="11" width="12.7109375" style="1236" customWidth="1"/>
    <col min="12" max="12" width="11.42578125" style="1299"/>
    <col min="13" max="13" width="23.42578125" style="1488" customWidth="1"/>
    <col min="14" max="14" width="8.7109375" style="1488" customWidth="1"/>
    <col min="15" max="15" width="8" style="1488" customWidth="1"/>
    <col min="16" max="16" width="17.85546875" style="1488" customWidth="1"/>
    <col min="17" max="20" width="11.42578125" style="1488"/>
    <col min="21" max="24" width="11.42578125" style="1299"/>
    <col min="25" max="16384" width="11.42578125" style="1236"/>
  </cols>
  <sheetData>
    <row r="1" spans="1:24" s="5" customFormat="1" ht="20.100000000000001" customHeight="1">
      <c r="A1" s="1517"/>
      <c r="B1" s="2525" t="str">
        <f>MOP!A3</f>
        <v>v2.97</v>
      </c>
      <c r="C1" s="3"/>
      <c r="D1" s="3"/>
      <c r="E1" s="340"/>
      <c r="F1" s="3"/>
      <c r="G1" s="3"/>
      <c r="H1" s="3"/>
      <c r="I1" s="158"/>
      <c r="J1" s="3"/>
      <c r="K1" s="2508" t="str">
        <f>Uebersetzung!D5</f>
        <v>Formulaire EN101b, v2.97, à utiliser jusqu'au 31 décembre 2026</v>
      </c>
      <c r="L1" s="2485"/>
      <c r="M1" s="2486"/>
      <c r="N1" s="2487"/>
      <c r="O1" s="2487"/>
      <c r="P1" s="2487"/>
      <c r="Q1" s="2487"/>
      <c r="R1" s="2487"/>
      <c r="S1" s="2487"/>
      <c r="T1" s="2487"/>
      <c r="U1" s="2488"/>
      <c r="V1" s="2488"/>
      <c r="W1" s="804"/>
      <c r="X1" s="804"/>
    </row>
    <row r="2" spans="1:24" s="5" customFormat="1" ht="20.100000000000001" customHeight="1">
      <c r="A2" s="1517"/>
      <c r="B2" s="1221"/>
      <c r="C2" s="1222"/>
      <c r="D2" s="1223"/>
      <c r="E2" s="1221"/>
      <c r="F2" s="1223"/>
      <c r="G2" s="2979" t="str">
        <f>Uebersetzung!D318</f>
        <v>Aperçu</v>
      </c>
      <c r="H2" s="2980"/>
      <c r="I2" s="2980"/>
      <c r="J2" s="2980"/>
      <c r="K2" s="2981"/>
      <c r="L2" s="2485"/>
      <c r="M2" s="2486"/>
      <c r="N2" s="2487"/>
      <c r="O2" s="2487"/>
      <c r="P2" s="2487"/>
      <c r="Q2" s="2487"/>
      <c r="R2" s="2487"/>
      <c r="S2" s="2487"/>
      <c r="T2" s="2487"/>
      <c r="U2" s="2488"/>
      <c r="V2" s="2488"/>
      <c r="W2" s="804"/>
      <c r="X2" s="804"/>
    </row>
    <row r="3" spans="1:24" s="5" customFormat="1" ht="20.100000000000001" customHeight="1">
      <c r="A3" s="1517"/>
      <c r="B3" s="1224"/>
      <c r="C3" s="1225"/>
      <c r="D3" s="1226"/>
      <c r="E3" s="3025" t="str">
        <f>Entrées!E3</f>
        <v>EN-101b</v>
      </c>
      <c r="F3" s="3026"/>
      <c r="G3" s="2982" t="str">
        <f>IF(bern,Uebersetzung!D702,Uebersetzung!D376)</f>
        <v>justificatif Minergie</v>
      </c>
      <c r="H3" s="2983"/>
      <c r="I3" s="2983"/>
      <c r="J3" s="2983"/>
      <c r="K3" s="2984"/>
      <c r="L3" s="2485"/>
      <c r="M3" s="2486"/>
      <c r="N3" s="2487"/>
      <c r="O3" s="2487"/>
      <c r="P3" s="2487"/>
      <c r="Q3" s="2487"/>
      <c r="R3" s="2487"/>
      <c r="S3" s="2487"/>
      <c r="T3" s="2487"/>
      <c r="U3" s="2488"/>
      <c r="V3" s="2488"/>
      <c r="W3" s="804"/>
      <c r="X3" s="804"/>
    </row>
    <row r="4" spans="1:24" s="5" customFormat="1" ht="20.100000000000001" customHeight="1">
      <c r="A4" s="1517"/>
      <c r="B4" s="1229"/>
      <c r="C4" s="891"/>
      <c r="D4" s="1230"/>
      <c r="E4" s="1229"/>
      <c r="F4" s="1230"/>
      <c r="G4" s="1231"/>
      <c r="H4" s="1232"/>
      <c r="I4" s="1232"/>
      <c r="J4" s="1232"/>
      <c r="K4" s="1233"/>
      <c r="L4" s="2485"/>
      <c r="M4" s="2486"/>
      <c r="N4" s="2487"/>
      <c r="O4" s="2487"/>
      <c r="P4" s="2487"/>
      <c r="Q4" s="2487"/>
      <c r="R4" s="2487"/>
      <c r="S4" s="2487"/>
      <c r="T4" s="2487"/>
      <c r="U4" s="2488"/>
      <c r="V4" s="2488"/>
      <c r="W4" s="804"/>
      <c r="X4" s="804"/>
    </row>
    <row r="5" spans="1:24" s="5" customFormat="1" ht="8.1" customHeight="1">
      <c r="A5" s="1517"/>
      <c r="B5" s="3"/>
      <c r="C5" s="3"/>
      <c r="D5" s="3"/>
      <c r="E5" s="340"/>
      <c r="F5" s="3"/>
      <c r="G5" s="3"/>
      <c r="H5" s="3"/>
      <c r="I5" s="158"/>
      <c r="J5" s="3"/>
      <c r="K5" s="4"/>
      <c r="L5" s="2485"/>
      <c r="M5" s="2486"/>
      <c r="N5" s="2487"/>
      <c r="O5" s="2487"/>
      <c r="P5" s="2487"/>
      <c r="Q5" s="2487"/>
      <c r="R5" s="2487"/>
      <c r="S5" s="2487"/>
      <c r="T5" s="2487"/>
      <c r="U5" s="2488"/>
      <c r="V5" s="2488"/>
      <c r="W5" s="804"/>
      <c r="X5" s="804"/>
    </row>
    <row r="6" spans="1:24" s="5" customFormat="1" ht="9.9499999999999993" hidden="1" customHeight="1">
      <c r="A6" s="1517"/>
      <c r="B6" s="6"/>
      <c r="C6" s="6"/>
      <c r="D6" s="3"/>
      <c r="E6" s="3"/>
      <c r="F6" s="3"/>
      <c r="G6" s="3"/>
      <c r="H6" s="3"/>
      <c r="I6" s="3"/>
      <c r="J6" s="3"/>
      <c r="L6" s="2485"/>
      <c r="M6" s="2486"/>
      <c r="N6" s="2487"/>
      <c r="O6" s="2487"/>
      <c r="P6" s="2487"/>
      <c r="Q6" s="2487"/>
      <c r="R6" s="2487"/>
      <c r="S6" s="2487"/>
      <c r="T6" s="2487"/>
      <c r="U6" s="2488"/>
      <c r="V6" s="2488"/>
      <c r="W6" s="804"/>
      <c r="X6" s="804"/>
    </row>
    <row r="7" spans="1:24" s="298" customFormat="1" ht="12" hidden="1" customHeight="1">
      <c r="A7" s="1517"/>
      <c r="B7" s="8"/>
      <c r="C7" s="8"/>
      <c r="D7" s="9"/>
      <c r="E7" s="9"/>
      <c r="F7" s="9"/>
      <c r="G7" s="9"/>
      <c r="H7" s="5"/>
      <c r="I7" s="5"/>
      <c r="J7" s="5"/>
      <c r="K7" s="5"/>
      <c r="L7" s="2485"/>
      <c r="M7" s="2486"/>
      <c r="N7" s="2487"/>
      <c r="O7" s="2487"/>
      <c r="P7" s="2487"/>
      <c r="Q7" s="2487"/>
      <c r="R7" s="2487"/>
      <c r="S7" s="2487"/>
      <c r="T7" s="2487"/>
      <c r="U7" s="2488"/>
      <c r="V7" s="2488"/>
      <c r="W7" s="804"/>
      <c r="X7" s="804"/>
    </row>
    <row r="8" spans="1:24" s="298" customFormat="1" ht="6" customHeight="1">
      <c r="A8" s="1517"/>
      <c r="B8" s="1210"/>
      <c r="C8" s="981"/>
      <c r="D8" s="1211"/>
      <c r="E8" s="1211"/>
      <c r="F8" s="1211"/>
      <c r="G8" s="1211"/>
      <c r="H8" s="1006"/>
      <c r="I8" s="1006"/>
      <c r="J8" s="1006"/>
      <c r="K8" s="1119"/>
      <c r="L8" s="2485"/>
      <c r="M8" s="2486"/>
      <c r="N8" s="2487"/>
      <c r="O8" s="2487"/>
      <c r="P8" s="2487"/>
      <c r="Q8" s="2487"/>
      <c r="R8" s="2487"/>
      <c r="S8" s="2487"/>
      <c r="T8" s="2487"/>
      <c r="U8" s="2488"/>
      <c r="V8" s="2488"/>
      <c r="W8" s="804"/>
      <c r="X8" s="804"/>
    </row>
    <row r="9" spans="1:24" s="298" customFormat="1" ht="14.25" customHeight="1">
      <c r="A9" s="1517" t="s">
        <v>2878</v>
      </c>
      <c r="B9" s="1220" t="str">
        <f>"  "&amp;Uebersetzung!D419</f>
        <v xml:space="preserve">  Instructions</v>
      </c>
      <c r="C9" s="8"/>
      <c r="D9" s="9"/>
      <c r="E9" s="9"/>
      <c r="F9" s="9"/>
      <c r="G9" s="9"/>
      <c r="H9" s="143"/>
      <c r="I9" s="143"/>
      <c r="J9" s="143"/>
      <c r="K9" s="1120"/>
      <c r="L9" s="2485"/>
      <c r="M9" s="2486"/>
      <c r="N9" s="2487"/>
      <c r="O9" s="2487"/>
      <c r="P9" s="2487"/>
      <c r="Q9" s="2487"/>
      <c r="R9" s="2487"/>
      <c r="S9" s="2487"/>
      <c r="T9" s="2487"/>
      <c r="U9" s="2488"/>
      <c r="V9" s="2488"/>
      <c r="W9" s="804"/>
      <c r="X9" s="804"/>
    </row>
    <row r="10" spans="1:24" s="298" customFormat="1" ht="16.149999999999999" customHeight="1">
      <c r="A10" s="1517"/>
      <c r="B10" s="1212" t="str">
        <f>"  "&amp;Uebersetzung!D420</f>
        <v xml:space="preserve">  Le présent formulaire sert à la justification des labels Minergie, Minergie-P et Minergie-A. Le label correspondant peut être</v>
      </c>
      <c r="C10" s="8"/>
      <c r="D10" s="8"/>
      <c r="E10" s="8"/>
      <c r="F10" s="8"/>
      <c r="G10" s="8"/>
      <c r="H10" s="8"/>
      <c r="I10" s="8"/>
      <c r="J10" s="8"/>
      <c r="K10" s="641"/>
      <c r="L10" s="2485"/>
      <c r="M10" s="2486"/>
      <c r="N10" s="2487"/>
      <c r="O10" s="2487"/>
      <c r="P10" s="2487"/>
      <c r="Q10" s="2487"/>
      <c r="R10" s="2487"/>
      <c r="S10" s="2487"/>
      <c r="T10" s="2487"/>
      <c r="U10" s="2488"/>
      <c r="V10" s="2488"/>
      <c r="W10" s="804"/>
      <c r="X10" s="804"/>
    </row>
    <row r="11" spans="1:24" s="298" customFormat="1" ht="13.9" customHeight="1">
      <c r="A11" s="1517"/>
      <c r="B11" s="1212" t="str">
        <f>"  "&amp;Uebersetzung!D421</f>
        <v xml:space="preserve">  sélectionné dans la feuille "Entrées". Une fois le justificatif rempli, il doit être téléchargé sur la plateforme Minergie online (MOP).</v>
      </c>
      <c r="C11" s="8"/>
      <c r="D11" s="8"/>
      <c r="E11" s="8"/>
      <c r="F11" s="8"/>
      <c r="G11" s="8"/>
      <c r="H11" s="8"/>
      <c r="I11" s="8"/>
      <c r="J11" s="8"/>
      <c r="K11" s="641"/>
      <c r="L11" s="2485"/>
      <c r="M11" s="2486"/>
      <c r="N11" s="2487"/>
      <c r="O11" s="2487"/>
      <c r="P11" s="2487"/>
      <c r="Q11" s="2487"/>
      <c r="R11" s="2487"/>
      <c r="S11" s="2487"/>
      <c r="T11" s="2487"/>
      <c r="U11" s="2488"/>
      <c r="V11" s="2488"/>
      <c r="W11" s="804"/>
      <c r="X11" s="804"/>
    </row>
    <row r="12" spans="1:24" s="298" customFormat="1" ht="13.9" customHeight="1">
      <c r="A12" s="1517"/>
      <c r="B12" s="1212" t="str">
        <f>"  "&amp;Uebersetzung!D422</f>
        <v xml:space="preserve">  Après transmission sur MOP, le formulaire de demande est généré automatiquement. La demande signée, le présent formulaire</v>
      </c>
      <c r="C12" s="8"/>
      <c r="D12" s="8"/>
      <c r="E12" s="8"/>
      <c r="F12" s="8"/>
      <c r="G12" s="8"/>
      <c r="H12" s="8"/>
      <c r="I12" s="8"/>
      <c r="J12" s="8"/>
      <c r="K12" s="641"/>
      <c r="L12" s="2485"/>
      <c r="M12" s="2486"/>
      <c r="N12" s="2487"/>
      <c r="O12" s="2487"/>
      <c r="P12" s="2487"/>
      <c r="Q12" s="2487"/>
      <c r="R12" s="2487"/>
      <c r="S12" s="2487"/>
      <c r="T12" s="2487"/>
      <c r="U12" s="2488"/>
      <c r="V12" s="2488"/>
      <c r="W12" s="804"/>
      <c r="X12" s="804"/>
    </row>
    <row r="13" spans="1:24" s="298" customFormat="1" ht="13.9" customHeight="1">
      <c r="A13" s="1517"/>
      <c r="B13" s="1212" t="str">
        <f>"  "&amp;Uebersetzung!D423</f>
        <v xml:space="preserve">  justificatif et tous les éventuels documents notifiés sur la demande doivent être envoyés au format papier à l'office de certification</v>
      </c>
      <c r="C13" s="8"/>
      <c r="D13" s="8"/>
      <c r="E13" s="8"/>
      <c r="F13" s="8"/>
      <c r="G13" s="8"/>
      <c r="H13" s="8"/>
      <c r="I13" s="8"/>
      <c r="J13" s="8"/>
      <c r="K13" s="641"/>
      <c r="L13" s="2485"/>
      <c r="M13" s="2486"/>
      <c r="N13" s="2487"/>
      <c r="O13" s="2487"/>
      <c r="P13" s="2487"/>
      <c r="Q13" s="2487"/>
      <c r="R13" s="2487"/>
      <c r="S13" s="2487"/>
      <c r="T13" s="2487"/>
      <c r="U13" s="2488"/>
      <c r="V13" s="2488"/>
      <c r="W13" s="804"/>
      <c r="X13" s="804"/>
    </row>
    <row r="14" spans="1:24" s="298" customFormat="1" ht="13.9" customHeight="1">
      <c r="A14" s="1517"/>
      <c r="B14" s="1212" t="str">
        <f>"  "&amp;Uebersetzung!D424</f>
        <v xml:space="preserve">  compétent. Observer le code couleur suivant pour remplir le formulaire justificatif:</v>
      </c>
      <c r="C14" s="8"/>
      <c r="D14" s="8"/>
      <c r="E14" s="8"/>
      <c r="F14" s="8"/>
      <c r="G14" s="8"/>
      <c r="H14" s="8"/>
      <c r="I14" s="8"/>
      <c r="J14" s="8"/>
      <c r="K14" s="641"/>
      <c r="L14" s="2485"/>
      <c r="M14" s="2486"/>
      <c r="N14" s="2487"/>
      <c r="O14" s="2487"/>
      <c r="P14" s="2487"/>
      <c r="Q14" s="2487"/>
      <c r="R14" s="2487"/>
      <c r="S14" s="2487"/>
      <c r="T14" s="2487"/>
      <c r="U14" s="2488"/>
      <c r="V14" s="2488"/>
      <c r="W14" s="804"/>
      <c r="X14" s="804"/>
    </row>
    <row r="15" spans="1:24" s="298" customFormat="1" ht="12" hidden="1" customHeight="1">
      <c r="A15" s="1517"/>
      <c r="B15" s="1212"/>
      <c r="C15" s="8"/>
      <c r="D15" s="8"/>
      <c r="E15" s="8"/>
      <c r="F15" s="8"/>
      <c r="G15" s="8"/>
      <c r="H15" s="8"/>
      <c r="I15" s="8"/>
      <c r="J15" s="8"/>
      <c r="K15" s="641"/>
      <c r="L15" s="2485"/>
      <c r="M15" s="2486"/>
      <c r="N15" s="2487"/>
      <c r="O15" s="2487"/>
      <c r="P15" s="2487"/>
      <c r="Q15" s="2487"/>
      <c r="R15" s="2487"/>
      <c r="S15" s="2487"/>
      <c r="T15" s="2487"/>
      <c r="U15" s="2488"/>
      <c r="V15" s="2488"/>
      <c r="W15" s="804"/>
      <c r="X15" s="804"/>
    </row>
    <row r="16" spans="1:24" s="298" customFormat="1" ht="19.149999999999999" hidden="1" customHeight="1">
      <c r="A16" s="1517"/>
      <c r="B16" s="1212"/>
      <c r="C16" s="8"/>
      <c r="D16" s="8"/>
      <c r="E16" s="8"/>
      <c r="F16" s="8"/>
      <c r="G16" s="8"/>
      <c r="H16" s="8"/>
      <c r="I16" s="8"/>
      <c r="J16" s="8"/>
      <c r="K16" s="641"/>
      <c r="L16" s="2485"/>
      <c r="M16" s="2486"/>
      <c r="N16" s="2487"/>
      <c r="O16" s="2487"/>
      <c r="P16" s="2487"/>
      <c r="Q16" s="2487"/>
      <c r="R16" s="2487"/>
      <c r="S16" s="2487"/>
      <c r="T16" s="2487"/>
      <c r="U16" s="2488"/>
      <c r="V16" s="2488"/>
      <c r="W16" s="804"/>
      <c r="X16" s="804"/>
    </row>
    <row r="17" spans="1:24" s="298" customFormat="1" ht="9" customHeight="1">
      <c r="A17" s="1517"/>
      <c r="B17" s="1212"/>
      <c r="C17" s="8"/>
      <c r="D17" s="8"/>
      <c r="E17" s="8"/>
      <c r="F17" s="8"/>
      <c r="G17" s="8"/>
      <c r="H17" s="8"/>
      <c r="I17" s="8"/>
      <c r="J17" s="8"/>
      <c r="K17" s="641"/>
      <c r="L17" s="2485"/>
      <c r="M17" s="2486"/>
      <c r="N17" s="2487"/>
      <c r="O17" s="2487"/>
      <c r="P17" s="2487"/>
      <c r="Q17" s="2487"/>
      <c r="R17" s="2487"/>
      <c r="S17" s="2487"/>
      <c r="T17" s="2487"/>
      <c r="U17" s="2488"/>
      <c r="V17" s="2488"/>
      <c r="W17" s="804"/>
      <c r="X17" s="804"/>
    </row>
    <row r="18" spans="1:24" s="298" customFormat="1" ht="19.149999999999999" customHeight="1">
      <c r="A18" s="1517"/>
      <c r="B18" s="1516" t="str">
        <f>Uebersetzung!D425</f>
        <v>Champ de saisie (obligatoire)</v>
      </c>
      <c r="C18" s="2470"/>
      <c r="D18" s="2985" t="str">
        <f>Uebersetzung!D426</f>
        <v>Champ de saisie (facultatif)</v>
      </c>
      <c r="E18" s="2985"/>
      <c r="F18" s="2985"/>
      <c r="G18" s="11"/>
      <c r="H18" s="2986" t="str">
        <f>Uebersetzung!D427</f>
        <v>Liste déroulante (obligatoire)</v>
      </c>
      <c r="I18" s="2986"/>
      <c r="J18" s="151"/>
      <c r="K18" s="603"/>
      <c r="L18" s="2485"/>
      <c r="M18" s="2486"/>
      <c r="N18" s="2487"/>
      <c r="O18" s="2487"/>
      <c r="P18" s="2487"/>
      <c r="Q18" s="2487"/>
      <c r="R18" s="2487"/>
      <c r="S18" s="2487"/>
      <c r="T18" s="2487"/>
      <c r="U18" s="2488"/>
      <c r="V18" s="2488"/>
      <c r="W18" s="804"/>
      <c r="X18" s="804"/>
    </row>
    <row r="19" spans="1:24" s="298" customFormat="1" ht="9.6" customHeight="1">
      <c r="A19" s="1517"/>
      <c r="B19" s="8"/>
      <c r="C19" s="8"/>
      <c r="D19" s="9"/>
      <c r="E19" s="9"/>
      <c r="F19" s="9"/>
      <c r="G19" s="9"/>
      <c r="H19" s="5"/>
      <c r="I19" s="5"/>
      <c r="J19" s="5"/>
      <c r="K19" s="5"/>
      <c r="L19" s="2485"/>
      <c r="M19" s="2486"/>
      <c r="N19" s="2487"/>
      <c r="O19" s="2487"/>
      <c r="P19" s="2487"/>
      <c r="Q19" s="2487"/>
      <c r="R19" s="2487"/>
      <c r="S19" s="2487"/>
      <c r="T19" s="2487"/>
      <c r="U19" s="2488"/>
      <c r="V19" s="2488"/>
      <c r="W19" s="804"/>
      <c r="X19" s="804"/>
    </row>
    <row r="20" spans="1:24" s="298" customFormat="1" ht="27.95" customHeight="1">
      <c r="A20" s="1517" t="s">
        <v>2863</v>
      </c>
      <c r="B20" s="369" t="str">
        <f>Uebersetzung!D418</f>
        <v>Projet</v>
      </c>
      <c r="C20" s="1213"/>
      <c r="D20" s="1214"/>
      <c r="E20" s="1214"/>
      <c r="F20" s="1214"/>
      <c r="G20" s="1214" t="str">
        <f>Uebersetzung!D18</f>
        <v>Justificatif pour:</v>
      </c>
      <c r="H20" s="673"/>
      <c r="I20" s="1214" t="str">
        <f>MINERGIE!F13</f>
        <v>Preuve officielle</v>
      </c>
      <c r="J20" s="673"/>
      <c r="K20" s="882"/>
      <c r="L20" s="2485"/>
      <c r="M20" s="2486"/>
      <c r="N20" s="2487"/>
      <c r="O20" s="2487"/>
      <c r="P20" s="2487"/>
      <c r="Q20" s="2487"/>
      <c r="R20" s="2487"/>
      <c r="S20" s="2487"/>
      <c r="T20" s="2487"/>
      <c r="U20" s="2488"/>
      <c r="V20" s="2488"/>
      <c r="W20" s="804"/>
      <c r="X20" s="804"/>
    </row>
    <row r="21" spans="1:24" s="298" customFormat="1" ht="27.95" customHeight="1">
      <c r="A21" s="1517" t="s">
        <v>2864</v>
      </c>
      <c r="B21" s="777" t="str">
        <f>IF(MUKEN,Uebersetzung!D9,Uebersetzung!D356)</f>
        <v>Commune:</v>
      </c>
      <c r="C21" s="2989" t="str">
        <f>IF(Projekt1="","",Projekt1)</f>
        <v/>
      </c>
      <c r="D21" s="2989"/>
      <c r="E21" s="2989"/>
      <c r="F21" s="2989"/>
      <c r="G21" s="864" t="str">
        <f>Uebersetzung!D10</f>
        <v>N° cadastre:</v>
      </c>
      <c r="H21" s="1237">
        <f>Projekt2</f>
        <v>0</v>
      </c>
      <c r="I21" s="1396" t="str">
        <f>IF(OR(MUKEN,bern),Uebersetzung!D11,Uebersetzung!D358)</f>
        <v>N° bâtiment:</v>
      </c>
      <c r="J21" s="1234"/>
      <c r="K21" s="1238">
        <f>Projekt3</f>
        <v>0</v>
      </c>
      <c r="L21" s="2485"/>
      <c r="M21" s="2486"/>
      <c r="N21" s="2487"/>
      <c r="O21" s="2487"/>
      <c r="P21" s="2487"/>
      <c r="Q21" s="2487"/>
      <c r="R21" s="2487"/>
      <c r="S21" s="2487"/>
      <c r="T21" s="2487"/>
      <c r="U21" s="2488"/>
      <c r="V21" s="2488"/>
      <c r="W21" s="804"/>
      <c r="X21" s="804"/>
    </row>
    <row r="22" spans="1:24" s="298" customFormat="1" ht="27.95" customHeight="1">
      <c r="A22" s="1517" t="s">
        <v>2865</v>
      </c>
      <c r="B22" s="778" t="str">
        <f>IF(MUKEN,Uebersetzung!D13,Uebersetzung!D359)</f>
        <v>Objet:</v>
      </c>
      <c r="C22" s="2987">
        <f>Entrées!C8</f>
        <v>0</v>
      </c>
      <c r="D22" s="2987"/>
      <c r="E22" s="2987"/>
      <c r="F22" s="2987"/>
      <c r="G22" s="2987"/>
      <c r="H22" s="2987"/>
      <c r="I22" s="2987"/>
      <c r="J22" s="2987"/>
      <c r="K22" s="2988"/>
      <c r="L22" s="2485"/>
      <c r="M22" s="2485"/>
      <c r="N22" s="2485"/>
      <c r="O22" s="2485"/>
      <c r="P22" s="2485"/>
      <c r="Q22" s="2485"/>
      <c r="R22" s="2485"/>
      <c r="S22" s="2485"/>
      <c r="T22" s="2485"/>
      <c r="U22" s="2485"/>
      <c r="V22" s="2485"/>
      <c r="W22" s="803"/>
      <c r="X22" s="804"/>
    </row>
    <row r="23" spans="1:24" s="298" customFormat="1" ht="19.149999999999999" hidden="1" customHeight="1">
      <c r="A23" s="1517"/>
      <c r="B23" s="8"/>
      <c r="C23" s="8"/>
      <c r="D23" s="9"/>
      <c r="E23" s="9"/>
      <c r="F23" s="9"/>
      <c r="G23" s="9"/>
      <c r="H23" s="5"/>
      <c r="I23" s="5"/>
      <c r="J23" s="5"/>
      <c r="K23" s="5"/>
      <c r="L23" s="2485"/>
      <c r="M23" s="2486"/>
      <c r="N23" s="2487"/>
      <c r="O23" s="2487"/>
      <c r="P23" s="2487"/>
      <c r="Q23" s="2487"/>
      <c r="R23" s="2487"/>
      <c r="S23" s="2487"/>
      <c r="T23" s="2487"/>
      <c r="U23" s="2488"/>
      <c r="V23" s="2488"/>
      <c r="W23" s="804"/>
      <c r="X23" s="804"/>
    </row>
    <row r="24" spans="1:24" s="298" customFormat="1" ht="19.149999999999999" hidden="1" customHeight="1">
      <c r="A24" s="1517"/>
      <c r="B24" s="8"/>
      <c r="C24" s="8"/>
      <c r="D24" s="9"/>
      <c r="E24" s="9"/>
      <c r="F24" s="9"/>
      <c r="G24" s="9"/>
      <c r="H24" s="5"/>
      <c r="I24" s="5"/>
      <c r="J24" s="5"/>
      <c r="K24" s="5"/>
      <c r="L24" s="2485"/>
      <c r="M24" s="2486"/>
      <c r="N24" s="2487"/>
      <c r="O24" s="2487"/>
      <c r="P24" s="2487"/>
      <c r="Q24" s="2487"/>
      <c r="R24" s="2487"/>
      <c r="S24" s="2487"/>
      <c r="T24" s="2487"/>
      <c r="U24" s="2488"/>
      <c r="V24" s="2488"/>
      <c r="W24" s="804"/>
      <c r="X24" s="804"/>
    </row>
    <row r="25" spans="1:24" s="298" customFormat="1" ht="19.149999999999999" hidden="1" customHeight="1">
      <c r="A25" s="1517"/>
      <c r="B25" s="8"/>
      <c r="C25" s="8"/>
      <c r="D25" s="9"/>
      <c r="E25" s="9"/>
      <c r="F25" s="9"/>
      <c r="G25" s="9"/>
      <c r="H25" s="5"/>
      <c r="I25" s="5"/>
      <c r="J25" s="5"/>
      <c r="K25" s="5"/>
      <c r="L25" s="2485"/>
      <c r="M25" s="2486"/>
      <c r="N25" s="2487"/>
      <c r="O25" s="2487"/>
      <c r="P25" s="2487"/>
      <c r="Q25" s="2487"/>
      <c r="R25" s="2487"/>
      <c r="S25" s="2487"/>
      <c r="T25" s="2487"/>
      <c r="U25" s="2488"/>
      <c r="V25" s="2488"/>
      <c r="W25" s="804"/>
      <c r="X25" s="804"/>
    </row>
    <row r="26" spans="1:24" s="298" customFormat="1" ht="12" customHeight="1">
      <c r="A26" s="1518"/>
      <c r="B26" s="5"/>
      <c r="C26" s="5"/>
      <c r="D26" s="5"/>
      <c r="E26" s="5"/>
      <c r="F26" s="9"/>
      <c r="G26" s="9"/>
      <c r="H26" s="5"/>
      <c r="I26" s="5"/>
      <c r="J26" s="5"/>
      <c r="K26" s="5"/>
      <c r="L26" s="2485"/>
      <c r="M26" s="2486"/>
      <c r="N26" s="2487"/>
      <c r="O26" s="2487"/>
      <c r="P26" s="2487"/>
      <c r="Q26" s="2487"/>
      <c r="R26" s="2487"/>
      <c r="S26" s="2487"/>
      <c r="T26" s="2487"/>
      <c r="U26" s="2488"/>
      <c r="V26" s="2488"/>
      <c r="W26" s="804"/>
      <c r="X26" s="804"/>
    </row>
    <row r="27" spans="1:24" s="298" customFormat="1" ht="1.1499999999999999" customHeight="1">
      <c r="A27" s="1518"/>
      <c r="B27" s="3"/>
      <c r="C27" s="3"/>
      <c r="D27" s="3"/>
      <c r="E27" s="3"/>
      <c r="F27" s="3"/>
      <c r="G27" s="3"/>
      <c r="H27" s="9"/>
      <c r="I27" s="9"/>
      <c r="J27" s="9"/>
      <c r="K27" s="9"/>
      <c r="L27" s="2485"/>
      <c r="M27" s="2486"/>
      <c r="N27" s="2487"/>
      <c r="O27" s="2487"/>
      <c r="P27" s="2487"/>
      <c r="Q27" s="2487"/>
      <c r="R27" s="2487"/>
      <c r="S27" s="2487"/>
      <c r="T27" s="2487"/>
      <c r="U27" s="2488"/>
      <c r="V27" s="2488"/>
      <c r="W27" s="804"/>
      <c r="X27" s="804"/>
    </row>
    <row r="28" spans="1:24" s="298" customFormat="1" ht="24" customHeight="1">
      <c r="A28" s="1518" t="s">
        <v>2866</v>
      </c>
      <c r="B28" s="2507" t="str">
        <f>Uebersetzung!D709</f>
        <v>Exigence satisfaite</v>
      </c>
      <c r="C28" s="980"/>
      <c r="D28" s="981"/>
      <c r="E28" s="982"/>
      <c r="F28" s="983"/>
      <c r="G28" s="984"/>
      <c r="H28" s="985"/>
      <c r="I28" s="989"/>
      <c r="J28" s="986"/>
      <c r="K28" s="987"/>
      <c r="L28" s="2485"/>
      <c r="M28" s="2486"/>
      <c r="N28" s="2487"/>
      <c r="O28" s="2487"/>
      <c r="P28" s="2487"/>
      <c r="Q28" s="2487"/>
      <c r="R28" s="2487"/>
      <c r="S28" s="2487"/>
      <c r="T28" s="2487"/>
      <c r="U28" s="2488"/>
      <c r="V28" s="2488"/>
      <c r="W28" s="804"/>
      <c r="X28" s="804"/>
    </row>
    <row r="29" spans="1:24" s="298" customFormat="1" ht="15.95" customHeight="1">
      <c r="A29" s="1518"/>
      <c r="B29" s="2471"/>
      <c r="C29" s="11"/>
      <c r="D29" s="11"/>
      <c r="E29" s="11"/>
      <c r="F29" s="2689" t="str">
        <f>Uebersetzung!D294</f>
        <v>Exigences</v>
      </c>
      <c r="G29" s="2970"/>
      <c r="H29" s="2689" t="str">
        <f>Uebersetzung!D295</f>
        <v>Valeur calculée</v>
      </c>
      <c r="I29" s="2970"/>
      <c r="J29" s="773"/>
      <c r="K29" s="2468" t="str">
        <f>Uebersetzung!D299</f>
        <v>Respectée?</v>
      </c>
      <c r="L29" s="2485"/>
      <c r="M29" s="2489"/>
      <c r="N29" s="2487"/>
      <c r="O29" s="2487"/>
      <c r="P29" s="2487"/>
      <c r="Q29" s="2487"/>
      <c r="R29" s="2487"/>
      <c r="S29" s="2485"/>
      <c r="T29" s="2485"/>
      <c r="U29" s="2488"/>
      <c r="V29" s="2488"/>
      <c r="W29" s="804"/>
      <c r="X29" s="804"/>
    </row>
    <row r="30" spans="1:24" s="298" customFormat="1" ht="30" customHeight="1">
      <c r="A30" s="1518" t="s">
        <v>2867</v>
      </c>
      <c r="B30" s="2384" t="str">
        <f>Justificatif!B58</f>
        <v>Valeur limite</v>
      </c>
      <c r="C30" s="1213"/>
      <c r="D30" s="2385"/>
      <c r="E30" s="2386"/>
      <c r="F30" s="2990">
        <f>IF(bern,Justificatif!G58,MINERGIE!Z43)</f>
        <v>0</v>
      </c>
      <c r="G30" s="2991"/>
      <c r="H30" s="2990" t="b">
        <f>IF(bern,Justificatif!I58,IF(MUKEN=FALSE,Justificatif!I59))</f>
        <v>0</v>
      </c>
      <c r="I30" s="2991"/>
      <c r="J30" s="918"/>
      <c r="K30" s="2387" t="str">
        <f>IF(MUKEN,Uebersetzung!D26,IF(AND(F38&gt;0,H38=0),Uebersetzung!D26,IF(ROUND(F30,1)&gt;=ROUND(H30,1),IF(EBF&gt;0,Uebersetzung!D25,Uebersetzung!D26),Uebersetzung!D26)))</f>
        <v>non</v>
      </c>
      <c r="L30" s="2485"/>
      <c r="M30" s="2485"/>
      <c r="N30" s="2485"/>
      <c r="O30" s="2485"/>
      <c r="P30" s="2485"/>
      <c r="Q30" s="2485"/>
      <c r="R30" s="2485"/>
      <c r="S30" s="2485"/>
      <c r="T30" s="2485"/>
      <c r="U30" s="2485"/>
      <c r="V30" s="2485"/>
      <c r="W30" s="804"/>
      <c r="X30" s="804"/>
    </row>
    <row r="31" spans="1:24" s="5" customFormat="1" ht="30" hidden="1" customHeight="1">
      <c r="A31" s="1518" t="s">
        <v>2868</v>
      </c>
      <c r="B31" s="2469" t="str">
        <f>Solaire_BE!B32</f>
        <v xml:space="preserve">  Production correspond au moins à la moitié du besoin normalisé?</v>
      </c>
      <c r="C31" s="2470"/>
      <c r="D31" s="2470"/>
      <c r="E31" s="2382"/>
      <c r="F31" s="3027">
        <f>Solaire_BE!H28</f>
        <v>0</v>
      </c>
      <c r="G31" s="3028"/>
      <c r="H31" s="3027">
        <f>Solaire_BE!F31</f>
        <v>0</v>
      </c>
      <c r="I31" s="3028"/>
      <c r="J31" s="17"/>
      <c r="K31" s="2582" t="str">
        <f>Solaire_BE!J32</f>
        <v>oui</v>
      </c>
      <c r="L31" s="2488"/>
      <c r="M31" s="2488"/>
      <c r="N31" s="2488"/>
      <c r="O31" s="2488"/>
      <c r="P31" s="2488"/>
      <c r="Q31" s="2488"/>
      <c r="R31" s="2488"/>
      <c r="S31" s="2488"/>
      <c r="T31" s="2488"/>
      <c r="U31" s="2488"/>
      <c r="V31" s="2488"/>
      <c r="W31" s="804"/>
      <c r="X31" s="804"/>
    </row>
    <row r="32" spans="1:24" s="5" customFormat="1" ht="3" customHeight="1">
      <c r="A32" s="1519"/>
      <c r="B32" s="456"/>
      <c r="C32" s="456"/>
      <c r="D32" s="456"/>
      <c r="E32" s="456"/>
      <c r="F32" s="155"/>
      <c r="G32" s="155"/>
      <c r="H32" s="155"/>
      <c r="I32" s="155"/>
      <c r="J32" s="456"/>
      <c r="K32" s="456"/>
      <c r="L32" s="2488"/>
      <c r="M32" s="2488"/>
      <c r="N32" s="2488"/>
      <c r="O32" s="2488"/>
      <c r="P32" s="2488"/>
      <c r="Q32" s="2488"/>
      <c r="R32" s="2488"/>
      <c r="S32" s="2488"/>
      <c r="T32" s="2488"/>
      <c r="U32" s="2488"/>
      <c r="V32" s="2488"/>
      <c r="W32" s="804"/>
      <c r="X32" s="804"/>
    </row>
    <row r="33" spans="1:24" s="5" customFormat="1" ht="9.6" hidden="1" customHeight="1">
      <c r="A33" s="1519"/>
      <c r="B33" s="456"/>
      <c r="C33" s="456"/>
      <c r="D33" s="456"/>
      <c r="E33" s="456"/>
      <c r="F33" s="155"/>
      <c r="G33" s="155"/>
      <c r="H33" s="155"/>
      <c r="I33" s="155"/>
      <c r="J33" s="456"/>
      <c r="K33" s="456"/>
      <c r="L33" s="2488"/>
      <c r="M33" s="2488"/>
      <c r="N33" s="2488"/>
      <c r="O33" s="2488"/>
      <c r="P33" s="2488"/>
      <c r="Q33" s="2488"/>
      <c r="R33" s="2488"/>
      <c r="S33" s="2488"/>
      <c r="T33" s="2488"/>
      <c r="U33" s="2488"/>
      <c r="V33" s="2488"/>
      <c r="W33" s="804"/>
      <c r="X33" s="804"/>
    </row>
    <row r="34" spans="1:24" s="5" customFormat="1" ht="9.6" hidden="1" customHeight="1">
      <c r="A34" s="1519"/>
      <c r="B34" s="456"/>
      <c r="C34" s="456"/>
      <c r="D34" s="456"/>
      <c r="E34" s="456"/>
      <c r="F34" s="155"/>
      <c r="G34" s="155"/>
      <c r="H34" s="155"/>
      <c r="I34" s="155"/>
      <c r="J34" s="456"/>
      <c r="K34" s="456"/>
      <c r="L34" s="2488"/>
      <c r="M34" s="2488"/>
      <c r="N34" s="2488"/>
      <c r="O34" s="2488"/>
      <c r="P34" s="2488"/>
      <c r="Q34" s="2488"/>
      <c r="R34" s="2488"/>
      <c r="S34" s="2488"/>
      <c r="T34" s="2488"/>
      <c r="U34" s="2488"/>
      <c r="V34" s="2488"/>
      <c r="W34" s="804"/>
      <c r="X34" s="804"/>
    </row>
    <row r="35" spans="1:24" s="5" customFormat="1" ht="19.899999999999999" hidden="1" customHeight="1">
      <c r="A35" s="1517" t="s">
        <v>2869</v>
      </c>
      <c r="B35" s="1280" t="str">
        <f>Uebersetzung!D429&amp;"  "&amp;Uebersetzung!D694</f>
        <v>Satisfaction des exigences de base  (exploitation du bâtiment)</v>
      </c>
      <c r="C35" s="980"/>
      <c r="D35" s="981"/>
      <c r="E35" s="982"/>
      <c r="F35" s="983"/>
      <c r="G35" s="984"/>
      <c r="H35" s="985"/>
      <c r="I35" s="989"/>
      <c r="J35" s="986"/>
      <c r="K35" s="987"/>
      <c r="L35" s="2488"/>
      <c r="M35" s="2488"/>
      <c r="N35" s="2488"/>
      <c r="O35" s="2488"/>
      <c r="P35" s="2488"/>
      <c r="Q35" s="2488"/>
      <c r="R35" s="2488"/>
      <c r="S35" s="2488"/>
      <c r="T35" s="2488"/>
      <c r="U35" s="2488"/>
      <c r="V35" s="2488"/>
      <c r="W35" s="804"/>
      <c r="X35" s="804"/>
    </row>
    <row r="36" spans="1:24" s="5" customFormat="1" ht="15.95" hidden="1" customHeight="1">
      <c r="A36" s="1517"/>
      <c r="B36" s="2471"/>
      <c r="C36" s="11"/>
      <c r="D36" s="11"/>
      <c r="E36" s="11"/>
      <c r="F36" s="2689" t="str">
        <f>Uebersetzung!D294</f>
        <v>Exigences</v>
      </c>
      <c r="G36" s="2970"/>
      <c r="H36" s="2689" t="str">
        <f>Uebersetzung!D295</f>
        <v>Valeur calculée</v>
      </c>
      <c r="I36" s="2970"/>
      <c r="J36" s="773"/>
      <c r="K36" s="2468" t="str">
        <f>Uebersetzung!D299</f>
        <v>Respectée?</v>
      </c>
      <c r="L36" s="2488"/>
      <c r="M36" s="2488"/>
      <c r="N36" s="2488"/>
      <c r="O36" s="2488"/>
      <c r="P36" s="2488"/>
      <c r="Q36" s="2488"/>
      <c r="R36" s="2488"/>
      <c r="S36" s="2488"/>
      <c r="T36" s="2488"/>
      <c r="U36" s="2488"/>
      <c r="V36" s="2488"/>
      <c r="W36" s="804"/>
      <c r="X36" s="804"/>
    </row>
    <row r="37" spans="1:24" s="5" customFormat="1" ht="19.899999999999999" hidden="1" customHeight="1">
      <c r="A37" s="1518" t="s">
        <v>2870</v>
      </c>
      <c r="B37" s="1215" t="str">
        <f>Uebersetzung!D432</f>
        <v>Besoins de chaleur en kWh/m²</v>
      </c>
      <c r="C37" s="2475"/>
      <c r="D37" s="2475"/>
      <c r="E37" s="1500" t="s">
        <v>2604</v>
      </c>
      <c r="F37" s="2971">
        <f>MINERGIE!Z19</f>
        <v>0</v>
      </c>
      <c r="G37" s="2972"/>
      <c r="H37" s="2971">
        <f>MINERGIE!Z25</f>
        <v>0</v>
      </c>
      <c r="I37" s="2972"/>
      <c r="J37" s="1001"/>
      <c r="K37" s="1436">
        <f>IF(AND(F37=0,H37&gt;0),Uebersetzung!D25,IF(AND(F37&gt;0,H37&gt;0),IF(ROUND(F37,1)&gt;=ROUND(H37,1),Uebersetzung!D25,Uebersetzung!D26),))</f>
        <v>0</v>
      </c>
      <c r="L37" s="2488"/>
      <c r="M37" s="2488"/>
      <c r="N37" s="2488"/>
      <c r="O37" s="2488"/>
      <c r="P37" s="2488"/>
      <c r="Q37" s="2488"/>
      <c r="R37" s="2488"/>
      <c r="S37" s="2488"/>
      <c r="T37" s="2488"/>
      <c r="U37" s="2488"/>
      <c r="V37" s="2488"/>
      <c r="W37" s="804"/>
      <c r="X37" s="804"/>
    </row>
    <row r="38" spans="1:24" s="5" customFormat="1" ht="19.899999999999999" hidden="1" customHeight="1">
      <c r="A38" s="1518" t="s">
        <v>2871</v>
      </c>
      <c r="B38" s="1217" t="str">
        <f>Uebersetzung!D433</f>
        <v>Energie finale sans photovoltaïque en kWh/m²</v>
      </c>
      <c r="C38" s="2472"/>
      <c r="D38" s="2472"/>
      <c r="E38" s="2473"/>
      <c r="F38" s="2975">
        <f>IF(bern,,IF(Justificatif!L43="",0,Justificatif!L43))</f>
        <v>0</v>
      </c>
      <c r="G38" s="2976"/>
      <c r="H38" s="2975">
        <f>IF(bern,,IF(Justificatif!I58="",0,Justificatif!I58))</f>
        <v>0</v>
      </c>
      <c r="I38" s="2976"/>
      <c r="J38" s="1094"/>
      <c r="K38" s="1437" t="str">
        <f>IF(AND(F38&gt;0,H38=0),Uebersetzung!D26,IF(ROUND(F38,1)&gt;=ROUND(H38,1),IF(EBF&gt;0,Uebersetzung!D25,Uebersetzung!D26),Uebersetzung!D26))</f>
        <v>non</v>
      </c>
      <c r="L38" s="2488"/>
      <c r="M38" s="2488"/>
      <c r="N38" s="2488"/>
      <c r="O38" s="2488"/>
      <c r="P38" s="2488"/>
      <c r="Q38" s="2488"/>
      <c r="R38" s="2488"/>
      <c r="S38" s="2488"/>
      <c r="T38" s="2488"/>
      <c r="U38" s="2488"/>
      <c r="V38" s="2488"/>
      <c r="W38" s="804"/>
      <c r="X38" s="804"/>
    </row>
    <row r="39" spans="1:24" s="5" customFormat="1" ht="20.100000000000001" hidden="1" customHeight="1">
      <c r="A39" s="1518" t="s">
        <v>2872</v>
      </c>
      <c r="B39" s="1212" t="str">
        <f>Uebersetzung!D434</f>
        <v>Valeur limite Minergie pour l'éclairage en kWh/m²</v>
      </c>
      <c r="C39" s="8"/>
      <c r="D39" s="8"/>
      <c r="E39" s="785"/>
      <c r="F39" s="2973">
        <f>MINERGIE!K48</f>
        <v>0</v>
      </c>
      <c r="G39" s="2974"/>
      <c r="H39" s="2973">
        <f>MINERGIE!K49</f>
        <v>0</v>
      </c>
      <c r="I39" s="2974"/>
      <c r="J39" s="1372"/>
      <c r="K39" s="1438" t="str">
        <f>IF(MINERGIE!S63=FALSE,Uebersetzung!D26,IF(AND(F39=0,H39=0),"",IF(AND(F39=0,OR(MINERGIE!S82,MINERGIE!S86,MINERGIE!S90)),Uebersetzung!D26,IF(AND(F39&gt;0,H39&gt;0),IF(ROUND(F39,1)&gt;=ROUND(H39,1),Uebersetzung!D25,Uebersetzung!D26),))))</f>
        <v/>
      </c>
      <c r="L39" s="2488"/>
      <c r="M39" s="2488"/>
      <c r="N39" s="2488"/>
      <c r="O39" s="2488"/>
      <c r="P39" s="2488"/>
      <c r="Q39" s="2488"/>
      <c r="R39" s="2488"/>
      <c r="S39" s="2488"/>
      <c r="T39" s="2488"/>
      <c r="U39" s="2488"/>
      <c r="V39" s="2488"/>
      <c r="W39" s="804"/>
      <c r="X39" s="804"/>
    </row>
    <row r="40" spans="1:24" s="5" customFormat="1" ht="24" hidden="1" customHeight="1">
      <c r="A40" s="1518" t="s">
        <v>2873</v>
      </c>
      <c r="B40" s="2967" t="str">
        <f>MINERGIE!B119</f>
        <v>Taille min. de l'installation d’autoproduction d’électricité [kWp]:</v>
      </c>
      <c r="C40" s="2731"/>
      <c r="D40" s="2731"/>
      <c r="E40" s="1373" t="s">
        <v>2201</v>
      </c>
      <c r="F40" s="2977">
        <f>IF(bern,,MINERGIE!E119)</f>
        <v>0</v>
      </c>
      <c r="G40" s="2978"/>
      <c r="H40" s="2977">
        <f>IF(bern,,MINERGIE!E117)</f>
        <v>0</v>
      </c>
      <c r="I40" s="2978"/>
      <c r="J40" s="1094"/>
      <c r="K40" s="1437" t="str">
        <f>IF(wkk,Uebersetzung!D25,IF(ROUND(H40,2)&gt;=ROUND(F40,2),IF(EBF&gt;0,Uebersetzung!D25,Uebersetzung!D26),Uebersetzung!D26))</f>
        <v>non</v>
      </c>
      <c r="L40" s="2488"/>
      <c r="M40" s="2488"/>
      <c r="N40" s="2488"/>
      <c r="O40" s="2488"/>
      <c r="P40" s="2488"/>
      <c r="Q40" s="2488"/>
      <c r="R40" s="2488"/>
      <c r="S40" s="2488"/>
      <c r="T40" s="2488"/>
      <c r="U40" s="2488"/>
      <c r="V40" s="2488"/>
      <c r="W40" s="804"/>
      <c r="X40" s="804"/>
    </row>
    <row r="41" spans="1:24" s="5" customFormat="1" ht="19.899999999999999" hidden="1" customHeight="1">
      <c r="A41" s="1518" t="s">
        <v>2874</v>
      </c>
      <c r="B41" s="1217" t="str">
        <f>Uebersetzung!D320</f>
        <v>Protection thermique estivale dans le label Minergie</v>
      </c>
      <c r="C41" s="2472"/>
      <c r="D41" s="2472"/>
      <c r="E41" s="2473"/>
      <c r="F41" s="2480"/>
      <c r="G41" s="2481"/>
      <c r="H41" s="2480"/>
      <c r="I41" s="2481"/>
      <c r="J41" s="200"/>
      <c r="K41" s="1439" t="str">
        <f>IF(Eté!S52,Uebersetzung!D25,Uebersetzung!D26)</f>
        <v>non</v>
      </c>
      <c r="L41" s="2488"/>
      <c r="M41" s="2488"/>
      <c r="N41" s="2488"/>
      <c r="O41" s="2488"/>
      <c r="P41" s="2488"/>
      <c r="Q41" s="2488"/>
      <c r="R41" s="2488"/>
      <c r="S41" s="2488"/>
      <c r="T41" s="2488"/>
      <c r="U41" s="2488"/>
      <c r="V41" s="2488"/>
      <c r="W41" s="804"/>
      <c r="X41" s="804"/>
    </row>
    <row r="42" spans="1:24" s="5" customFormat="1" ht="19.899999999999999" hidden="1" customHeight="1">
      <c r="A42" s="1518" t="s">
        <v>2875</v>
      </c>
      <c r="B42" s="1100" t="str">
        <f>Uebersetzung!D464</f>
        <v>Part d'énergies fossiles</v>
      </c>
      <c r="C42" s="1409"/>
      <c r="D42" s="1409"/>
      <c r="E42" s="1410" t="s">
        <v>2482</v>
      </c>
      <c r="F42" s="2963">
        <f>IF(AND(MINERGIE!AH37&gt;0,H42&gt;0),MINERGIE!AH25,)</f>
        <v>0</v>
      </c>
      <c r="G42" s="2964"/>
      <c r="H42" s="2963">
        <f>IF(MINERGIE!AH14&gt;0,MINERGIE!AH38,)</f>
        <v>0</v>
      </c>
      <c r="I42" s="2964"/>
      <c r="J42" s="1409"/>
      <c r="K42" s="1438" t="str">
        <f>IF(Justificatif!P63=FALSE,Uebersetzung!D26,IF(ROUND(H42,3)&lt;=ROUND(F42,3),Uebersetzung!D25,Uebersetzung!D26))</f>
        <v>non</v>
      </c>
      <c r="L42" s="2488"/>
      <c r="M42" s="2488"/>
      <c r="N42" s="2488"/>
      <c r="O42" s="2488"/>
      <c r="P42" s="2488"/>
      <c r="Q42" s="2488"/>
      <c r="R42" s="2488"/>
      <c r="S42" s="2488"/>
      <c r="T42" s="2488"/>
      <c r="U42" s="2488"/>
      <c r="V42" s="2488"/>
      <c r="W42" s="804"/>
      <c r="X42" s="804"/>
    </row>
    <row r="43" spans="1:24" s="5" customFormat="1" ht="23.1" hidden="1" customHeight="1">
      <c r="A43" s="1518" t="s">
        <v>2876</v>
      </c>
      <c r="B43" s="2968" t="str">
        <f>IF(minergiea,Uebersetzung!D465,"")</f>
        <v/>
      </c>
      <c r="C43" s="2969"/>
      <c r="D43" s="2969"/>
      <c r="E43" s="856" t="s">
        <v>2215</v>
      </c>
      <c r="F43" s="2965" t="str">
        <f>IF(minergiea,MINERGIE!G121,"")</f>
        <v/>
      </c>
      <c r="G43" s="2966"/>
      <c r="H43" s="2965" t="str">
        <f>IF(minergiea,MINERGIE!H121,"")</f>
        <v/>
      </c>
      <c r="I43" s="2966"/>
      <c r="J43" s="17"/>
      <c r="K43" s="2474">
        <f>IF(minergiea,IF(AND(F43&gt;0,H43&gt;0),IF(ROUND(F43,1)&lt;=ROUND(H43,1),Uebersetzung!D25,Uebersetzung!D26),),)</f>
        <v>0</v>
      </c>
      <c r="L43" s="2488"/>
      <c r="M43" s="2488"/>
      <c r="N43" s="2488"/>
      <c r="O43" s="2488"/>
      <c r="P43" s="2488"/>
      <c r="Q43" s="2488"/>
      <c r="R43" s="2488"/>
      <c r="S43" s="2488"/>
      <c r="T43" s="2488"/>
      <c r="U43" s="2488"/>
      <c r="V43" s="2488"/>
      <c r="W43" s="804"/>
      <c r="X43" s="804"/>
    </row>
    <row r="44" spans="1:24" s="5" customFormat="1" ht="23.1" hidden="1" customHeight="1">
      <c r="A44" s="1518"/>
      <c r="B44" s="2476" t="str">
        <f>Uebersetzung!D700</f>
        <v>Autres indicateurs</v>
      </c>
      <c r="C44" s="2374"/>
      <c r="D44" s="2374"/>
      <c r="E44" s="2374"/>
      <c r="F44" s="2374"/>
      <c r="G44" s="2374"/>
      <c r="H44" s="2374"/>
      <c r="I44" s="2374"/>
      <c r="J44" s="2374"/>
      <c r="K44" s="2375"/>
      <c r="L44" s="2488"/>
      <c r="M44" s="2488"/>
      <c r="N44" s="2488"/>
      <c r="O44" s="2488"/>
      <c r="P44" s="2488"/>
      <c r="Q44" s="2488"/>
      <c r="R44" s="2488"/>
      <c r="S44" s="2488"/>
      <c r="T44" s="2488"/>
      <c r="U44" s="2488"/>
      <c r="V44" s="2488"/>
      <c r="W44" s="804"/>
      <c r="X44" s="804"/>
    </row>
    <row r="45" spans="1:24" s="5" customFormat="1" ht="22.15" hidden="1" customHeight="1">
      <c r="A45" s="1518" t="s">
        <v>4743</v>
      </c>
      <c r="B45" s="2377" t="str">
        <f>IF(THG_Scope1,Uebersetzung!D693,Uebersetzung!D431)</f>
        <v>Emission de GES pendant l'exploitatio en CO2/m2 (Scope 1)</v>
      </c>
      <c r="C45" s="2376"/>
      <c r="D45" s="2376"/>
      <c r="E45" s="2376"/>
      <c r="F45" s="2992" t="str">
        <f>Uebersetzung!D462</f>
        <v>Pas d’exigence</v>
      </c>
      <c r="G45" s="2993"/>
      <c r="H45" s="2992" t="str">
        <f>IF(Justificatif!AL45=0,"0",Justificatif!AL45)</f>
        <v>0</v>
      </c>
      <c r="I45" s="2993"/>
      <c r="J45" s="2380"/>
      <c r="K45" s="2381"/>
      <c r="L45" s="2490"/>
      <c r="M45" s="2487"/>
      <c r="N45" s="2491"/>
      <c r="O45" s="2487"/>
      <c r="P45" s="2492"/>
      <c r="Q45" s="2491"/>
      <c r="R45" s="2491"/>
      <c r="S45" s="2487"/>
      <c r="T45" s="2487"/>
      <c r="U45" s="2488"/>
      <c r="V45" s="2488"/>
      <c r="W45" s="804"/>
      <c r="X45" s="804"/>
    </row>
    <row r="46" spans="1:24" s="5" customFormat="1" ht="22.15" hidden="1" customHeight="1">
      <c r="A46" s="1518" t="s">
        <v>2877</v>
      </c>
      <c r="B46" s="2378" t="str">
        <f>Uebersetzung!D697&amp;"  "&amp;Uebersetzung!D696</f>
        <v>Gaz à effet de serre GES en kg CO2/m2  (Construction)</v>
      </c>
      <c r="C46" s="2388"/>
      <c r="D46" s="2388"/>
      <c r="E46" s="2388"/>
      <c r="F46" s="2994" t="str">
        <f>Uebersetzung!D462</f>
        <v>Pas d’exigence</v>
      </c>
      <c r="G46" s="2995"/>
      <c r="H46" s="2994">
        <f>Construction!H34</f>
        <v>0</v>
      </c>
      <c r="I46" s="2995"/>
      <c r="J46" s="2388"/>
      <c r="K46" s="2389"/>
      <c r="L46" s="2490"/>
      <c r="M46" s="2487"/>
      <c r="N46" s="2491"/>
      <c r="O46" s="2487"/>
      <c r="P46" s="2492"/>
      <c r="Q46" s="2491"/>
      <c r="R46" s="2491"/>
      <c r="S46" s="2487"/>
      <c r="T46" s="2487"/>
      <c r="U46" s="2488"/>
      <c r="V46" s="2488"/>
      <c r="W46" s="804"/>
      <c r="X46" s="804"/>
    </row>
    <row r="47" spans="1:24" s="5" customFormat="1" ht="22.15" hidden="1" customHeight="1">
      <c r="A47" s="1518" t="s">
        <v>4744</v>
      </c>
      <c r="B47" s="2379" t="str">
        <f>Uebersetzung!D698&amp;"  "&amp;Uebersetzung!D696</f>
        <v>Carbone stocké en kg  (Construction)</v>
      </c>
      <c r="C47" s="2390"/>
      <c r="D47" s="2390"/>
      <c r="E47" s="2390"/>
      <c r="F47" s="2996" t="str">
        <f>Uebersetzung!D462</f>
        <v>Pas d’exigence</v>
      </c>
      <c r="G47" s="2997"/>
      <c r="H47" s="2996">
        <f>Construction!H36</f>
        <v>0</v>
      </c>
      <c r="I47" s="2997"/>
      <c r="J47" s="2390"/>
      <c r="K47" s="2391"/>
      <c r="L47" s="2490"/>
      <c r="M47" s="2487"/>
      <c r="N47" s="2491"/>
      <c r="O47" s="2487"/>
      <c r="P47" s="2492"/>
      <c r="Q47" s="2491"/>
      <c r="R47" s="2491"/>
      <c r="S47" s="2487"/>
      <c r="T47" s="2487"/>
      <c r="U47" s="2488"/>
      <c r="V47" s="2488"/>
      <c r="W47" s="804"/>
      <c r="X47" s="804"/>
    </row>
    <row r="48" spans="1:24" s="5" customFormat="1" ht="9.9499999999999993" hidden="1" customHeight="1">
      <c r="A48" s="1518"/>
      <c r="B48" s="2404"/>
      <c r="C48" s="2402"/>
      <c r="D48" s="2402"/>
      <c r="E48" s="2402"/>
      <c r="F48" s="2403"/>
      <c r="G48" s="2403"/>
      <c r="H48" s="2403"/>
      <c r="I48" s="2403"/>
      <c r="J48" s="2402"/>
      <c r="K48" s="2404"/>
      <c r="L48" s="2490"/>
      <c r="M48" s="2487"/>
      <c r="N48" s="2491"/>
      <c r="O48" s="2487"/>
      <c r="P48" s="2492"/>
      <c r="Q48" s="2491"/>
      <c r="R48" s="2491"/>
      <c r="S48" s="2487"/>
      <c r="T48" s="2487"/>
      <c r="U48" s="2488"/>
      <c r="V48" s="2488"/>
      <c r="W48" s="804"/>
      <c r="X48" s="804"/>
    </row>
    <row r="49" spans="1:24" s="5" customFormat="1" ht="30" customHeight="1">
      <c r="A49" s="1518" t="s">
        <v>4760</v>
      </c>
      <c r="B49" s="2506" t="str">
        <f>IF(bern,"   "&amp;Uebersetzung!D708&amp;Uebersetzung!D718,"    "&amp;Uebersetzung!D435)</f>
        <v xml:space="preserve">    Visualisation de l'indice Minergie</v>
      </c>
      <c r="C49" s="2372"/>
      <c r="D49" s="1006"/>
      <c r="E49" s="1006"/>
      <c r="F49" s="1006"/>
      <c r="G49" s="1006"/>
      <c r="H49" s="1006"/>
      <c r="I49" s="1006"/>
      <c r="J49" s="1006"/>
      <c r="K49" s="2373" t="s">
        <v>2434</v>
      </c>
      <c r="L49" s="2488"/>
      <c r="M49" s="2487" t="str">
        <f>Uebersetzung!D437</f>
        <v>Eau chaude</v>
      </c>
      <c r="N49" s="2491">
        <f>MINERGIE!S18</f>
        <v>0</v>
      </c>
      <c r="O49" s="2487" t="s">
        <v>524</v>
      </c>
      <c r="P49" s="2492" t="str">
        <f>M51</f>
        <v>Electricité d'habitation</v>
      </c>
      <c r="Q49" s="2491">
        <f>MINERGIE!Z47</f>
        <v>0</v>
      </c>
      <c r="R49" s="2491">
        <f t="shared" ref="R49:R51" si="0">N51</f>
        <v>0</v>
      </c>
      <c r="S49" s="2487">
        <v>0</v>
      </c>
      <c r="T49" s="2487"/>
      <c r="U49" s="2488"/>
      <c r="V49" s="2488"/>
      <c r="W49" s="804"/>
      <c r="X49" s="804"/>
    </row>
    <row r="50" spans="1:24" s="5" customFormat="1" ht="19.899999999999999" customHeight="1">
      <c r="A50" s="1518"/>
      <c r="B50" s="2961" t="str">
        <f>M72&amp;"    "</f>
        <v xml:space="preserve">                                  E HWLK,li +
                        Besoins standard électricité
      </v>
      </c>
      <c r="C50" s="2962"/>
      <c r="D50" s="2962"/>
      <c r="E50" s="2962" t="str">
        <f>"             
 "&amp;M70</f>
        <v xml:space="preserve">             
        Valeur de l'objet
 </v>
      </c>
      <c r="F50" s="2962"/>
      <c r="G50" s="2962"/>
      <c r="H50" s="2932" t="str">
        <f>M68</f>
        <v xml:space="preserve"> Production d'électricité</v>
      </c>
      <c r="I50" s="2932"/>
      <c r="J50" s="143"/>
      <c r="K50" s="1398" t="str">
        <f>IF(bern,Uebersetzung!D707,Uebersetzung!D479)&amp;" "&amp;Uebersetzung!D480</f>
        <v>MKZ H</v>
      </c>
      <c r="L50" s="2488"/>
      <c r="M50" s="2487" t="str">
        <f>Uebersetzung!D470</f>
        <v>ventilation et climatisation</v>
      </c>
      <c r="N50" s="2493">
        <f>Justificatif!I52+Justificatif!I53</f>
        <v>0</v>
      </c>
      <c r="O50" s="2487" t="s">
        <v>524</v>
      </c>
      <c r="P50" s="2494" t="str">
        <f>M52</f>
        <v>Eclairage</v>
      </c>
      <c r="Q50" s="2491">
        <f>MINERGIE!Z48</f>
        <v>0</v>
      </c>
      <c r="R50" s="2491">
        <f>K59</f>
        <v>0</v>
      </c>
      <c r="S50" s="2487">
        <v>0</v>
      </c>
      <c r="T50" s="2487"/>
      <c r="U50" s="2488"/>
      <c r="V50" s="2488"/>
      <c r="W50" s="804"/>
      <c r="X50" s="804"/>
    </row>
    <row r="51" spans="1:24" s="5" customFormat="1" ht="24" customHeight="1">
      <c r="A51" s="1518" t="s">
        <v>4761</v>
      </c>
      <c r="B51" s="2961"/>
      <c r="C51" s="2962"/>
      <c r="D51" s="2962"/>
      <c r="E51" s="2962"/>
      <c r="F51" s="2962"/>
      <c r="G51" s="2962"/>
      <c r="H51" s="2932"/>
      <c r="I51" s="2932"/>
      <c r="J51" s="143"/>
      <c r="K51" s="1399">
        <f>N88</f>
        <v>0</v>
      </c>
      <c r="L51" s="2488"/>
      <c r="M51" s="2487" t="str">
        <f>Uebersetzung!D443</f>
        <v>Electricité d'habitation</v>
      </c>
      <c r="N51" s="2491">
        <f>IF(EBF_neu&gt;0,(IF(AND(wohnen1,_neu1),Standardwerte!N141*_EBF1,0)+IF(AND(wohnen2,_neu2),Standardwerte!O141*_EBF2,0)+IF(AND(wohnen3,_neu3),Standardwerte!P141*_EBF3,0)+IF(AND(wohnen4,_neu4),Standardwerte!Q141*_EBF4,0))/EBF_neu,0)</f>
        <v>0</v>
      </c>
      <c r="O51" s="2487" t="s">
        <v>524</v>
      </c>
      <c r="P51" s="2492" t="s">
        <v>1849</v>
      </c>
      <c r="Q51" s="2491">
        <f>MINERGIE!Z49</f>
        <v>0</v>
      </c>
      <c r="R51" s="2491">
        <f t="shared" si="0"/>
        <v>0</v>
      </c>
      <c r="S51" s="2487">
        <v>0</v>
      </c>
      <c r="T51" s="2487"/>
      <c r="U51" s="2488"/>
      <c r="V51" s="2488"/>
      <c r="W51" s="804"/>
      <c r="X51" s="804"/>
    </row>
    <row r="52" spans="1:24" s="5" customFormat="1" ht="21.95" customHeight="1">
      <c r="A52" s="1518"/>
      <c r="B52" s="2961"/>
      <c r="C52" s="2962"/>
      <c r="D52" s="2962"/>
      <c r="E52" s="2482"/>
      <c r="F52" s="2482"/>
      <c r="G52" s="2482"/>
      <c r="H52" s="2478"/>
      <c r="I52" s="2478"/>
      <c r="J52" s="143"/>
      <c r="K52" s="1398" t="str">
        <f>IF(bern,Uebersetzung!D707,Uebersetzung!D479)&amp;" "&amp;Uebersetzung!D481</f>
        <v>MKZ ww</v>
      </c>
      <c r="L52" s="2488"/>
      <c r="M52" s="2487" t="str">
        <f>Uebersetzung!D438</f>
        <v>Eclairage</v>
      </c>
      <c r="N52" s="2491">
        <f>IF(EBF_neu&gt;0,(IF(AND(wohnen1=FALSE,_neu1,EBF_Zweckneubau&lt;1000.1),INDEX(Standardwerte!K142:K154,Kategorie1,1)*_EBF1,Q62)+IF(AND(wohnen2=FALSE,_neu2,EBF_Zweckneubau&lt;1000.1),INDEX(Standardwerte!K142:K154,Kategorie2,1)*_EBF2,R62)+IF(AND(wohnen3=FALSE,_neu3,EBF_Zweckneubau&lt;1000.1),INDEX(Standardwerte!K142:K154,Kategorie3,1)*_EBF3,S62)+IF(AND(wohnen4=FALSE,_neu4,EBF_Zweckneubau&lt;1000.1),INDEX(Standardwerte!K142:K154,Kategorie4,1)*_EBF4,T62))/EBF_neu,0)</f>
        <v>0</v>
      </c>
      <c r="O52" s="2487" t="s">
        <v>524</v>
      </c>
      <c r="P52" s="2487" t="str">
        <f>M54</f>
        <v>Installations techn. du bâtiment</v>
      </c>
      <c r="Q52" s="2491">
        <f>MINERGIE!Z50</f>
        <v>0</v>
      </c>
      <c r="R52" s="2491">
        <f>N54</f>
        <v>0</v>
      </c>
      <c r="S52" s="2487">
        <v>0</v>
      </c>
      <c r="T52" s="2487"/>
      <c r="U52" s="2488"/>
      <c r="V52" s="2488"/>
      <c r="W52" s="804"/>
      <c r="X52" s="804"/>
    </row>
    <row r="53" spans="1:24" s="5" customFormat="1" ht="21.95" customHeight="1">
      <c r="A53" s="1518" t="s">
        <v>4762</v>
      </c>
      <c r="B53" s="1264"/>
      <c r="C53" s="1265"/>
      <c r="D53" s="143"/>
      <c r="E53" s="143"/>
      <c r="F53" s="143"/>
      <c r="G53" s="143"/>
      <c r="H53" s="143"/>
      <c r="I53" s="143"/>
      <c r="J53" s="143"/>
      <c r="K53" s="1399">
        <f>N49</f>
        <v>0</v>
      </c>
      <c r="L53" s="2488"/>
      <c r="M53" s="2487" t="str">
        <f>Uebersetzung!D439</f>
        <v>Appareils</v>
      </c>
      <c r="N53" s="2491">
        <f>IF(EBF_neu&gt;0,(IF(AND(wohnen1=FALSE,_neu1),INDEX(Standardwerte!L142:L154,Kategorie1,1)*_EBF1,0)+IF(AND(wohnen2=FALSE,_neu2),INDEX(Standardwerte!L142:L154,Kategorie2,1)*_EBF2,0)+IF(AND(wohnen3=FALSE,_neu3),INDEX(Standardwerte!L142:L154,Kategorie3,1)*_EBF3,0)+IF(AND(wohnen4=FALSE,_neu4),INDEX(Standardwerte!L142:L154,Kategorie4,1)*_EBF4,0))/EBF_neu,0)</f>
        <v>0</v>
      </c>
      <c r="O53" s="2487" t="s">
        <v>524</v>
      </c>
      <c r="P53" s="2495" t="s">
        <v>2600</v>
      </c>
      <c r="Q53" s="2491">
        <f>MINERGIE!Z46*N83</f>
        <v>0</v>
      </c>
      <c r="R53" s="2487">
        <v>0</v>
      </c>
      <c r="S53" s="2487">
        <v>0</v>
      </c>
      <c r="T53" s="2487"/>
      <c r="U53" s="2488"/>
      <c r="V53" s="2488"/>
      <c r="W53" s="804"/>
      <c r="X53" s="804"/>
    </row>
    <row r="54" spans="1:24" s="5" customFormat="1" ht="21.95" customHeight="1">
      <c r="A54" s="1542"/>
      <c r="B54" s="1087"/>
      <c r="C54" s="143"/>
      <c r="D54" s="143"/>
      <c r="E54" s="143"/>
      <c r="F54" s="143"/>
      <c r="G54" s="143"/>
      <c r="H54" s="143"/>
      <c r="I54" s="143"/>
      <c r="J54" s="143"/>
      <c r="K54" s="1398" t="str">
        <f>IF(bern,Uebersetzung!D707,Uebersetzung!D479)&amp;" "&amp;Uebersetzung!D482</f>
        <v>MKZ LK</v>
      </c>
      <c r="L54" s="2488"/>
      <c r="M54" s="2487" t="str">
        <f>Uebersetzung!D440</f>
        <v>Installations techn. du bâtiment</v>
      </c>
      <c r="N54" s="2491">
        <f>IF(EBF_neu&gt;0,(IF(AND(wohnen1=FALSE,_neu1),INDEX(Standardwerte!M142:M154,Kategorie1,1)*_EBF1,0)+IF(AND(wohnen2=FALSE,_neu2),INDEX(Standardwerte!M142:M154,Kategorie2,1)*_EBF2,0)+IF(AND(wohnen3=FALSE,_neu3),INDEX(Standardwerte!M142:M154,Kategorie3,1)*_EBF3,0)+IF(AND(wohnen4=FALSE,_neu4),INDEX(Standardwerte!M142:M154,Kategorie4,1)*_EBF4,0))/EBF_neu,0)</f>
        <v>0</v>
      </c>
      <c r="O54" s="2487" t="s">
        <v>524</v>
      </c>
      <c r="P54" s="2487"/>
      <c r="Q54" s="2491">
        <v>0</v>
      </c>
      <c r="R54" s="2487"/>
      <c r="S54" s="2487"/>
      <c r="T54" s="2487"/>
      <c r="U54" s="2488"/>
      <c r="V54" s="2488"/>
      <c r="W54" s="804"/>
      <c r="X54" s="804"/>
    </row>
    <row r="55" spans="1:24" s="5" customFormat="1" ht="21.95" customHeight="1">
      <c r="A55" s="1520" t="s">
        <v>4763</v>
      </c>
      <c r="B55" s="1087"/>
      <c r="C55" s="143"/>
      <c r="D55" s="143"/>
      <c r="E55" s="143"/>
      <c r="F55" s="143"/>
      <c r="G55" s="143"/>
      <c r="H55" s="143"/>
      <c r="I55" s="143"/>
      <c r="J55" s="143"/>
      <c r="K55" s="1399">
        <f>N50</f>
        <v>0</v>
      </c>
      <c r="L55" s="2488"/>
      <c r="M55" s="2487" t="s">
        <v>691</v>
      </c>
      <c r="N55" s="2491">
        <f>SUM(N43:N54)</f>
        <v>0</v>
      </c>
      <c r="O55" s="2487" t="s">
        <v>524</v>
      </c>
      <c r="P55" s="2487"/>
      <c r="Q55" s="2491">
        <v>0</v>
      </c>
      <c r="R55" s="2487">
        <v>0</v>
      </c>
      <c r="S55" s="2487">
        <v>0</v>
      </c>
      <c r="T55" s="2487"/>
      <c r="U55" s="2488"/>
      <c r="V55" s="2488"/>
      <c r="W55" s="804"/>
      <c r="X55" s="804"/>
    </row>
    <row r="56" spans="1:24" s="5" customFormat="1" ht="21.95" customHeight="1">
      <c r="A56" s="1520"/>
      <c r="B56" s="1087"/>
      <c r="C56" s="143"/>
      <c r="D56" s="143"/>
      <c r="E56" s="143"/>
      <c r="F56" s="143"/>
      <c r="G56" s="143"/>
      <c r="H56" s="143"/>
      <c r="I56" s="143"/>
      <c r="J56" s="143"/>
      <c r="K56" s="2505" t="str">
        <f>IF(bern,Uebersetzung!D707,Uebersetzung!D479)&amp;" "&amp;Uebersetzung!D483</f>
        <v>MKZ el,wohn.</v>
      </c>
      <c r="L56" s="2488"/>
      <c r="M56" s="2487" t="str">
        <f>Uebersetzung!D441</f>
        <v>Besoins d'énergie finale</v>
      </c>
      <c r="N56" s="2491"/>
      <c r="O56" s="2487"/>
      <c r="P56" s="2492"/>
      <c r="Q56" s="2488"/>
      <c r="R56" s="2487">
        <v>0</v>
      </c>
      <c r="S56" s="2487">
        <v>0</v>
      </c>
      <c r="T56" s="2487"/>
      <c r="U56" s="2488"/>
      <c r="V56" s="2488"/>
      <c r="W56" s="804"/>
      <c r="X56" s="804"/>
    </row>
    <row r="57" spans="1:24" s="5" customFormat="1" ht="21.95" customHeight="1">
      <c r="A57" s="1520" t="s">
        <v>4764</v>
      </c>
      <c r="B57" s="1087"/>
      <c r="C57" s="871"/>
      <c r="D57" s="143"/>
      <c r="E57" s="143"/>
      <c r="F57" s="143"/>
      <c r="G57" s="143"/>
      <c r="H57" s="143"/>
      <c r="I57" s="143"/>
      <c r="J57" s="143"/>
      <c r="K57" s="1399">
        <f>N51</f>
        <v>0</v>
      </c>
      <c r="L57" s="2488"/>
      <c r="M57" s="2487" t="str">
        <f>Uebersetzung!D707</f>
        <v>EEGp</v>
      </c>
      <c r="N57" s="2491" t="b">
        <f>H30</f>
        <v>0</v>
      </c>
      <c r="O57" s="2487" t="s">
        <v>524</v>
      </c>
      <c r="P57" s="2492"/>
      <c r="Q57" s="2488"/>
      <c r="R57" s="2487">
        <v>0</v>
      </c>
      <c r="S57" s="2487">
        <v>0</v>
      </c>
      <c r="T57" s="2487"/>
      <c r="U57" s="2488"/>
      <c r="V57" s="2488"/>
      <c r="W57" s="804"/>
      <c r="X57" s="804"/>
    </row>
    <row r="58" spans="1:24" s="5" customFormat="1" ht="21.95" customHeight="1">
      <c r="A58" s="1521"/>
      <c r="B58" s="1087"/>
      <c r="C58" s="871"/>
      <c r="D58" s="871"/>
      <c r="E58" s="871"/>
      <c r="F58" s="871"/>
      <c r="G58" s="871"/>
      <c r="H58" s="871"/>
      <c r="I58" s="871"/>
      <c r="J58" s="871"/>
      <c r="K58" s="1398" t="str">
        <f>IF(bern,Uebersetzung!D707,Uebersetzung!D479)&amp;" "&amp;Uebersetzung!D484</f>
        <v>MKZ Bel</v>
      </c>
      <c r="L58" s="2496"/>
      <c r="M58" s="2487" t="str">
        <f>Uebersetzung!D722</f>
        <v>Électricité autoconsommation</v>
      </c>
      <c r="N58" s="2491">
        <f>MINERGIE!S71</f>
        <v>0</v>
      </c>
      <c r="O58" s="2487" t="s">
        <v>524</v>
      </c>
      <c r="P58" s="2488"/>
      <c r="Q58" s="2488"/>
      <c r="R58" s="2487">
        <v>0</v>
      </c>
      <c r="S58" s="2487">
        <v>0</v>
      </c>
      <c r="T58" s="2487"/>
      <c r="U58" s="2488"/>
      <c r="V58" s="2488"/>
      <c r="W58" s="804"/>
      <c r="X58" s="804"/>
    </row>
    <row r="59" spans="1:24" s="5" customFormat="1" ht="21.95" customHeight="1">
      <c r="A59" s="1518" t="s">
        <v>4765</v>
      </c>
      <c r="B59" s="1264"/>
      <c r="C59" s="871"/>
      <c r="D59" s="871"/>
      <c r="E59" s="871"/>
      <c r="F59" s="871"/>
      <c r="G59" s="871"/>
      <c r="H59" s="871"/>
      <c r="I59" s="871"/>
      <c r="J59" s="871"/>
      <c r="K59" s="1399">
        <f>N52</f>
        <v>0</v>
      </c>
      <c r="L59" s="2496"/>
      <c r="M59" s="2487" t="str">
        <f>Uebersetzung!D723</f>
        <v>Électricité part injectée</v>
      </c>
      <c r="N59" s="2497">
        <f>MINERGIE!S72</f>
        <v>0</v>
      </c>
      <c r="O59" s="2487" t="s">
        <v>524</v>
      </c>
      <c r="P59" s="2492"/>
      <c r="Q59" s="2488"/>
      <c r="R59" s="2487">
        <v>0</v>
      </c>
      <c r="S59" s="2487">
        <v>0</v>
      </c>
      <c r="T59" s="2487"/>
      <c r="U59" s="2488"/>
      <c r="V59" s="2488"/>
      <c r="W59" s="804"/>
      <c r="X59" s="804"/>
    </row>
    <row r="60" spans="1:24" s="5" customFormat="1" ht="21.95" customHeight="1">
      <c r="A60" s="1517"/>
      <c r="B60" s="1264"/>
      <c r="C60" s="1266"/>
      <c r="D60" s="1095"/>
      <c r="E60" s="143"/>
      <c r="F60" s="143"/>
      <c r="G60" s="143"/>
      <c r="H60" s="143"/>
      <c r="I60" s="143"/>
      <c r="J60" s="143"/>
      <c r="K60" s="1398" t="str">
        <f>IF(bern,Uebersetzung!D707,Uebersetzung!D479)&amp;" "&amp;Uebersetzung!D485</f>
        <v>MKZ Geräte</v>
      </c>
      <c r="L60" s="2485"/>
      <c r="M60" s="2486" t="s">
        <v>691</v>
      </c>
      <c r="N60" s="2498">
        <f>SUM(N57:N59)</f>
        <v>0</v>
      </c>
      <c r="O60" s="2487" t="s">
        <v>524</v>
      </c>
      <c r="P60" s="2487"/>
      <c r="Q60" s="2491">
        <f>SUM(Q37:Q58)</f>
        <v>0</v>
      </c>
      <c r="R60" s="2491">
        <f>SUM(R30:R59)</f>
        <v>0</v>
      </c>
      <c r="S60" s="2491">
        <f>SUM(S82:S85)</f>
        <v>0</v>
      </c>
      <c r="T60" s="2491">
        <f>S60</f>
        <v>0</v>
      </c>
      <c r="U60" s="2488"/>
      <c r="V60" s="2488"/>
      <c r="W60" s="804"/>
      <c r="X60" s="804"/>
    </row>
    <row r="61" spans="1:24" s="5" customFormat="1" ht="21.95" customHeight="1">
      <c r="A61" s="1517" t="s">
        <v>4766</v>
      </c>
      <c r="B61" s="1264"/>
      <c r="C61" s="1265"/>
      <c r="D61" s="1095"/>
      <c r="E61" s="143"/>
      <c r="F61" s="143"/>
      <c r="G61" s="143"/>
      <c r="H61" s="143"/>
      <c r="I61" s="143"/>
      <c r="J61" s="143"/>
      <c r="K61" s="1399">
        <f>N53</f>
        <v>0</v>
      </c>
      <c r="L61" s="2488"/>
      <c r="M61" s="2487" t="str">
        <f>Uebersetzung!D721</f>
        <v>Électricité non pris en compte</v>
      </c>
      <c r="N61" s="2491">
        <f>N59/4*6</f>
        <v>0</v>
      </c>
      <c r="O61" s="2487" t="s">
        <v>524</v>
      </c>
      <c r="P61" s="2487"/>
      <c r="Q61" s="2491">
        <v>1</v>
      </c>
      <c r="R61" s="2487">
        <v>3</v>
      </c>
      <c r="S61" s="2487">
        <v>1</v>
      </c>
      <c r="T61" s="2487">
        <v>3</v>
      </c>
      <c r="U61" s="2488"/>
      <c r="V61" s="2488"/>
      <c r="W61" s="804"/>
      <c r="X61" s="804"/>
    </row>
    <row r="62" spans="1:24" s="5" customFormat="1" ht="21.95" customHeight="1">
      <c r="A62" s="1518"/>
      <c r="B62" s="1264"/>
      <c r="C62" s="1267"/>
      <c r="D62" s="1268"/>
      <c r="E62" s="143"/>
      <c r="F62" s="143"/>
      <c r="G62" s="143"/>
      <c r="H62" s="143"/>
      <c r="I62" s="143"/>
      <c r="J62" s="143"/>
      <c r="K62" s="1398" t="str">
        <f>IF(bern,Uebersetzung!D707,Uebersetzung!D479)&amp;" "&amp;Uebersetzung!D486</f>
        <v>MKZ AGT</v>
      </c>
      <c r="L62" s="2488"/>
      <c r="M62" s="2487" t="s">
        <v>5185</v>
      </c>
      <c r="N62" s="2487"/>
      <c r="O62" s="2487" t="s">
        <v>524</v>
      </c>
      <c r="P62" s="2487"/>
      <c r="Q62" s="2487">
        <f>IF(AND(wohnen1=FALSE,_neu1,EBF_Zweckneubau&gt;=1000.1),IF(Entrées!F24&gt;0,Entrées!F24*2,INDEX(Standardwerte!$K$142:$K$154,Kategorie1,1))*_EBF1,0)</f>
        <v>0</v>
      </c>
      <c r="R62" s="2487">
        <f>IF(AND(wohnen2=FALSE,_neu2,EBF_Zweckneubau&gt;=1000.1),IF(Entrées!G24&gt;0,Entrées!G24*2,INDEX(Standardwerte!$K$142:$K$154,Kategorie2,1))*_EBF2,0)</f>
        <v>0</v>
      </c>
      <c r="S62" s="2487">
        <f>IF(AND(wohnen3=FALSE,_neu3,EBF_Zweckneubau&gt;=1000.1),IF(Entrées!H24&gt;0,Entrées!H24*2,INDEX(Standardwerte!$K$142:$K$154,Kategorie3,1))*_EBF3,0)</f>
        <v>0</v>
      </c>
      <c r="T62" s="2487">
        <f>IF(AND(wohnen4=FALSE,_neu4,EBF_Zweckneubau&gt;=1000.1),IF(Entrées!I24&gt;0,Entrées!I24*2,INDEX(Standardwerte!$K$142:$K$154,Kategorie4,1))*_EBF4,0)</f>
        <v>0</v>
      </c>
      <c r="U62" s="2488"/>
      <c r="V62" s="2488"/>
      <c r="W62" s="804"/>
      <c r="X62" s="804"/>
    </row>
    <row r="63" spans="1:24" s="5" customFormat="1" ht="21.95" customHeight="1">
      <c r="A63" s="1517" t="s">
        <v>4767</v>
      </c>
      <c r="B63" s="1264"/>
      <c r="C63" s="1267"/>
      <c r="D63" s="1095"/>
      <c r="E63" s="143"/>
      <c r="F63" s="143"/>
      <c r="G63" s="143"/>
      <c r="H63" s="143"/>
      <c r="I63" s="143"/>
      <c r="J63" s="143"/>
      <c r="K63" s="1399">
        <f>N54</f>
        <v>0</v>
      </c>
      <c r="L63" s="2488"/>
      <c r="M63" s="2487" t="str">
        <f>Uebersetzung!D447</f>
        <v>Potentiel d'optimisation</v>
      </c>
      <c r="N63" s="2491">
        <f>H30-F30</f>
        <v>0</v>
      </c>
      <c r="O63" s="2487" t="s">
        <v>524</v>
      </c>
      <c r="P63" s="2487"/>
      <c r="Q63" s="2491"/>
      <c r="R63" s="2487"/>
      <c r="S63" s="2487"/>
      <c r="T63" s="2487"/>
      <c r="U63" s="2488"/>
      <c r="V63" s="2488"/>
      <c r="W63" s="804"/>
      <c r="X63" s="804"/>
    </row>
    <row r="64" spans="1:24" s="5" customFormat="1" ht="21.95" customHeight="1">
      <c r="A64" s="1518"/>
      <c r="B64" s="1264"/>
      <c r="C64" s="1267"/>
      <c r="D64" s="1095"/>
      <c r="E64" s="143"/>
      <c r="F64" s="143"/>
      <c r="G64" s="143"/>
      <c r="H64" s="143"/>
      <c r="I64" s="143"/>
      <c r="J64" s="143"/>
      <c r="K64" s="1398" t="str">
        <f>"E "&amp;Uebersetzung!D487</f>
        <v>E EB</v>
      </c>
      <c r="L64" s="2488"/>
      <c r="M64" s="2487"/>
      <c r="N64" s="2487"/>
      <c r="O64" s="2487"/>
      <c r="P64" s="2487"/>
      <c r="Q64" s="2491"/>
      <c r="R64" s="2487"/>
      <c r="S64" s="2487">
        <v>1</v>
      </c>
      <c r="T64" s="2487">
        <v>3</v>
      </c>
      <c r="U64" s="2488"/>
      <c r="V64" s="2488"/>
      <c r="W64" s="804"/>
      <c r="X64" s="804"/>
    </row>
    <row r="65" spans="1:24" s="5" customFormat="1" ht="21.95" customHeight="1">
      <c r="A65" s="1517" t="s">
        <v>4768</v>
      </c>
      <c r="B65" s="1264"/>
      <c r="C65" s="1267" t="b">
        <v>0</v>
      </c>
      <c r="D65" s="1095"/>
      <c r="E65" s="143"/>
      <c r="F65" s="143"/>
      <c r="G65" s="143"/>
      <c r="H65" s="143"/>
      <c r="I65" s="143"/>
      <c r="J65" s="143"/>
      <c r="K65" s="1399">
        <f>N58</f>
        <v>0</v>
      </c>
      <c r="L65" s="2488"/>
      <c r="M65" s="2487" t="str">
        <f>IF(bern,M57,Aperçu!M65)</f>
        <v>Indice Minergie calculé</v>
      </c>
      <c r="N65" s="2499" t="b">
        <f>H30</f>
        <v>0</v>
      </c>
      <c r="O65" s="2487" t="s">
        <v>524</v>
      </c>
      <c r="P65" s="2487"/>
      <c r="Q65" s="2488"/>
      <c r="R65" s="2488"/>
      <c r="S65" s="2491" t="b">
        <f>N65</f>
        <v>0</v>
      </c>
      <c r="T65" s="2491" t="b">
        <f>S65</f>
        <v>0</v>
      </c>
      <c r="U65" s="2488"/>
      <c r="V65" s="2488"/>
      <c r="W65" s="804"/>
      <c r="X65" s="804"/>
    </row>
    <row r="66" spans="1:24" s="5" customFormat="1" ht="21.95" customHeight="1">
      <c r="A66" s="1518"/>
      <c r="B66" s="1264"/>
      <c r="C66" s="1267" t="b">
        <v>0</v>
      </c>
      <c r="D66" s="1095"/>
      <c r="E66" s="143"/>
      <c r="F66" s="143"/>
      <c r="G66" s="143"/>
      <c r="H66" s="143"/>
      <c r="I66" s="143"/>
      <c r="J66" s="143"/>
      <c r="K66" s="1398" t="str">
        <f>"E "&amp;Uebersetzung!D488</f>
        <v>E Netz</v>
      </c>
      <c r="L66" s="2488"/>
      <c r="M66" s="2487" t="str">
        <f>F29</f>
        <v>Exigences</v>
      </c>
      <c r="N66" s="2491">
        <f>F30</f>
        <v>0</v>
      </c>
      <c r="O66" s="2487" t="s">
        <v>524</v>
      </c>
      <c r="P66" s="2487"/>
      <c r="Q66" s="2488"/>
      <c r="R66" s="2488"/>
      <c r="S66" s="2491">
        <f>N66</f>
        <v>0</v>
      </c>
      <c r="T66" s="2491">
        <f>S66</f>
        <v>0</v>
      </c>
      <c r="U66" s="2488"/>
      <c r="V66" s="2488"/>
      <c r="W66" s="804"/>
      <c r="X66" s="804"/>
    </row>
    <row r="67" spans="1:24" s="5" customFormat="1" ht="21.95" customHeight="1">
      <c r="A67" s="1518" t="s">
        <v>4741</v>
      </c>
      <c r="B67" s="1264"/>
      <c r="C67" s="1267" t="b">
        <v>1</v>
      </c>
      <c r="D67" s="1095"/>
      <c r="E67" s="143"/>
      <c r="F67" s="143"/>
      <c r="G67" s="143"/>
      <c r="H67" s="143"/>
      <c r="I67" s="143"/>
      <c r="J67" s="143"/>
      <c r="K67" s="1399">
        <f>N59</f>
        <v>0</v>
      </c>
      <c r="L67" s="2499"/>
      <c r="M67" s="2487" t="str">
        <f>Uebersetzung!D449</f>
        <v>Besoins</v>
      </c>
      <c r="N67" s="2487"/>
      <c r="O67" s="2487"/>
      <c r="P67" s="2487"/>
      <c r="Q67" s="2491"/>
      <c r="R67" s="2487"/>
      <c r="S67" s="2487"/>
      <c r="T67" s="2487"/>
      <c r="U67" s="2488"/>
      <c r="V67" s="2488"/>
      <c r="W67" s="804"/>
      <c r="X67" s="804"/>
    </row>
    <row r="68" spans="1:24" s="5" customFormat="1" ht="26.1" customHeight="1">
      <c r="A68" s="1518" t="s">
        <v>4769</v>
      </c>
      <c r="B68" s="209"/>
      <c r="C68" s="1269"/>
      <c r="D68" s="1270"/>
      <c r="E68" s="151"/>
      <c r="F68" s="151"/>
      <c r="G68" s="151"/>
      <c r="H68" s="151"/>
      <c r="I68" s="151"/>
      <c r="J68" s="151"/>
      <c r="K68" s="2504" t="str">
        <f>IF(bern,Uebersetzung!D707,Uebersetzung!D479)&amp;" = "&amp;ROUND(N57,1)</f>
        <v>MKZ = 0</v>
      </c>
      <c r="L68" s="2488"/>
      <c r="M68" s="2487" t="str">
        <f>Uebersetzung!D720</f>
        <v xml:space="preserve"> Production d'électricité</v>
      </c>
      <c r="N68" s="2487"/>
      <c r="O68" s="2487"/>
      <c r="P68" s="2487"/>
      <c r="Q68" s="2487"/>
      <c r="R68" s="2487"/>
      <c r="S68" s="2487"/>
      <c r="T68" s="2487"/>
      <c r="U68" s="2488"/>
      <c r="V68" s="2488"/>
      <c r="W68" s="804"/>
      <c r="X68" s="804"/>
    </row>
    <row r="69" spans="1:24" s="5" customFormat="1" ht="17.25" hidden="1" customHeight="1">
      <c r="A69" s="1518" t="s">
        <v>116</v>
      </c>
      <c r="B69" s="2471" t="str">
        <f>IF(auswahl8&gt;0,INDEX(#REF!,9),"")</f>
        <v/>
      </c>
      <c r="C69" s="2477"/>
      <c r="D69" s="1007" t="str">
        <f>IF(auswahl8&gt;0,INDEX(#REF!,9),"")</f>
        <v/>
      </c>
      <c r="E69" s="1008"/>
      <c r="F69" s="1009"/>
      <c r="G69" s="1010" t="s">
        <v>310</v>
      </c>
      <c r="H69" s="1010" t="s">
        <v>311</v>
      </c>
      <c r="I69" s="1011">
        <f>IF(OR(minergiep,minergiea),IF(Neubau=2,"0.6 1/h",IF(Neubau=3,"1.5 1/h","0.6 (bzw. 1.5)")),)</f>
        <v>0</v>
      </c>
      <c r="J69" s="1283"/>
      <c r="K69" s="2483"/>
      <c r="L69" s="2485"/>
      <c r="M69" s="2486" t="b">
        <v>0</v>
      </c>
      <c r="N69" s="2487"/>
      <c r="O69" s="2487"/>
      <c r="P69" s="2487"/>
      <c r="Q69" s="2487"/>
      <c r="R69" s="2487"/>
      <c r="S69" s="2487"/>
      <c r="T69" s="2487"/>
      <c r="U69" s="2488"/>
      <c r="V69" s="2488"/>
      <c r="W69" s="804"/>
      <c r="X69" s="804"/>
    </row>
    <row r="70" spans="1:24" s="495" customFormat="1">
      <c r="A70" s="1520"/>
      <c r="B70" s="2479">
        <f ca="1">NOW()</f>
        <v>46034.719198842591</v>
      </c>
      <c r="C70" s="5"/>
      <c r="D70" s="5"/>
      <c r="E70" s="5"/>
      <c r="F70" s="5"/>
      <c r="G70" s="5"/>
      <c r="H70" s="5"/>
      <c r="I70" s="5"/>
      <c r="J70" s="5"/>
      <c r="K70" s="779" t="str">
        <f>Entrées!K47</f>
        <v xml:space="preserve"> /  /  /  /  /  / </v>
      </c>
      <c r="L70" s="2500"/>
      <c r="M70" s="2487" t="str">
        <f>Uebersetzung!D472</f>
        <v xml:space="preserve">       Valeur de l'objet
 </v>
      </c>
      <c r="N70" s="1488"/>
      <c r="O70" s="1488"/>
      <c r="P70" s="1488"/>
      <c r="Q70" s="1488"/>
      <c r="R70" s="1488"/>
      <c r="S70" s="1488"/>
      <c r="T70" s="1488"/>
      <c r="U70" s="1299"/>
      <c r="V70" s="1299"/>
      <c r="W70" s="1298"/>
      <c r="X70" s="1298"/>
    </row>
    <row r="71" spans="1:24" s="495" customFormat="1">
      <c r="A71" s="1520"/>
      <c r="F71" s="1235"/>
      <c r="G71" s="1235"/>
      <c r="H71" s="1235"/>
      <c r="I71" s="1602"/>
      <c r="L71" s="2500"/>
      <c r="M71" s="2501"/>
      <c r="N71" s="1488"/>
      <c r="O71" s="1488"/>
      <c r="P71" s="1488"/>
      <c r="Q71" s="1488"/>
      <c r="R71" s="1488"/>
      <c r="S71" s="1488"/>
      <c r="T71" s="1488"/>
      <c r="U71" s="1299"/>
      <c r="V71" s="1299"/>
      <c r="W71" s="1298"/>
      <c r="X71" s="1298"/>
    </row>
    <row r="72" spans="1:24">
      <c r="I72" s="1600"/>
      <c r="K72" s="1600"/>
      <c r="M72" s="1488" t="str">
        <f>Uebersetzung!D477</f>
        <v xml:space="preserve">                                  E HWLK,li +
                        Besoins standard électricité
  </v>
      </c>
    </row>
    <row r="75" spans="1:24" ht="20.100000000000001" customHeight="1">
      <c r="L75" s="2490">
        <f>IF(K30=MINERGIE!$N$12,1,IF(K30=MINERGIE!$N$13,2,0))</f>
        <v>2</v>
      </c>
      <c r="M75" s="2498"/>
      <c r="N75" s="2498"/>
      <c r="O75" s="2487"/>
      <c r="P75" s="2487"/>
      <c r="Q75" s="2487"/>
      <c r="R75" s="2487"/>
      <c r="S75" s="2485"/>
      <c r="T75" s="2485"/>
      <c r="U75" s="2488"/>
      <c r="V75" s="2488"/>
    </row>
    <row r="76" spans="1:24" ht="20.100000000000001" customHeight="1">
      <c r="L76" s="2485"/>
      <c r="M76" s="2486"/>
      <c r="N76" s="2487"/>
      <c r="O76" s="2487"/>
      <c r="P76" s="2487"/>
      <c r="Q76" s="2487"/>
      <c r="R76" s="2487"/>
      <c r="S76" s="2487"/>
      <c r="T76" s="2487"/>
      <c r="U76" s="2488"/>
      <c r="V76" s="2488"/>
    </row>
    <row r="77" spans="1:24" ht="20.100000000000001" customHeight="1">
      <c r="L77" s="2485"/>
      <c r="M77" s="2486"/>
      <c r="N77" s="2487"/>
      <c r="O77" s="2487"/>
      <c r="P77" s="2487"/>
      <c r="Q77" s="2487"/>
      <c r="R77" s="2487"/>
      <c r="S77" s="2487"/>
      <c r="T77" s="2487"/>
      <c r="U77" s="2488"/>
      <c r="V77" s="2488"/>
    </row>
    <row r="78" spans="1:24" ht="20.100000000000001" customHeight="1">
      <c r="L78" s="2485"/>
      <c r="M78" s="2486"/>
      <c r="N78" s="2487"/>
      <c r="O78" s="2487"/>
      <c r="P78" s="2487"/>
      <c r="Q78" s="2487"/>
      <c r="R78" s="2487"/>
      <c r="S78" s="2487"/>
      <c r="T78" s="2487"/>
      <c r="U78" s="2488"/>
      <c r="V78" s="2488"/>
    </row>
    <row r="79" spans="1:24" ht="20.100000000000001" customHeight="1">
      <c r="L79" s="2485"/>
      <c r="M79" s="2486"/>
      <c r="N79" s="2487"/>
      <c r="O79" s="2487"/>
      <c r="P79" s="2487"/>
      <c r="Q79" s="2487"/>
      <c r="R79" s="2487"/>
      <c r="S79" s="2487"/>
      <c r="T79" s="2487"/>
      <c r="U79" s="2488"/>
      <c r="V79" s="2488"/>
    </row>
    <row r="80" spans="1:24" ht="20.100000000000001" customHeight="1">
      <c r="L80" s="2488"/>
      <c r="M80" s="2487"/>
      <c r="N80" s="2487"/>
      <c r="O80" s="2487"/>
      <c r="P80" s="2487"/>
      <c r="Q80" s="2487"/>
      <c r="R80" s="2487"/>
      <c r="S80" s="2487"/>
      <c r="T80" s="2487"/>
      <c r="U80" s="2488"/>
      <c r="V80" s="2488"/>
    </row>
    <row r="81" spans="12:22" ht="20.100000000000001" customHeight="1">
      <c r="L81" s="2488"/>
      <c r="M81" s="2487"/>
      <c r="N81" s="2487"/>
      <c r="O81" s="2487"/>
      <c r="P81" s="2487"/>
      <c r="Q81" s="2502" t="s">
        <v>2595</v>
      </c>
      <c r="R81" s="2502" t="s">
        <v>2596</v>
      </c>
      <c r="S81" s="2502" t="s">
        <v>2597</v>
      </c>
      <c r="T81" s="2487"/>
      <c r="U81" s="2488"/>
      <c r="V81" s="2488"/>
    </row>
    <row r="82" spans="12:22" ht="20.100000000000001" customHeight="1">
      <c r="L82" s="2490">
        <f>IF(K37=MINERGIE!$N$12,1,IF(K37=MINERGIE!$N$13,2,0))</f>
        <v>0</v>
      </c>
      <c r="M82" s="2487"/>
      <c r="N82" s="2487"/>
      <c r="O82" s="2487"/>
      <c r="P82" s="2487"/>
      <c r="Q82" s="2487">
        <v>0</v>
      </c>
      <c r="R82" s="2487">
        <v>0</v>
      </c>
      <c r="S82" s="2491">
        <f>S65-S83</f>
        <v>0</v>
      </c>
      <c r="T82" s="2487"/>
      <c r="U82" s="2488"/>
      <c r="V82" s="2488"/>
    </row>
    <row r="83" spans="12:22" ht="20.100000000000001" customHeight="1">
      <c r="L83" s="2490">
        <f>IF(K38=MINERGIE!$N$12,1,IF(K38=MINERGIE!$N$13,2,0))</f>
        <v>2</v>
      </c>
      <c r="M83" s="2487" t="s">
        <v>2703</v>
      </c>
      <c r="N83" s="2503">
        <v>0</v>
      </c>
      <c r="O83" s="2487"/>
      <c r="P83" s="2487"/>
      <c r="Q83" s="2487">
        <v>0</v>
      </c>
      <c r="R83" s="2487">
        <v>0</v>
      </c>
      <c r="S83" s="2491">
        <f>MAX(MIN(S65,N61),0)</f>
        <v>0</v>
      </c>
      <c r="T83" s="2487"/>
      <c r="U83" s="2488"/>
      <c r="V83" s="2488"/>
    </row>
    <row r="84" spans="12:22" ht="20.100000000000001" customHeight="1">
      <c r="L84" s="2490">
        <f>IF(K39=MINERGIE!$N$12,1,IF(K39=MINERGIE!$N$13,2,0))</f>
        <v>0</v>
      </c>
      <c r="M84" s="2487"/>
      <c r="N84" s="2487">
        <f>IF(N83=1,0,1)</f>
        <v>1</v>
      </c>
      <c r="O84" s="2487"/>
      <c r="P84" s="2487"/>
      <c r="Q84" s="2487">
        <v>0</v>
      </c>
      <c r="R84" s="2487">
        <v>0</v>
      </c>
      <c r="S84" s="2491">
        <f>IF(N57&lt;0,MAX(N59-MAX(0,-S65+S83),0),N59)</f>
        <v>0</v>
      </c>
      <c r="T84" s="2487"/>
      <c r="U84" s="2488"/>
      <c r="V84" s="2488"/>
    </row>
    <row r="85" spans="12:22" ht="20.100000000000001" customHeight="1">
      <c r="L85" s="2490">
        <f>IF(K40=MINERGIE!$N$12,1,IF(K40=MINERGIE!$N$13,2,0))</f>
        <v>2</v>
      </c>
      <c r="M85" s="2487"/>
      <c r="N85" s="2487"/>
      <c r="O85" s="2487"/>
      <c r="P85" s="2487"/>
      <c r="Q85" s="2487">
        <v>0</v>
      </c>
      <c r="R85" s="2487">
        <v>0</v>
      </c>
      <c r="S85" s="2491">
        <f>IF(N57&lt;0,MIN(N58,N60),N58)</f>
        <v>0</v>
      </c>
      <c r="T85" s="2487"/>
      <c r="U85" s="2488"/>
      <c r="V85" s="2488"/>
    </row>
    <row r="86" spans="12:22" ht="20.100000000000001" customHeight="1">
      <c r="L86" s="2490">
        <f>IF(K41=MINERGIE!$N$12,1,IF(K41=MINERGIE!$N$13,2,0))</f>
        <v>2</v>
      </c>
      <c r="M86" s="2486"/>
      <c r="N86" s="2487"/>
      <c r="O86" s="2487"/>
      <c r="P86" s="2492" t="str">
        <f>M88</f>
        <v>Chauffage</v>
      </c>
      <c r="Q86" s="2491" t="e">
        <f>(MINERGIE!Z46)*(1/(R88+R87+R86)*R86)*N84</f>
        <v>#DIV/0!</v>
      </c>
      <c r="R86" s="2491">
        <f>N88</f>
        <v>0</v>
      </c>
      <c r="S86" s="2487">
        <v>0</v>
      </c>
      <c r="T86" s="2487"/>
      <c r="U86" s="2488"/>
      <c r="V86" s="2488"/>
    </row>
    <row r="87" spans="12:22" ht="20.100000000000001" customHeight="1">
      <c r="L87" s="2490">
        <f>IF(K42=MINERGIE!$N$12,1,IF(K42=MINERGIE!$N$13,2,0))</f>
        <v>2</v>
      </c>
      <c r="M87" s="2486" t="str">
        <f>Uebersetzung!D446</f>
        <v>Besoins</v>
      </c>
      <c r="N87" s="2487"/>
      <c r="O87" s="2487"/>
      <c r="P87" s="2492" t="str">
        <f>M49</f>
        <v>Eau chaude</v>
      </c>
      <c r="Q87" s="2491" t="e">
        <f>(MINERGIE!Z46)*(1/(R88+R87+R86)*R87)*N84</f>
        <v>#DIV/0!</v>
      </c>
      <c r="R87" s="2491">
        <f>N49</f>
        <v>0</v>
      </c>
      <c r="S87" s="2487">
        <v>0</v>
      </c>
      <c r="T87" s="2487"/>
      <c r="U87" s="2488"/>
      <c r="V87" s="2488"/>
    </row>
    <row r="88" spans="12:22" ht="20.100000000000001" customHeight="1">
      <c r="L88" s="2490">
        <f>IF(K43=MINERGIE!$N$12,1,IF(K43=MINERGIE!$N$13,2,0))</f>
        <v>0</v>
      </c>
      <c r="M88" s="2487" t="str">
        <f>Uebersetzung!D436</f>
        <v>Chauffage</v>
      </c>
      <c r="N88" s="2491">
        <f>MINERGIE!S103</f>
        <v>0</v>
      </c>
      <c r="O88" s="2487" t="s">
        <v>524</v>
      </c>
      <c r="P88" s="2492" t="str">
        <f>M50</f>
        <v>ventilation et climatisation</v>
      </c>
      <c r="Q88" s="2491" t="e">
        <f>(MINERGIE!Z46)*(1/(R88+R87+R86)*R88)*N84</f>
        <v>#DIV/0!</v>
      </c>
      <c r="R88" s="2491">
        <f>N50</f>
        <v>0</v>
      </c>
      <c r="S88" s="2487">
        <v>0</v>
      </c>
      <c r="T88" s="2487"/>
      <c r="U88" s="2488"/>
      <c r="V88" s="2488"/>
    </row>
    <row r="89" spans="12:22" ht="20.100000000000001" customHeight="1">
      <c r="L89" s="2490"/>
      <c r="M89" s="2487"/>
      <c r="N89" s="2491"/>
      <c r="O89" s="2487"/>
      <c r="P89" s="2492"/>
      <c r="Q89" s="2491"/>
      <c r="R89" s="2491"/>
      <c r="S89" s="2487"/>
      <c r="T89" s="2487"/>
      <c r="U89" s="2488"/>
      <c r="V89" s="2488"/>
    </row>
  </sheetData>
  <sheetProtection password="C616" sheet="1" objects="1" scenarios="1"/>
  <mergeCells count="38">
    <mergeCell ref="F47:G47"/>
    <mergeCell ref="H47:I47"/>
    <mergeCell ref="B50:D52"/>
    <mergeCell ref="E50:G51"/>
    <mergeCell ref="H50:I51"/>
    <mergeCell ref="F46:G46"/>
    <mergeCell ref="H46:I46"/>
    <mergeCell ref="F39:G39"/>
    <mergeCell ref="H39:I39"/>
    <mergeCell ref="B40:D40"/>
    <mergeCell ref="F40:G40"/>
    <mergeCell ref="H40:I40"/>
    <mergeCell ref="F42:G42"/>
    <mergeCell ref="H42:I42"/>
    <mergeCell ref="B43:D43"/>
    <mergeCell ref="F43:G43"/>
    <mergeCell ref="H43:I43"/>
    <mergeCell ref="F45:G45"/>
    <mergeCell ref="H45:I45"/>
    <mergeCell ref="F36:G36"/>
    <mergeCell ref="H36:I36"/>
    <mergeCell ref="F37:G37"/>
    <mergeCell ref="H37:I37"/>
    <mergeCell ref="F38:G38"/>
    <mergeCell ref="H38:I38"/>
    <mergeCell ref="F29:G29"/>
    <mergeCell ref="H29:I29"/>
    <mergeCell ref="F30:G30"/>
    <mergeCell ref="H30:I30"/>
    <mergeCell ref="F31:G31"/>
    <mergeCell ref="H31:I31"/>
    <mergeCell ref="C22:K22"/>
    <mergeCell ref="G2:K2"/>
    <mergeCell ref="G3:K3"/>
    <mergeCell ref="D18:F18"/>
    <mergeCell ref="H18:I18"/>
    <mergeCell ref="C21:F21"/>
    <mergeCell ref="E3:F3"/>
  </mergeCells>
  <conditionalFormatting sqref="A43:A44">
    <cfRule type="expression" dxfId="48" priority="9">
      <formula>minergiea=FALSE</formula>
    </cfRule>
  </conditionalFormatting>
  <conditionalFormatting sqref="A35:K47">
    <cfRule type="expression" dxfId="47" priority="6">
      <formula>bern</formula>
    </cfRule>
  </conditionalFormatting>
  <conditionalFormatting sqref="A46:K48">
    <cfRule type="expression" dxfId="46" priority="8">
      <formula>AlleZonenNeu=FALSE</formula>
    </cfRule>
  </conditionalFormatting>
  <conditionalFormatting sqref="B10:B14">
    <cfRule type="expression" dxfId="45" priority="5">
      <formula>bern</formula>
    </cfRule>
  </conditionalFormatting>
  <conditionalFormatting sqref="B43 E43:F43 H43 J43">
    <cfRule type="expression" dxfId="44" priority="29">
      <formula>minergiea=FALSE</formula>
    </cfRule>
  </conditionalFormatting>
  <conditionalFormatting sqref="B30:K30">
    <cfRule type="expression" dxfId="43" priority="1">
      <formula>bern=FALSE</formula>
    </cfRule>
  </conditionalFormatting>
  <conditionalFormatting sqref="B42:K42">
    <cfRule type="expression" dxfId="42" priority="27">
      <formula>minergiea=FALSE</formula>
    </cfRule>
    <cfRule type="expression" dxfId="41" priority="28">
      <formula>minergiea</formula>
    </cfRule>
  </conditionalFormatting>
  <conditionalFormatting sqref="B45:K45">
    <cfRule type="expression" dxfId="40" priority="7">
      <formula>AlleZonenNeu=FALSE</formula>
    </cfRule>
  </conditionalFormatting>
  <conditionalFormatting sqref="F31:I31">
    <cfRule type="expression" dxfId="39" priority="3">
      <formula>Solarpflicht=FALSE</formula>
    </cfRule>
  </conditionalFormatting>
  <conditionalFormatting sqref="F30:K31">
    <cfRule type="expression" dxfId="38" priority="30">
      <formula>MUKEN=TRUE</formula>
    </cfRule>
  </conditionalFormatting>
  <conditionalFormatting sqref="G69:H69">
    <cfRule type="expression" dxfId="37" priority="32" stopIfTrue="1">
      <formula>$B$69&lt;&gt;""</formula>
    </cfRule>
  </conditionalFormatting>
  <conditionalFormatting sqref="J69">
    <cfRule type="expression" dxfId="36" priority="31" stopIfTrue="1">
      <formula>minergiep=TRUE</formula>
    </cfRule>
  </conditionalFormatting>
  <conditionalFormatting sqref="K30">
    <cfRule type="expression" dxfId="35" priority="706">
      <formula>$L$75=2</formula>
    </cfRule>
    <cfRule type="expression" dxfId="34" priority="707">
      <formula>$L$75=1</formula>
    </cfRule>
  </conditionalFormatting>
  <conditionalFormatting sqref="K31">
    <cfRule type="expression" dxfId="33" priority="4">
      <formula>AND(solar_erfüllt=FALSE,Solarpflicht)</formula>
    </cfRule>
  </conditionalFormatting>
  <conditionalFormatting sqref="K37">
    <cfRule type="expression" dxfId="32" priority="708">
      <formula>$L$82=2</formula>
    </cfRule>
    <cfRule type="expression" dxfId="31" priority="709">
      <formula>$L$82=1</formula>
    </cfRule>
  </conditionalFormatting>
  <conditionalFormatting sqref="K38">
    <cfRule type="expression" dxfId="30" priority="710">
      <formula>$L$83=2</formula>
    </cfRule>
    <cfRule type="expression" dxfId="29" priority="711">
      <formula>$L$83=1</formula>
    </cfRule>
  </conditionalFormatting>
  <conditionalFormatting sqref="K39">
    <cfRule type="expression" dxfId="28" priority="714">
      <formula>$L$84=2</formula>
    </cfRule>
    <cfRule type="expression" dxfId="27" priority="715">
      <formula>$L$84=1</formula>
    </cfRule>
  </conditionalFormatting>
  <conditionalFormatting sqref="K40">
    <cfRule type="expression" dxfId="26" priority="712">
      <formula>$L$85=2</formula>
    </cfRule>
    <cfRule type="expression" dxfId="25" priority="713">
      <formula>$L$85=1</formula>
    </cfRule>
  </conditionalFormatting>
  <conditionalFormatting sqref="K41">
    <cfRule type="expression" dxfId="24" priority="716">
      <formula>$L$86=2</formula>
    </cfRule>
    <cfRule type="expression" dxfId="23" priority="717">
      <formula>$L$86=1</formula>
    </cfRule>
  </conditionalFormatting>
  <conditionalFormatting sqref="K42">
    <cfRule type="expression" dxfId="22" priority="718">
      <formula>$L$87=2</formula>
    </cfRule>
    <cfRule type="expression" dxfId="21" priority="719">
      <formula>$L$87=1</formula>
    </cfRule>
  </conditionalFormatting>
  <conditionalFormatting sqref="K43">
    <cfRule type="expression" dxfId="20" priority="720">
      <formula>minergiea=FALSE</formula>
    </cfRule>
    <cfRule type="expression" dxfId="19" priority="721">
      <formula>$L$88=2</formula>
    </cfRule>
    <cfRule type="expression" dxfId="18" priority="722">
      <formula>$L$88=1</formula>
    </cfRule>
  </conditionalFormatting>
  <pageMargins left="0.39370078740157483" right="0.39370078740157483" top="0.78740157480314965" bottom="0.78740157480314965" header="0.31496062992125984" footer="0.31496062992125984"/>
  <pageSetup paperSize="9" scale="85"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67806D01-86DF-4ACA-B204-99F3509BA299}">
            <xm:f>OR(bern=FALSE,Solarpflicht=FALSE,Solaire_BE!$K$40=0)</xm:f>
            <x14:dxf>
              <font>
                <color theme="0"/>
              </font>
              <fill>
                <patternFill>
                  <bgColor theme="0"/>
                </patternFill>
              </fill>
              <border>
                <left/>
                <right/>
                <bottom/>
                <vertical/>
                <horizontal/>
              </border>
            </x14:dxf>
          </x14:cfRule>
          <xm:sqref>B31:K31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pageSetUpPr fitToPage="1"/>
  </sheetPr>
  <dimension ref="A1:CQ242"/>
  <sheetViews>
    <sheetView zoomScaleNormal="100" workbookViewId="0"/>
  </sheetViews>
  <sheetFormatPr baseColWidth="10" defaultColWidth="11.42578125" defaultRowHeight="12.75"/>
  <cols>
    <col min="1" max="1" width="19.28515625" style="27" customWidth="1"/>
    <col min="2" max="2" width="14.28515625" style="27" customWidth="1"/>
    <col min="3" max="7" width="11.42578125" style="27" customWidth="1"/>
    <col min="8" max="8" width="6.28515625" style="27" customWidth="1"/>
    <col min="9" max="9" width="11.42578125" style="27" customWidth="1"/>
    <col min="10" max="10" width="18.140625" style="27" customWidth="1"/>
    <col min="11" max="12" width="10.7109375" style="27" customWidth="1"/>
    <col min="13" max="13" width="17.42578125" style="27" customWidth="1"/>
    <col min="14" max="14" width="10.7109375" style="27" customWidth="1"/>
    <col min="15" max="15" width="13.28515625" style="27" customWidth="1"/>
    <col min="16" max="16" width="13" style="27" customWidth="1"/>
    <col min="17" max="17" width="11.7109375" style="27" customWidth="1"/>
    <col min="18" max="18" width="11.7109375" style="156" customWidth="1"/>
    <col min="19" max="19" width="12.7109375" style="156" customWidth="1"/>
    <col min="20" max="20" width="40.140625" style="156" customWidth="1"/>
    <col min="21" max="21" width="30.28515625" style="156" customWidth="1"/>
    <col min="22" max="22" width="36.7109375" style="156" customWidth="1"/>
    <col min="23" max="23" width="52.85546875" style="27" customWidth="1"/>
    <col min="24" max="26" width="10.7109375" style="27" customWidth="1"/>
    <col min="27" max="27" width="12.7109375" style="27" customWidth="1"/>
    <col min="28" max="29" width="14.85546875" style="27" customWidth="1"/>
    <col min="30" max="30" width="12.7109375" style="27" customWidth="1"/>
    <col min="31" max="31" width="27.7109375" style="27" customWidth="1"/>
    <col min="32" max="32" width="34.42578125" style="27" customWidth="1"/>
    <col min="33" max="33" width="15.140625" style="27" customWidth="1"/>
    <col min="34" max="35" width="10" style="27" customWidth="1"/>
    <col min="36" max="36" width="12.42578125" style="27" customWidth="1"/>
    <col min="37" max="37" width="9" style="27" customWidth="1"/>
    <col min="38" max="39" width="8.7109375" style="27" customWidth="1"/>
    <col min="40" max="41" width="14.7109375" style="27" customWidth="1"/>
    <col min="42" max="42" width="6.7109375" style="27" customWidth="1"/>
    <col min="43" max="43" width="4.7109375" style="27" customWidth="1"/>
    <col min="44" max="44" width="5.42578125" style="27" customWidth="1"/>
    <col min="45" max="45" width="6.7109375" style="27" customWidth="1"/>
    <col min="46" max="46" width="6.28515625" style="27" customWidth="1"/>
    <col min="47" max="47" width="8.7109375" style="27" customWidth="1"/>
    <col min="48" max="51" width="11.42578125" style="27" customWidth="1"/>
    <col min="52" max="52" width="11.7109375" style="27" customWidth="1"/>
    <col min="53" max="53" width="38.85546875" style="27" customWidth="1"/>
    <col min="54" max="54" width="4" style="27" customWidth="1"/>
    <col min="55" max="55" width="25" style="27" customWidth="1"/>
    <col min="56" max="56" width="19.7109375" style="27" customWidth="1"/>
    <col min="57" max="57" width="3" style="27" customWidth="1"/>
    <col min="58" max="60" width="11.42578125" style="27" customWidth="1"/>
    <col min="61" max="61" width="13.140625" style="27" customWidth="1"/>
    <col min="62" max="62" width="16.7109375" style="27" customWidth="1"/>
    <col min="63" max="63" width="4.7109375" style="27" customWidth="1"/>
    <col min="64" max="65" width="11.42578125" style="27" customWidth="1"/>
    <col min="66" max="66" width="11.85546875" style="27" bestFit="1" customWidth="1"/>
    <col min="67" max="67" width="11" style="27" customWidth="1"/>
    <col min="68" max="68" width="9.7109375" style="27" customWidth="1"/>
    <col min="69" max="16384" width="11.42578125" style="27"/>
  </cols>
  <sheetData>
    <row r="1" spans="1:57" ht="15.75">
      <c r="P1" s="27" t="s">
        <v>217</v>
      </c>
      <c r="Q1" s="27" t="b">
        <f>OR(AND(Zonen=1,Kategorie1=13),AND(Zonen=2,Kategorie1=13,Kategorie2=13),AND(Zonen=3,Kategorie1=13,Kategorie2=13,Kategorie3=13),AND(Zonen=4,Kategorie1=13,Kategorie2=13,Kategorie3=13,Kategorie4=13))</f>
        <v>0</v>
      </c>
      <c r="R1" s="156" t="s">
        <v>714</v>
      </c>
      <c r="S1" s="156" t="b">
        <f>OR(Kategorie1=4,Kategorie2=4,Kategorie3=4,Kategorie4=4)</f>
        <v>0</v>
      </c>
      <c r="Z1" s="107" t="str">
        <f>Entrées!K1</f>
        <v>Formulaire EN101b, v2.97, à utiliser jusqu'au 31 décembre 2026</v>
      </c>
      <c r="AD1" s="42"/>
      <c r="BC1" s="251" t="s">
        <v>20</v>
      </c>
    </row>
    <row r="2" spans="1:57" ht="15.75">
      <c r="A2" s="251" t="s">
        <v>682</v>
      </c>
      <c r="I2" s="251" t="s">
        <v>684</v>
      </c>
      <c r="M2" s="344" t="s">
        <v>192</v>
      </c>
      <c r="N2" s="345">
        <f>IF(EBF&gt;0,(_qhs1*_EBF1+_qhs2*_EBF2+_qhs3*_EBF3+_qhs4*_EBF4)/EBF,0)</f>
        <v>0</v>
      </c>
      <c r="O2" s="300" t="s">
        <v>191</v>
      </c>
      <c r="R2" s="156" t="s">
        <v>712</v>
      </c>
      <c r="S2" s="156" t="b">
        <f>OR(Kategorie1=5,Kategorie2=5,Kategorie3=5,Kategorie4=5)</f>
        <v>0</v>
      </c>
      <c r="U2" s="733" t="s">
        <v>1214</v>
      </c>
      <c r="V2" s="27"/>
      <c r="AE2" s="251" t="s">
        <v>683</v>
      </c>
    </row>
    <row r="3" spans="1:57">
      <c r="B3" s="156"/>
      <c r="I3" s="42"/>
      <c r="J3" s="42"/>
      <c r="K3" s="42"/>
      <c r="L3" s="42"/>
      <c r="M3" s="347" t="s">
        <v>193</v>
      </c>
      <c r="N3" s="348">
        <f>IF(AND(Zonen&lt;&gt;1,Zonen&lt;&gt;2,Zonen&lt;&gt;3,Zonen&lt;&gt;4),0,1)</f>
        <v>0</v>
      </c>
      <c r="O3" s="42" t="s">
        <v>194</v>
      </c>
      <c r="P3" s="42"/>
      <c r="Q3" s="42"/>
      <c r="R3" s="84" t="s">
        <v>713</v>
      </c>
      <c r="S3" s="156" t="b">
        <f>OR(Kategorie1=6,Kategorie2=6,Kategorie3=6,Kategorie4=6)</f>
        <v>0</v>
      </c>
      <c r="U3" s="968">
        <f>IF(MUKEN,0.15,0.15)</f>
        <v>0.15</v>
      </c>
      <c r="V3" s="27"/>
      <c r="BB3" s="285"/>
      <c r="BC3" s="63" t="s">
        <v>21</v>
      </c>
      <c r="BD3" s="64" t="s">
        <v>264</v>
      </c>
    </row>
    <row r="4" spans="1:57" ht="19.7" customHeight="1">
      <c r="A4" s="54" t="s">
        <v>719</v>
      </c>
      <c r="B4" s="479">
        <f>IF(Entrées!$I$14="",1,VLOOKUP(Entrées!$I$14,Standardwerte!$A$7:$G$47,7,FALSE))</f>
        <v>1</v>
      </c>
      <c r="C4" s="76" t="str">
        <f>IF(Klima&gt;0,INDEX(A7:A47,Klima,1),)</f>
        <v xml:space="preserve"> </v>
      </c>
      <c r="D4" s="77" t="str">
        <f>IF(Klima&gt;0,INDEX(E7:E47,Klima,1),)</f>
        <v xml:space="preserve"> </v>
      </c>
      <c r="E4" s="78" t="s">
        <v>251</v>
      </c>
      <c r="F4" s="526" t="str">
        <f>IF(Klima&gt;0,INDEX(F7:F47,Klima,1),)</f>
        <v xml:space="preserve"> </v>
      </c>
      <c r="I4" s="374" t="s">
        <v>632</v>
      </c>
      <c r="J4" s="240" t="s">
        <v>635</v>
      </c>
      <c r="K4" s="162" t="str">
        <f>IF(Kategorie1&lt;2,"",INDEX(I9:I21,Kategorie1,1))</f>
        <v/>
      </c>
      <c r="L4" s="240" t="s">
        <v>636</v>
      </c>
      <c r="M4" s="241" t="str">
        <f>IF(Kategorie2&lt;2,"",INDEX(I9:I21,Kategorie2,1))</f>
        <v/>
      </c>
      <c r="N4" s="240" t="s">
        <v>637</v>
      </c>
      <c r="O4" s="241" t="str">
        <f>IF(Kategorie3&lt;2,"",INDEX(I9:I21,Kategorie3,1))</f>
        <v/>
      </c>
      <c r="P4" s="240" t="s">
        <v>638</v>
      </c>
      <c r="Q4" s="241" t="str">
        <f>IF(Kategorie4&lt;2,"",INDEX(I9:I21,Kategorie4,1))</f>
        <v/>
      </c>
      <c r="R4" s="272" t="s">
        <v>178</v>
      </c>
      <c r="S4" s="272" t="b">
        <f>IF(OR(Kategorie2&gt;1,Kategorie3&gt;1,Kategorie4&gt;1),IF(OR(Kategorie1=13,Kategorie2=13,Kategorie3=13,Kategorie4=13),IF(OR(AND(Kategorie1&gt;1,Kategorie1&lt;13),AND(Kategorie2&gt;1,Kategorie2&lt;13),AND(Kategorie3&gt;1,Kategorie3&lt;13),AND(Kategorie4&gt;1,Kategorie4&lt;13)),TRUE,FALSE),FALSE),FALSE)</f>
        <v>0</v>
      </c>
      <c r="V4" s="27"/>
      <c r="AE4" s="321" t="s">
        <v>652</v>
      </c>
      <c r="AF4" s="137" t="s">
        <v>697</v>
      </c>
      <c r="AG4" s="138">
        <v>1</v>
      </c>
      <c r="AH4" s="138">
        <v>2</v>
      </c>
      <c r="AI4" s="138">
        <v>3</v>
      </c>
      <c r="AJ4" s="138">
        <v>4</v>
      </c>
      <c r="AK4" s="138">
        <v>5</v>
      </c>
      <c r="AL4" s="138">
        <v>6</v>
      </c>
      <c r="AM4" s="138">
        <v>7</v>
      </c>
      <c r="AN4" s="138">
        <v>8</v>
      </c>
      <c r="AO4" s="138">
        <v>9</v>
      </c>
      <c r="AP4" s="138">
        <v>10</v>
      </c>
      <c r="AQ4" s="138">
        <v>11</v>
      </c>
      <c r="AR4" s="138">
        <v>12</v>
      </c>
      <c r="AS4" s="319">
        <v>13</v>
      </c>
      <c r="AT4" s="285"/>
      <c r="AU4" s="285"/>
      <c r="AV4" s="321" t="s">
        <v>698</v>
      </c>
      <c r="AW4" s="139" t="s">
        <v>698</v>
      </c>
      <c r="AX4" s="139" t="s">
        <v>698</v>
      </c>
      <c r="AY4" s="139" t="s">
        <v>698</v>
      </c>
      <c r="AZ4" s="139" t="s">
        <v>698</v>
      </c>
      <c r="BA4" s="106" t="s">
        <v>479</v>
      </c>
      <c r="BB4" s="286">
        <v>1</v>
      </c>
      <c r="BC4" s="257"/>
      <c r="BD4" s="276"/>
      <c r="BE4" s="286">
        <v>1</v>
      </c>
    </row>
    <row r="5" spans="1:57">
      <c r="A5" s="80" t="s">
        <v>232</v>
      </c>
      <c r="B5" s="81" t="s">
        <v>247</v>
      </c>
      <c r="C5" s="81" t="s">
        <v>248</v>
      </c>
      <c r="D5" s="82" t="s">
        <v>477</v>
      </c>
      <c r="E5" s="81" t="s">
        <v>249</v>
      </c>
      <c r="F5" s="83" t="s">
        <v>233</v>
      </c>
      <c r="I5" s="373"/>
      <c r="J5" s="293" t="s">
        <v>168</v>
      </c>
      <c r="K5" s="296">
        <f>IF(AND(Kategorie1=13,BadMisch),0,Entrées!O2)</f>
        <v>0</v>
      </c>
      <c r="L5" s="293" t="s">
        <v>169</v>
      </c>
      <c r="M5" s="296">
        <f>IF(Zonen&gt;1,IF(AND(Kategorie2=13,BadMisch),0,Entrées!P2),0)</f>
        <v>0</v>
      </c>
      <c r="N5" s="293" t="s">
        <v>170</v>
      </c>
      <c r="O5" s="296">
        <f>IF(Zonen&gt;2,IF(AND(Kategorie3=13,BadMisch),0,Entrées!Q2),0)</f>
        <v>0</v>
      </c>
      <c r="P5" s="293" t="s">
        <v>171</v>
      </c>
      <c r="Q5" s="296">
        <f>IF(Zonen&gt;3,IF(AND(Kategorie4=13,BadMisch),0,Entrées!R2),0)</f>
        <v>0</v>
      </c>
      <c r="R5" s="297" t="s">
        <v>552</v>
      </c>
      <c r="S5" s="297" t="b">
        <f>IF(Warmwasser,IF(OR(IF(Kategorie1&gt;0,INDEX(S9:S21,Kategorie1,1)=FALSE,FALSE),IF(Kategorie2&gt;0,INDEX(S9:S21,Kategorie2,1)=FALSE,FALSE),IF(Kategorie3&gt;0,INDEX(S9:S21,Kategorie3,1)=FALSE,FALSE),IF(Kategorie4&gt;0,INDEX(S9:S21,Kategorie4,1)=FALSE,FALSE)),FALSE,TRUE),FALSE)</f>
        <v>0</v>
      </c>
      <c r="AE5" s="1317" t="str">
        <f>IF(auswahl2=1,INDEX(Standardwerte!$AF$5:$AF$13,3),"")</f>
        <v/>
      </c>
      <c r="AF5" s="1319"/>
      <c r="AG5" s="141"/>
      <c r="AH5" s="141" t="str">
        <f>INDEX($I$9:$I$21,AH4,1)</f>
        <v>Habitat collectif</v>
      </c>
      <c r="AI5" s="141" t="str">
        <f t="shared" ref="AI5:AS5" si="0">INDEX($I$9:$I$21,AI4,1)</f>
        <v>Habitat individuel</v>
      </c>
      <c r="AJ5" s="141" t="str">
        <f t="shared" si="0"/>
        <v>Administration</v>
      </c>
      <c r="AK5" s="141" t="str">
        <f t="shared" si="0"/>
        <v>Ecole</v>
      </c>
      <c r="AL5" s="141" t="str">
        <f t="shared" si="0"/>
        <v>Commerce</v>
      </c>
      <c r="AM5" s="141" t="str">
        <f t="shared" si="0"/>
        <v>Restaurant</v>
      </c>
      <c r="AN5" s="141" t="str">
        <f t="shared" si="0"/>
        <v>Lieu de rassemblement</v>
      </c>
      <c r="AO5" s="141" t="str">
        <f t="shared" si="0"/>
        <v>Hôpital</v>
      </c>
      <c r="AP5" s="141" t="str">
        <f t="shared" si="0"/>
        <v>Industrie</v>
      </c>
      <c r="AQ5" s="141" t="str">
        <f t="shared" si="0"/>
        <v>Entrepôt</v>
      </c>
      <c r="AR5" s="141" t="str">
        <f t="shared" si="0"/>
        <v>Installation sportive</v>
      </c>
      <c r="AS5" s="320" t="str">
        <f t="shared" si="0"/>
        <v>Piscine couverte</v>
      </c>
      <c r="AT5" s="323" t="s">
        <v>650</v>
      </c>
      <c r="AU5" s="323" t="s">
        <v>651</v>
      </c>
      <c r="AV5" s="322" t="s">
        <v>555</v>
      </c>
      <c r="AW5" s="140" t="s">
        <v>556</v>
      </c>
      <c r="AX5" s="140" t="s">
        <v>234</v>
      </c>
      <c r="AY5" s="140" t="s">
        <v>235</v>
      </c>
      <c r="AZ5" s="140" t="s">
        <v>212</v>
      </c>
      <c r="BA5" s="513"/>
      <c r="BB5" s="88">
        <v>2</v>
      </c>
      <c r="BC5" s="522" t="str">
        <f t="shared" ref="BC5:BC32" si="1">A98</f>
        <v>Argovie</v>
      </c>
      <c r="BD5" s="284" t="b">
        <v>1</v>
      </c>
      <c r="BE5" s="88">
        <v>2</v>
      </c>
    </row>
    <row r="6" spans="1:57" ht="15" customHeight="1">
      <c r="A6" s="85"/>
      <c r="B6" s="81"/>
      <c r="C6" s="81" t="s">
        <v>250</v>
      </c>
      <c r="D6" s="82" t="s">
        <v>213</v>
      </c>
      <c r="E6" s="81" t="s">
        <v>251</v>
      </c>
      <c r="F6" s="86" t="s">
        <v>206</v>
      </c>
      <c r="G6" s="562"/>
      <c r="I6" s="325"/>
      <c r="J6" s="294" t="s">
        <v>172</v>
      </c>
      <c r="K6" s="295">
        <f>IF(AND(Kategorie1=13,BadMisch),0,Entrées!F91)</f>
        <v>0</v>
      </c>
      <c r="L6" s="294" t="s">
        <v>173</v>
      </c>
      <c r="M6" s="295">
        <f>IF(Zonen&gt;1,IF(AND(Kategorie2=13,BadMisch),0,Entrées!G91),0)</f>
        <v>0</v>
      </c>
      <c r="N6" s="294" t="s">
        <v>174</v>
      </c>
      <c r="O6" s="295">
        <f>IF(Zonen&gt;2,IF(AND(Kategorie3=13,BadMisch),0,Entrées!H91),0)</f>
        <v>0</v>
      </c>
      <c r="P6" s="294" t="s">
        <v>175</v>
      </c>
      <c r="Q6" s="295">
        <f>IF(Zonen&gt;3,IF(AND(Kategorie4=13,BadMisch),0,Entrées!I91),0)</f>
        <v>0</v>
      </c>
      <c r="R6" s="273" t="b">
        <f>OR(WWBonus1,WWBonus2,WWBonus3,WWBonus4)</f>
        <v>0</v>
      </c>
      <c r="S6" s="273"/>
      <c r="AE6" s="1721">
        <v>1</v>
      </c>
      <c r="AF6" s="1722" t="str">
        <f>Uebersetzung!D389</f>
        <v>Etanchéité de la surface de l'enveloppe</v>
      </c>
      <c r="AG6" s="1318"/>
      <c r="AH6" s="148">
        <v>1</v>
      </c>
      <c r="AI6" s="149">
        <v>1</v>
      </c>
      <c r="AJ6" s="149">
        <v>1</v>
      </c>
      <c r="AK6" s="149">
        <v>1</v>
      </c>
      <c r="AL6" s="149">
        <v>1</v>
      </c>
      <c r="AM6" s="149">
        <v>1</v>
      </c>
      <c r="AN6" s="149">
        <v>1</v>
      </c>
      <c r="AO6" s="149">
        <v>1</v>
      </c>
      <c r="AP6" s="149">
        <v>1</v>
      </c>
      <c r="AQ6" s="149">
        <v>1</v>
      </c>
      <c r="AR6" s="149">
        <v>1</v>
      </c>
      <c r="AS6" s="149">
        <v>1</v>
      </c>
      <c r="AT6" s="324">
        <v>1</v>
      </c>
      <c r="AU6" s="324">
        <v>1</v>
      </c>
      <c r="AV6" s="135">
        <f>IF(Kategorie1&gt;0,IF(Neubau1=2,$AT6,$AU6)*INDEX($AG6:$AS6,1,Kategorie1),)</f>
        <v>0</v>
      </c>
      <c r="AW6" s="135">
        <f>IF(Kategorie2&gt;0,IF(Neubau2=2,$AT6,$AU6)*INDEX($AG6:$AS6,1,Kategorie2),)</f>
        <v>0</v>
      </c>
      <c r="AX6" s="135">
        <f>IF(Kategorie3&gt;0,IF(Neubau3=2,$AT6,$AU6)*INDEX($AG6:$AS6,1,Kategorie3),)</f>
        <v>0</v>
      </c>
      <c r="AY6" s="135">
        <f>IF(Kategorie4&gt;0,IF(Neubau4=2,$AT6,$AU6)*INDEX($AG6:$AS6,1,Kategorie4),)</f>
        <v>0</v>
      </c>
      <c r="AZ6" s="135">
        <f>SUM(AV6:AY6)</f>
        <v>0</v>
      </c>
      <c r="BA6" s="514" t="str">
        <f>IF(OR(minergiea,minergiep),Uebersetzung!D529,Uebersetzung!D406)</f>
        <v>Concept d'étanchéité annexé?</v>
      </c>
      <c r="BB6" s="120">
        <v>3</v>
      </c>
      <c r="BC6" s="523" t="str">
        <f t="shared" si="1"/>
        <v>Appenzell Rhodes-Intérieures</v>
      </c>
      <c r="BD6" s="168" t="b">
        <v>1</v>
      </c>
      <c r="BE6" s="120">
        <v>3</v>
      </c>
    </row>
    <row r="7" spans="1:57" ht="13.5">
      <c r="A7" s="87" t="s">
        <v>199</v>
      </c>
      <c r="B7" s="51" t="s">
        <v>199</v>
      </c>
      <c r="C7" s="51" t="s">
        <v>199</v>
      </c>
      <c r="D7" s="51"/>
      <c r="E7" s="88" t="s">
        <v>199</v>
      </c>
      <c r="F7" s="88" t="s">
        <v>199</v>
      </c>
      <c r="G7" s="562">
        <v>1</v>
      </c>
      <c r="I7" s="37" t="s">
        <v>241</v>
      </c>
      <c r="J7" s="38" t="s">
        <v>80</v>
      </c>
      <c r="K7" s="39" t="s">
        <v>81</v>
      </c>
      <c r="L7" s="38" t="s">
        <v>46</v>
      </c>
      <c r="M7" s="38" t="s">
        <v>641</v>
      </c>
      <c r="N7" s="38" t="s">
        <v>642</v>
      </c>
      <c r="O7" s="45" t="s">
        <v>334</v>
      </c>
      <c r="P7" s="238" t="s">
        <v>694</v>
      </c>
      <c r="Q7" s="238" t="s">
        <v>695</v>
      </c>
      <c r="R7" s="239" t="s">
        <v>362</v>
      </c>
      <c r="S7" s="847" t="s">
        <v>313</v>
      </c>
      <c r="T7" s="40"/>
      <c r="U7" s="733" t="s">
        <v>804</v>
      </c>
      <c r="V7" s="1762" t="s">
        <v>817</v>
      </c>
      <c r="W7" s="84"/>
      <c r="AE7" s="1708">
        <v>1</v>
      </c>
      <c r="AF7" s="520" t="str">
        <f>Uebersetzung!D390</f>
        <v>Etanchéité de la surface de l'enveloppe, rénovation</v>
      </c>
      <c r="AG7" s="1318"/>
      <c r="AH7" s="148">
        <v>1</v>
      </c>
      <c r="AI7" s="149">
        <v>1</v>
      </c>
      <c r="AJ7" s="149">
        <v>1</v>
      </c>
      <c r="AK7" s="149">
        <v>1</v>
      </c>
      <c r="AL7" s="149">
        <v>1</v>
      </c>
      <c r="AM7" s="236">
        <v>1</v>
      </c>
      <c r="AN7" s="236">
        <v>1</v>
      </c>
      <c r="AO7" s="149">
        <v>1</v>
      </c>
      <c r="AP7" s="149">
        <v>1</v>
      </c>
      <c r="AQ7" s="149">
        <v>1</v>
      </c>
      <c r="AR7" s="149">
        <v>1</v>
      </c>
      <c r="AS7" s="149">
        <v>1</v>
      </c>
      <c r="AT7" s="149">
        <v>0</v>
      </c>
      <c r="AU7" s="149">
        <v>1</v>
      </c>
      <c r="AV7" s="135">
        <f>IF(Kategorie1&gt;0,IF(Neubau1=3,AU7,AT7)*INDEX($AG7:$AS7,1,Kategorie1),)</f>
        <v>0</v>
      </c>
      <c r="AW7" s="135">
        <f>IF(Kategorie2&gt;0,IF(Neubau2=3,AU7,AT7)*INDEX($AG7:$AS7,1,Kategorie2),)</f>
        <v>0</v>
      </c>
      <c r="AX7" s="135">
        <f>IF(Kategorie3&gt;0,IF(Neubau3=3,AU7,AT7)*INDEX($AG7:$AS7,1,Kategorie3),)</f>
        <v>0</v>
      </c>
      <c r="AY7" s="135">
        <f>IF(Kategorie4&gt;0,IF(Neubau4=3,AU7,AT7)*INDEX($AG7:$AS7,1,Kategorie4),)</f>
        <v>0</v>
      </c>
      <c r="AZ7" s="135">
        <f t="shared" ref="AZ7:AZ13" si="2">SUM(AV7:AY7)</f>
        <v>0</v>
      </c>
      <c r="BA7" s="514" t="s">
        <v>557</v>
      </c>
      <c r="BB7" s="120">
        <v>4</v>
      </c>
      <c r="BC7" s="523" t="str">
        <f t="shared" si="1"/>
        <v>Appenzell Rhodes-Extérieures</v>
      </c>
      <c r="BD7" s="168" t="b">
        <v>1</v>
      </c>
      <c r="BE7" s="120">
        <v>4</v>
      </c>
    </row>
    <row r="8" spans="1:57">
      <c r="A8" s="520" t="str">
        <f t="shared" ref="A8:A13" si="3">IF(Kanton=29,A55,G128)</f>
        <v/>
      </c>
      <c r="B8" s="38" t="str">
        <f>IF(Kanton=29,B55,IF($B$96&gt;0,INDEX(B$54:B$94,$B$96,1),""))</f>
        <v/>
      </c>
      <c r="C8" s="38" t="str">
        <f>IF(Kanton=29,C55,IF($B$96&gt;0,INDEX(C$54:C$94,$B$96,1),""))</f>
        <v/>
      </c>
      <c r="D8" s="38" t="str">
        <f>IF(Kanton=29,D55,IF($B$96&gt;0,INDEX(D$54:D$94,$B$96,1),""))</f>
        <v/>
      </c>
      <c r="E8" s="38" t="str">
        <f>IF(Kanton=29,E55,IF($B$96&gt;0,INDEX(E$54:E$94,$B$96,1),""))</f>
        <v/>
      </c>
      <c r="F8" s="38" t="str">
        <f>IF(Kanton=29,F55,IF($B$96&gt;0,INDEX(F$54:F$94,$B$96,1),""))</f>
        <v/>
      </c>
      <c r="G8" s="562">
        <v>2</v>
      </c>
      <c r="I8" s="37"/>
      <c r="J8" s="38" t="s">
        <v>336</v>
      </c>
      <c r="K8" s="38" t="s">
        <v>336</v>
      </c>
      <c r="L8" s="38" t="s">
        <v>336</v>
      </c>
      <c r="M8" s="38" t="s">
        <v>337</v>
      </c>
      <c r="N8" s="38" t="s">
        <v>338</v>
      </c>
      <c r="O8" s="45" t="s">
        <v>723</v>
      </c>
      <c r="P8" s="45" t="s">
        <v>693</v>
      </c>
      <c r="Q8" s="45" t="s">
        <v>693</v>
      </c>
      <c r="R8" s="45" t="s">
        <v>465</v>
      </c>
      <c r="S8" s="45" t="s">
        <v>467</v>
      </c>
      <c r="T8" s="45"/>
      <c r="U8" s="734" t="s">
        <v>803</v>
      </c>
      <c r="V8" s="734" t="s">
        <v>582</v>
      </c>
      <c r="W8" s="156"/>
      <c r="AE8" s="1708">
        <v>1</v>
      </c>
      <c r="AF8" s="520" t="str">
        <f>Uebersetzung!D392</f>
        <v>Eau chaude</v>
      </c>
      <c r="AG8" s="1318"/>
      <c r="AH8" s="148"/>
      <c r="AI8" s="149"/>
      <c r="AJ8" s="149"/>
      <c r="AK8" s="149"/>
      <c r="AL8" s="149"/>
      <c r="AM8" s="236"/>
      <c r="AN8" s="149"/>
      <c r="AO8" s="149"/>
      <c r="AP8" s="149"/>
      <c r="AQ8" s="149"/>
      <c r="AR8" s="149"/>
      <c r="AS8" s="149"/>
      <c r="AT8" s="149">
        <v>1</v>
      </c>
      <c r="AU8" s="149">
        <v>1</v>
      </c>
      <c r="AV8" s="135">
        <f>IF(Kategorie1&gt;0,IF(OR(minergiea,minergiep),IF($AE8,IF(OR(Neubau1=2,Neubau1=1),$AT8,$AU8)*INDEX($AG8:$AS8,1,Kategorie1),0),IF(OR(Neubau1=2,Neubau1=1),$AT8,$AU8)*INDEX($AG8:$AS8,1,Kategorie1)),)</f>
        <v>0</v>
      </c>
      <c r="AW8" s="135">
        <f>IF(Kategorie2&gt;0,IF(OR(minergiea,minergiep),IF($AE8,IF(OR(Neubau2=2,Neubau2=1),$AT8,$AU8)*INDEX($AG8:$AS8,1,Kategorie2),0),IF(OR(Neubau2=2,Neubau2=1),$AT8,$AU8)*INDEX($AG8:$AS8,1,Kategorie2)),)</f>
        <v>0</v>
      </c>
      <c r="AX8" s="135">
        <f>IF(Kategorie3&gt;0,IF(OR(minergiea,minergiep),IF($AE8,IF(OR(Neubau3=2,Neubau3=1),$AT8,$AU8)*INDEX($AG8:$AS8,1,Kategorie3),0),IF(OR(Neubau3=2,Neubau3=1),$AT8,$AU8)*INDEX($AG8:$AS8,1,Kategorie3)),)</f>
        <v>0</v>
      </c>
      <c r="AY8" s="135">
        <f>IF(Kategorie4&gt;0,IF(OR(minergiea,minergiep),IF($AE8,IF(OR(Neubau4=2,Neubau4=1),$AT8,$AU8)*INDEX($AG8:$AS8,1,Kategorie4),0),IF(OR(Neubau4=2,Neubau4=1),$AT8,$AU8)*INDEX($AG8:$AS8,1,Kategorie4)),)</f>
        <v>0</v>
      </c>
      <c r="AZ8" s="135">
        <f t="shared" si="2"/>
        <v>0</v>
      </c>
      <c r="BA8" s="514" t="str">
        <f>Uebersetzung!D399</f>
        <v>Recours à 20% d'énergies renouvelables?</v>
      </c>
      <c r="BB8" s="120">
        <v>5</v>
      </c>
      <c r="BC8" s="523" t="str">
        <f t="shared" si="1"/>
        <v>Berne</v>
      </c>
      <c r="BD8" s="168" t="b">
        <v>1</v>
      </c>
      <c r="BE8" s="120">
        <v>5</v>
      </c>
    </row>
    <row r="9" spans="1:57">
      <c r="A9" s="520" t="str">
        <f t="shared" si="3"/>
        <v/>
      </c>
      <c r="B9" s="38" t="str">
        <f>IF(Kanton=29,B56,IF($C$96&gt;0,INDEX(B$54:B$94,$C$96,1),""))</f>
        <v/>
      </c>
      <c r="C9" s="38" t="str">
        <f>IF(Kanton=29,C56,IF($C$96&gt;0,INDEX(C$54:C$94,$C$96,1),""))</f>
        <v/>
      </c>
      <c r="D9" s="38" t="str">
        <f>IF(Kanton=29,D56,IF($C$96&gt;0,INDEX(D$54:D$94,$C$96,1),""))</f>
        <v/>
      </c>
      <c r="E9" s="38" t="str">
        <f>IF(Kanton=29,E56,IF($C$96&gt;0,INDEX(E$54:E$94,$C$96,1),""))</f>
        <v/>
      </c>
      <c r="F9" s="38" t="str">
        <f>IF(Kanton=29,F56,IF($C$96&gt;0,INDEX(F$54:F$94,$C$96,1),""))</f>
        <v/>
      </c>
      <c r="G9" s="562">
        <v>3</v>
      </c>
      <c r="H9" s="46">
        <v>1</v>
      </c>
      <c r="I9" s="47" t="s">
        <v>199</v>
      </c>
      <c r="J9" s="47"/>
      <c r="K9" s="47"/>
      <c r="L9" s="47"/>
      <c r="M9" s="48"/>
      <c r="N9" s="48">
        <v>1</v>
      </c>
      <c r="O9" s="49"/>
      <c r="P9" s="49"/>
      <c r="Q9" s="49"/>
      <c r="R9" s="49" t="b">
        <v>0</v>
      </c>
      <c r="S9" s="49" t="b">
        <v>1</v>
      </c>
      <c r="T9" s="525">
        <v>1</v>
      </c>
      <c r="U9" s="735"/>
      <c r="V9" s="735"/>
      <c r="W9" s="156"/>
      <c r="AE9" s="1708">
        <v>1</v>
      </c>
      <c r="AF9" s="520" t="str">
        <f>IF(AZ16,Uebersetzung!D397,"")</f>
        <v/>
      </c>
      <c r="AG9" s="1318"/>
      <c r="AH9" s="148">
        <f t="shared" ref="AH9:AR9" si="4">IF($AZ$16,1,0)</f>
        <v>0</v>
      </c>
      <c r="AI9" s="148">
        <f t="shared" si="4"/>
        <v>0</v>
      </c>
      <c r="AJ9" s="148">
        <f t="shared" si="4"/>
        <v>0</v>
      </c>
      <c r="AK9" s="148">
        <f t="shared" si="4"/>
        <v>0</v>
      </c>
      <c r="AL9" s="148">
        <f t="shared" si="4"/>
        <v>0</v>
      </c>
      <c r="AM9" s="148">
        <f t="shared" si="4"/>
        <v>0</v>
      </c>
      <c r="AN9" s="148">
        <f t="shared" si="4"/>
        <v>0</v>
      </c>
      <c r="AO9" s="148">
        <f t="shared" si="4"/>
        <v>0</v>
      </c>
      <c r="AP9" s="148">
        <f t="shared" si="4"/>
        <v>0</v>
      </c>
      <c r="AQ9" s="148">
        <f t="shared" si="4"/>
        <v>0</v>
      </c>
      <c r="AR9" s="148">
        <f t="shared" si="4"/>
        <v>0</v>
      </c>
      <c r="AS9" s="149"/>
      <c r="AT9" s="148">
        <f>IF($AZ$16,1,0)</f>
        <v>0</v>
      </c>
      <c r="AU9" s="149">
        <v>0</v>
      </c>
      <c r="AV9" s="135">
        <f>IF(Kategorie1&gt;0,IF($AE9=1,IF(OR(Neubau1=2,Neubau1=1),$AT9,$AU9)*INDEX($AG9:$AS9,1,Kategorie1),IF(OR(Neubau1=2,Neubau1=1),$AT9,$AU9)*INDEX($AG9:$AS9,1,Kategorie1)),)</f>
        <v>0</v>
      </c>
      <c r="AW9" s="135">
        <f>IF(Kategorie2&gt;0,IF($AE9=1,IF(OR(Neubau2=2,Neubau2=1),$AT9,$AU9)*INDEX($AG9:$AS9,1,Kategorie2),IF(OR(Neubau2=2,Neubau2=1),$AT9,$AU9)*INDEX($AG9:$AS9,1,Kategorie2)),)</f>
        <v>0</v>
      </c>
      <c r="AX9" s="135">
        <f>IF(Kategorie3&gt;0,IF($AE9=1,IF(OR(Neubau3=2,Neubau3=1),$AT9,$AU9)*INDEX($AG9:$AS9,1,Kategorie3),IF(OR(Neubau3=2,Neubau3=1),$AT9,$AU9)*INDEX($AG9:$AS9,1,Kategorie3)),)</f>
        <v>0</v>
      </c>
      <c r="AY9" s="135">
        <f>IF(Kategorie4&gt;0,IF($AE9=1,IF(OR(Neubau4=2,Neubau4=1),$AT9,$AU9)*INDEX($AG9:$AS9,1,Kategorie4),IF(OR(Neubau4=2,Neubau4=1),$AT9,$AU9)*INDEX($AG9:$AS9,1,Kategorie4)),)</f>
        <v>0</v>
      </c>
      <c r="AZ9" s="135">
        <f t="shared" si="2"/>
        <v>0</v>
      </c>
      <c r="BA9" s="514" t="str">
        <f>IF(AZ16,Uebersetzung!D405,"")</f>
        <v/>
      </c>
      <c r="BB9" s="120">
        <v>6</v>
      </c>
      <c r="BC9" s="523" t="str">
        <f t="shared" si="1"/>
        <v>Bâle-Campagne</v>
      </c>
      <c r="BD9" s="168" t="b">
        <v>1</v>
      </c>
      <c r="BE9" s="120">
        <v>6</v>
      </c>
    </row>
    <row r="10" spans="1:57">
      <c r="A10" s="520" t="str">
        <f t="shared" si="3"/>
        <v/>
      </c>
      <c r="B10" s="38" t="str">
        <f>IF(Kanton=29,B57,IF($D$96&gt;0,INDEX(B$54:B$94,$D$96,1),""))</f>
        <v/>
      </c>
      <c r="C10" s="38" t="str">
        <f>IF(Kanton=29,C57,IF($D$96&gt;0,INDEX(C$54:C$94,$D$96,1),""))</f>
        <v/>
      </c>
      <c r="D10" s="38" t="str">
        <f>IF(Kanton=29,D57,IF($D$96&gt;0,INDEX(D$54:D$94,$D$96,1),""))</f>
        <v/>
      </c>
      <c r="E10" s="38" t="str">
        <f>IF(Kanton=29,E57,IF($D$96&gt;0,INDEX(E$54:E$94,$D$96,1),""))</f>
        <v/>
      </c>
      <c r="F10" s="38" t="str">
        <f>IF(Kanton=29,F57,IF($D$96&gt;0,INDEX(F$54:F$94,$D$96,1),""))</f>
        <v/>
      </c>
      <c r="G10" s="562">
        <v>4</v>
      </c>
      <c r="H10" s="46">
        <v>2</v>
      </c>
      <c r="I10" s="349" t="str">
        <f>IF(minergiea,BE37,IF(minergiep,BD37,BC37))</f>
        <v>Habitat collectif</v>
      </c>
      <c r="J10" s="1745">
        <f t="shared" ref="J10:J21" si="5">IF(_SIA2009,AJ72,AG72)*3.6</f>
        <v>46.800000000000004</v>
      </c>
      <c r="K10" s="1745">
        <f t="shared" ref="K10:K21" si="6">IF(_SIA2009,AK72,AH72)*3.6</f>
        <v>54</v>
      </c>
      <c r="L10" s="38">
        <v>75</v>
      </c>
      <c r="M10" s="51">
        <v>40</v>
      </c>
      <c r="N10" s="51">
        <v>2</v>
      </c>
      <c r="O10" s="52">
        <v>0.7</v>
      </c>
      <c r="P10" s="970">
        <v>85</v>
      </c>
      <c r="Q10" s="970">
        <v>120</v>
      </c>
      <c r="R10" s="40" t="b">
        <v>0</v>
      </c>
      <c r="S10" s="45" t="b">
        <v>1</v>
      </c>
      <c r="T10" s="629">
        <v>2</v>
      </c>
      <c r="U10" s="40">
        <v>2000</v>
      </c>
      <c r="V10" s="815">
        <v>50</v>
      </c>
      <c r="W10" s="156"/>
      <c r="AE10" s="1708">
        <v>1</v>
      </c>
      <c r="AF10" s="520" t="str">
        <f>Uebersetzung!D394</f>
        <v>Rejets thermiques</v>
      </c>
      <c r="AG10" s="1318"/>
      <c r="AH10" s="148">
        <v>1</v>
      </c>
      <c r="AI10" s="149">
        <v>1</v>
      </c>
      <c r="AJ10" s="149">
        <v>1</v>
      </c>
      <c r="AK10" s="149">
        <v>1</v>
      </c>
      <c r="AL10" s="149">
        <v>1</v>
      </c>
      <c r="AM10" s="149">
        <v>1</v>
      </c>
      <c r="AN10" s="149">
        <v>1</v>
      </c>
      <c r="AO10" s="149">
        <v>1</v>
      </c>
      <c r="AP10" s="149">
        <v>1</v>
      </c>
      <c r="AQ10" s="149">
        <v>1</v>
      </c>
      <c r="AR10" s="149">
        <v>1</v>
      </c>
      <c r="AS10" s="149"/>
      <c r="AT10" s="149">
        <v>1</v>
      </c>
      <c r="AU10" s="149">
        <v>1</v>
      </c>
      <c r="AV10" s="135">
        <f>IF(Kategorie1&gt;0,IF(OR(minergiea,minergiep),IF($AE10=1,IF(OR(Neubau1=2,Neubau1=1),$AT10,$AU10)*INDEX($AG10:$AS10,1,Kategorie1),0),IF(OR(Neubau1=2,Neubau1=1),$AT10,$AU10)*INDEX($AG10:$AS10,1,Kategorie1)),)</f>
        <v>0</v>
      </c>
      <c r="AW10" s="135">
        <f>IF(Kategorie2&gt;0,IF(OR(minergiea,minergiep),IF($AE10=1,IF(OR(Neubau2=2,Neubau2=1),$AT10,$AU10)*INDEX($AG10:$AS10,1,Kategorie2),0),IF(OR(Neubau2=2,Neubau2=1),$AT10,$AU10)*INDEX($AG10:$AS10,1,Kategorie2)),)</f>
        <v>0</v>
      </c>
      <c r="AX10" s="135">
        <f>IF(Kategorie3&gt;0,IF(OR(minergiea,minergiep),IF($AE10=1,IF(OR(Neubau3=2,Neubau3=1),$AT10,$AU10)*INDEX($AG10:$AS10,1,Kategorie3),0),IF(OR(Neubau3=2,Neubau3=1),$AT10,$AU10)*INDEX($AG10:$AS10,1,Kategorie3)),)</f>
        <v>0</v>
      </c>
      <c r="AY10" s="135">
        <f>IF(Kategorie4&gt;0,IF(OR(minergiea,minergiep),IF($AE10=1,IF(OR(Neubau4=2,Neubau4=1),$AT10,$AU10)*INDEX($AG10:$AS10,1,Kategorie4),0),IF(OR(Neubau4=2,Neubau4=1),$AT10,$AU10)*INDEX($AG10:$AS10,1,Kategorie4)),)</f>
        <v>0</v>
      </c>
      <c r="AZ10" s="135">
        <f t="shared" si="2"/>
        <v>0</v>
      </c>
      <c r="BA10" s="514" t="str">
        <f>Uebersetzung!D398</f>
        <v>Production de rejets thermiques?</v>
      </c>
      <c r="BB10" s="120">
        <v>7</v>
      </c>
      <c r="BC10" s="523" t="str">
        <f t="shared" si="1"/>
        <v>Bâle-Ville</v>
      </c>
      <c r="BD10" s="168" t="b">
        <v>1</v>
      </c>
      <c r="BE10" s="120">
        <v>7</v>
      </c>
    </row>
    <row r="11" spans="1:57">
      <c r="A11" s="520" t="str">
        <f t="shared" si="3"/>
        <v/>
      </c>
      <c r="B11" s="38" t="str">
        <f>IF(Kanton=29,B58,IF($E$96&gt;0,INDEX(B$54:B$94,$E$96,1),""))</f>
        <v/>
      </c>
      <c r="C11" s="38" t="str">
        <f>IF(Kanton=29,C58,IF($E$96&gt;0,INDEX(C$54:C$94,$E$96,1),""))</f>
        <v/>
      </c>
      <c r="D11" s="38" t="str">
        <f>IF(Kanton=29,D58,IF($E$96&gt;0,INDEX(D$54:D$94,$E$96,1),""))</f>
        <v/>
      </c>
      <c r="E11" s="38" t="str">
        <f>IF(Kanton=29,E58,IF($E$96&gt;0,INDEX(E$54:E$94,$E$96,1),""))</f>
        <v/>
      </c>
      <c r="F11" s="38" t="str">
        <f>IF(Kanton=29,F58,IF($E$96&gt;0,INDEX(F$54:F$94,$E$96,1),""))</f>
        <v/>
      </c>
      <c r="G11" s="562">
        <v>5</v>
      </c>
      <c r="H11" s="46">
        <v>3</v>
      </c>
      <c r="I11" s="37" t="str">
        <f t="shared" ref="I11:I21" si="7">IF(minergiea,BE38,IF(minergiep,BD38,BC38))</f>
        <v>Habitat individuel</v>
      </c>
      <c r="J11" s="38">
        <f t="shared" si="5"/>
        <v>57.6</v>
      </c>
      <c r="K11" s="38">
        <f t="shared" si="6"/>
        <v>54</v>
      </c>
      <c r="L11" s="38">
        <v>50</v>
      </c>
      <c r="M11" s="38">
        <v>60</v>
      </c>
      <c r="N11" s="38">
        <v>2</v>
      </c>
      <c r="O11" s="52">
        <v>0.7</v>
      </c>
      <c r="P11" s="970">
        <v>80</v>
      </c>
      <c r="Q11" s="970">
        <v>115</v>
      </c>
      <c r="R11" s="45" t="b">
        <v>0</v>
      </c>
      <c r="S11" s="45" t="b">
        <v>1</v>
      </c>
      <c r="T11" s="629">
        <v>3</v>
      </c>
      <c r="U11" s="45">
        <v>2000</v>
      </c>
      <c r="V11" s="816">
        <v>50</v>
      </c>
      <c r="W11" s="156"/>
      <c r="AE11" s="1708">
        <v>1</v>
      </c>
      <c r="AF11" s="520" t="str">
        <f>IF(MINERGIE!I67=MINERGIE!N12,Uebersetzung!D395,"")</f>
        <v/>
      </c>
      <c r="AG11" s="1318"/>
      <c r="AH11" s="148">
        <v>1</v>
      </c>
      <c r="AI11" s="149">
        <v>1</v>
      </c>
      <c r="AJ11" s="149">
        <v>1</v>
      </c>
      <c r="AK11" s="149">
        <v>1</v>
      </c>
      <c r="AL11" s="149">
        <v>1</v>
      </c>
      <c r="AM11" s="149">
        <v>1</v>
      </c>
      <c r="AN11" s="149">
        <v>1</v>
      </c>
      <c r="AO11" s="149">
        <v>1</v>
      </c>
      <c r="AP11" s="149">
        <v>1</v>
      </c>
      <c r="AQ11" s="149">
        <v>1</v>
      </c>
      <c r="AR11" s="149">
        <v>1</v>
      </c>
      <c r="AS11" s="149"/>
      <c r="AT11" s="149">
        <v>1</v>
      </c>
      <c r="AU11" s="149">
        <v>1</v>
      </c>
      <c r="AV11" s="135">
        <f>IF(Kategorie1&gt;0,IF(OR(minergiea,minergiep),$AE11,IF(OR(Neubau1=2,Neubau1=1),$AT11,$AU11)*INDEX($AG11:$AS11,1,Kategorie1)),)</f>
        <v>0</v>
      </c>
      <c r="AW11" s="135">
        <f>IF(Kategorie2&gt;0,IF(OR(minergiea,minergiep),$AE11,IF(OR(Neubau2=2,Neubau2=1),$AT11,$AU11)*INDEX($AG11:$AS11,1,Kategorie2)),)</f>
        <v>0</v>
      </c>
      <c r="AX11" s="135">
        <f>IF(Kategorie3&gt;0,IF(OR(minergiea,minergiep),$AE11,IF(OR(Neubau3=2,Neubau3=1),$AT11,$AU11)*INDEX($AG11:$AS11,1,Kategorie3)),)</f>
        <v>0</v>
      </c>
      <c r="AY11" s="135">
        <f>IF(Kategorie4&gt;0,IF(OR(minergiea,minergiep),$AE11,IF(OR(Neubau4=2,Neubau4=1),$AT11,$AU11)*INDEX($AG11:$AS11,1,Kategorie4)),)</f>
        <v>0</v>
      </c>
      <c r="AZ11" s="135">
        <f t="shared" si="2"/>
        <v>0</v>
      </c>
      <c r="BA11" s="514" t="str">
        <f>IF(MINERGIE!I67=MINERGIE!N12,Uebersetzung!D402,"")</f>
        <v/>
      </c>
      <c r="BB11" s="120">
        <v>8</v>
      </c>
      <c r="BC11" s="523" t="str">
        <f t="shared" si="1"/>
        <v>Fribourg</v>
      </c>
      <c r="BD11" s="168" t="b">
        <v>1</v>
      </c>
      <c r="BE11" s="120">
        <v>8</v>
      </c>
    </row>
    <row r="12" spans="1:57">
      <c r="A12" s="520" t="str">
        <f t="shared" si="3"/>
        <v/>
      </c>
      <c r="B12" s="38" t="str">
        <f>IF(Kanton=29,B59,IF($F$96&gt;0,INDEX(B$54:B$94,$F$96,1),""))</f>
        <v/>
      </c>
      <c r="C12" s="38" t="str">
        <f>IF(Kanton=29,C59,IF($F$96&gt;0,INDEX(C$54:C$94,$F$96,1),""))</f>
        <v/>
      </c>
      <c r="D12" s="38" t="str">
        <f>IF(Kanton=29,D59,IF($F$96&gt;0,INDEX(D$54:D$94,$F$96,1),""))</f>
        <v/>
      </c>
      <c r="E12" s="38" t="str">
        <f>IF(Kanton=29,E59,IF($F$96&gt;0,INDEX(E$54:E$94,$F$96,1),""))</f>
        <v/>
      </c>
      <c r="F12" s="38" t="str">
        <f>IF(Kanton=29,F59,IF($F$96&gt;0,INDEX(F$54:F$94,$F$96,1),""))</f>
        <v/>
      </c>
      <c r="G12" s="562">
        <v>6</v>
      </c>
      <c r="H12" s="46">
        <v>4</v>
      </c>
      <c r="I12" s="37" t="str">
        <f t="shared" si="7"/>
        <v>Administration</v>
      </c>
      <c r="J12" s="38">
        <f t="shared" si="5"/>
        <v>46.800000000000004</v>
      </c>
      <c r="K12" s="38">
        <f t="shared" si="6"/>
        <v>54</v>
      </c>
      <c r="L12" s="38">
        <v>25</v>
      </c>
      <c r="M12" s="38">
        <v>20</v>
      </c>
      <c r="N12" s="38">
        <v>3</v>
      </c>
      <c r="O12" s="52">
        <v>0.7</v>
      </c>
      <c r="P12" s="970">
        <v>180</v>
      </c>
      <c r="Q12" s="970">
        <v>215</v>
      </c>
      <c r="R12" s="45" t="b">
        <v>0</v>
      </c>
      <c r="S12" s="45" t="b">
        <v>1</v>
      </c>
      <c r="T12" s="629">
        <v>4</v>
      </c>
      <c r="U12" s="45">
        <v>1000</v>
      </c>
      <c r="V12" s="816">
        <v>20</v>
      </c>
      <c r="W12" s="156"/>
      <c r="AE12" s="1708">
        <v>0</v>
      </c>
      <c r="AF12" s="520" t="str">
        <f>Uebersetzung!D396</f>
        <v>Exploitation optimisée piscine couverte</v>
      </c>
      <c r="AG12" s="1318"/>
      <c r="AH12" s="148"/>
      <c r="AI12" s="149"/>
      <c r="AJ12" s="149"/>
      <c r="AK12" s="149"/>
      <c r="AL12" s="149"/>
      <c r="AM12" s="149"/>
      <c r="AN12" s="149"/>
      <c r="AO12" s="149"/>
      <c r="AP12" s="149"/>
      <c r="AQ12" s="149"/>
      <c r="AR12" s="149"/>
      <c r="AS12" s="149">
        <v>1</v>
      </c>
      <c r="AT12" s="149">
        <v>1</v>
      </c>
      <c r="AU12" s="149">
        <v>1</v>
      </c>
      <c r="AV12" s="135">
        <f>IF(Kategorie1&gt;0,IF(OR(minergiea,minergiep),$AE12,IF(OR(Neubau1=2,Neubau1=1),$AT12,$AU12)*INDEX($AG12:$AS12,1,Kategorie1)),)</f>
        <v>0</v>
      </c>
      <c r="AW12" s="135">
        <f>IF(Kategorie2&gt;0,IF(OR(minergiea,minergiep),$AE12,IF(OR(Neubau2=2,Neubau2=1),$AT12,$AU12)*INDEX($AG12:$AS12,1,Kategorie2)),)</f>
        <v>0</v>
      </c>
      <c r="AX12" s="135">
        <f>IF(Kategorie3&gt;0,IF(OR(minergiea,minergiep),$AE12,IF(OR(Neubau3=2,Neubau3=1),$AT12,$AU12)*INDEX($AG12:$AS12,1,Kategorie3)),)</f>
        <v>0</v>
      </c>
      <c r="AY12" s="135">
        <f>IF(Kategorie4&gt;0,IF(OR(minergiea,minergiep),$AE12,IF(OR(Neubau4=2,Neubau4=1),$AT12,$AU12)*INDEX($AG12:$AS12,1,Kategorie4)),)</f>
        <v>0</v>
      </c>
      <c r="AZ12" s="135">
        <f t="shared" si="2"/>
        <v>0</v>
      </c>
      <c r="BA12" s="514" t="str">
        <f>Uebersetzung!D403</f>
        <v>RC avec PAC sur ventilation, RC des eaux de piscine</v>
      </c>
      <c r="BB12" s="120">
        <v>9</v>
      </c>
      <c r="BC12" s="523" t="str">
        <f t="shared" si="1"/>
        <v>Genève</v>
      </c>
      <c r="BD12" s="168" t="b">
        <v>1</v>
      </c>
      <c r="BE12" s="120">
        <v>9</v>
      </c>
    </row>
    <row r="13" spans="1:57">
      <c r="A13" s="520" t="str">
        <f t="shared" si="3"/>
        <v/>
      </c>
      <c r="B13" s="38" t="str">
        <f>IF(Kanton=29,B60,IF($G$96&gt;0,INDEX(B$54:B$94,$G$96,1),""))</f>
        <v/>
      </c>
      <c r="C13" s="38" t="str">
        <f>IF(Kanton=29,C60,IF($G$96&gt;0,INDEX(C$54:C$94,$G$96,1),""))</f>
        <v/>
      </c>
      <c r="D13" s="38" t="str">
        <f>IF(Kanton=29,D60,IF($G$96&gt;0,INDEX(D$54:D$94,$G$96,1),""))</f>
        <v/>
      </c>
      <c r="E13" s="38" t="str">
        <f>IF(Kanton=29,E60,IF($G$96&gt;0,INDEX(E$54:E$94,$G$96,1),""))</f>
        <v/>
      </c>
      <c r="F13" s="38" t="str">
        <f>IF(Kanton=29,F60,IF($G$96&gt;0,INDEX(F$54:F$94,$G$96,1),""))</f>
        <v/>
      </c>
      <c r="G13" s="562">
        <v>7</v>
      </c>
      <c r="H13" s="46">
        <v>5</v>
      </c>
      <c r="I13" s="37" t="str">
        <f t="shared" si="7"/>
        <v>Ecole</v>
      </c>
      <c r="J13" s="38">
        <f t="shared" si="5"/>
        <v>50.4</v>
      </c>
      <c r="K13" s="38">
        <f t="shared" si="6"/>
        <v>54</v>
      </c>
      <c r="L13" s="38">
        <v>25</v>
      </c>
      <c r="M13" s="38">
        <v>10</v>
      </c>
      <c r="N13" s="38">
        <v>4</v>
      </c>
      <c r="O13" s="52">
        <v>0.7</v>
      </c>
      <c r="P13" s="970">
        <v>95</v>
      </c>
      <c r="Q13" s="970">
        <v>125</v>
      </c>
      <c r="R13" s="45" t="b">
        <v>0</v>
      </c>
      <c r="S13" s="45" t="b">
        <v>1</v>
      </c>
      <c r="T13" s="629">
        <v>5</v>
      </c>
      <c r="U13" s="45">
        <v>1000</v>
      </c>
      <c r="V13" s="816">
        <v>10</v>
      </c>
      <c r="W13" s="156"/>
      <c r="AE13" s="1708">
        <v>1</v>
      </c>
      <c r="AF13" s="520" t="str">
        <f>IF(AND(minergiea=FALSE,AND(EBF&gt;2000,MINERGIE!Z59&gt;0,MINERGIE!Z58&lt;2000)),Uebersetzung!D416,"")</f>
        <v/>
      </c>
      <c r="AG13" s="1318"/>
      <c r="AH13" s="148">
        <v>1</v>
      </c>
      <c r="AI13" s="149">
        <v>1</v>
      </c>
      <c r="AJ13" s="149">
        <v>1</v>
      </c>
      <c r="AK13" s="149">
        <v>1</v>
      </c>
      <c r="AL13" s="149">
        <v>1</v>
      </c>
      <c r="AM13" s="149">
        <v>1</v>
      </c>
      <c r="AN13" s="149">
        <v>1</v>
      </c>
      <c r="AO13" s="149">
        <v>1</v>
      </c>
      <c r="AP13" s="149">
        <v>1</v>
      </c>
      <c r="AQ13" s="149">
        <v>1</v>
      </c>
      <c r="AR13" s="149">
        <v>1</v>
      </c>
      <c r="AS13" s="149">
        <v>1</v>
      </c>
      <c r="AT13" s="149">
        <v>0</v>
      </c>
      <c r="AU13" s="149">
        <v>1</v>
      </c>
      <c r="AV13" s="135">
        <f>IF(Kategorie1&gt;0,IF(OR(minergiea,minergiep),$AE13,IF(OR(Neubau1=2,Neubau1=1),$AT13,$AU13)*INDEX($AG13:$AS13,1,Kategorie1)),)</f>
        <v>0</v>
      </c>
      <c r="AW13" s="135">
        <f>IF(Kategorie2&gt;0,IF(OR(minergiea,minergiep),$AE13,IF(OR(Neubau2=2,Neubau2=1),$AT13,$AU13)*INDEX($AG13:$AS13,1,Kategorie2)),)</f>
        <v>0</v>
      </c>
      <c r="AX13" s="135">
        <f>IF(Kategorie3&gt;0,IF(OR(minergiea,minergiep),$AE13,IF(OR(Neubau3=2,Neubau3=1),$AT13,$AU13)*INDEX($AG13:$AS13,1,Kategorie3)),)</f>
        <v>0</v>
      </c>
      <c r="AY13" s="135">
        <f>IF(Kategorie4&gt;0,IF(OR(minergiea,minergiep),$AE13,IF(OR(Neubau4=2,Neubau4=1),$AT13,$AU13)*INDEX($AG13:$AS13,1,Kategorie4)),)</f>
        <v>0</v>
      </c>
      <c r="AZ13" s="135">
        <f t="shared" si="2"/>
        <v>0</v>
      </c>
      <c r="BA13" s="1321" t="str">
        <f>IF(AND(minergiea=FALSE,AND(EBF&gt;2000,MINERGIE!Z59&gt;0,MINERGIE!Z58&lt;2000)),Uebersetzung!D415,"")</f>
        <v/>
      </c>
      <c r="BB13" s="120">
        <v>10</v>
      </c>
      <c r="BC13" s="523" t="str">
        <f t="shared" si="1"/>
        <v>Glaris</v>
      </c>
      <c r="BD13" s="168" t="b">
        <v>1</v>
      </c>
      <c r="BE13" s="120">
        <v>10</v>
      </c>
    </row>
    <row r="14" spans="1:57">
      <c r="A14" s="520" t="str">
        <f t="shared" ref="A14:F23" si="8">IF(Kanton=29,A61,"")</f>
        <v/>
      </c>
      <c r="B14" s="38" t="str">
        <f t="shared" si="8"/>
        <v/>
      </c>
      <c r="C14" s="38" t="str">
        <f t="shared" si="8"/>
        <v/>
      </c>
      <c r="D14" s="38" t="str">
        <f t="shared" si="8"/>
        <v/>
      </c>
      <c r="E14" s="38" t="str">
        <f t="shared" si="8"/>
        <v/>
      </c>
      <c r="F14" s="38" t="str">
        <f t="shared" si="8"/>
        <v/>
      </c>
      <c r="G14" s="562">
        <v>8</v>
      </c>
      <c r="H14" s="46">
        <v>6</v>
      </c>
      <c r="I14" s="37" t="str">
        <f t="shared" si="7"/>
        <v>Commerce</v>
      </c>
      <c r="J14" s="38">
        <f t="shared" si="5"/>
        <v>25.2</v>
      </c>
      <c r="K14" s="38">
        <f t="shared" si="6"/>
        <v>50.4</v>
      </c>
      <c r="L14" s="38">
        <v>25</v>
      </c>
      <c r="M14" s="38">
        <v>10</v>
      </c>
      <c r="N14" s="38">
        <v>3</v>
      </c>
      <c r="O14" s="52">
        <v>0.7</v>
      </c>
      <c r="P14" s="970">
        <v>210</v>
      </c>
      <c r="Q14" s="970">
        <v>250</v>
      </c>
      <c r="R14" s="45" t="b">
        <v>0</v>
      </c>
      <c r="S14" s="45" t="b">
        <v>1</v>
      </c>
      <c r="T14" s="629">
        <v>6</v>
      </c>
      <c r="U14" s="45">
        <v>0</v>
      </c>
      <c r="V14" s="813">
        <v>0</v>
      </c>
      <c r="W14" s="156"/>
      <c r="AE14" s="1708">
        <v>1</v>
      </c>
      <c r="AF14" s="37" t="str">
        <f>IF(MINERGIE!Z62,Uebersetzung!D416,"")</f>
        <v/>
      </c>
      <c r="AG14" s="1318"/>
      <c r="AH14" s="148">
        <v>1</v>
      </c>
      <c r="AI14" s="149">
        <v>1</v>
      </c>
      <c r="AJ14" s="149">
        <v>1</v>
      </c>
      <c r="AK14" s="149">
        <v>1</v>
      </c>
      <c r="AL14" s="149">
        <v>1</v>
      </c>
      <c r="AM14" s="149">
        <v>1</v>
      </c>
      <c r="AN14" s="149">
        <v>1</v>
      </c>
      <c r="AO14" s="149">
        <v>1</v>
      </c>
      <c r="AP14" s="149">
        <v>1</v>
      </c>
      <c r="AQ14" s="149">
        <v>1</v>
      </c>
      <c r="AR14" s="149">
        <v>1</v>
      </c>
      <c r="AS14" s="149">
        <v>1</v>
      </c>
      <c r="AT14" s="149">
        <v>1</v>
      </c>
      <c r="AU14" s="149">
        <v>1</v>
      </c>
      <c r="AV14" s="135">
        <f>IF(Kategorie1&gt;0,IF(OR(minergiea,minergiep),$AE14,IF(OR(Neubau1=2,Neubau1=1),$AT14,$AU14)*INDEX($AG14:$AS14,1,Kategorie1)),)</f>
        <v>0</v>
      </c>
      <c r="AW14" s="135">
        <f>IF(Kategorie2&gt;0,IF(OR(minergiea,minergiep),$AE14,IF(OR(Neubau2=2,Neubau2=1),$AT14,$AU14)*INDEX($AG14:$AS14,1,Kategorie2)),)</f>
        <v>0</v>
      </c>
      <c r="AX14" s="135">
        <f>IF(Kategorie3&gt;0,IF(OR(minergiea,minergiep),$AE14,IF(OR(Neubau3=2,Neubau3=1),$AT14,$AU14)*INDEX($AG14:$AS14,1,Kategorie3)),)</f>
        <v>0</v>
      </c>
      <c r="AY14" s="135">
        <f>IF(Kategorie4&gt;0,IF(OR(minergiea,minergiep),$AE14,IF(OR(Neubau4=2,Neubau4=1),$AT14,$AU14)*INDEX($AG14:$AS14,1,Kategorie4)),)</f>
        <v>0</v>
      </c>
      <c r="AZ14" s="135">
        <f>SUM(AV14:AY14)</f>
        <v>0</v>
      </c>
      <c r="BA14" s="1321" t="str">
        <f>IF(MINERGIE!Z62,Uebersetzung!D417,"")</f>
        <v/>
      </c>
      <c r="BB14" s="120">
        <v>11</v>
      </c>
      <c r="BC14" s="523" t="str">
        <f t="shared" si="1"/>
        <v>Grisons</v>
      </c>
      <c r="BD14" s="168" t="b">
        <v>1</v>
      </c>
      <c r="BE14" s="120">
        <v>11</v>
      </c>
    </row>
    <row r="15" spans="1:57">
      <c r="A15" s="520" t="str">
        <f t="shared" si="8"/>
        <v/>
      </c>
      <c r="B15" s="38" t="str">
        <f t="shared" si="8"/>
        <v/>
      </c>
      <c r="C15" s="38" t="str">
        <f t="shared" si="8"/>
        <v/>
      </c>
      <c r="D15" s="38" t="str">
        <f t="shared" si="8"/>
        <v/>
      </c>
      <c r="E15" s="38" t="str">
        <f t="shared" si="8"/>
        <v/>
      </c>
      <c r="F15" s="38" t="str">
        <f t="shared" si="8"/>
        <v/>
      </c>
      <c r="G15" s="562">
        <v>9</v>
      </c>
      <c r="H15" s="46">
        <v>7</v>
      </c>
      <c r="I15" s="37" t="str">
        <f t="shared" si="7"/>
        <v>Restaurant</v>
      </c>
      <c r="J15" s="38">
        <f t="shared" si="5"/>
        <v>57.6</v>
      </c>
      <c r="K15" s="38">
        <f t="shared" si="6"/>
        <v>54</v>
      </c>
      <c r="L15" s="38">
        <v>0</v>
      </c>
      <c r="M15" s="38">
        <v>5</v>
      </c>
      <c r="N15" s="38">
        <v>3</v>
      </c>
      <c r="O15" s="52">
        <v>1.2</v>
      </c>
      <c r="P15" s="970">
        <v>135</v>
      </c>
      <c r="Q15" s="970">
        <v>160</v>
      </c>
      <c r="R15" s="45" t="b">
        <v>0</v>
      </c>
      <c r="S15" s="45" t="b">
        <v>0</v>
      </c>
      <c r="T15" s="629">
        <v>7</v>
      </c>
      <c r="U15" s="45">
        <v>0</v>
      </c>
      <c r="V15" s="813">
        <v>0</v>
      </c>
      <c r="W15" s="156"/>
      <c r="AE15" s="1709">
        <v>1</v>
      </c>
      <c r="AF15" s="142" t="str">
        <f>IF(AZ15&gt;0,Uebersetzung!D543,"")</f>
        <v/>
      </c>
      <c r="AG15" s="1318"/>
      <c r="AH15" s="148">
        <v>1</v>
      </c>
      <c r="AI15" s="149">
        <v>1</v>
      </c>
      <c r="AJ15" s="149">
        <v>1</v>
      </c>
      <c r="AK15" s="149">
        <v>1</v>
      </c>
      <c r="AL15" s="149">
        <v>1</v>
      </c>
      <c r="AM15" s="149">
        <v>1</v>
      </c>
      <c r="AN15" s="149">
        <v>1</v>
      </c>
      <c r="AO15" s="149">
        <v>1</v>
      </c>
      <c r="AP15" s="149">
        <v>1</v>
      </c>
      <c r="AQ15" s="149">
        <v>1</v>
      </c>
      <c r="AR15" s="149">
        <v>1</v>
      </c>
      <c r="AS15" s="149">
        <v>1</v>
      </c>
      <c r="AT15" s="149">
        <v>1</v>
      </c>
      <c r="AU15" s="149">
        <v>0</v>
      </c>
      <c r="AV15" s="135">
        <f>IF(Kategorie1&gt;0,IF(OR(minergiea,minergiep),IF($AE15=1,IF(OR(Neubau1=2,Neubau1=1),$AT15,$AU15)*INDEX($AG15:$AS15,1,Kategorie1),0),IF(OR(Neubau1=2,Neubau1=1),$AT15,$AU15)*INDEX($AG15:$AS15,1,Kategorie1)),)</f>
        <v>0</v>
      </c>
      <c r="AW15" s="135">
        <f>IF(Kategorie2&gt;0,IF(OR(minergiea,minergiep),IF($AE15=1,IF(OR(Neubau2=2,Neubau2=1),$AT15,$AU15)*INDEX($AG15:$AS15,1,Kategorie2),0),IF(OR(Neubau2=2,Neubau2=1),$AT15,$AU15)*INDEX($AG15:$AS15,1,Kategorie2)),)</f>
        <v>0</v>
      </c>
      <c r="AX15" s="135">
        <f>IF(Kategorie3&gt;0,IF(OR(minergiea,minergiep),IF($AE15=1,IF(OR(Neubau3=2,Neubau3=1),$AT15,$AU15)*INDEX($AG15:$AS15,1,Kategorie3),0),IF(OR(Neubau3=2,Neubau3=1),$AT15,$AU15)*INDEX($AG15:$AS15,1,Kategorie3)),)</f>
        <v>0</v>
      </c>
      <c r="AY15" s="135">
        <f>IF(Kategorie4&gt;0,IF(OR(minergiea,minergiep),IF($AE15=1,IF(OR(Neubau4=2,Neubau4=1),$AT15,$AU15)*INDEX($AG15:$AS15,1,Kategorie4),0),IF(OR(Neubau4=2,Neubau4=1),$AT15,$AU15)*INDEX($AG15:$AS15,1,Kategorie4)),)</f>
        <v>0</v>
      </c>
      <c r="AZ15" s="135">
        <f>SUM(AV15:AY15)</f>
        <v>0</v>
      </c>
      <c r="BA15" s="514" t="str">
        <f>IF(AZ15&gt;0,Uebersetzung!D544,"")</f>
        <v/>
      </c>
      <c r="BB15" s="120">
        <v>12</v>
      </c>
      <c r="BC15" s="523" t="str">
        <f t="shared" si="1"/>
        <v>Jura</v>
      </c>
      <c r="BD15" s="168" t="b">
        <v>1</v>
      </c>
      <c r="BE15" s="120">
        <v>12</v>
      </c>
    </row>
    <row r="16" spans="1:57">
      <c r="A16" s="520" t="str">
        <f t="shared" si="8"/>
        <v/>
      </c>
      <c r="B16" s="38" t="str">
        <f t="shared" si="8"/>
        <v/>
      </c>
      <c r="C16" s="38" t="str">
        <f t="shared" si="8"/>
        <v/>
      </c>
      <c r="D16" s="38" t="str">
        <f t="shared" si="8"/>
        <v/>
      </c>
      <c r="E16" s="38" t="str">
        <f t="shared" si="8"/>
        <v/>
      </c>
      <c r="F16" s="38" t="str">
        <f t="shared" si="8"/>
        <v/>
      </c>
      <c r="G16" s="562">
        <v>10</v>
      </c>
      <c r="H16" s="46">
        <v>8</v>
      </c>
      <c r="I16" s="37" t="str">
        <f t="shared" si="7"/>
        <v>Lieu de rassemblement</v>
      </c>
      <c r="J16" s="38">
        <f t="shared" si="5"/>
        <v>64.8</v>
      </c>
      <c r="K16" s="38">
        <f t="shared" si="6"/>
        <v>54</v>
      </c>
      <c r="L16" s="38">
        <v>50</v>
      </c>
      <c r="M16" s="38">
        <v>5</v>
      </c>
      <c r="N16" s="38">
        <v>3</v>
      </c>
      <c r="O16" s="58">
        <v>1</v>
      </c>
      <c r="P16" s="970">
        <v>95</v>
      </c>
      <c r="Q16" s="970">
        <v>120</v>
      </c>
      <c r="R16" s="45" t="b">
        <v>0</v>
      </c>
      <c r="S16" s="45" t="b">
        <v>1</v>
      </c>
      <c r="T16" s="629">
        <v>8</v>
      </c>
      <c r="U16" s="45">
        <v>0</v>
      </c>
      <c r="V16" s="813">
        <v>0</v>
      </c>
      <c r="W16" s="156"/>
      <c r="AE16" s="325" t="s">
        <v>699</v>
      </c>
      <c r="AF16" s="1320"/>
      <c r="AG16" s="43"/>
      <c r="AZ16" s="1431" t="b">
        <v>0</v>
      </c>
      <c r="BA16" s="1432" t="s">
        <v>2519</v>
      </c>
      <c r="BB16" s="120">
        <v>13</v>
      </c>
      <c r="BC16" s="523" t="str">
        <f t="shared" si="1"/>
        <v>Lucerne</v>
      </c>
      <c r="BD16" s="168" t="b">
        <v>1</v>
      </c>
      <c r="BE16" s="120">
        <v>13</v>
      </c>
    </row>
    <row r="17" spans="1:75">
      <c r="A17" s="520" t="str">
        <f t="shared" si="8"/>
        <v/>
      </c>
      <c r="B17" s="38" t="str">
        <f t="shared" si="8"/>
        <v/>
      </c>
      <c r="C17" s="38" t="str">
        <f t="shared" si="8"/>
        <v/>
      </c>
      <c r="D17" s="38" t="str">
        <f t="shared" si="8"/>
        <v/>
      </c>
      <c r="E17" s="38" t="str">
        <f t="shared" si="8"/>
        <v/>
      </c>
      <c r="F17" s="38" t="str">
        <f t="shared" si="8"/>
        <v/>
      </c>
      <c r="G17" s="562">
        <v>11</v>
      </c>
      <c r="H17" s="46">
        <v>9</v>
      </c>
      <c r="I17" s="37" t="str">
        <f t="shared" si="7"/>
        <v>Hôpital</v>
      </c>
      <c r="J17" s="38">
        <f t="shared" si="5"/>
        <v>64.8</v>
      </c>
      <c r="K17" s="38">
        <f t="shared" si="6"/>
        <v>61.2</v>
      </c>
      <c r="L17" s="38">
        <v>100</v>
      </c>
      <c r="M17" s="38">
        <v>30</v>
      </c>
      <c r="N17" s="38">
        <v>3</v>
      </c>
      <c r="O17" s="58">
        <v>1</v>
      </c>
      <c r="P17" s="970">
        <v>170</v>
      </c>
      <c r="Q17" s="970">
        <v>200</v>
      </c>
      <c r="R17" s="45" t="b">
        <v>0</v>
      </c>
      <c r="S17" s="45" t="b">
        <v>1</v>
      </c>
      <c r="T17" s="629">
        <v>9</v>
      </c>
      <c r="U17" s="45">
        <v>0</v>
      </c>
      <c r="V17" s="813">
        <v>0</v>
      </c>
      <c r="W17" s="738"/>
      <c r="AE17" s="1314" t="s">
        <v>653</v>
      </c>
      <c r="AF17" s="326">
        <f>Kategorie1</f>
        <v>1</v>
      </c>
      <c r="AG17" s="43"/>
      <c r="BB17" s="120">
        <v>14</v>
      </c>
      <c r="BC17" s="523" t="str">
        <f t="shared" si="1"/>
        <v>Neuchâtel</v>
      </c>
      <c r="BD17" s="168" t="b">
        <v>1</v>
      </c>
      <c r="BE17" s="120">
        <v>14</v>
      </c>
    </row>
    <row r="18" spans="1:75">
      <c r="A18" s="520" t="str">
        <f t="shared" si="8"/>
        <v/>
      </c>
      <c r="B18" s="38" t="str">
        <f t="shared" si="8"/>
        <v/>
      </c>
      <c r="C18" s="38" t="str">
        <f t="shared" si="8"/>
        <v/>
      </c>
      <c r="D18" s="38" t="str">
        <f t="shared" si="8"/>
        <v/>
      </c>
      <c r="E18" s="38" t="str">
        <f t="shared" si="8"/>
        <v/>
      </c>
      <c r="F18" s="38" t="str">
        <f t="shared" si="8"/>
        <v/>
      </c>
      <c r="G18" s="562">
        <v>12</v>
      </c>
      <c r="H18" s="46">
        <v>10</v>
      </c>
      <c r="I18" s="37" t="str">
        <f t="shared" si="7"/>
        <v>Industrie</v>
      </c>
      <c r="J18" s="38">
        <f t="shared" si="5"/>
        <v>36</v>
      </c>
      <c r="K18" s="38">
        <f t="shared" si="6"/>
        <v>50.4</v>
      </c>
      <c r="L18" s="38">
        <v>25</v>
      </c>
      <c r="M18" s="38">
        <v>20</v>
      </c>
      <c r="N18" s="38">
        <v>3</v>
      </c>
      <c r="O18" s="52">
        <v>0.7</v>
      </c>
      <c r="P18" s="970">
        <v>135</v>
      </c>
      <c r="Q18" s="970">
        <v>170</v>
      </c>
      <c r="R18" s="45" t="b">
        <v>0</v>
      </c>
      <c r="S18" s="45" t="b">
        <v>1</v>
      </c>
      <c r="T18" s="629">
        <v>10</v>
      </c>
      <c r="U18" s="45">
        <v>0</v>
      </c>
      <c r="V18" s="813">
        <v>0</v>
      </c>
      <c r="W18" s="156"/>
      <c r="AE18" s="1315" t="s">
        <v>654</v>
      </c>
      <c r="AF18" s="327">
        <f>Kategorie2</f>
        <v>1</v>
      </c>
      <c r="AG18" s="43"/>
      <c r="BB18" s="120">
        <v>15</v>
      </c>
      <c r="BC18" s="523" t="str">
        <f t="shared" si="1"/>
        <v>Nidwald</v>
      </c>
      <c r="BD18" s="168" t="b">
        <v>1</v>
      </c>
      <c r="BE18" s="120">
        <v>15</v>
      </c>
    </row>
    <row r="19" spans="1:75">
      <c r="A19" s="520" t="str">
        <f t="shared" si="8"/>
        <v/>
      </c>
      <c r="B19" s="38" t="str">
        <f t="shared" si="8"/>
        <v/>
      </c>
      <c r="C19" s="38" t="str">
        <f t="shared" si="8"/>
        <v/>
      </c>
      <c r="D19" s="38" t="str">
        <f t="shared" si="8"/>
        <v/>
      </c>
      <c r="E19" s="38" t="str">
        <f t="shared" si="8"/>
        <v/>
      </c>
      <c r="F19" s="38" t="str">
        <f t="shared" si="8"/>
        <v/>
      </c>
      <c r="G19" s="562">
        <v>13</v>
      </c>
      <c r="H19" s="46">
        <v>11</v>
      </c>
      <c r="I19" s="37" t="str">
        <f t="shared" si="7"/>
        <v>Entrepôt</v>
      </c>
      <c r="J19" s="38">
        <f t="shared" si="5"/>
        <v>50.4</v>
      </c>
      <c r="K19" s="38">
        <f t="shared" si="6"/>
        <v>50.4</v>
      </c>
      <c r="L19" s="38">
        <v>5</v>
      </c>
      <c r="M19" s="38">
        <v>100</v>
      </c>
      <c r="N19" s="38">
        <v>3</v>
      </c>
      <c r="O19" s="52">
        <v>0.3</v>
      </c>
      <c r="P19" s="970">
        <v>45</v>
      </c>
      <c r="Q19" s="970">
        <v>70</v>
      </c>
      <c r="R19" s="45" t="b">
        <v>0</v>
      </c>
      <c r="S19" s="45" t="b">
        <v>1</v>
      </c>
      <c r="T19" s="629">
        <v>11</v>
      </c>
      <c r="U19" s="45">
        <v>0</v>
      </c>
      <c r="V19" s="813">
        <v>0</v>
      </c>
      <c r="W19" s="156"/>
      <c r="AE19" s="1315" t="s">
        <v>655</v>
      </c>
      <c r="AF19" s="327">
        <f>Kategorie3</f>
        <v>1</v>
      </c>
      <c r="BB19" s="120">
        <v>16</v>
      </c>
      <c r="BC19" s="523" t="str">
        <f t="shared" si="1"/>
        <v>Obwald</v>
      </c>
      <c r="BD19" s="168" t="b">
        <v>1</v>
      </c>
      <c r="BE19" s="120">
        <v>16</v>
      </c>
    </row>
    <row r="20" spans="1:75" ht="15.75">
      <c r="A20" s="520" t="str">
        <f t="shared" si="8"/>
        <v/>
      </c>
      <c r="B20" s="38" t="str">
        <f t="shared" si="8"/>
        <v/>
      </c>
      <c r="C20" s="38" t="str">
        <f t="shared" si="8"/>
        <v/>
      </c>
      <c r="D20" s="38" t="str">
        <f t="shared" si="8"/>
        <v/>
      </c>
      <c r="E20" s="38" t="str">
        <f t="shared" si="8"/>
        <v/>
      </c>
      <c r="F20" s="38" t="str">
        <f t="shared" si="8"/>
        <v/>
      </c>
      <c r="G20" s="562">
        <v>14</v>
      </c>
      <c r="H20" s="46">
        <v>12</v>
      </c>
      <c r="I20" s="37" t="str">
        <f t="shared" si="7"/>
        <v>Installation sportive</v>
      </c>
      <c r="J20" s="38">
        <f t="shared" si="5"/>
        <v>57.6</v>
      </c>
      <c r="K20" s="38">
        <f t="shared" si="6"/>
        <v>50.4</v>
      </c>
      <c r="L20" s="38">
        <v>0</v>
      </c>
      <c r="M20" s="38">
        <v>20</v>
      </c>
      <c r="N20" s="38">
        <v>3</v>
      </c>
      <c r="O20" s="52">
        <v>0.7</v>
      </c>
      <c r="P20" s="970">
        <v>75</v>
      </c>
      <c r="Q20" s="970">
        <v>100</v>
      </c>
      <c r="R20" s="45" t="b">
        <v>0</v>
      </c>
      <c r="S20" s="45" t="b">
        <v>0</v>
      </c>
      <c r="T20" s="629">
        <v>12</v>
      </c>
      <c r="U20" s="45">
        <v>0</v>
      </c>
      <c r="V20" s="813">
        <v>0</v>
      </c>
      <c r="W20" s="156"/>
      <c r="AE20" s="1316" t="s">
        <v>656</v>
      </c>
      <c r="AF20" s="328">
        <f>Kategorie4</f>
        <v>1</v>
      </c>
      <c r="AN20" s="251"/>
      <c r="BB20" s="120">
        <v>17</v>
      </c>
      <c r="BC20" s="523" t="str">
        <f t="shared" si="1"/>
        <v>St-Gall</v>
      </c>
      <c r="BD20" s="168" t="b">
        <v>1</v>
      </c>
      <c r="BE20" s="120">
        <v>17</v>
      </c>
    </row>
    <row r="21" spans="1:75" ht="15.75">
      <c r="A21" s="520" t="str">
        <f t="shared" si="8"/>
        <v/>
      </c>
      <c r="B21" s="38" t="str">
        <f t="shared" si="8"/>
        <v/>
      </c>
      <c r="C21" s="38" t="str">
        <f t="shared" si="8"/>
        <v/>
      </c>
      <c r="D21" s="38" t="str">
        <f t="shared" si="8"/>
        <v/>
      </c>
      <c r="E21" s="38" t="str">
        <f t="shared" si="8"/>
        <v/>
      </c>
      <c r="F21" s="38" t="str">
        <f t="shared" si="8"/>
        <v/>
      </c>
      <c r="G21" s="562">
        <v>15</v>
      </c>
      <c r="H21" s="46">
        <v>13</v>
      </c>
      <c r="I21" s="47" t="str">
        <f t="shared" si="7"/>
        <v>Piscine couverte</v>
      </c>
      <c r="J21" s="48">
        <f t="shared" si="5"/>
        <v>54</v>
      </c>
      <c r="K21" s="48">
        <f t="shared" si="6"/>
        <v>64.8</v>
      </c>
      <c r="L21" s="48">
        <v>0</v>
      </c>
      <c r="M21" s="48">
        <v>20</v>
      </c>
      <c r="N21" s="48">
        <v>3</v>
      </c>
      <c r="O21" s="68">
        <v>0.7</v>
      </c>
      <c r="P21" s="49">
        <v>0</v>
      </c>
      <c r="Q21" s="809">
        <v>0</v>
      </c>
      <c r="R21" s="49" t="b">
        <v>0</v>
      </c>
      <c r="S21" s="49" t="b">
        <v>0</v>
      </c>
      <c r="T21" s="846">
        <v>13</v>
      </c>
      <c r="U21" s="49">
        <v>0</v>
      </c>
      <c r="V21" s="814">
        <v>0</v>
      </c>
      <c r="W21" s="156"/>
      <c r="AE21" s="251" t="s">
        <v>348</v>
      </c>
      <c r="AV21" s="3054"/>
      <c r="AW21" s="3054"/>
      <c r="AY21" s="2"/>
      <c r="BB21" s="120">
        <v>18</v>
      </c>
      <c r="BC21" s="523" t="str">
        <f t="shared" si="1"/>
        <v>Schaffhouse</v>
      </c>
      <c r="BD21" s="168" t="b">
        <v>1</v>
      </c>
      <c r="BE21" s="120">
        <v>18</v>
      </c>
    </row>
    <row r="22" spans="1:75">
      <c r="A22" s="520" t="str">
        <f t="shared" si="8"/>
        <v/>
      </c>
      <c r="B22" s="38" t="str">
        <f t="shared" si="8"/>
        <v/>
      </c>
      <c r="C22" s="38" t="str">
        <f t="shared" si="8"/>
        <v/>
      </c>
      <c r="D22" s="38" t="str">
        <f t="shared" si="8"/>
        <v/>
      </c>
      <c r="E22" s="38" t="str">
        <f t="shared" si="8"/>
        <v/>
      </c>
      <c r="F22" s="38" t="str">
        <f t="shared" si="8"/>
        <v/>
      </c>
      <c r="G22" s="562">
        <v>16</v>
      </c>
      <c r="R22" s="107" t="s">
        <v>215</v>
      </c>
      <c r="S22" s="156" t="b">
        <f>OR(Kategorie1=10,Kategorie2=10,Kategorie3=10,Kategorie4=10,Kategorie1=11,Kategorie2=11,Kategorie3=11,Kategorie4=11)</f>
        <v>0</v>
      </c>
      <c r="U22" s="825" t="s">
        <v>332</v>
      </c>
      <c r="V22" s="826" t="s">
        <v>333</v>
      </c>
      <c r="W22" s="826" t="s">
        <v>1</v>
      </c>
      <c r="X22" s="827" t="s">
        <v>340</v>
      </c>
      <c r="AE22" s="634" t="s">
        <v>517</v>
      </c>
      <c r="AG22" s="64"/>
      <c r="AH22" s="177" t="s">
        <v>698</v>
      </c>
      <c r="AI22" s="28" t="s">
        <v>709</v>
      </c>
      <c r="AJ22" s="63"/>
      <c r="AK22" s="63"/>
      <c r="AL22" s="64"/>
      <c r="BB22" s="120">
        <v>19</v>
      </c>
      <c r="BC22" s="523" t="str">
        <f t="shared" si="1"/>
        <v>Soleure</v>
      </c>
      <c r="BD22" s="168" t="b">
        <v>1</v>
      </c>
      <c r="BE22" s="120">
        <v>19</v>
      </c>
    </row>
    <row r="23" spans="1:75">
      <c r="A23" s="520" t="str">
        <f t="shared" si="8"/>
        <v/>
      </c>
      <c r="B23" s="38" t="str">
        <f t="shared" si="8"/>
        <v/>
      </c>
      <c r="C23" s="38" t="str">
        <f t="shared" si="8"/>
        <v/>
      </c>
      <c r="D23" s="38" t="str">
        <f t="shared" si="8"/>
        <v/>
      </c>
      <c r="E23" s="38" t="str">
        <f t="shared" si="8"/>
        <v/>
      </c>
      <c r="F23" s="38" t="str">
        <f t="shared" si="8"/>
        <v/>
      </c>
      <c r="G23" s="562">
        <v>17</v>
      </c>
      <c r="I23" s="28" t="s">
        <v>153</v>
      </c>
      <c r="J23" s="75"/>
      <c r="K23" s="164" t="s">
        <v>717</v>
      </c>
      <c r="L23" s="63" t="s">
        <v>718</v>
      </c>
      <c r="M23" s="165"/>
      <c r="N23" s="237">
        <f>IF(Kategorie1&gt;0,INDEX($O$9:$O$21,Kategorie1,1),)</f>
        <v>0</v>
      </c>
      <c r="O23" s="164" t="s">
        <v>207</v>
      </c>
      <c r="P23" s="63" t="s">
        <v>718</v>
      </c>
      <c r="Q23" s="75"/>
      <c r="R23" s="237">
        <f>IF(Kategorie2&gt;0,INDEX($O$9:$O$21,Kategorie2,1),)</f>
        <v>0</v>
      </c>
      <c r="U23" s="3041" t="s">
        <v>3619</v>
      </c>
      <c r="V23" s="3043"/>
      <c r="W23" s="3043"/>
      <c r="X23" s="3042"/>
      <c r="AE23" s="88" t="str">
        <f>""</f>
        <v/>
      </c>
      <c r="AF23" s="562">
        <v>1</v>
      </c>
      <c r="AG23" s="485">
        <f>IF(Entrées!$F$22="",1,VLOOKUP(Entrées!$F$22,$AE$23:$AF$29,2,FALSE))</f>
        <v>1</v>
      </c>
      <c r="AH23" s="631" t="s">
        <v>555</v>
      </c>
      <c r="AI23" s="36" t="str">
        <f>Q40</f>
        <v xml:space="preserve"> </v>
      </c>
      <c r="AJ23" s="35"/>
      <c r="AK23" s="35"/>
      <c r="AL23" s="115"/>
      <c r="AM23" s="27">
        <v>1</v>
      </c>
      <c r="BB23" s="120">
        <v>20</v>
      </c>
      <c r="BC23" s="523" t="str">
        <f t="shared" si="1"/>
        <v>Schwytz</v>
      </c>
      <c r="BD23" s="168" t="b">
        <v>1</v>
      </c>
      <c r="BE23" s="120">
        <v>20</v>
      </c>
    </row>
    <row r="24" spans="1:75">
      <c r="A24" s="520" t="str">
        <f t="shared" ref="A24:F33" si="9">IF(Kanton=29,A71,"")</f>
        <v/>
      </c>
      <c r="B24" s="38" t="str">
        <f t="shared" si="9"/>
        <v/>
      </c>
      <c r="C24" s="38" t="str">
        <f t="shared" si="9"/>
        <v/>
      </c>
      <c r="D24" s="38" t="str">
        <f t="shared" si="9"/>
        <v/>
      </c>
      <c r="E24" s="38" t="str">
        <f t="shared" si="9"/>
        <v/>
      </c>
      <c r="F24" s="38" t="str">
        <f t="shared" si="9"/>
        <v/>
      </c>
      <c r="G24" s="562">
        <v>18</v>
      </c>
      <c r="I24" s="112">
        <v>1</v>
      </c>
      <c r="J24" s="255"/>
      <c r="K24" s="260" t="s">
        <v>633</v>
      </c>
      <c r="L24" s="484">
        <f>IF(N24=0,1,N24)</f>
        <v>1</v>
      </c>
      <c r="M24" s="261"/>
      <c r="N24" s="482">
        <f>IF(Entrées!F16="",1,VLOOKUP(Entrées!F16,Standardwerte!I9:T21,12,FALSE))</f>
        <v>1</v>
      </c>
      <c r="O24" s="260" t="s">
        <v>633</v>
      </c>
      <c r="P24" s="484">
        <f>IF(R24=0,1,R24)</f>
        <v>1</v>
      </c>
      <c r="Q24" s="261" t="str">
        <f>M4</f>
        <v/>
      </c>
      <c r="R24" s="483">
        <f>IF(Entrées!G16="",1,VLOOKUP(Entrées!G16,Standardwerte!I9:T21,12,FALSE))</f>
        <v>1</v>
      </c>
      <c r="T24" s="243" t="str">
        <f>""</f>
        <v/>
      </c>
      <c r="U24" s="1661"/>
      <c r="V24" s="842"/>
      <c r="W24" s="842"/>
      <c r="X24" s="1445"/>
      <c r="AE24" s="120" t="s">
        <v>518</v>
      </c>
      <c r="AF24" s="562">
        <v>2</v>
      </c>
      <c r="AG24" s="486">
        <f>IF(Entrées!G22="",1,VLOOKUP(Entrées!G22,$AE$23:$AF$29,2,FALSE))</f>
        <v>1</v>
      </c>
      <c r="AH24" s="632" t="s">
        <v>556</v>
      </c>
      <c r="AI24" s="43" t="str">
        <f>Q41</f>
        <v>oui</v>
      </c>
      <c r="AJ24" s="42"/>
      <c r="AK24" s="42"/>
      <c r="AL24" s="53"/>
      <c r="AM24" s="27">
        <v>2</v>
      </c>
      <c r="BB24" s="120">
        <v>21</v>
      </c>
      <c r="BC24" s="523" t="str">
        <f t="shared" si="1"/>
        <v>Thurgovie</v>
      </c>
      <c r="BD24" s="168" t="b">
        <v>1</v>
      </c>
      <c r="BE24" s="120">
        <v>21</v>
      </c>
    </row>
    <row r="25" spans="1:75" ht="14.25" customHeight="1">
      <c r="A25" s="520" t="str">
        <f t="shared" si="9"/>
        <v/>
      </c>
      <c r="B25" s="38" t="str">
        <f t="shared" si="9"/>
        <v/>
      </c>
      <c r="C25" s="38" t="str">
        <f t="shared" si="9"/>
        <v/>
      </c>
      <c r="D25" s="38" t="str">
        <f t="shared" si="9"/>
        <v/>
      </c>
      <c r="E25" s="38" t="str">
        <f t="shared" si="9"/>
        <v/>
      </c>
      <c r="F25" s="38" t="str">
        <f t="shared" si="9"/>
        <v/>
      </c>
      <c r="G25" s="562">
        <v>19</v>
      </c>
      <c r="I25" s="56">
        <v>2</v>
      </c>
      <c r="J25" s="84" t="str">
        <f>AA49</f>
        <v>non</v>
      </c>
      <c r="K25" s="252" t="s">
        <v>478</v>
      </c>
      <c r="L25" s="259" t="str">
        <f>INDEX($O$35:$O$46,Lüftung1,1)</f>
        <v/>
      </c>
      <c r="M25" s="836" t="s">
        <v>819</v>
      </c>
      <c r="N25" s="845">
        <f>IF(Entrées!F35="",1,VLOOKUP(Entrées!F35,$AB$48:$AC$49,2,FALSE))</f>
        <v>1</v>
      </c>
      <c r="O25" s="252" t="s">
        <v>478</v>
      </c>
      <c r="P25" s="259" t="str">
        <f>INDEX($O$35:$O$46,Lüftung2,1)</f>
        <v/>
      </c>
      <c r="Q25" s="836" t="s">
        <v>819</v>
      </c>
      <c r="R25" s="845">
        <f>IF(Entrées!G35="",1,VLOOKUP(Entrées!G35,$AB$48:$AC$49,2,FALSE))</f>
        <v>1</v>
      </c>
      <c r="T25" s="836" t="str">
        <f>O36</f>
        <v>Pas de ventilation</v>
      </c>
      <c r="U25" s="837">
        <v>0</v>
      </c>
      <c r="V25" s="840">
        <v>0</v>
      </c>
      <c r="W25" s="840">
        <v>0</v>
      </c>
      <c r="X25" s="843">
        <v>0</v>
      </c>
      <c r="AE25" s="120" t="s">
        <v>519</v>
      </c>
      <c r="AF25" s="562">
        <v>3</v>
      </c>
      <c r="AG25" s="486">
        <f>IF(Entrées!$H$22="",1,VLOOKUP(Entrées!$H$22,$AE$23:$AF$29,2,FALSE))</f>
        <v>1</v>
      </c>
      <c r="AH25" s="632" t="s">
        <v>234</v>
      </c>
      <c r="AI25" s="43" t="str">
        <f>Q42</f>
        <v>non</v>
      </c>
      <c r="AJ25" s="42"/>
      <c r="AK25" s="42"/>
      <c r="AL25" s="53"/>
      <c r="AM25" s="27">
        <v>3</v>
      </c>
      <c r="BB25" s="120">
        <v>22</v>
      </c>
      <c r="BC25" s="523" t="str">
        <f t="shared" si="1"/>
        <v>Tessin</v>
      </c>
      <c r="BD25" s="168" t="b">
        <v>1</v>
      </c>
      <c r="BE25" s="120">
        <v>22</v>
      </c>
      <c r="BM25" s="251"/>
    </row>
    <row r="26" spans="1:75">
      <c r="A26" s="520" t="str">
        <f t="shared" si="9"/>
        <v/>
      </c>
      <c r="B26" s="38" t="str">
        <f t="shared" si="9"/>
        <v/>
      </c>
      <c r="C26" s="38" t="str">
        <f t="shared" si="9"/>
        <v/>
      </c>
      <c r="D26" s="38" t="str">
        <f t="shared" si="9"/>
        <v/>
      </c>
      <c r="E26" s="38" t="str">
        <f t="shared" si="9"/>
        <v/>
      </c>
      <c r="F26" s="38" t="str">
        <f t="shared" si="9"/>
        <v/>
      </c>
      <c r="G26" s="562">
        <v>20</v>
      </c>
      <c r="I26" s="110">
        <v>3</v>
      </c>
      <c r="J26" s="134" t="str">
        <f>AA48</f>
        <v>oui</v>
      </c>
      <c r="K26" s="253" t="s">
        <v>363</v>
      </c>
      <c r="L26" s="254" t="b">
        <f>IF(_WW1=3,INDEX($R$9:$R$21,Kategorie1,1),FALSE)</f>
        <v>0</v>
      </c>
      <c r="M26" s="275" t="s">
        <v>468</v>
      </c>
      <c r="N26" s="262" t="b">
        <f>IF(Kategorie1&gt;0,INDEX($S$9:$S$21,Kategorie1,1),TRUE)</f>
        <v>1</v>
      </c>
      <c r="O26" s="253" t="s">
        <v>363</v>
      </c>
      <c r="P26" s="254" t="b">
        <f>IF(Zonen&gt;1,IF(_WW2=3,INDEX($R$9:$R$21,Kategorie2,1),FALSE),FALSE)</f>
        <v>0</v>
      </c>
      <c r="Q26" s="262" t="s">
        <v>468</v>
      </c>
      <c r="R26" s="274" t="b">
        <f>IF(Kategorie2&gt;0,INDEX($S$9:$S$21,Kategorie2,1),TRUE)</f>
        <v>1</v>
      </c>
      <c r="T26" s="836" t="str">
        <f t="shared" ref="T26:T34" si="10">O37</f>
        <v>FOU/REP sans RC</v>
      </c>
      <c r="U26" s="838">
        <f>0.24+0.7</f>
        <v>0.94</v>
      </c>
      <c r="V26" s="839">
        <f>0.24+0.7</f>
        <v>0.94</v>
      </c>
      <c r="W26" s="839">
        <f>0.18+0.7</f>
        <v>0.87999999999999989</v>
      </c>
      <c r="X26" s="844">
        <f>0.18+0.7</f>
        <v>0.87999999999999989</v>
      </c>
      <c r="AE26" s="120" t="s">
        <v>349</v>
      </c>
      <c r="AF26" s="562">
        <v>4</v>
      </c>
      <c r="AG26" s="487">
        <f>IF(Entrées!$I$22="",1,VLOOKUP(Entrées!$I$22,$AE$23:$AF$29,2,FALSE))</f>
        <v>1</v>
      </c>
      <c r="AH26" s="633" t="s">
        <v>235</v>
      </c>
      <c r="AI26" s="43"/>
      <c r="AJ26" s="42"/>
      <c r="AK26" s="42"/>
      <c r="AL26" s="53"/>
      <c r="BB26" s="120">
        <v>23</v>
      </c>
      <c r="BC26" s="523" t="str">
        <f t="shared" si="1"/>
        <v>Uri</v>
      </c>
      <c r="BD26" s="168" t="b">
        <v>1</v>
      </c>
      <c r="BE26" s="120">
        <v>23</v>
      </c>
      <c r="BL26" s="308" t="s">
        <v>662</v>
      </c>
      <c r="BM26" s="308"/>
      <c r="BN26" s="308"/>
    </row>
    <row r="27" spans="1:75" ht="15.6" customHeight="1">
      <c r="A27" s="520" t="str">
        <f t="shared" si="9"/>
        <v/>
      </c>
      <c r="B27" s="38" t="str">
        <f t="shared" si="9"/>
        <v/>
      </c>
      <c r="C27" s="38" t="str">
        <f t="shared" si="9"/>
        <v/>
      </c>
      <c r="D27" s="38" t="str">
        <f t="shared" si="9"/>
        <v/>
      </c>
      <c r="E27" s="38" t="str">
        <f t="shared" si="9"/>
        <v/>
      </c>
      <c r="F27" s="38" t="str">
        <f t="shared" si="9"/>
        <v/>
      </c>
      <c r="G27" s="562">
        <v>21</v>
      </c>
      <c r="I27" s="108" t="s">
        <v>52</v>
      </c>
      <c r="J27" s="635">
        <f>IF(Entrées!$F$30="",1,VLOOKUP(Entrées!$F$30,AG39:AO41,9,FALSE))</f>
        <v>1</v>
      </c>
      <c r="K27" s="164" t="s">
        <v>208</v>
      </c>
      <c r="L27" s="63" t="s">
        <v>718</v>
      </c>
      <c r="M27" s="162"/>
      <c r="N27" s="237">
        <f>IF(Kategorie3&gt;0,INDEX($O$9:$O$21,Kategorie3,1),)</f>
        <v>0</v>
      </c>
      <c r="O27" s="256" t="s">
        <v>209</v>
      </c>
      <c r="P27" s="160" t="s">
        <v>718</v>
      </c>
      <c r="Q27" s="257"/>
      <c r="R27" s="258">
        <f>IF(Kategorie4&gt;0,INDEX($O$9:$O$21,Kategorie4,1),)</f>
        <v>0</v>
      </c>
      <c r="T27" s="836" t="str">
        <f t="shared" si="10"/>
        <v>Double flux</v>
      </c>
      <c r="U27" s="838">
        <f>0.24+0.7</f>
        <v>0.94</v>
      </c>
      <c r="V27" s="839">
        <f>0.24+0.7</f>
        <v>0.94</v>
      </c>
      <c r="W27" s="839">
        <f>0.18+0.7</f>
        <v>0.87999999999999989</v>
      </c>
      <c r="X27" s="844">
        <f>0.18+0.7</f>
        <v>0.87999999999999989</v>
      </c>
      <c r="AE27" s="120" t="s">
        <v>515</v>
      </c>
      <c r="AF27" s="562">
        <v>5</v>
      </c>
      <c r="AI27" s="43"/>
      <c r="AJ27" s="42"/>
      <c r="AK27" s="42"/>
      <c r="AL27" s="53"/>
      <c r="BB27" s="120">
        <v>24</v>
      </c>
      <c r="BC27" s="523" t="str">
        <f t="shared" si="1"/>
        <v>Vaud</v>
      </c>
      <c r="BD27" s="168" t="b">
        <v>1</v>
      </c>
      <c r="BE27" s="120">
        <v>24</v>
      </c>
      <c r="BW27" s="250" t="s">
        <v>368</v>
      </c>
    </row>
    <row r="28" spans="1:75">
      <c r="A28" s="520" t="str">
        <f t="shared" si="9"/>
        <v/>
      </c>
      <c r="B28" s="38" t="str">
        <f t="shared" si="9"/>
        <v/>
      </c>
      <c r="C28" s="38" t="str">
        <f t="shared" si="9"/>
        <v/>
      </c>
      <c r="D28" s="38" t="str">
        <f t="shared" si="9"/>
        <v/>
      </c>
      <c r="E28" s="38" t="str">
        <f t="shared" si="9"/>
        <v/>
      </c>
      <c r="F28" s="38" t="str">
        <f t="shared" si="9"/>
        <v/>
      </c>
      <c r="G28" s="562">
        <v>22</v>
      </c>
      <c r="I28" s="108" t="s">
        <v>443</v>
      </c>
      <c r="J28" s="635">
        <f>IF(Zonen&gt;1,IF(Entrées!$G$30="",1,VLOOKUP(Entrées!$G$30,AI39:AO41,7,FALSE)),1)</f>
        <v>1</v>
      </c>
      <c r="K28" s="260" t="s">
        <v>633</v>
      </c>
      <c r="L28" s="484">
        <f>IF(N28=0,1,N28)</f>
        <v>1</v>
      </c>
      <c r="M28" s="261" t="str">
        <f>O4</f>
        <v/>
      </c>
      <c r="N28" s="482">
        <f>IF(Entrées!H16="",1,VLOOKUP(Entrées!H16,Standardwerte!I9:T21,12,FALSE))</f>
        <v>1</v>
      </c>
      <c r="O28" s="260" t="s">
        <v>633</v>
      </c>
      <c r="P28" s="484">
        <f>IF(R28=0,1,R28)</f>
        <v>1</v>
      </c>
      <c r="Q28" s="261" t="str">
        <f>Q4</f>
        <v/>
      </c>
      <c r="R28" s="483">
        <f>IF(Entrées!I16="",1,VLOOKUP(Entrées!I16,Standardwerte!I9:T21,12,FALSE))</f>
        <v>1</v>
      </c>
      <c r="T28" s="836" t="str">
        <f t="shared" si="10"/>
        <v>FOU/REP+PAC</v>
      </c>
      <c r="U28" s="838">
        <f>0.24+0.9</f>
        <v>1.1400000000000001</v>
      </c>
      <c r="V28" s="839">
        <f>0.24+0.9</f>
        <v>1.1400000000000001</v>
      </c>
      <c r="W28" s="839">
        <f>0.18+0.8</f>
        <v>0.98</v>
      </c>
      <c r="X28" s="844">
        <f>0.18+0.7</f>
        <v>0.87999999999999989</v>
      </c>
      <c r="AE28" s="120" t="s">
        <v>350</v>
      </c>
      <c r="AF28" s="562">
        <v>6</v>
      </c>
      <c r="AI28" s="43"/>
      <c r="AJ28" s="42"/>
      <c r="AK28" s="42"/>
      <c r="AL28" s="53"/>
      <c r="BB28" s="120">
        <v>25</v>
      </c>
      <c r="BC28" s="523" t="str">
        <f t="shared" si="1"/>
        <v>Valais</v>
      </c>
      <c r="BD28" s="168" t="b">
        <v>1</v>
      </c>
      <c r="BE28" s="120">
        <v>25</v>
      </c>
      <c r="BI28" s="3048" t="s">
        <v>180</v>
      </c>
      <c r="BJ28" s="3049"/>
      <c r="BK28" s="528">
        <f>BN28</f>
        <v>1</v>
      </c>
      <c r="BL28" s="127" t="s">
        <v>661</v>
      </c>
      <c r="BM28" s="1196" t="b">
        <f>IF(BN28=3,TRUE,FALSE)</f>
        <v>0</v>
      </c>
      <c r="BN28" s="640">
        <f>AK63</f>
        <v>1</v>
      </c>
      <c r="BV28" s="27" t="s">
        <v>199</v>
      </c>
      <c r="BW28" s="142" t="b">
        <f>OR(abgabe1=6,abgabe2=6,abgabe3=6,abgabe4=6)</f>
        <v>0</v>
      </c>
    </row>
    <row r="29" spans="1:75">
      <c r="A29" s="520" t="str">
        <f t="shared" si="9"/>
        <v/>
      </c>
      <c r="B29" s="38" t="str">
        <f t="shared" si="9"/>
        <v/>
      </c>
      <c r="C29" s="38" t="str">
        <f t="shared" si="9"/>
        <v/>
      </c>
      <c r="D29" s="38" t="str">
        <f t="shared" si="9"/>
        <v/>
      </c>
      <c r="E29" s="38" t="str">
        <f t="shared" si="9"/>
        <v/>
      </c>
      <c r="F29" s="38" t="str">
        <f t="shared" si="9"/>
        <v/>
      </c>
      <c r="G29" s="562">
        <v>23</v>
      </c>
      <c r="I29" s="108" t="s">
        <v>444</v>
      </c>
      <c r="J29" s="635">
        <f>IF(Zonen&gt;2,IF(Entrées!$H$30="",1,VLOOKUP(Entrées!$H$30,AK39:AO41,5,FALSE)),1)</f>
        <v>1</v>
      </c>
      <c r="K29" s="252" t="s">
        <v>478</v>
      </c>
      <c r="L29" s="259" t="str">
        <f>INDEX($O$35:$O$46,Lüftung3,1)</f>
        <v/>
      </c>
      <c r="M29" s="836" t="s">
        <v>819</v>
      </c>
      <c r="N29" s="845">
        <f>IF(Entrées!H35="",1,VLOOKUP(Entrées!H35,$AB$48:$AC$49,2,FALSE))</f>
        <v>1</v>
      </c>
      <c r="O29" s="252" t="s">
        <v>478</v>
      </c>
      <c r="P29" s="259" t="str">
        <f>INDEX($O$35:$O$46,Lüftung4,1)</f>
        <v/>
      </c>
      <c r="Q29" s="836" t="s">
        <v>819</v>
      </c>
      <c r="R29" s="845">
        <f>IF(Entrées!I35="",1,VLOOKUP(Entrées!I35,$AB$48:$AC$49,2,FALSE))</f>
        <v>1</v>
      </c>
      <c r="T29" s="836" t="str">
        <f t="shared" si="10"/>
        <v>REP</v>
      </c>
      <c r="U29" s="838">
        <f>0.18+0.4</f>
        <v>0.58000000000000007</v>
      </c>
      <c r="V29" s="839">
        <f>0.18+0.4</f>
        <v>0.58000000000000007</v>
      </c>
      <c r="W29" s="839">
        <f>0.18+0.4</f>
        <v>0.58000000000000007</v>
      </c>
      <c r="X29" s="844">
        <f>0.18+0.4</f>
        <v>0.58000000000000007</v>
      </c>
      <c r="AE29" s="142" t="s">
        <v>516</v>
      </c>
      <c r="AF29" s="562">
        <v>7</v>
      </c>
      <c r="AI29" s="94"/>
      <c r="AJ29" s="60"/>
      <c r="AK29" s="60"/>
      <c r="AL29" s="116"/>
      <c r="BB29" s="120">
        <v>26</v>
      </c>
      <c r="BC29" s="523" t="str">
        <f t="shared" si="1"/>
        <v>Zoug</v>
      </c>
      <c r="BD29" s="168" t="b">
        <v>1</v>
      </c>
      <c r="BE29" s="120">
        <v>26</v>
      </c>
      <c r="BI29" s="381"/>
      <c r="BJ29" s="42"/>
      <c r="BL29" s="559" t="s">
        <v>183</v>
      </c>
      <c r="BM29" s="35"/>
      <c r="BN29" s="115"/>
      <c r="BV29" s="27" t="s">
        <v>199</v>
      </c>
    </row>
    <row r="30" spans="1:75">
      <c r="A30" s="520" t="str">
        <f t="shared" si="9"/>
        <v/>
      </c>
      <c r="B30" s="38" t="str">
        <f t="shared" si="9"/>
        <v/>
      </c>
      <c r="C30" s="38" t="str">
        <f t="shared" si="9"/>
        <v/>
      </c>
      <c r="D30" s="38" t="str">
        <f t="shared" si="9"/>
        <v/>
      </c>
      <c r="E30" s="38" t="str">
        <f t="shared" si="9"/>
        <v/>
      </c>
      <c r="F30" s="38" t="str">
        <f t="shared" si="9"/>
        <v/>
      </c>
      <c r="G30" s="562">
        <v>24</v>
      </c>
      <c r="I30" s="109" t="s">
        <v>445</v>
      </c>
      <c r="J30" s="636">
        <f>IF(Zonen&gt;3,IF(Entrées!$I$30="",1,VLOOKUP(Entrées!$I$30,AM39:AO41,3,FALSE)),1)</f>
        <v>1</v>
      </c>
      <c r="K30" s="253" t="s">
        <v>363</v>
      </c>
      <c r="L30" s="254" t="b">
        <f>IF(Zonen&gt;2,IF(_WW3=3,INDEX($R$9:$R$21,Kategorie3,1),FALSE),FALSE)</f>
        <v>0</v>
      </c>
      <c r="M30" s="275" t="s">
        <v>468</v>
      </c>
      <c r="N30" s="262" t="b">
        <f>IF(Kategorie3&gt;0,INDEX($S$9:$S$21,Kategorie3,1),TRUE)</f>
        <v>1</v>
      </c>
      <c r="O30" s="253" t="s">
        <v>363</v>
      </c>
      <c r="P30" s="254" t="b">
        <f>IF(Zonen&gt;3,IF(_WW4=3,INDEX($R$9:$R$21,Kategorie4,1),FALSE),FALSE)</f>
        <v>0</v>
      </c>
      <c r="Q30" s="262" t="s">
        <v>468</v>
      </c>
      <c r="R30" s="274" t="b">
        <f>IF(Kategorie4&gt;0,INDEX($S$9:$S$21,Kategorie4,1),TRUE)</f>
        <v>1</v>
      </c>
      <c r="T30" s="836" t="str">
        <f t="shared" si="10"/>
        <v>REP+PAC</v>
      </c>
      <c r="U30" s="838">
        <f>0.18+0.5</f>
        <v>0.67999999999999994</v>
      </c>
      <c r="V30" s="839">
        <f>0.18+0.5</f>
        <v>0.67999999999999994</v>
      </c>
      <c r="W30" s="839">
        <f>0.18+0.5</f>
        <v>0.67999999999999994</v>
      </c>
      <c r="X30" s="844">
        <f>0.18+0.5</f>
        <v>0.67999999999999994</v>
      </c>
      <c r="BB30" s="120">
        <v>27</v>
      </c>
      <c r="BC30" s="523" t="str">
        <f t="shared" si="1"/>
        <v>Zurich</v>
      </c>
      <c r="BD30" s="168" t="b">
        <v>1</v>
      </c>
      <c r="BE30" s="120">
        <v>27</v>
      </c>
      <c r="BI30" s="381"/>
      <c r="BJ30" s="42"/>
      <c r="BL30" s="560" t="s">
        <v>184</v>
      </c>
      <c r="BM30" s="42"/>
      <c r="BN30" s="53"/>
      <c r="BV30" s="27" t="s">
        <v>199</v>
      </c>
    </row>
    <row r="31" spans="1:75" ht="15.75">
      <c r="A31" s="520" t="str">
        <f t="shared" si="9"/>
        <v/>
      </c>
      <c r="B31" s="38" t="str">
        <f t="shared" si="9"/>
        <v/>
      </c>
      <c r="C31" s="38" t="str">
        <f t="shared" si="9"/>
        <v/>
      </c>
      <c r="D31" s="38" t="str">
        <f t="shared" si="9"/>
        <v/>
      </c>
      <c r="E31" s="38" t="str">
        <f t="shared" si="9"/>
        <v/>
      </c>
      <c r="F31" s="38" t="str">
        <f t="shared" si="9"/>
        <v/>
      </c>
      <c r="G31" s="562">
        <v>25</v>
      </c>
      <c r="T31" s="836" t="str">
        <f t="shared" si="10"/>
        <v>Par Local</v>
      </c>
      <c r="U31" s="838">
        <f>0.7</f>
        <v>0.7</v>
      </c>
      <c r="V31" s="839">
        <f>0.7</f>
        <v>0.7</v>
      </c>
      <c r="W31" s="839">
        <f>0.7</f>
        <v>0.7</v>
      </c>
      <c r="X31" s="844">
        <f>0.7</f>
        <v>0.7</v>
      </c>
      <c r="AE31" s="251" t="s">
        <v>680</v>
      </c>
      <c r="BB31" s="120">
        <v>28</v>
      </c>
      <c r="BC31" s="523" t="str">
        <f t="shared" si="1"/>
        <v>Principauté du Liechtenstein</v>
      </c>
      <c r="BD31" s="168" t="b">
        <v>1</v>
      </c>
      <c r="BE31" s="120">
        <v>28</v>
      </c>
      <c r="BI31" s="381"/>
      <c r="BJ31" s="42"/>
      <c r="BL31" s="560" t="s">
        <v>185</v>
      </c>
      <c r="BM31" s="42"/>
      <c r="BN31" s="53"/>
      <c r="BV31" s="27" t="s">
        <v>199</v>
      </c>
    </row>
    <row r="32" spans="1:75" ht="15.75">
      <c r="A32" s="520" t="str">
        <f t="shared" si="9"/>
        <v/>
      </c>
      <c r="B32" s="38" t="str">
        <f t="shared" si="9"/>
        <v/>
      </c>
      <c r="C32" s="38" t="str">
        <f t="shared" si="9"/>
        <v/>
      </c>
      <c r="D32" s="38" t="str">
        <f t="shared" si="9"/>
        <v/>
      </c>
      <c r="E32" s="38" t="str">
        <f t="shared" si="9"/>
        <v/>
      </c>
      <c r="F32" s="38" t="str">
        <f t="shared" si="9"/>
        <v/>
      </c>
      <c r="G32" s="562">
        <v>26</v>
      </c>
      <c r="I32" s="251" t="s">
        <v>536</v>
      </c>
      <c r="L32" s="251" t="s">
        <v>681</v>
      </c>
      <c r="R32" s="156" t="str">
        <f>IF(EBFo2&gt;0,MAX(IF(WRGtyp2&lt;3,INDEX($O$9:$O$21,Kategorie2,1),0),IF(AND(Lüftung2&gt;2,Kategorie2&lt;6),INDEX($U$35:$X$45,Lüftung2,Kategorie2-1)*VSup2/(INDEX($Z$35:$AC$46,Lüftung2,Kategorie2-1))/EBFo2*(1-INDEX($Q$54:$Q$59,WRGtyp2,1))+vo,INDEX($O$9:$O$21,Kategorie2,1))),"")</f>
        <v/>
      </c>
      <c r="T32" s="836" t="str">
        <f t="shared" si="10"/>
        <v>Fen. auto</v>
      </c>
      <c r="U32" s="1818">
        <f>0.012</f>
        <v>1.2E-2</v>
      </c>
      <c r="V32" s="1817">
        <f>0.012</f>
        <v>1.2E-2</v>
      </c>
      <c r="W32" s="1817">
        <f>0.032</f>
        <v>3.2000000000000001E-2</v>
      </c>
      <c r="X32" s="1819">
        <f>0.032</f>
        <v>3.2000000000000001E-2</v>
      </c>
      <c r="AV32" s="251"/>
      <c r="BB32" s="142">
        <v>29</v>
      </c>
      <c r="BC32" s="524" t="str">
        <f t="shared" si="1"/>
        <v>spécial</v>
      </c>
      <c r="BD32" s="167" t="b">
        <v>1</v>
      </c>
      <c r="BE32" s="142">
        <v>29</v>
      </c>
      <c r="BI32" s="382"/>
      <c r="BJ32" s="42"/>
      <c r="BL32" s="312" t="str">
        <f>IF(BN28&gt;0,INDEX(BL29:BL31,BN28,1),BL29)</f>
        <v>Nachweisformular zum MINERGIE-Antrag</v>
      </c>
      <c r="BM32" s="529"/>
      <c r="BN32" s="313"/>
    </row>
    <row r="33" spans="1:74">
      <c r="A33" s="520" t="str">
        <f t="shared" si="9"/>
        <v/>
      </c>
      <c r="B33" s="38" t="str">
        <f t="shared" si="9"/>
        <v/>
      </c>
      <c r="C33" s="38" t="str">
        <f t="shared" si="9"/>
        <v/>
      </c>
      <c r="D33" s="38" t="str">
        <f t="shared" si="9"/>
        <v/>
      </c>
      <c r="E33" s="38" t="str">
        <f t="shared" si="9"/>
        <v/>
      </c>
      <c r="F33" s="38" t="str">
        <f t="shared" si="9"/>
        <v/>
      </c>
      <c r="G33" s="562">
        <v>27</v>
      </c>
      <c r="R33" s="27"/>
      <c r="T33" s="836" t="str">
        <f t="shared" si="10"/>
        <v>Vent. de transfert d’air</v>
      </c>
      <c r="U33" s="838">
        <f>0.24+0.7</f>
        <v>0.94</v>
      </c>
      <c r="V33" s="839">
        <f>0.24+0.7</f>
        <v>0.94</v>
      </c>
      <c r="W33" s="839">
        <f>0.18+0.7</f>
        <v>0.87999999999999989</v>
      </c>
      <c r="X33" s="844">
        <f>0.18+0.7</f>
        <v>0.87999999999999989</v>
      </c>
      <c r="Y33" s="826"/>
      <c r="Z33" s="826" t="s">
        <v>333</v>
      </c>
      <c r="AA33" s="828" t="s">
        <v>332</v>
      </c>
      <c r="AB33" s="828" t="s">
        <v>1</v>
      </c>
      <c r="AC33" s="827" t="s">
        <v>340</v>
      </c>
      <c r="AE33" s="63"/>
      <c r="AF33" s="289" t="s">
        <v>201</v>
      </c>
      <c r="AG33" s="3046" t="s">
        <v>162</v>
      </c>
      <c r="AH33" s="3047"/>
      <c r="AI33" s="3046" t="s">
        <v>163</v>
      </c>
      <c r="AJ33" s="3047"/>
      <c r="AK33" s="3046" t="s">
        <v>164</v>
      </c>
      <c r="AL33" s="3047"/>
      <c r="AM33" s="3046" t="s">
        <v>165</v>
      </c>
      <c r="AN33" s="3047"/>
      <c r="BB33" s="517">
        <f>IF(Entrées!I13="",1,VLOOKUP(Entrées!I13,Standardwerte!BC4:BE32,3,FALSE))</f>
        <v>1</v>
      </c>
      <c r="BC33" s="306">
        <f>IF(Kanton&gt;0,INDEX(BC4:BC32,Kanton,1),"")</f>
        <v>0</v>
      </c>
      <c r="BD33" s="512">
        <f>IF(Kanton&gt;0,INDEX(BD4:BD32,Kanton,1),TRUE)</f>
        <v>0</v>
      </c>
      <c r="BI33" s="42"/>
      <c r="BJ33" s="42"/>
      <c r="BL33" s="127" t="s">
        <v>379</v>
      </c>
      <c r="BM33" s="1196" t="b">
        <f>IF(BN28=4,TRUE,FALSE)</f>
        <v>0</v>
      </c>
      <c r="BN33" s="317"/>
    </row>
    <row r="34" spans="1:74">
      <c r="A34" s="520" t="str">
        <f t="shared" ref="A34:F43" si="11">IF(Kanton=29,A81,"")</f>
        <v/>
      </c>
      <c r="B34" s="38" t="str">
        <f t="shared" si="11"/>
        <v/>
      </c>
      <c r="C34" s="38" t="str">
        <f t="shared" si="11"/>
        <v/>
      </c>
      <c r="D34" s="38" t="str">
        <f t="shared" si="11"/>
        <v/>
      </c>
      <c r="E34" s="38" t="str">
        <f t="shared" si="11"/>
        <v/>
      </c>
      <c r="F34" s="38" t="str">
        <f t="shared" si="11"/>
        <v/>
      </c>
      <c r="G34" s="562">
        <v>28</v>
      </c>
      <c r="I34" s="488" t="s">
        <v>1889</v>
      </c>
      <c r="J34" s="489"/>
      <c r="L34" s="29" t="s">
        <v>361</v>
      </c>
      <c r="M34" s="30"/>
      <c r="N34" s="30"/>
      <c r="O34" s="31"/>
      <c r="P34" s="29" t="s">
        <v>639</v>
      </c>
      <c r="Q34" s="32"/>
      <c r="R34" s="824" t="s">
        <v>814</v>
      </c>
      <c r="S34" s="250" t="s">
        <v>814</v>
      </c>
      <c r="T34" s="836" t="str">
        <f t="shared" si="10"/>
        <v>Vent. de base</v>
      </c>
      <c r="U34" s="838">
        <f>0.24+0.7</f>
        <v>0.94</v>
      </c>
      <c r="V34" s="839">
        <f>0.24+0.7</f>
        <v>0.94</v>
      </c>
      <c r="W34" s="839">
        <f>0.18+0.7</f>
        <v>0.87999999999999989</v>
      </c>
      <c r="X34" s="844">
        <f>0.18+0.7</f>
        <v>0.87999999999999989</v>
      </c>
      <c r="Y34" s="1808"/>
      <c r="Z34" s="1820"/>
      <c r="AA34" s="3043" t="s">
        <v>816</v>
      </c>
      <c r="AB34" s="3043"/>
      <c r="AC34" s="3042"/>
      <c r="AE34" s="290"/>
      <c r="AF34" s="290"/>
      <c r="AG34" s="283"/>
      <c r="AH34" s="291"/>
      <c r="AI34" s="283"/>
      <c r="AJ34" s="291"/>
      <c r="AK34" s="283"/>
      <c r="AL34" s="291"/>
      <c r="AM34" s="283"/>
      <c r="AN34" s="291"/>
      <c r="BB34" s="341"/>
      <c r="BC34" s="342" t="s">
        <v>684</v>
      </c>
      <c r="BD34" s="343" t="s">
        <v>189</v>
      </c>
      <c r="BE34" s="106" t="s">
        <v>378</v>
      </c>
      <c r="BF34" s="106"/>
    </row>
    <row r="35" spans="1:74">
      <c r="A35" s="520" t="str">
        <f t="shared" si="11"/>
        <v/>
      </c>
      <c r="B35" s="38" t="str">
        <f t="shared" si="11"/>
        <v/>
      </c>
      <c r="C35" s="38" t="str">
        <f t="shared" si="11"/>
        <v/>
      </c>
      <c r="D35" s="38" t="str">
        <f t="shared" si="11"/>
        <v/>
      </c>
      <c r="E35" s="38" t="str">
        <f t="shared" si="11"/>
        <v/>
      </c>
      <c r="F35" s="38" t="str">
        <f t="shared" si="11"/>
        <v/>
      </c>
      <c r="G35" s="562">
        <v>29</v>
      </c>
      <c r="I35" s="490" t="s">
        <v>52</v>
      </c>
      <c r="J35" s="491">
        <f>IF(AND(Klima&gt;1,Kategorie1&gt;0),INDEX($AL$71:$AL$83,Kategorie1,1),)</f>
        <v>0</v>
      </c>
      <c r="K35" s="27">
        <v>1</v>
      </c>
      <c r="L35" s="34" t="s">
        <v>47</v>
      </c>
      <c r="M35" s="35"/>
      <c r="N35" s="115"/>
      <c r="O35" s="35" t="str">
        <f>""</f>
        <v/>
      </c>
      <c r="P35" s="36" t="s">
        <v>640</v>
      </c>
      <c r="Q35" s="742">
        <f>IF(Entrées!F$31="",1,VLOOKUP(Entrées!F$31,P68:T78,5,FALSE))</f>
        <v>1</v>
      </c>
      <c r="R35" s="817" t="str">
        <f>IF(AND(Kategorie1&gt;1,Kategorie1&lt;6,Lüftung1&gt;2),MAX(Raum1,ROUNDUP(EBFo1/INDEX($V$9:$V$21,Kategorie1,1),0))*INDEX($Y$35:$AC$45,Lüftung1,Kategorie1),IF(AND(Kategorie1&gt;1,Lüftung1&gt;1),EBFo1*INDEX($O$9:$O$21,Kategorie1,1),""))</f>
        <v/>
      </c>
      <c r="S35" s="1814" t="str">
        <f>IF(EBFo1&gt;0,MAX(IF(WRGtyp1&lt;3,INDEX($O$9:$O$21,Kategorie1,1),0),IF(AND(Lüftung1&gt;2,Kategorie1&lt;6),INDEX($U$35:$X$45,Lüftung1,Kategorie1-1)*VSup1/(INDEX($Z$35:$AC$46,Lüftung1,Kategorie1-1))/EBFo1*(1-(INDEX($Q$54:$Q$59,WRGtyp1,1)-S61))+vo,INDEX($O$9:$O$21,Kategorie1,1))),"")</f>
        <v/>
      </c>
      <c r="T35" s="1721">
        <v>1</v>
      </c>
      <c r="U35" s="1721"/>
      <c r="V35" s="811"/>
      <c r="W35" s="811"/>
      <c r="X35" s="1591"/>
      <c r="Y35" s="1721"/>
      <c r="Z35" s="820"/>
      <c r="AA35" s="820"/>
      <c r="AB35" s="820"/>
      <c r="AC35" s="1591"/>
      <c r="AE35" s="42"/>
      <c r="AF35" s="287" t="s">
        <v>679</v>
      </c>
      <c r="AG35" s="2866" t="b">
        <f>AND(Kategorie1&lt;=5,EBFo1&lt;=INDEX($U$9:$U$21,Kategorie1,1))</f>
        <v>1</v>
      </c>
      <c r="AH35" s="2867"/>
      <c r="AI35" s="2866" t="b">
        <f>AND(Kategorie2&lt;=5,EBFo2&lt;=INDEX($U$9:$U$21,Kategorie2,1))</f>
        <v>1</v>
      </c>
      <c r="AJ35" s="2867"/>
      <c r="AK35" s="2866" t="b">
        <f>AND(Kategorie3&lt;=5,EBFo3&lt;=INDEX($U$9:$U$21,Kategorie3,1))</f>
        <v>1</v>
      </c>
      <c r="AL35" s="2867"/>
      <c r="AM35" s="2866" t="b">
        <f>AND(Kategorie4&lt;=5,EBFo4&lt;=INDEX($U$9:$U$21,Kategorie4,1))</f>
        <v>1</v>
      </c>
      <c r="AN35" s="2867"/>
      <c r="BB35" s="36">
        <v>0</v>
      </c>
      <c r="BC35" s="115" t="s">
        <v>199</v>
      </c>
      <c r="BD35" s="36" t="s">
        <v>199</v>
      </c>
      <c r="BE35" s="36"/>
      <c r="BF35" s="115"/>
    </row>
    <row r="36" spans="1:74">
      <c r="A36" s="520" t="str">
        <f t="shared" si="11"/>
        <v/>
      </c>
      <c r="B36" s="38" t="str">
        <f t="shared" si="11"/>
        <v/>
      </c>
      <c r="C36" s="38" t="str">
        <f t="shared" si="11"/>
        <v/>
      </c>
      <c r="D36" s="38" t="str">
        <f t="shared" si="11"/>
        <v/>
      </c>
      <c r="E36" s="38" t="str">
        <f t="shared" si="11"/>
        <v/>
      </c>
      <c r="F36" s="38" t="str">
        <f t="shared" si="11"/>
        <v/>
      </c>
      <c r="G36" s="562">
        <v>30</v>
      </c>
      <c r="I36" s="490" t="s">
        <v>443</v>
      </c>
      <c r="J36" s="491">
        <f>IF(AND(Klima&gt;1,Kategorie2&gt;0),INDEX($AL$71:$AL$83,Kategorie2,1),)</f>
        <v>0</v>
      </c>
      <c r="K36" s="27">
        <v>2</v>
      </c>
      <c r="L36" s="560" t="s">
        <v>808</v>
      </c>
      <c r="M36" s="42"/>
      <c r="N36" s="53"/>
      <c r="O36" s="810" t="str">
        <f>Uebersetzung!D94</f>
        <v>Pas de ventilation</v>
      </c>
      <c r="P36" s="43" t="s">
        <v>335</v>
      </c>
      <c r="Q36" s="742">
        <f>IF(Entrées!G$31="",1,VLOOKUP(Entrées!G$31,Q68:T78,4,FALSE))</f>
        <v>1</v>
      </c>
      <c r="R36" s="817" t="str">
        <f>IF(AND(Kategorie2&gt;1,Kategorie2&lt;6,Lüftung2&gt;2),MAX(Raum2,ROUNDUP(EBFo2/INDEX($V$9:$V$21,Kategorie2,1),0))*INDEX($Y$35:$AC$45,Lüftung2,Kategorie2),IF(AND(Kategorie2&gt;1,Lüftung2&gt;1),EBFo2*INDEX($O$9:$O$21,Kategorie2,1),""))</f>
        <v/>
      </c>
      <c r="S36" s="1815" t="str">
        <f>IF(EBFo2&gt;0,MAX(IF(WRGtyp2&lt;3,INDEX($O$9:$O$21,Kategorie2,1),0),IF(AND(Lüftung2&gt;2,Kategorie2&lt;6),INDEX($U$35:$X$45,Lüftung2,Kategorie2-1)*VSup2/(INDEX($Z$35:$AC$46,Lüftung2,Kategorie2-1))/EBFo2*(1-(INDEX($Q$54:$Q$59,WRGtyp2,1)-S62))+vo,INDEX($O$9:$O$21,Kategorie2,1))),"")</f>
        <v/>
      </c>
      <c r="T36" s="1809">
        <v>2</v>
      </c>
      <c r="U36" s="744"/>
      <c r="V36" s="821"/>
      <c r="W36" s="821"/>
      <c r="X36" s="748"/>
      <c r="Y36" s="1809"/>
      <c r="Z36" s="84"/>
      <c r="AA36" s="84"/>
      <c r="AB36" s="84"/>
      <c r="AC36" s="1810"/>
      <c r="AE36" s="42"/>
      <c r="AF36" s="287" t="s">
        <v>441</v>
      </c>
      <c r="AG36" s="2866" t="b">
        <f>Kategorie1&gt;1</f>
        <v>0</v>
      </c>
      <c r="AH36" s="2867"/>
      <c r="AI36" s="2866" t="b">
        <f>Kategorie2&gt;1</f>
        <v>0</v>
      </c>
      <c r="AJ36" s="2867"/>
      <c r="AK36" s="2866" t="b">
        <f>Kategorie3&gt;1</f>
        <v>0</v>
      </c>
      <c r="AL36" s="2867"/>
      <c r="AM36" s="2866" t="b">
        <f>Kategorie4&gt;1</f>
        <v>0</v>
      </c>
      <c r="AN36" s="2867"/>
      <c r="BB36" s="43">
        <v>1</v>
      </c>
      <c r="BC36" s="53" t="s">
        <v>199</v>
      </c>
      <c r="BD36" s="43" t="s">
        <v>199</v>
      </c>
      <c r="BE36" s="43"/>
      <c r="BF36" s="53"/>
    </row>
    <row r="37" spans="1:74">
      <c r="A37" s="520" t="str">
        <f t="shared" si="11"/>
        <v/>
      </c>
      <c r="B37" s="38" t="str">
        <f t="shared" si="11"/>
        <v/>
      </c>
      <c r="C37" s="38" t="str">
        <f t="shared" si="11"/>
        <v/>
      </c>
      <c r="D37" s="38" t="str">
        <f t="shared" si="11"/>
        <v/>
      </c>
      <c r="E37" s="38" t="str">
        <f t="shared" si="11"/>
        <v/>
      </c>
      <c r="F37" s="38" t="str">
        <f t="shared" si="11"/>
        <v/>
      </c>
      <c r="G37" s="562">
        <v>31</v>
      </c>
      <c r="I37" s="490" t="s">
        <v>444</v>
      </c>
      <c r="J37" s="491">
        <f>IF(AND(Klima&gt;1,Kategorie3&gt;0),INDEX($AL$71:$AL$83,Kategorie3,1),)</f>
        <v>0</v>
      </c>
      <c r="K37" s="27">
        <v>3</v>
      </c>
      <c r="L37" s="560" t="s">
        <v>809</v>
      </c>
      <c r="M37" s="42"/>
      <c r="N37" s="53"/>
      <c r="O37" s="810" t="str">
        <f>Uebersetzung!D95</f>
        <v>FOU/REP sans RC</v>
      </c>
      <c r="P37" s="43" t="s">
        <v>724</v>
      </c>
      <c r="Q37" s="742">
        <f>IF(Entrées!H$31="",1,VLOOKUP(Entrées!H$31,R68:T78,3,FALSE))</f>
        <v>1</v>
      </c>
      <c r="R37" s="817" t="str">
        <f>IF(AND(Kategorie3&gt;1,Kategorie3&lt;6,Lüftung3&gt;2),MAX(Raum3,ROUNDUP(EBFo3/INDEX($V$9:$V$21,Kategorie3,1),0))*INDEX($Y$35:$AC$45,Lüftung3,Kategorie3),IF(AND(Kategorie3&gt;1,Lüftung3&gt;1),EBFo3*INDEX($O$9:$O$21,Kategorie3,1),""))</f>
        <v/>
      </c>
      <c r="S37" s="1815" t="str">
        <f>IF(EBFo3&gt;0,MAX(IF(WRGtyp3&lt;3,INDEX($O$9:$O$21,Kategorie3,1),0),IF(AND(Lüftung3&gt;2,Kategorie3&lt;6),INDEX($U$35:$X$45,Lüftung3,Kategorie3-1)*VSup3/(INDEX($Z$35:$AC$46,Lüftung3,Kategorie3-1))/EBFo3*(1-(INDEX($Q$54:$Q$59,WRGtyp3,1)-S63))+vo,INDEX($O$9:$O$21,Kategorie3,1))),"")</f>
        <v/>
      </c>
      <c r="T37" s="1809">
        <v>3</v>
      </c>
      <c r="U37" s="1822">
        <f>(20*4368+30*3640+45*728)/8760</f>
        <v>26.17808219178082</v>
      </c>
      <c r="V37" s="1823">
        <f>(20*4368+30*3640+45*728)/8760</f>
        <v>26.17808219178082</v>
      </c>
      <c r="W37" s="1823">
        <f>(20*750+30*2000)/8760</f>
        <v>8.5616438356164384</v>
      </c>
      <c r="X37" s="1824">
        <f>(17*1200+25*800)/8760</f>
        <v>4.6118721461187215</v>
      </c>
      <c r="Y37" s="1826"/>
      <c r="Z37" s="1641">
        <v>30</v>
      </c>
      <c r="AA37" s="1641">
        <v>30</v>
      </c>
      <c r="AB37" s="1641">
        <v>30</v>
      </c>
      <c r="AC37" s="1825">
        <v>25</v>
      </c>
      <c r="AE37" s="42"/>
      <c r="AF37" s="287" t="s">
        <v>439</v>
      </c>
      <c r="AG37" s="2866" t="b">
        <f>Kategorie1&lt;=5</f>
        <v>1</v>
      </c>
      <c r="AH37" s="2867"/>
      <c r="AI37" s="2866" t="b">
        <f>Kategorie2&lt;=5</f>
        <v>1</v>
      </c>
      <c r="AJ37" s="2867"/>
      <c r="AK37" s="2866" t="b">
        <f>Kategorie3&lt;=5</f>
        <v>1</v>
      </c>
      <c r="AL37" s="2867"/>
      <c r="AM37" s="2866" t="b">
        <f>Kategorie4&lt;=5</f>
        <v>1</v>
      </c>
      <c r="AN37" s="2867"/>
      <c r="BB37" s="43">
        <v>2</v>
      </c>
      <c r="BC37" s="53" t="str">
        <f>Uebersetzung!D82</f>
        <v>Habitat collectif</v>
      </c>
      <c r="BD37" s="43" t="str">
        <f>BC37</f>
        <v>Habitat collectif</v>
      </c>
      <c r="BE37" s="43" t="str">
        <f>BD37</f>
        <v>Habitat collectif</v>
      </c>
      <c r="BF37" s="53"/>
    </row>
    <row r="38" spans="1:74">
      <c r="A38" s="520" t="str">
        <f t="shared" si="11"/>
        <v/>
      </c>
      <c r="B38" s="38" t="str">
        <f t="shared" si="11"/>
        <v/>
      </c>
      <c r="C38" s="38" t="str">
        <f t="shared" si="11"/>
        <v/>
      </c>
      <c r="D38" s="38" t="str">
        <f t="shared" si="11"/>
        <v/>
      </c>
      <c r="E38" s="38" t="str">
        <f t="shared" si="11"/>
        <v/>
      </c>
      <c r="F38" s="38" t="str">
        <f t="shared" si="11"/>
        <v/>
      </c>
      <c r="G38" s="562">
        <v>32</v>
      </c>
      <c r="I38" s="492" t="s">
        <v>445</v>
      </c>
      <c r="J38" s="493">
        <f>IF(AND(Klima&gt;1,Kategorie4&gt;0),INDEX($AL$71:$AL$83,Kategorie4,1),)</f>
        <v>0</v>
      </c>
      <c r="K38" s="27">
        <v>4</v>
      </c>
      <c r="L38" s="41" t="s">
        <v>359</v>
      </c>
      <c r="M38" s="42"/>
      <c r="N38" s="53"/>
      <c r="O38" s="810" t="str">
        <f>Uebersetzung!D96</f>
        <v>Double flux</v>
      </c>
      <c r="P38" s="43" t="s">
        <v>197</v>
      </c>
      <c r="Q38" s="639">
        <f>IF(Entrées!I$31="",1,VLOOKUP(Entrées!I$31,S68:T78,2,FALSE))</f>
        <v>1</v>
      </c>
      <c r="R38" s="817" t="str">
        <f>IF(AND(Kategorie4&gt;1,Kategorie4&lt;6,Lüftung4&gt;2),MAX(Raum4,ROUNDUP(EBFo4/INDEX($V$9:$V$21,Kategorie4,1),0))*INDEX($Y$35:$AC$45,Lüftung4,Kategorie4),IF(AND(Kategorie4&gt;1,Lüftung4&gt;1),EBFo4*INDEX($O$9:$O$21,Kategorie4,1),""))</f>
        <v/>
      </c>
      <c r="S38" s="1816" t="str">
        <f>IF(EBFo4&gt;0,MAX(IF(WRGtyp4&lt;3,INDEX($O$9:$O$21,Kategorie4,1),0),IF(AND(Lüftung4&gt;2,Kategorie4&lt;6),INDEX($U$35:$X$45,Lüftung4,Kategorie4-1)*VSup4/(INDEX($Z$35:$AC$46,Lüftung4,Kategorie4-1))/EBFo4*(1-(INDEX($Q$54:$Q$59,WRGtyp4,1)-S64))+vo,INDEX($O$9:$O$21,Kategorie4,1))),"")</f>
        <v/>
      </c>
      <c r="T38" s="1809">
        <v>4</v>
      </c>
      <c r="U38" s="1822">
        <f>(20*4368+30*3640+45*728)/8760</f>
        <v>26.17808219178082</v>
      </c>
      <c r="V38" s="1823">
        <f>(20*4368+30*3640+45*728)/8760</f>
        <v>26.17808219178082</v>
      </c>
      <c r="W38" s="1823">
        <f>(20*750+30*2000)/8760</f>
        <v>8.5616438356164384</v>
      </c>
      <c r="X38" s="1824">
        <f>(17*1200+25*800)/8760</f>
        <v>4.6118721461187215</v>
      </c>
      <c r="Y38" s="1826"/>
      <c r="Z38" s="1641">
        <v>30</v>
      </c>
      <c r="AA38" s="1641">
        <v>30</v>
      </c>
      <c r="AB38" s="1641">
        <v>30</v>
      </c>
      <c r="AC38" s="1825">
        <v>25</v>
      </c>
      <c r="AE38" s="60"/>
      <c r="AF38" s="288" t="s">
        <v>442</v>
      </c>
      <c r="AG38" s="3036" t="b">
        <f>AND(AG36,AG35)</f>
        <v>0</v>
      </c>
      <c r="AH38" s="3037"/>
      <c r="AI38" s="2866" t="b">
        <f>AND(AI36,AI35,Zonen&gt;1)</f>
        <v>0</v>
      </c>
      <c r="AJ38" s="2867"/>
      <c r="AK38" s="2866" t="b">
        <f>AND(AK36,AK35,Zonen&gt;2)</f>
        <v>0</v>
      </c>
      <c r="AL38" s="2867"/>
      <c r="AM38" s="2866" t="b">
        <f>AND(AM36,AM35,Zonen&gt;3)</f>
        <v>0</v>
      </c>
      <c r="AN38" s="2867"/>
      <c r="BB38" s="43">
        <v>3</v>
      </c>
      <c r="BC38" s="53" t="str">
        <f>Uebersetzung!D83</f>
        <v>Habitat individuel</v>
      </c>
      <c r="BD38" s="43" t="str">
        <f>BC38</f>
        <v>Habitat individuel</v>
      </c>
      <c r="BE38" s="43" t="str">
        <f>BD38</f>
        <v>Habitat individuel</v>
      </c>
      <c r="BF38" s="53"/>
    </row>
    <row r="39" spans="1:74">
      <c r="A39" s="520" t="str">
        <f t="shared" si="11"/>
        <v/>
      </c>
      <c r="B39" s="38" t="str">
        <f t="shared" si="11"/>
        <v/>
      </c>
      <c r="C39" s="38" t="str">
        <f t="shared" si="11"/>
        <v/>
      </c>
      <c r="D39" s="38" t="str">
        <f t="shared" si="11"/>
        <v/>
      </c>
      <c r="E39" s="38" t="str">
        <f t="shared" si="11"/>
        <v/>
      </c>
      <c r="F39" s="38" t="str">
        <f t="shared" si="11"/>
        <v/>
      </c>
      <c r="G39" s="562">
        <v>33</v>
      </c>
      <c r="I39" s="494"/>
      <c r="J39" s="495"/>
      <c r="K39" s="27">
        <v>5</v>
      </c>
      <c r="L39" s="41" t="s">
        <v>196</v>
      </c>
      <c r="M39" s="42"/>
      <c r="N39" s="53"/>
      <c r="O39" s="810" t="str">
        <f>Uebersetzung!D97</f>
        <v>FOU/REP+PAC</v>
      </c>
      <c r="P39" s="28" t="s">
        <v>119</v>
      </c>
      <c r="Q39" s="812">
        <f>IF(AND(Zonen=4,Neubau4=2,Neubau3=2,Neubau2=2,Neubau1=2),2,IF(AND(Zonen=3,Neubau3=2,Neubau2=2,Neubau1=2),2,IF(AND(Zonen=2,Neubau2=2,Neubau1=2),2,IF(AND(Zonen=1,Neubau1=2),2,R39))))</f>
        <v>1</v>
      </c>
      <c r="R39" s="473">
        <f>IF(AND(Zonen=4,Neubau4=3,Neubau3=3,Neubau2=3,Neubau1=3),3,IF(AND(Zonen=3,Neubau3=3,Neubau2=3,Neubau1=3),3,IF(AND(Zonen=2,Neubau2=3,Neubau1=3),3,IF(AND(Zonen=1,Neubau1=3),3,1))))</f>
        <v>1</v>
      </c>
      <c r="S39" s="27"/>
      <c r="T39" s="1809">
        <v>5</v>
      </c>
      <c r="U39" s="1822">
        <f t="shared" ref="U39:V41" si="12">(27*4368+40*3640+60*728)/8760</f>
        <v>35.070319634703196</v>
      </c>
      <c r="V39" s="1823">
        <f t="shared" si="12"/>
        <v>35.070319634703196</v>
      </c>
      <c r="W39" s="1823">
        <f>(27*750+40*2000)/8760</f>
        <v>11.44406392694064</v>
      </c>
      <c r="X39" s="1824">
        <f>(22*1200+33*800)/8760</f>
        <v>6.0273972602739727</v>
      </c>
      <c r="Y39" s="1826"/>
      <c r="Z39" s="1641">
        <v>40</v>
      </c>
      <c r="AA39" s="1641">
        <v>40</v>
      </c>
      <c r="AB39" s="1641">
        <v>40</v>
      </c>
      <c r="AC39" s="1825">
        <v>33</v>
      </c>
      <c r="AE39" s="177"/>
      <c r="AF39" s="457" t="s">
        <v>440</v>
      </c>
      <c r="AG39" s="961"/>
      <c r="AH39" s="960"/>
      <c r="AI39" s="961"/>
      <c r="AJ39" s="959"/>
      <c r="AK39" s="961"/>
      <c r="AL39" s="959"/>
      <c r="AM39" s="961"/>
      <c r="AN39" s="959"/>
      <c r="AO39" s="27">
        <v>1</v>
      </c>
      <c r="BB39" s="43">
        <v>4</v>
      </c>
      <c r="BC39" s="53" t="str">
        <f>Uebersetzung!D84</f>
        <v>Administration</v>
      </c>
      <c r="BD39" s="43" t="str">
        <f>BC39</f>
        <v>Administration</v>
      </c>
      <c r="BE39" s="43" t="str">
        <f t="shared" ref="BE39:BE47" si="13">BD39</f>
        <v>Administration</v>
      </c>
      <c r="BF39" s="53"/>
    </row>
    <row r="40" spans="1:74" ht="14.25">
      <c r="A40" s="520" t="str">
        <f t="shared" si="11"/>
        <v/>
      </c>
      <c r="B40" s="38" t="str">
        <f t="shared" si="11"/>
        <v/>
      </c>
      <c r="C40" s="38" t="str">
        <f t="shared" si="11"/>
        <v/>
      </c>
      <c r="D40" s="38" t="str">
        <f t="shared" si="11"/>
        <v/>
      </c>
      <c r="E40" s="38" t="str">
        <f t="shared" si="11"/>
        <v/>
      </c>
      <c r="F40" s="38" t="str">
        <f t="shared" si="11"/>
        <v/>
      </c>
      <c r="G40" s="562">
        <v>34</v>
      </c>
      <c r="I40" s="496" t="s">
        <v>1890</v>
      </c>
      <c r="J40" s="489"/>
      <c r="K40" s="27">
        <v>6</v>
      </c>
      <c r="L40" s="41" t="s">
        <v>462</v>
      </c>
      <c r="M40" s="42"/>
      <c r="N40" s="53"/>
      <c r="O40" s="810" t="str">
        <f>Uebersetzung!D98</f>
        <v>REP</v>
      </c>
      <c r="P40" s="36"/>
      <c r="Q40" s="115" t="s">
        <v>199</v>
      </c>
      <c r="R40" s="113"/>
      <c r="S40" s="27"/>
      <c r="T40" s="1809">
        <v>6</v>
      </c>
      <c r="U40" s="1822">
        <f t="shared" si="12"/>
        <v>35.070319634703196</v>
      </c>
      <c r="V40" s="1823">
        <f t="shared" si="12"/>
        <v>35.070319634703196</v>
      </c>
      <c r="W40" s="1823">
        <f>(27*750+40*2000)/8760</f>
        <v>11.44406392694064</v>
      </c>
      <c r="X40" s="1824">
        <f>(22*1200+33*800)/8760</f>
        <v>6.0273972602739727</v>
      </c>
      <c r="Y40" s="1826"/>
      <c r="Z40" s="1641">
        <v>40</v>
      </c>
      <c r="AA40" s="1641">
        <v>40</v>
      </c>
      <c r="AB40" s="1641">
        <v>40</v>
      </c>
      <c r="AC40" s="1825">
        <v>33</v>
      </c>
      <c r="AE40" s="42"/>
      <c r="AF40" s="858" t="str">
        <f>Uebersetzung!D72</f>
        <v>donnée manquante</v>
      </c>
      <c r="AG40" s="957" t="str">
        <f>AA49</f>
        <v>non</v>
      </c>
      <c r="AH40" s="956"/>
      <c r="AI40" s="957" t="str">
        <f>AA49</f>
        <v>non</v>
      </c>
      <c r="AJ40" s="956"/>
      <c r="AK40" s="957" t="str">
        <f>AA49</f>
        <v>non</v>
      </c>
      <c r="AL40" s="956"/>
      <c r="AM40" s="957" t="str">
        <f>AA49</f>
        <v>non</v>
      </c>
      <c r="AN40" s="956"/>
      <c r="AO40" s="27">
        <v>2</v>
      </c>
      <c r="BB40" s="43">
        <v>5</v>
      </c>
      <c r="BC40" s="53" t="str">
        <f>Uebersetzung!D85</f>
        <v>Ecole</v>
      </c>
      <c r="BD40" s="43" t="str">
        <f>BC40</f>
        <v>Ecole</v>
      </c>
      <c r="BE40" s="43" t="str">
        <f t="shared" si="13"/>
        <v>Ecole</v>
      </c>
      <c r="BF40" s="53"/>
      <c r="BL40" s="28"/>
      <c r="BM40" s="63"/>
      <c r="BN40" s="63"/>
      <c r="BO40" s="309" t="s">
        <v>663</v>
      </c>
      <c r="BP40" s="307" t="s">
        <v>114</v>
      </c>
      <c r="BQ40" s="3052" t="s">
        <v>1692</v>
      </c>
      <c r="BR40" s="3053"/>
      <c r="BS40" s="309" t="s">
        <v>659</v>
      </c>
      <c r="BT40" s="307" t="s">
        <v>660</v>
      </c>
      <c r="BU40" s="307" t="s">
        <v>126</v>
      </c>
      <c r="BV40" s="330" t="s">
        <v>128</v>
      </c>
    </row>
    <row r="41" spans="1:74" ht="14.25">
      <c r="A41" s="520" t="str">
        <f t="shared" si="11"/>
        <v/>
      </c>
      <c r="B41" s="38" t="str">
        <f t="shared" si="11"/>
        <v/>
      </c>
      <c r="C41" s="38" t="str">
        <f t="shared" si="11"/>
        <v/>
      </c>
      <c r="D41" s="38" t="str">
        <f t="shared" si="11"/>
        <v/>
      </c>
      <c r="E41" s="38" t="str">
        <f t="shared" si="11"/>
        <v/>
      </c>
      <c r="F41" s="38" t="str">
        <f t="shared" si="11"/>
        <v/>
      </c>
      <c r="G41" s="562">
        <v>35</v>
      </c>
      <c r="I41" s="490" t="s">
        <v>52</v>
      </c>
      <c r="J41" s="491">
        <f>IF(AND(Klima&gt;1,Kategorie1&gt;0),INDEX($AM$71:$AM$83,Kategorie1,1),)</f>
        <v>0</v>
      </c>
      <c r="K41" s="27">
        <v>7</v>
      </c>
      <c r="L41" s="41" t="s">
        <v>482</v>
      </c>
      <c r="M41" s="42"/>
      <c r="N41" s="53"/>
      <c r="O41" s="810" t="str">
        <f>Uebersetzung!D99</f>
        <v>REP+PAC</v>
      </c>
      <c r="P41" s="56"/>
      <c r="Q41" s="44" t="str">
        <f>AA48</f>
        <v>oui</v>
      </c>
      <c r="R41" s="44" t="str">
        <f>AA48</f>
        <v>oui</v>
      </c>
      <c r="S41" s="27"/>
      <c r="T41" s="1809">
        <v>7</v>
      </c>
      <c r="U41" s="1822">
        <f t="shared" si="12"/>
        <v>35.070319634703196</v>
      </c>
      <c r="V41" s="1823">
        <f t="shared" si="12"/>
        <v>35.070319634703196</v>
      </c>
      <c r="W41" s="1823">
        <f>(27*750+40*2000)/8760</f>
        <v>11.44406392694064</v>
      </c>
      <c r="X41" s="1824">
        <f>(22*1200+33*800)/8760</f>
        <v>6.0273972602739727</v>
      </c>
      <c r="Y41" s="1826"/>
      <c r="Z41" s="1641">
        <v>40</v>
      </c>
      <c r="AA41" s="1641">
        <v>40</v>
      </c>
      <c r="AB41" s="1641">
        <v>40</v>
      </c>
      <c r="AC41" s="1825">
        <v>33</v>
      </c>
      <c r="AE41" s="42"/>
      <c r="AF41" s="858" t="str">
        <f>Uebersetzung!D73</f>
        <v>donnée erronée</v>
      </c>
      <c r="AG41" s="962" t="str">
        <f>IF(Standardwerte!AG38,IF(Standardwerte!AG37,AA48,AA49),AA49)</f>
        <v>non</v>
      </c>
      <c r="AH41" s="958"/>
      <c r="AI41" s="49" t="str">
        <f>IF(Standardwerte!AI38,IF(Standardwerte!AI37,AA48,AA49),AA49)</f>
        <v>non</v>
      </c>
      <c r="AJ41" s="955"/>
      <c r="AK41" s="962" t="str">
        <f>IF(Standardwerte!AK38,IF(Standardwerte!AK37,AA48,AA49),AA49)</f>
        <v>non</v>
      </c>
      <c r="AL41" s="956"/>
      <c r="AM41" s="962" t="str">
        <f>IF(Standardwerte!AM38,IF(Standardwerte!AM37,AA48,AA49),AA49)</f>
        <v>non</v>
      </c>
      <c r="AN41" s="956"/>
      <c r="AO41" s="27">
        <v>3</v>
      </c>
      <c r="BB41" s="43">
        <v>6</v>
      </c>
      <c r="BC41" s="53" t="str">
        <f>Uebersetzung!D86</f>
        <v>Commerce</v>
      </c>
      <c r="BD41" s="43" t="str">
        <f>BC41</f>
        <v>Commerce</v>
      </c>
      <c r="BE41" s="43" t="str">
        <f t="shared" si="13"/>
        <v>Commerce</v>
      </c>
      <c r="BF41" s="53"/>
      <c r="BL41" s="310"/>
      <c r="BM41" s="66"/>
      <c r="BN41" s="66"/>
      <c r="BO41" s="311" t="s">
        <v>664</v>
      </c>
      <c r="BP41" s="316" t="s">
        <v>115</v>
      </c>
      <c r="BQ41" s="316" t="s">
        <v>650</v>
      </c>
      <c r="BR41" s="316" t="s">
        <v>1693</v>
      </c>
      <c r="BS41" s="311" t="s">
        <v>658</v>
      </c>
      <c r="BT41" s="316" t="s">
        <v>125</v>
      </c>
      <c r="BU41" s="316" t="s">
        <v>127</v>
      </c>
      <c r="BV41" s="331" t="s">
        <v>129</v>
      </c>
    </row>
    <row r="42" spans="1:74">
      <c r="A42" s="520" t="str">
        <f t="shared" si="11"/>
        <v/>
      </c>
      <c r="B42" s="38" t="str">
        <f t="shared" si="11"/>
        <v/>
      </c>
      <c r="C42" s="38" t="str">
        <f t="shared" si="11"/>
        <v/>
      </c>
      <c r="D42" s="38" t="str">
        <f t="shared" si="11"/>
        <v/>
      </c>
      <c r="E42" s="38" t="str">
        <f t="shared" si="11"/>
        <v/>
      </c>
      <c r="F42" s="38" t="str">
        <f t="shared" si="11"/>
        <v/>
      </c>
      <c r="G42" s="562">
        <v>36</v>
      </c>
      <c r="I42" s="490" t="s">
        <v>443</v>
      </c>
      <c r="J42" s="491">
        <f>IF(AND(Klima&gt;1,Kategorie2&gt;0),INDEX($AM$71:$AM$83,Kategorie2,1),)</f>
        <v>0</v>
      </c>
      <c r="K42" s="27">
        <v>8</v>
      </c>
      <c r="L42" s="41" t="s">
        <v>198</v>
      </c>
      <c r="M42" s="42"/>
      <c r="N42" s="53"/>
      <c r="O42" s="810" t="str">
        <f>Uebersetzung!D100</f>
        <v>Par Local</v>
      </c>
      <c r="P42" s="110" t="s">
        <v>199</v>
      </c>
      <c r="Q42" s="111" t="str">
        <f>AA49</f>
        <v>non</v>
      </c>
      <c r="R42" s="111" t="str">
        <f>AA49</f>
        <v>non</v>
      </c>
      <c r="S42" s="27"/>
      <c r="T42" s="1809">
        <v>8</v>
      </c>
      <c r="U42" s="1822">
        <f>(20*4368+30*3640+45*728)/8760</f>
        <v>26.17808219178082</v>
      </c>
      <c r="V42" s="1823">
        <f>(20*4368+30*3640+45*728)/8760</f>
        <v>26.17808219178082</v>
      </c>
      <c r="W42" s="1823">
        <f>(20*750+30*2000)/8760</f>
        <v>8.5616438356164384</v>
      </c>
      <c r="X42" s="1824">
        <f>(17*1200+25*800)/8760</f>
        <v>4.6118721461187215</v>
      </c>
      <c r="Y42" s="1826"/>
      <c r="Z42" s="1641">
        <v>30</v>
      </c>
      <c r="AA42" s="1641">
        <v>30</v>
      </c>
      <c r="AB42" s="1641">
        <v>30</v>
      </c>
      <c r="AC42" s="1825">
        <v>25</v>
      </c>
      <c r="AE42" s="42"/>
      <c r="AF42" s="858" t="str">
        <f>Uebersetzung!D308</f>
        <v>Taux de couverture &lt;&gt; 100%</v>
      </c>
      <c r="AG42" s="3035"/>
      <c r="AH42" s="3035"/>
      <c r="AI42" s="3031"/>
      <c r="AJ42" s="3032"/>
      <c r="AK42" s="3031"/>
      <c r="AL42" s="3032"/>
      <c r="AM42" s="3031"/>
      <c r="AN42" s="3032"/>
      <c r="AO42" s="27">
        <v>4</v>
      </c>
      <c r="BB42" s="43">
        <v>7</v>
      </c>
      <c r="BC42" s="53" t="str">
        <f>Uebersetzung!D87</f>
        <v>Restaurant</v>
      </c>
      <c r="BD42" s="43" t="str">
        <f t="shared" ref="BD42:BD48" si="14">BC42</f>
        <v>Restaurant</v>
      </c>
      <c r="BE42" s="43" t="str">
        <f t="shared" si="13"/>
        <v>Restaurant</v>
      </c>
      <c r="BF42" s="53"/>
      <c r="BL42" s="43"/>
      <c r="BM42" s="42" t="s">
        <v>199</v>
      </c>
      <c r="BN42" s="42"/>
      <c r="BO42" s="120" t="b">
        <v>1</v>
      </c>
      <c r="BP42" s="40"/>
      <c r="BQ42" s="40"/>
      <c r="BS42" s="40"/>
      <c r="BT42" s="228"/>
      <c r="BU42" s="40"/>
      <c r="BV42" s="113"/>
    </row>
    <row r="43" spans="1:74">
      <c r="A43" s="520" t="str">
        <f t="shared" si="11"/>
        <v/>
      </c>
      <c r="B43" s="38" t="str">
        <f t="shared" si="11"/>
        <v/>
      </c>
      <c r="C43" s="38" t="str">
        <f t="shared" si="11"/>
        <v/>
      </c>
      <c r="D43" s="38" t="str">
        <f t="shared" si="11"/>
        <v/>
      </c>
      <c r="E43" s="38" t="str">
        <f t="shared" si="11"/>
        <v/>
      </c>
      <c r="F43" s="38" t="str">
        <f t="shared" si="11"/>
        <v/>
      </c>
      <c r="G43" s="562">
        <v>37</v>
      </c>
      <c r="I43" s="490" t="s">
        <v>444</v>
      </c>
      <c r="J43" s="491">
        <f>IF(AND(Klima&gt;1,Kategorie3&gt;0),INDEX($AM$71:$AM$83,Kategorie3,1),)</f>
        <v>0</v>
      </c>
      <c r="K43" s="27">
        <v>9</v>
      </c>
      <c r="L43" s="41" t="s">
        <v>121</v>
      </c>
      <c r="M43" s="42"/>
      <c r="N43" s="53"/>
      <c r="O43" s="810" t="str">
        <f>Uebersetzung!D101</f>
        <v>Fen. auto</v>
      </c>
      <c r="P43" s="57" t="s">
        <v>52</v>
      </c>
      <c r="Q43" s="156">
        <f>IF(R43=0,1,R43)</f>
        <v>1</v>
      </c>
      <c r="R43" s="480">
        <f>IF(Entrées!$F$21="",1,VLOOKUP(Entrées!$F$21,AI23:AM25,5,FALSE))</f>
        <v>1</v>
      </c>
      <c r="S43" s="1680" t="str">
        <f>IF(Neubau1=2,"Neubau",IF(Neubau1=3,"Altbau",""))</f>
        <v/>
      </c>
      <c r="T43" s="1809">
        <v>9</v>
      </c>
      <c r="U43" s="1826">
        <v>40</v>
      </c>
      <c r="V43" s="1641">
        <v>40</v>
      </c>
      <c r="W43" s="1823">
        <f>(27*750+40*2000)/8760</f>
        <v>11.44406392694064</v>
      </c>
      <c r="X43" s="1824">
        <f>(22*1200+33*800)/8760</f>
        <v>6.0273972602739727</v>
      </c>
      <c r="Y43" s="1826"/>
      <c r="Z43" s="1641">
        <v>40</v>
      </c>
      <c r="AA43" s="1641">
        <v>40</v>
      </c>
      <c r="AB43" s="1641">
        <v>40</v>
      </c>
      <c r="AC43" s="1825">
        <v>33</v>
      </c>
      <c r="AE43" s="42"/>
      <c r="AF43" s="53"/>
      <c r="AG43" s="3035"/>
      <c r="AH43" s="3035"/>
      <c r="AI43" s="3031"/>
      <c r="AJ43" s="3032"/>
      <c r="AK43" s="3031"/>
      <c r="AL43" s="3032"/>
      <c r="AM43" s="3031"/>
      <c r="AN43" s="3032"/>
      <c r="AO43" s="27">
        <v>5</v>
      </c>
      <c r="BB43" s="43">
        <v>8</v>
      </c>
      <c r="BC43" s="53" t="str">
        <f>Uebersetzung!D88</f>
        <v>Lieu de rassemblement</v>
      </c>
      <c r="BD43" s="43" t="str">
        <f t="shared" si="14"/>
        <v>Lieu de rassemblement</v>
      </c>
      <c r="BE43" s="43" t="str">
        <f t="shared" si="13"/>
        <v>Lieu de rassemblement</v>
      </c>
      <c r="BF43" s="53"/>
      <c r="BL43" s="277" t="s">
        <v>49</v>
      </c>
      <c r="BM43" s="278" t="s">
        <v>188</v>
      </c>
      <c r="BN43" s="281"/>
      <c r="BO43" s="120" t="b">
        <v>1</v>
      </c>
      <c r="BP43" s="45">
        <v>0.7</v>
      </c>
      <c r="BQ43" s="970">
        <v>75</v>
      </c>
      <c r="BR43" s="970">
        <v>110</v>
      </c>
      <c r="BS43" s="45">
        <v>10</v>
      </c>
      <c r="BT43" s="228">
        <v>1</v>
      </c>
      <c r="BU43" s="45">
        <v>0.6</v>
      </c>
      <c r="BV43" s="44">
        <v>0.7</v>
      </c>
    </row>
    <row r="44" spans="1:74">
      <c r="A44" s="520" t="str">
        <f t="shared" ref="A44:F47" si="15">IF(Kanton=29,A91,"")</f>
        <v/>
      </c>
      <c r="B44" s="38" t="str">
        <f t="shared" si="15"/>
        <v/>
      </c>
      <c r="C44" s="38" t="str">
        <f t="shared" si="15"/>
        <v/>
      </c>
      <c r="D44" s="38" t="str">
        <f t="shared" si="15"/>
        <v/>
      </c>
      <c r="E44" s="38" t="str">
        <f t="shared" si="15"/>
        <v/>
      </c>
      <c r="F44" s="38" t="str">
        <f t="shared" si="15"/>
        <v/>
      </c>
      <c r="G44" s="562">
        <v>38</v>
      </c>
      <c r="I44" s="492" t="s">
        <v>445</v>
      </c>
      <c r="J44" s="493">
        <f>IF(AND(Klima&gt;1,Kategorie4&gt;0),INDEX($AM$71:$AM$83,Kategorie4,1),)</f>
        <v>0</v>
      </c>
      <c r="K44" s="27">
        <v>10</v>
      </c>
      <c r="L44" s="560" t="s">
        <v>3614</v>
      </c>
      <c r="M44" s="42"/>
      <c r="N44" s="53"/>
      <c r="O44" s="42" t="str">
        <f>Uebersetzung!D569</f>
        <v>Vent. de transfert d’air</v>
      </c>
      <c r="P44" s="57" t="s">
        <v>443</v>
      </c>
      <c r="Q44" s="156">
        <f>IF(R44=0,1,R44)</f>
        <v>1</v>
      </c>
      <c r="R44" s="480">
        <f>IF(Entrées!$G$21="",1,VLOOKUP(Entrées!$G$21,AI23:AM25,5,FALSE))</f>
        <v>1</v>
      </c>
      <c r="S44" s="43" t="str">
        <f>IF(Neubau2=2,"Neubau",IF(Neubau2=3,"Altbau",""))</f>
        <v/>
      </c>
      <c r="T44" s="1809">
        <v>10</v>
      </c>
      <c r="U44" s="1822">
        <f>(20*4368+30*3640+45*728)/8760</f>
        <v>26.17808219178082</v>
      </c>
      <c r="V44" s="1823">
        <f>(20*4368+30*3640+45*728)/8760</f>
        <v>26.17808219178082</v>
      </c>
      <c r="W44" s="1823">
        <f>(20*750+30*2000)/8760</f>
        <v>8.5616438356164384</v>
      </c>
      <c r="X44" s="1824">
        <f>(17*1200+25*800)/8760</f>
        <v>4.6118721461187215</v>
      </c>
      <c r="Y44" s="1826"/>
      <c r="Z44" s="1641">
        <v>30</v>
      </c>
      <c r="AA44" s="1641">
        <v>30</v>
      </c>
      <c r="AB44" s="1641">
        <v>30</v>
      </c>
      <c r="AC44" s="1825">
        <v>25</v>
      </c>
      <c r="AE44" s="42"/>
      <c r="AF44" s="53"/>
      <c r="AG44" s="3035"/>
      <c r="AH44" s="3035"/>
      <c r="AI44" s="3031"/>
      <c r="AJ44" s="3032"/>
      <c r="AK44" s="3031"/>
      <c r="AL44" s="3032"/>
      <c r="AM44" s="3031"/>
      <c r="AN44" s="3032"/>
      <c r="AO44" s="27">
        <v>6</v>
      </c>
      <c r="BB44" s="43">
        <v>9</v>
      </c>
      <c r="BC44" s="53" t="str">
        <f>Uebersetzung!D89</f>
        <v>Hôpital</v>
      </c>
      <c r="BD44" s="43" t="str">
        <f t="shared" si="14"/>
        <v>Hôpital</v>
      </c>
      <c r="BE44" s="43" t="str">
        <f t="shared" si="13"/>
        <v>Hôpital</v>
      </c>
      <c r="BF44" s="53"/>
      <c r="BL44" s="277" t="s">
        <v>50</v>
      </c>
      <c r="BM44" s="278" t="s">
        <v>0</v>
      </c>
      <c r="BN44" s="281"/>
      <c r="BO44" s="120" t="b">
        <v>1</v>
      </c>
      <c r="BP44" s="45">
        <v>0.7</v>
      </c>
      <c r="BQ44" s="970">
        <v>70</v>
      </c>
      <c r="BR44" s="970">
        <v>105</v>
      </c>
      <c r="BS44" s="45">
        <v>10</v>
      </c>
      <c r="BT44" s="228">
        <v>1</v>
      </c>
      <c r="BU44" s="45">
        <v>0.6</v>
      </c>
      <c r="BV44" s="44">
        <v>0.7</v>
      </c>
    </row>
    <row r="45" spans="1:74">
      <c r="A45" s="520" t="str">
        <f t="shared" si="15"/>
        <v/>
      </c>
      <c r="B45" s="38" t="str">
        <f t="shared" si="15"/>
        <v/>
      </c>
      <c r="C45" s="38" t="str">
        <f t="shared" si="15"/>
        <v/>
      </c>
      <c r="D45" s="38" t="str">
        <f t="shared" si="15"/>
        <v/>
      </c>
      <c r="E45" s="38" t="str">
        <f t="shared" si="15"/>
        <v/>
      </c>
      <c r="F45" s="38" t="str">
        <f t="shared" si="15"/>
        <v/>
      </c>
      <c r="G45" s="562">
        <v>39</v>
      </c>
      <c r="I45" s="1235" t="s">
        <v>3556</v>
      </c>
      <c r="J45" s="1769">
        <f>IF(_SIA2009,8.5,9.4)</f>
        <v>9.4</v>
      </c>
      <c r="K45" s="27">
        <v>11</v>
      </c>
      <c r="L45" s="560" t="s">
        <v>3615</v>
      </c>
      <c r="M45" s="42"/>
      <c r="N45" s="53"/>
      <c r="O45" s="42" t="str">
        <f>Uebersetzung!D570</f>
        <v>Vent. de base</v>
      </c>
      <c r="P45" s="57" t="s">
        <v>444</v>
      </c>
      <c r="Q45" s="156">
        <f>IF(R45=0,1,R45)</f>
        <v>1</v>
      </c>
      <c r="R45" s="480">
        <f>IF(Entrées!$H$21="",1,VLOOKUP(Entrées!$H$21,AI23:AM25,5,FALSE))</f>
        <v>1</v>
      </c>
      <c r="S45" s="43" t="str">
        <f>IF(Neubau3=2,"Neubau",IF(Neubau3=3,"Altbau",""))</f>
        <v/>
      </c>
      <c r="T45" s="1809">
        <v>11</v>
      </c>
      <c r="U45" s="1822">
        <f>(20*4368+30*3640+45*728)/8760</f>
        <v>26.17808219178082</v>
      </c>
      <c r="V45" s="1823">
        <f>(20*4368+30*3640+45*728)/8760</f>
        <v>26.17808219178082</v>
      </c>
      <c r="W45" s="1823">
        <f>(20*750+30*2000)/8760</f>
        <v>8.5616438356164384</v>
      </c>
      <c r="X45" s="1824">
        <f>(17*1200+25*800)/8760</f>
        <v>4.6118721461187215</v>
      </c>
      <c r="Y45" s="1827"/>
      <c r="Z45" s="1157">
        <v>20</v>
      </c>
      <c r="AA45" s="1157">
        <v>20</v>
      </c>
      <c r="AB45" s="1157">
        <v>30</v>
      </c>
      <c r="AC45" s="1248">
        <v>25</v>
      </c>
      <c r="AE45" s="60"/>
      <c r="AF45" s="116"/>
      <c r="AG45" s="3036"/>
      <c r="AH45" s="3037"/>
      <c r="AI45" s="3050"/>
      <c r="AJ45" s="3051"/>
      <c r="AK45" s="3050"/>
      <c r="AL45" s="3051"/>
      <c r="AM45" s="3050"/>
      <c r="AN45" s="3051"/>
      <c r="AO45" s="27">
        <v>7</v>
      </c>
      <c r="BB45" s="43">
        <v>10</v>
      </c>
      <c r="BC45" s="53" t="str">
        <f>Uebersetzung!D90</f>
        <v>Industrie</v>
      </c>
      <c r="BD45" s="43" t="str">
        <f>BC45</f>
        <v>Industrie</v>
      </c>
      <c r="BE45" s="43" t="str">
        <f t="shared" si="13"/>
        <v>Industrie</v>
      </c>
      <c r="BF45" s="53"/>
      <c r="BL45" s="277" t="s">
        <v>5</v>
      </c>
      <c r="BM45" s="278" t="s">
        <v>1</v>
      </c>
      <c r="BN45" s="281"/>
      <c r="BO45" s="120" t="b">
        <v>1</v>
      </c>
      <c r="BP45" s="45">
        <v>0.7</v>
      </c>
      <c r="BQ45" s="970">
        <v>170</v>
      </c>
      <c r="BR45" s="970">
        <v>205</v>
      </c>
      <c r="BS45" s="45">
        <v>10</v>
      </c>
      <c r="BT45" s="228">
        <v>0.32</v>
      </c>
      <c r="BU45" s="45">
        <v>0.6</v>
      </c>
      <c r="BV45" s="44">
        <v>0.7</v>
      </c>
    </row>
    <row r="46" spans="1:74">
      <c r="A46" s="520" t="str">
        <f t="shared" si="15"/>
        <v/>
      </c>
      <c r="B46" s="38" t="str">
        <f t="shared" si="15"/>
        <v/>
      </c>
      <c r="C46" s="38" t="str">
        <f t="shared" si="15"/>
        <v/>
      </c>
      <c r="D46" s="38" t="str">
        <f t="shared" si="15"/>
        <v/>
      </c>
      <c r="E46" s="38" t="str">
        <f t="shared" si="15"/>
        <v/>
      </c>
      <c r="F46" s="38" t="str">
        <f t="shared" si="15"/>
        <v/>
      </c>
      <c r="G46" s="562">
        <v>40</v>
      </c>
      <c r="I46" s="488" t="s">
        <v>82</v>
      </c>
      <c r="J46" s="489"/>
      <c r="K46" s="27">
        <v>12</v>
      </c>
      <c r="L46" s="59" t="str">
        <f>""</f>
        <v/>
      </c>
      <c r="M46" s="60"/>
      <c r="N46" s="116"/>
      <c r="O46" s="60" t="str">
        <f>IF(minergiep,"","")</f>
        <v/>
      </c>
      <c r="P46" s="61" t="s">
        <v>445</v>
      </c>
      <c r="Q46" s="134">
        <f>IF(R46=0,1,R46)</f>
        <v>1</v>
      </c>
      <c r="R46" s="481">
        <f>IF(Entrées!$I$21="",1,VLOOKUP(Entrées!$I$21,AI23:AM25,5,FALSE))</f>
        <v>1</v>
      </c>
      <c r="S46" s="94" t="str">
        <f>IF(Neubau4=2,"Neubau",IF(Neubau4=3,"Altbau",""))</f>
        <v/>
      </c>
      <c r="T46" s="1721"/>
      <c r="U46" s="811"/>
      <c r="V46" s="820"/>
      <c r="W46" s="820"/>
      <c r="X46" s="1619"/>
      <c r="AA46" s="27" t="b">
        <f>(AJ58=AJ53)</f>
        <v>0</v>
      </c>
      <c r="AB46" s="1821" t="s">
        <v>818</v>
      </c>
      <c r="AD46" s="27">
        <v>1</v>
      </c>
      <c r="BB46" s="43">
        <v>11</v>
      </c>
      <c r="BC46" s="53" t="str">
        <f>Uebersetzung!D91</f>
        <v>Entrepôt</v>
      </c>
      <c r="BD46" s="43" t="str">
        <f>BC46</f>
        <v>Entrepôt</v>
      </c>
      <c r="BE46" s="43" t="str">
        <f t="shared" si="13"/>
        <v>Entrepôt</v>
      </c>
      <c r="BF46" s="53"/>
      <c r="BL46" s="277" t="s">
        <v>7</v>
      </c>
      <c r="BM46" s="278" t="s">
        <v>2</v>
      </c>
      <c r="BN46" s="281"/>
      <c r="BO46" s="120" t="b">
        <v>1</v>
      </c>
      <c r="BP46" s="45">
        <v>0.7</v>
      </c>
      <c r="BQ46" s="970">
        <v>85</v>
      </c>
      <c r="BR46" s="970">
        <v>115</v>
      </c>
      <c r="BS46" s="45">
        <v>10</v>
      </c>
      <c r="BT46" s="228">
        <v>0.14000000000000001</v>
      </c>
      <c r="BU46" s="45">
        <v>0.6</v>
      </c>
      <c r="BV46" s="44">
        <v>0.7</v>
      </c>
    </row>
    <row r="47" spans="1:74">
      <c r="A47" s="525" t="str">
        <f t="shared" si="15"/>
        <v/>
      </c>
      <c r="B47" s="48" t="str">
        <f t="shared" si="15"/>
        <v/>
      </c>
      <c r="C47" s="48" t="str">
        <f t="shared" si="15"/>
        <v/>
      </c>
      <c r="D47" s="48" t="str">
        <f t="shared" si="15"/>
        <v/>
      </c>
      <c r="E47" s="48" t="str">
        <f t="shared" si="15"/>
        <v/>
      </c>
      <c r="F47" s="48" t="str">
        <f t="shared" si="15"/>
        <v/>
      </c>
      <c r="G47" s="562">
        <v>41</v>
      </c>
      <c r="I47" s="490" t="s">
        <v>52</v>
      </c>
      <c r="J47" s="497">
        <f>IF(Klima&gt;1,(J35+AEBF1*Standardwerte!J41)*(1+($J$45-Thetaea)*$J$52),)</f>
        <v>0</v>
      </c>
      <c r="K47" s="62"/>
      <c r="L47" s="62"/>
      <c r="M47" s="62"/>
      <c r="N47" s="62"/>
      <c r="O47" s="62"/>
      <c r="P47" s="62"/>
      <c r="Q47" s="62"/>
      <c r="R47" s="27"/>
      <c r="S47" s="27"/>
      <c r="T47" s="108" t="str">
        <f>IF(Lüftung1=1,"",IF(OR(Lüftung1=4,Lüftung1=10,Lüftung1=11),N56,IF(Lüftung1=8,N56,N55)))</f>
        <v/>
      </c>
      <c r="U47" s="136" t="str">
        <f>IF(Lüftung2=1,"",IF(OR(Lüftung2=4,Lüftung2=10,Lüftung2=11),N56,IF(Lüftung2=8,N56,N55)))</f>
        <v/>
      </c>
      <c r="V47" s="42" t="str">
        <f>IF(Lüftung3=1,"",IF(OR(Lüftung3=4,Lüftung3=10,Lüftung3=11),N56,IF(Lüftung3=8,N56,N55)))</f>
        <v/>
      </c>
      <c r="W47" s="42" t="str">
        <f>IF(Lüftung4=1,"",IF(OR(Lüftung4=4,Lüftung4=10,Lüftung4=11),N56,IF(Lüftung4=8,N56,N55)))</f>
        <v/>
      </c>
      <c r="X47" s="45">
        <v>1</v>
      </c>
      <c r="Z47" s="806" t="s">
        <v>802</v>
      </c>
      <c r="AA47" s="807" t="s">
        <v>805</v>
      </c>
      <c r="AB47" s="829"/>
      <c r="AD47" s="27">
        <v>2</v>
      </c>
      <c r="AE47" s="458"/>
      <c r="AF47" s="76" t="s">
        <v>266</v>
      </c>
      <c r="AG47" s="292"/>
      <c r="AH47" s="55"/>
      <c r="AI47" s="292"/>
      <c r="AJ47" s="55"/>
      <c r="AK47" s="292"/>
      <c r="AL47" s="55"/>
      <c r="AM47" s="292"/>
      <c r="AN47" s="55"/>
      <c r="BB47" s="43">
        <v>12</v>
      </c>
      <c r="BC47" s="53" t="str">
        <f>Uebersetzung!D92</f>
        <v>Installation sportive</v>
      </c>
      <c r="BD47" s="43" t="str">
        <f t="shared" si="14"/>
        <v>Installation sportive</v>
      </c>
      <c r="BE47" s="43" t="str">
        <f t="shared" si="13"/>
        <v>Installation sportive</v>
      </c>
      <c r="BF47" s="53"/>
      <c r="BL47" s="277" t="s">
        <v>9</v>
      </c>
      <c r="BM47" s="278" t="s">
        <v>237</v>
      </c>
      <c r="BN47" s="281"/>
      <c r="BO47" s="120" t="b">
        <v>1</v>
      </c>
      <c r="BP47" s="45">
        <v>0.7</v>
      </c>
      <c r="BQ47" s="970">
        <v>200</v>
      </c>
      <c r="BR47" s="970">
        <v>240</v>
      </c>
      <c r="BS47" s="45">
        <v>10</v>
      </c>
      <c r="BT47" s="422">
        <v>1</v>
      </c>
      <c r="BU47" s="45">
        <v>0.6</v>
      </c>
      <c r="BV47" s="44">
        <v>0.7</v>
      </c>
    </row>
    <row r="48" spans="1:74">
      <c r="I48" s="490" t="s">
        <v>443</v>
      </c>
      <c r="J48" s="497">
        <f>IF(Klima&gt;1,(J36+AEBF2*Standardwerte!J42)*(1+($J$45-Thetaea)*$J$52),)</f>
        <v>0</v>
      </c>
      <c r="K48" s="62"/>
      <c r="L48" s="28" t="s">
        <v>342</v>
      </c>
      <c r="M48" s="63"/>
      <c r="N48" s="63"/>
      <c r="O48" s="63"/>
      <c r="P48" s="63"/>
      <c r="Q48" s="64"/>
      <c r="R48" s="27"/>
      <c r="S48" s="27"/>
      <c r="T48" s="108" t="str">
        <f>IF(Lüftung1=1,"",IF(OR(Lüftung1=4,Lüftung1=10,Lüftung1=11),N57,IF(Lüftung1=8,N57,N55)))</f>
        <v/>
      </c>
      <c r="U48" s="136" t="str">
        <f>IF(Lüftung2=1,"",IF(OR(Lüftung2=4,Lüftung2=10,Lüftung2=11),N57,IF(Lüftung2=8,N57,N55)))</f>
        <v/>
      </c>
      <c r="V48" s="42" t="str">
        <f>IF(Lüftung3=1,"",IF(OR(Lüftung3=4,Lüftung3=10,Lüftung3=11),N57,IF(Lüftung3=8,N57,N55)))</f>
        <v/>
      </c>
      <c r="W48" s="42" t="str">
        <f>IF(Lüftung4=1,"",IF(OR(Lüftung4=4,Lüftung4=10,Lüftung4=11),N57,IF(Lüftung4=8,N57,N55)))</f>
        <v/>
      </c>
      <c r="X48" s="45">
        <v>2</v>
      </c>
      <c r="Z48" s="45" t="s">
        <v>191</v>
      </c>
      <c r="AA48" s="808" t="str">
        <f>Uebersetzung!D25</f>
        <v>oui</v>
      </c>
      <c r="AB48" s="120" t="str">
        <f>Uebersetzung!D254</f>
        <v>Moteur AC</v>
      </c>
      <c r="AC48" s="562">
        <v>1</v>
      </c>
      <c r="AD48" s="27">
        <v>3</v>
      </c>
      <c r="AE48" s="36"/>
      <c r="AF48" s="35"/>
      <c r="AG48" s="36"/>
      <c r="AH48" s="115"/>
      <c r="AI48" s="36"/>
      <c r="AJ48" s="115"/>
      <c r="AK48" s="36"/>
      <c r="AL48" s="115"/>
      <c r="AM48" s="36"/>
      <c r="AN48" s="115"/>
      <c r="BB48" s="94">
        <v>13</v>
      </c>
      <c r="BC48" s="116" t="str">
        <f>Uebersetzung!D93</f>
        <v>Piscine couverte</v>
      </c>
      <c r="BD48" s="142" t="str">
        <f t="shared" si="14"/>
        <v>Piscine couverte</v>
      </c>
      <c r="BE48" s="94" t="s">
        <v>199</v>
      </c>
      <c r="BF48" s="116"/>
      <c r="BL48" s="277" t="s">
        <v>10</v>
      </c>
      <c r="BM48" s="278" t="s">
        <v>3</v>
      </c>
      <c r="BN48" s="281"/>
      <c r="BO48" s="120" t="b">
        <v>1</v>
      </c>
      <c r="BP48" s="52">
        <v>1.2</v>
      </c>
      <c r="BQ48" s="970">
        <v>125</v>
      </c>
      <c r="BR48" s="970">
        <v>150</v>
      </c>
      <c r="BS48" s="45">
        <v>10</v>
      </c>
      <c r="BT48" s="422">
        <v>1</v>
      </c>
      <c r="BU48" s="45">
        <v>0.6</v>
      </c>
      <c r="BV48" s="44">
        <v>0.7</v>
      </c>
    </row>
    <row r="49" spans="1:74" ht="15.75">
      <c r="A49" s="251" t="s">
        <v>591</v>
      </c>
      <c r="I49" s="490" t="s">
        <v>444</v>
      </c>
      <c r="J49" s="497">
        <f>IF(Klima&gt;1,(J37+AEBF3*Standardwerte!J43)*(1+($J$45-Thetaea)*$J$52),)</f>
        <v>0</v>
      </c>
      <c r="K49" s="62"/>
      <c r="L49" s="65" t="s">
        <v>649</v>
      </c>
      <c r="M49" s="66"/>
      <c r="N49" s="66"/>
      <c r="O49" s="66"/>
      <c r="P49" s="66"/>
      <c r="Q49" s="67"/>
      <c r="R49" s="27"/>
      <c r="S49" s="27"/>
      <c r="T49" s="108" t="str">
        <f>IF(Lüftung1=1,"",IF(OR(Lüftung1=4,Lüftung1=10,Lüftung1=11),N58,IF(Lüftung1=8,N59,N55)))</f>
        <v/>
      </c>
      <c r="U49" s="136" t="str">
        <f>IF(Lüftung2=1,"",IF(OR(Lüftung2=4,Lüftung2=10,Lüftung2=11),N58,IF(Lüftung2=8,N59,N55)))</f>
        <v/>
      </c>
      <c r="V49" s="42" t="str">
        <f>IF(Lüftung3=1,"",IF(OR(Lüftung3=4,Lüftung3=10,Lüftung3=11),N58,IF(Lüftung3=8,N59,N55)))</f>
        <v/>
      </c>
      <c r="W49" s="42" t="str">
        <f>IF(Lüftung4=1,"",IF(OR(Lüftung4=4,Lüftung4=10,Lüftung4=11),N58,IF(Lüftung4=8,N59,N55)))</f>
        <v/>
      </c>
      <c r="X49" s="45">
        <v>3</v>
      </c>
      <c r="Z49" s="49" t="s">
        <v>524</v>
      </c>
      <c r="AA49" s="809" t="str">
        <f>Uebersetzung!D26</f>
        <v>non</v>
      </c>
      <c r="AB49" s="142" t="str">
        <f>Uebersetzung!D255</f>
        <v>Moteur DC/EC</v>
      </c>
      <c r="AC49" s="562">
        <v>2</v>
      </c>
      <c r="AE49" s="43"/>
      <c r="AF49" s="287" t="s">
        <v>268</v>
      </c>
      <c r="AG49" s="2866" t="b">
        <f>AND(IF(Kategorie1=13,FALSE,AND(OR(Standardlüftung1=2,NOT(Standardwerte!AG37)),Standardwerte!AG38)),NOT(AG50))</f>
        <v>0</v>
      </c>
      <c r="AH49" s="2867"/>
      <c r="AI49" s="2866" t="b">
        <f>AND(IF(Kategorie2=13,FALSE,AND(OR(Standardlüftung2=2,NOT(Standardwerte!AI37)),Standardwerte!AI38)),NOT(AI50))</f>
        <v>0</v>
      </c>
      <c r="AJ49" s="2867"/>
      <c r="AK49" s="2866" t="b">
        <f>AND(IF(Kategorie3=13,FALSE,AND(OR(Standardlüftung3=2,NOT(Standardwerte!AK37)),Standardwerte!AK38)),NOT(AK50))</f>
        <v>0</v>
      </c>
      <c r="AL49" s="2867"/>
      <c r="AM49" s="2866" t="b">
        <f>AND(IF(Kategorie4=13,FALSE,AND(OR(Standardlüftung4=2,NOT(Standardwerte!AM37)),Standardwerte!AM38)),NOT(AM50))</f>
        <v>0</v>
      </c>
      <c r="AN49" s="2867"/>
      <c r="AO49" s="2866" t="b">
        <f>OR(AG49:AM49)</f>
        <v>0</v>
      </c>
      <c r="AP49" s="3035"/>
      <c r="BL49" s="277" t="s">
        <v>227</v>
      </c>
      <c r="BM49" s="278" t="s">
        <v>4</v>
      </c>
      <c r="BN49" s="281"/>
      <c r="BO49" s="120" t="b">
        <v>1</v>
      </c>
      <c r="BP49" s="58">
        <v>1</v>
      </c>
      <c r="BQ49" s="970">
        <v>80</v>
      </c>
      <c r="BR49" s="970">
        <v>110</v>
      </c>
      <c r="BS49" s="45">
        <v>10</v>
      </c>
      <c r="BT49" s="422">
        <v>1</v>
      </c>
      <c r="BU49" s="45">
        <v>0.6</v>
      </c>
      <c r="BV49" s="44">
        <v>0.7</v>
      </c>
    </row>
    <row r="50" spans="1:74">
      <c r="B50" s="156"/>
      <c r="I50" s="492" t="s">
        <v>445</v>
      </c>
      <c r="J50" s="498">
        <f>IF(Klima&gt;1,(J38+AEBF4*Standardwerte!J44)*(1+($J$45-Thetaea)*$J$52),)</f>
        <v>0</v>
      </c>
      <c r="K50" s="62"/>
      <c r="L50" s="69" t="s">
        <v>715</v>
      </c>
      <c r="M50" s="26"/>
      <c r="N50" s="26"/>
      <c r="O50" s="70" t="s">
        <v>245</v>
      </c>
      <c r="P50" s="71">
        <f>P51</f>
        <v>0.15</v>
      </c>
      <c r="Q50" s="72" t="s">
        <v>246</v>
      </c>
      <c r="R50" s="27"/>
      <c r="S50" s="27"/>
      <c r="T50" s="108" t="str">
        <f>IF(Lüftung1=1,"",IF(OR(Lüftung1=4,Lüftung1=10,Lüftung1=11),N59,IF(Lüftung1=8,N55,N55)))</f>
        <v/>
      </c>
      <c r="U50" s="136" t="str">
        <f>IF(Lüftung2=1,"",IF(OR(Lüftung2=4,Lüftung2=10,Lüftung2=11),N59,IF(Lüftung2=8,N55,N55)))</f>
        <v/>
      </c>
      <c r="V50" s="42" t="str">
        <f>IF(Lüftung3=1,"",IF(OR(Lüftung3=4,Lüftung3=10,Lüftung3=11),N59,IF(Lüftung3=8,N55,N55)))</f>
        <v/>
      </c>
      <c r="W50" s="42" t="str">
        <f>IF(Lüftung4=1,"",IF(OR(Lüftung4=4,Lüftung4=10,Lüftung4=11),N59,IF(Lüftung4=8,N55,N55)))</f>
        <v/>
      </c>
      <c r="X50" s="45">
        <v>4</v>
      </c>
      <c r="Z50" s="805">
        <f>IF(Entrées!E46=Standardwerte!Z49,2,1)</f>
        <v>2</v>
      </c>
      <c r="AA50" s="27">
        <v>1</v>
      </c>
      <c r="AB50" s="830" t="b">
        <f>IF(Entrées!F35=Standardwerte!AB49,TRUE,FALSE)</f>
        <v>0</v>
      </c>
      <c r="AC50" s="562">
        <v>3</v>
      </c>
      <c r="AE50" s="94"/>
      <c r="AF50" s="288" t="s">
        <v>267</v>
      </c>
      <c r="AG50" s="3036" t="b">
        <f>OR(AND(J118&gt;1,J118&lt;5),IF(Kategorie1=13,FALSE,NOT(Standardwerte!AG35)))</f>
        <v>0</v>
      </c>
      <c r="AH50" s="3037"/>
      <c r="AI50" s="3036" t="b">
        <f>OR(AND(K118&gt;1,K118&lt;5),IF(Kategorie2=13,FALSE,NOT(Standardwerte!AI35)))</f>
        <v>0</v>
      </c>
      <c r="AJ50" s="3037"/>
      <c r="AK50" s="3036" t="b">
        <f>OR(AND(L118&gt;1,L118&lt;5),IF(Kategorie3=13,FALSE,NOT(Standardwerte!AK35)))</f>
        <v>0</v>
      </c>
      <c r="AL50" s="3037"/>
      <c r="AM50" s="3036" t="b">
        <f>OR(AND(M118&gt;1,M118&lt;5),IF(Kategorie4=13,FALSE,NOT(Standardwerte!AM35)))</f>
        <v>0</v>
      </c>
      <c r="AN50" s="3037"/>
      <c r="AO50" s="2866" t="b">
        <f>AND(OR(AG50:AM50))</f>
        <v>0</v>
      </c>
      <c r="AP50" s="3045"/>
      <c r="BL50" s="277" t="s">
        <v>228</v>
      </c>
      <c r="BM50" s="278" t="s">
        <v>238</v>
      </c>
      <c r="BN50" s="281"/>
      <c r="BO50" s="120" t="b">
        <v>1</v>
      </c>
      <c r="BP50" s="58">
        <v>1</v>
      </c>
      <c r="BQ50" s="970">
        <v>160</v>
      </c>
      <c r="BR50" s="970">
        <v>190</v>
      </c>
      <c r="BS50" s="45">
        <v>10</v>
      </c>
      <c r="BT50" s="422">
        <v>1</v>
      </c>
      <c r="BU50" s="45">
        <v>0.6</v>
      </c>
      <c r="BV50" s="44">
        <v>0.7</v>
      </c>
    </row>
    <row r="51" spans="1:74">
      <c r="A51" s="54" t="s">
        <v>719</v>
      </c>
      <c r="B51" s="479">
        <f>IF(Entrées!I14="",0,VLOOKUP(Entrées!I14,$A$54:$G$94,7,FALSE))</f>
        <v>1</v>
      </c>
      <c r="C51" s="76" t="str">
        <f>IF(Klima&gt;0,INDEX(B54:B157,Klima,1),)</f>
        <v xml:space="preserve"> </v>
      </c>
      <c r="D51" s="77">
        <f>IF(Klima&gt;0,INDEX(F54:F157,Klima,1),)</f>
        <v>0</v>
      </c>
      <c r="E51" s="78" t="s">
        <v>251</v>
      </c>
      <c r="F51" s="79">
        <f>IF(Klima&gt;0,INDEX(G54:G157,Klima,1),)</f>
        <v>1</v>
      </c>
      <c r="I51" s="499" t="s">
        <v>686</v>
      </c>
      <c r="J51" s="500">
        <f>IF(EBF&gt;0,(J47*_EBF1+J48*_EBF2+J49*_EBF3+J50*_EBF4)/EBF,0)</f>
        <v>0</v>
      </c>
      <c r="L51" s="24" t="s">
        <v>716</v>
      </c>
      <c r="M51" s="14"/>
      <c r="N51" s="14"/>
      <c r="O51" s="15" t="s">
        <v>309</v>
      </c>
      <c r="P51" s="73">
        <f>_vo</f>
        <v>0.15</v>
      </c>
      <c r="Q51" s="74" t="s">
        <v>246</v>
      </c>
      <c r="R51" s="27"/>
      <c r="S51" s="27"/>
      <c r="T51" s="1811"/>
      <c r="U51" s="1812"/>
      <c r="V51" s="1812"/>
      <c r="W51" s="60"/>
      <c r="X51" s="49">
        <v>5</v>
      </c>
      <c r="AA51" s="27">
        <v>2</v>
      </c>
      <c r="AB51" s="831" t="b">
        <f>IF(Entrées!G35=Standardwerte!AB49,TRUE,FALSE)</f>
        <v>0</v>
      </c>
      <c r="AC51" s="562">
        <v>4</v>
      </c>
      <c r="BL51" s="277" t="s">
        <v>229</v>
      </c>
      <c r="BM51" s="278" t="s">
        <v>491</v>
      </c>
      <c r="BN51" s="281"/>
      <c r="BO51" s="120" t="b">
        <v>1</v>
      </c>
      <c r="BP51" s="52">
        <v>0.7</v>
      </c>
      <c r="BQ51" s="970">
        <v>125</v>
      </c>
      <c r="BR51" s="970">
        <v>160</v>
      </c>
      <c r="BS51" s="45">
        <v>10</v>
      </c>
      <c r="BT51" s="422">
        <v>1</v>
      </c>
      <c r="BU51" s="45">
        <v>0.6</v>
      </c>
      <c r="BV51" s="44">
        <v>0.7</v>
      </c>
    </row>
    <row r="52" spans="1:74">
      <c r="A52" s="80" t="s">
        <v>232</v>
      </c>
      <c r="B52" s="81" t="s">
        <v>247</v>
      </c>
      <c r="C52" s="81" t="s">
        <v>248</v>
      </c>
      <c r="D52" s="82" t="s">
        <v>477</v>
      </c>
      <c r="E52" s="81" t="s">
        <v>249</v>
      </c>
      <c r="F52" s="83" t="s">
        <v>233</v>
      </c>
      <c r="I52" s="1235" t="s">
        <v>3557</v>
      </c>
      <c r="J52" s="1769">
        <f>IF(_SIA2009,0.08,0.06)</f>
        <v>0.06</v>
      </c>
      <c r="R52" s="27"/>
      <c r="S52" s="27"/>
      <c r="T52" s="108" t="str">
        <f>IF(AG35,IF(OR(AND(Lüftung1&gt;2,Lüftung1&lt;9),Lüftung1&gt;9),$AB$48,""),"")</f>
        <v/>
      </c>
      <c r="U52" s="108" t="str">
        <f>IF(AI35,IF(OR(AND(Lüftung2&gt;2,Lüftung2&lt;9),Lüftung2&gt;9),$AB$48,""),"")</f>
        <v/>
      </c>
      <c r="V52" s="108" t="str">
        <f>IF(AK35,IF(OR(AND(Lüftung3&gt;2,Lüftung3&lt;9),Lüftung3&gt;9),$AB$48,""),"")</f>
        <v/>
      </c>
      <c r="W52" s="108" t="str">
        <f>IF(AM35,IF(OR(AND(Lüftung4&gt;2,Lüftung4&lt;9),Lüftung4&gt;9),$AB$48,""),"")</f>
        <v/>
      </c>
      <c r="X52" s="1682">
        <v>1</v>
      </c>
      <c r="AA52" s="27">
        <v>3</v>
      </c>
      <c r="AB52" s="831" t="b">
        <f>IF(Entrées!H35=Standardwerte!AB49,TRUE,FALSE)</f>
        <v>0</v>
      </c>
      <c r="AC52" s="562">
        <v>5</v>
      </c>
      <c r="AD52" s="42"/>
      <c r="BL52" s="277" t="s">
        <v>230</v>
      </c>
      <c r="BM52" s="278" t="s">
        <v>239</v>
      </c>
      <c r="BN52" s="281"/>
      <c r="BO52" s="120" t="b">
        <v>1</v>
      </c>
      <c r="BP52" s="52">
        <v>0.3</v>
      </c>
      <c r="BQ52" s="970">
        <v>35</v>
      </c>
      <c r="BR52" s="970">
        <v>60</v>
      </c>
      <c r="BS52" s="45">
        <v>10</v>
      </c>
      <c r="BT52" s="422">
        <v>1</v>
      </c>
      <c r="BU52" s="45">
        <v>0.6</v>
      </c>
      <c r="BV52" s="44">
        <v>0.7</v>
      </c>
    </row>
    <row r="53" spans="1:74">
      <c r="A53" s="85"/>
      <c r="B53" s="81"/>
      <c r="C53" s="81" t="s">
        <v>250</v>
      </c>
      <c r="D53" s="82" t="s">
        <v>213</v>
      </c>
      <c r="E53" s="81" t="s">
        <v>251</v>
      </c>
      <c r="F53" s="86" t="s">
        <v>206</v>
      </c>
      <c r="I53" s="488" t="s">
        <v>687</v>
      </c>
      <c r="J53" s="489"/>
      <c r="Q53" s="738" t="s">
        <v>210</v>
      </c>
      <c r="R53" s="27"/>
      <c r="S53" s="27"/>
      <c r="T53" s="109" t="str">
        <f>IF(AG35,IF(OR(AND(Lüftung1&gt;2,Lüftung1&lt;9),Lüftung1&gt;9),$AB$49,""),"")</f>
        <v/>
      </c>
      <c r="U53" s="109" t="str">
        <f>IF(AI35,IF(OR(AND(Lüftung2&gt;2,Lüftung2&lt;9),Lüftung2&gt;9),$AB$49,""),"")</f>
        <v/>
      </c>
      <c r="V53" s="109" t="str">
        <f>IF(AK35,IF(OR(AND(Lüftung3&gt;2,Lüftung3&lt;9),Lüftung3&gt;9),$AB$49,""),"")</f>
        <v/>
      </c>
      <c r="W53" s="109" t="str">
        <f>IF(AM35,IF(OR(AND(Lüftung4&gt;2,Lüftung4&lt;9),Lüftung4&gt;9),$AB$49,""),"")</f>
        <v/>
      </c>
      <c r="X53" s="49">
        <v>2</v>
      </c>
      <c r="AA53" s="27">
        <v>4</v>
      </c>
      <c r="AB53" s="832" t="b">
        <f>IF(Entrées!I35=Standardwerte!AB49,TRUE,FALSE)</f>
        <v>0</v>
      </c>
      <c r="AD53" s="42"/>
      <c r="AJ53" s="27" t="str">
        <f>Entrées!E14</f>
        <v>Preuve officielle</v>
      </c>
      <c r="BL53" s="277" t="s">
        <v>231</v>
      </c>
      <c r="BM53" s="278" t="s">
        <v>6</v>
      </c>
      <c r="BN53" s="281"/>
      <c r="BO53" s="120" t="b">
        <v>1</v>
      </c>
      <c r="BP53" s="52">
        <v>0.7</v>
      </c>
      <c r="BQ53" s="970">
        <v>65</v>
      </c>
      <c r="BR53" s="970">
        <v>90</v>
      </c>
      <c r="BS53" s="45">
        <v>10</v>
      </c>
      <c r="BT53" s="422">
        <v>1</v>
      </c>
      <c r="BU53" s="45">
        <v>0.6</v>
      </c>
      <c r="BV53" s="44">
        <v>0.7</v>
      </c>
    </row>
    <row r="54" spans="1:74">
      <c r="A54" s="87" t="s">
        <v>199</v>
      </c>
      <c r="B54" s="51" t="s">
        <v>199</v>
      </c>
      <c r="C54" s="51" t="s">
        <v>199</v>
      </c>
      <c r="D54" s="51" t="s">
        <v>199</v>
      </c>
      <c r="E54" s="88"/>
      <c r="F54" s="89"/>
      <c r="G54" s="562">
        <v>1</v>
      </c>
      <c r="I54" s="490" t="s">
        <v>52</v>
      </c>
      <c r="J54" s="491">
        <f>IF(Klima&gt;0,INDEX($D$7:$D$47,Klima,1)*IF(Neubau1=2,1,IF(Neubau1=3,2,0)),)</f>
        <v>0</v>
      </c>
      <c r="L54" s="28" t="s">
        <v>199</v>
      </c>
      <c r="M54" s="915" t="s">
        <v>823</v>
      </c>
      <c r="N54" s="916"/>
      <c r="O54" s="917">
        <v>1</v>
      </c>
      <c r="P54" s="917"/>
      <c r="Q54" s="330"/>
      <c r="R54" s="166"/>
      <c r="S54" s="166"/>
      <c r="T54" s="178" t="s">
        <v>341</v>
      </c>
      <c r="U54" s="3033" t="s">
        <v>470</v>
      </c>
      <c r="V54" s="3034"/>
      <c r="W54" s="466" t="s">
        <v>367</v>
      </c>
      <c r="X54" s="466" t="s">
        <v>500</v>
      </c>
      <c r="Y54" s="466" t="s">
        <v>508</v>
      </c>
      <c r="Z54" s="466" t="s">
        <v>509</v>
      </c>
      <c r="AA54" s="541" t="s">
        <v>510</v>
      </c>
      <c r="AB54" s="531" t="s">
        <v>502</v>
      </c>
      <c r="AC54" s="466" t="s">
        <v>503</v>
      </c>
      <c r="AD54" s="466" t="s">
        <v>504</v>
      </c>
      <c r="AE54" s="541" t="s">
        <v>511</v>
      </c>
      <c r="AF54" s="466" t="s">
        <v>99</v>
      </c>
      <c r="AG54" s="545" t="s">
        <v>524</v>
      </c>
      <c r="AH54" s="546"/>
      <c r="AJ54" s="1760" t="s">
        <v>782</v>
      </c>
      <c r="BL54" s="279" t="s">
        <v>720</v>
      </c>
      <c r="BM54" s="280" t="s">
        <v>8</v>
      </c>
      <c r="BN54" s="282"/>
      <c r="BO54" s="142" t="b">
        <v>0</v>
      </c>
      <c r="BP54" s="68">
        <v>0.7</v>
      </c>
      <c r="BQ54" s="49"/>
      <c r="BS54" s="49"/>
      <c r="BT54" s="228"/>
      <c r="BU54" s="49"/>
      <c r="BV54" s="111"/>
    </row>
    <row r="55" spans="1:74">
      <c r="A55" s="90" t="s">
        <v>592</v>
      </c>
      <c r="B55" s="91" t="s">
        <v>271</v>
      </c>
      <c r="C55" s="91">
        <v>8</v>
      </c>
      <c r="D55" s="91">
        <v>0</v>
      </c>
      <c r="E55" s="91">
        <v>1320</v>
      </c>
      <c r="F55" s="92">
        <v>6.1</v>
      </c>
      <c r="G55" s="562">
        <v>2</v>
      </c>
      <c r="I55" s="490" t="s">
        <v>443</v>
      </c>
      <c r="J55" s="491">
        <f>IF(Klima&gt;0,INDEX($D$7:$D$47,Klima,1)*IF(Neubau2=2,1,IF(Neubau2=3,2,0)),)</f>
        <v>0</v>
      </c>
      <c r="K55" s="27">
        <v>1</v>
      </c>
      <c r="L55" s="1833" t="str">
        <f>N55</f>
        <v>Pas de récup.</v>
      </c>
      <c r="M55" s="818"/>
      <c r="N55" s="818" t="str">
        <f>Uebersetzung!D102</f>
        <v>Pas de récup.</v>
      </c>
      <c r="O55" s="811">
        <v>2</v>
      </c>
      <c r="P55" s="819"/>
      <c r="Q55" s="1834">
        <v>0</v>
      </c>
      <c r="R55" s="84"/>
      <c r="S55" s="243" t="s">
        <v>354</v>
      </c>
      <c r="T55" s="637">
        <f>IF(Entrées!F34="",1,VLOOKUP(Entrées!F34,N54:O59,2,FALSE))</f>
        <v>1</v>
      </c>
      <c r="U55" s="112" t="s">
        <v>480</v>
      </c>
      <c r="V55" s="467">
        <f>W55</f>
        <v>1</v>
      </c>
      <c r="W55" s="601">
        <f>Justificatif!M8</f>
        <v>1</v>
      </c>
      <c r="X55" s="99" t="b">
        <f>INDEX($AH$108:$AH$155,$V55,1)</f>
        <v>0</v>
      </c>
      <c r="Y55" s="40">
        <f>IF(AND(DeckungsgradHeizung&gt;99,X55),#REF!/100,0)</f>
        <v>0</v>
      </c>
      <c r="Z55" s="40">
        <f>IF(AND(DeckungsgradWW&gt;99,X55),#REF!/100,0)</f>
        <v>0</v>
      </c>
      <c r="AA55" s="534">
        <f>IF(Justificatif!$L$54&gt;0,(Justificatif!$L$34*Y55+qw*Z55)/Justificatif!$L$54,0)</f>
        <v>0</v>
      </c>
      <c r="AB55" s="532" t="b">
        <f>INDEX($AI$108:$AI$155,$V55,1)</f>
        <v>0</v>
      </c>
      <c r="AC55" s="533">
        <f>IF(AND(DeckungsgradHeizung&gt;99,AB55),#REF!/100,0)</f>
        <v>0</v>
      </c>
      <c r="AD55" s="534">
        <f>IF(AND(DeckungsgradWW&gt;99,AB55),#REF!/100,0)</f>
        <v>0</v>
      </c>
      <c r="AE55" s="534">
        <f>IF(Justificatif!$L$54&gt;0,(Justificatif!$L$34*AC55+qw*AD55)/Justificatif!$L$54,0)</f>
        <v>0</v>
      </c>
      <c r="AF55" s="336" t="b">
        <f>INDEX($AJ$108:$AJ$155,$V55,1)</f>
        <v>0</v>
      </c>
      <c r="AG55" s="547">
        <f>IF(AF55,IF(#REF!&lt;&gt;"",-#REF!,0),0)</f>
        <v>0</v>
      </c>
      <c r="AH55" s="115"/>
      <c r="AJ55" s="2442" t="str">
        <f>Uebersetzung!D19</f>
        <v>Preuve officielle</v>
      </c>
      <c r="AK55" s="1761">
        <v>1</v>
      </c>
      <c r="BK55" s="107" t="s">
        <v>110</v>
      </c>
      <c r="BL55" s="312"/>
      <c r="BM55" s="314" t="str">
        <f>IF(Kategorie1&gt;0,INDEX(BM42:BM54,Kategorie1,1),)</f>
        <v xml:space="preserve"> </v>
      </c>
      <c r="BN55" s="313"/>
      <c r="BO55" s="315" t="b">
        <f>IF(Kategorie1&gt;0,INDEX(BO42:BO54,Kategorie1,1),TRUE)</f>
        <v>1</v>
      </c>
      <c r="BP55" s="315">
        <f>IF(Kategorie1&gt;0,INDEX($BP$42:$BP$54,Kategorie1,1),)</f>
        <v>0</v>
      </c>
      <c r="BQ55" s="315">
        <f>IF(Kategorie1&gt;0,INDEX($BQ$42:$BQ$54,Kategorie1,1),)</f>
        <v>0</v>
      </c>
      <c r="BR55" s="315">
        <f>IF(Kategorie1&gt;0,INDEX($BR$42:$BR$54,Kategorie1,1),)</f>
        <v>0</v>
      </c>
      <c r="BS55" s="315">
        <f>IF(Kategorie1&gt;0,INDEX($BS$42:$BS$54,Kategorie1,1),)</f>
        <v>0</v>
      </c>
      <c r="BT55" s="329">
        <f>IF(Kategorie1&gt;0,INDEX($BT$42:$BT$54,Kategorie1,1),)</f>
        <v>0</v>
      </c>
      <c r="BU55" s="315">
        <f>IF(Kategorie1&gt;0,INDEX($BU$42:$BU$54,Kategorie1,1),)</f>
        <v>0</v>
      </c>
      <c r="BV55" s="315">
        <f>IF(Kategorie1&gt;0,INDEX($BV$42:$BV$54,Kategorie1,1),)</f>
        <v>0</v>
      </c>
    </row>
    <row r="56" spans="1:74">
      <c r="A56" s="90" t="s">
        <v>593</v>
      </c>
      <c r="B56" s="91" t="s">
        <v>286</v>
      </c>
      <c r="C56" s="91">
        <v>8</v>
      </c>
      <c r="D56" s="91">
        <v>0</v>
      </c>
      <c r="E56" s="91">
        <v>381</v>
      </c>
      <c r="F56" s="92">
        <v>10.1</v>
      </c>
      <c r="G56" s="562">
        <v>3</v>
      </c>
      <c r="I56" s="490" t="s">
        <v>444</v>
      </c>
      <c r="J56" s="491">
        <f>IF(Klima&gt;0,INDEX($D$7:$D$47,Klima,1)*IF(Neubau3=2,1,IF(Neubau3=3,2,0)),)</f>
        <v>0</v>
      </c>
      <c r="K56" s="27">
        <v>2</v>
      </c>
      <c r="L56" s="108" t="str">
        <f>N56</f>
        <v>Courant croisé</v>
      </c>
      <c r="M56" s="170"/>
      <c r="N56" s="136" t="str">
        <f>Uebersetzung!D103</f>
        <v>Courant croisé</v>
      </c>
      <c r="O56" s="84">
        <v>3</v>
      </c>
      <c r="P56" s="332"/>
      <c r="Q56" s="450">
        <v>0.45</v>
      </c>
      <c r="R56" s="84"/>
      <c r="S56" s="243" t="s">
        <v>355</v>
      </c>
      <c r="T56" s="637">
        <f>IF(Entrées!G34="",1,VLOOKUP(Entrées!G34,N54:O59,2,FALSE))</f>
        <v>1</v>
      </c>
      <c r="U56" s="56" t="s">
        <v>481</v>
      </c>
      <c r="V56" s="468">
        <f>W56</f>
        <v>1</v>
      </c>
      <c r="W56" s="601">
        <f>Justificatif!M12</f>
        <v>1</v>
      </c>
      <c r="X56" s="99" t="b">
        <f>INDEX($AH$108:$AH$155,$V56,1)</f>
        <v>0</v>
      </c>
      <c r="Y56" s="45">
        <f>IF(AND(DeckungsgradHeizung&gt;99,X56),#REF!/100,0)</f>
        <v>0</v>
      </c>
      <c r="Z56" s="45">
        <f>IF(AND(DeckungsgradWW&gt;99,X56),#REF!/100,0)</f>
        <v>0</v>
      </c>
      <c r="AA56" s="536">
        <f>IF(Justificatif!$L$54&gt;0,(Justificatif!$L$34*Y56+qw*Z56)/Justificatif!$L$54,0)</f>
        <v>0</v>
      </c>
      <c r="AB56" s="532" t="b">
        <f>INDEX($AI$108:$AI$155,$V56,1)</f>
        <v>0</v>
      </c>
      <c r="AC56" s="535">
        <f>IF(AND(DeckungsgradHeizung&gt;99,AB56),#REF!/100,0)</f>
        <v>0</v>
      </c>
      <c r="AD56" s="536">
        <f>IF(AND(DeckungsgradWW&gt;99,AB56),#REF!/100,0)</f>
        <v>0</v>
      </c>
      <c r="AE56" s="536">
        <f>IF(Justificatif!$L$54&gt;0,(Justificatif!$L$34*AC56+qw*AD56)/Justificatif!$L$54,0)</f>
        <v>0</v>
      </c>
      <c r="AF56" s="336" t="b">
        <f>INDEX($AJ$108:$AJ$155,$V56,1)</f>
        <v>0</v>
      </c>
      <c r="AG56" s="548">
        <f>IF(AF56,IF(#REF!&lt;&gt;"",-#REF!,0),0)</f>
        <v>0</v>
      </c>
      <c r="AH56" s="53"/>
      <c r="AJ56" s="2443" t="str">
        <f>Uebersetzung!D559</f>
        <v>Minergie avec SIA 380/1:2016</v>
      </c>
      <c r="AK56" s="1756">
        <v>2</v>
      </c>
      <c r="BK56" s="107" t="s">
        <v>111</v>
      </c>
      <c r="BL56" s="312"/>
      <c r="BM56" s="314" t="str">
        <f>IF(Kategorie2&gt;0,INDEX(BM42:BM54,Kategorie2,1),)</f>
        <v xml:space="preserve"> </v>
      </c>
      <c r="BN56" s="313"/>
      <c r="BO56" s="315" t="b">
        <f>IF(Kategorie2&gt;0,INDEX(BO42:BO54,Kategorie2,1),TRUE)</f>
        <v>1</v>
      </c>
      <c r="BP56" s="315">
        <f>IF(Kategorie2&gt;0,INDEX($BP$42:$BP$54,Kategorie2,1),)</f>
        <v>0</v>
      </c>
      <c r="BQ56" s="315">
        <f>IF(Kategorie2&gt;0,INDEX($BQ$42:$BQ$54,Kategorie2,1),)</f>
        <v>0</v>
      </c>
      <c r="BR56" s="315">
        <f>IF(Kategorie2&gt;0,INDEX($BR$42:$BR$54,Kategorie2,1),)</f>
        <v>0</v>
      </c>
      <c r="BS56" s="315">
        <f>IF(Kategorie2&gt;0,INDEX($BS$42:$BS$54,Kategorie2,1),)</f>
        <v>0</v>
      </c>
      <c r="BT56" s="329">
        <f>IF(Kategorie2&gt;0,INDEX($BT$42:$BT$54,Kategorie2,1),)</f>
        <v>0</v>
      </c>
      <c r="BU56" s="315">
        <f>IF(Kategorie2&gt;0,INDEX($BU$42:$BU$54,Kategorie2,1),)</f>
        <v>0</v>
      </c>
      <c r="BV56" s="315">
        <f>IF(Kategorie2&gt;0,INDEX($BV$42:$BV$54,Kategorie2,1),)</f>
        <v>0</v>
      </c>
    </row>
    <row r="57" spans="1:74">
      <c r="A57" s="90" t="s">
        <v>290</v>
      </c>
      <c r="B57" s="91" t="s">
        <v>291</v>
      </c>
      <c r="C57" s="91">
        <v>7</v>
      </c>
      <c r="D57" s="91">
        <v>0</v>
      </c>
      <c r="E57" s="91">
        <v>449</v>
      </c>
      <c r="F57" s="92">
        <v>9.9</v>
      </c>
      <c r="G57" s="562">
        <v>4</v>
      </c>
      <c r="I57" s="492" t="s">
        <v>445</v>
      </c>
      <c r="J57" s="493">
        <f>IF(Klima&gt;0,INDEX($D$7:$D$47,Klima,1)*IF(Neubau4=2,1,IF(Neubau4=3,2,0)),)</f>
        <v>0</v>
      </c>
      <c r="K57" s="27">
        <v>3</v>
      </c>
      <c r="L57" s="108" t="str">
        <f>N57</f>
        <v>Contre-courant</v>
      </c>
      <c r="M57" s="170"/>
      <c r="N57" s="136" t="str">
        <f>Uebersetzung!D104</f>
        <v>Contre-courant</v>
      </c>
      <c r="O57" s="84">
        <v>4</v>
      </c>
      <c r="P57" s="332"/>
      <c r="Q57" s="450">
        <v>0.7</v>
      </c>
      <c r="R57" s="84"/>
      <c r="S57" s="243" t="s">
        <v>356</v>
      </c>
      <c r="T57" s="637">
        <f>IF(Entrées!H34="",1,VLOOKUP(Entrées!H34,N54:O59,2,FALSE))</f>
        <v>1</v>
      </c>
      <c r="U57" s="56" t="s">
        <v>31</v>
      </c>
      <c r="V57" s="468">
        <f>W57</f>
        <v>1</v>
      </c>
      <c r="W57" s="601">
        <f>Justificatif!M16</f>
        <v>1</v>
      </c>
      <c r="X57" s="99" t="b">
        <f>INDEX($AH$108:$AH$155,$V57,1)</f>
        <v>0</v>
      </c>
      <c r="Y57" s="45">
        <f>IF(AND(DeckungsgradHeizung&gt;99,X57),#REF!/100,0)</f>
        <v>0</v>
      </c>
      <c r="Z57" s="45">
        <f>IF(AND(DeckungsgradWW&gt;99,X57),#REF!/100,0)</f>
        <v>0</v>
      </c>
      <c r="AA57" s="536">
        <f>IF(Justificatif!$L$54&gt;0,(Justificatif!$L$34*Y57+qw*Z57)/Justificatif!$L$54,0)</f>
        <v>0</v>
      </c>
      <c r="AB57" s="532" t="b">
        <f>INDEX($AI$108:$AI$155,$V57,1)</f>
        <v>0</v>
      </c>
      <c r="AC57" s="535">
        <f>IF(AND(DeckungsgradHeizung&gt;99,AB57),#REF!/100,0)</f>
        <v>0</v>
      </c>
      <c r="AD57" s="536">
        <f>IF(AND(DeckungsgradWW&gt;99,AB57),#REF!/100,0)</f>
        <v>0</v>
      </c>
      <c r="AE57" s="536">
        <f>IF(Justificatif!$L$54&gt;0,(Justificatif!$L$34*AC57+qw*AD57)/Justificatif!$L$54,0)</f>
        <v>0</v>
      </c>
      <c r="AF57" s="336" t="b">
        <f>INDEX($AJ$108:$AJ$155,$V57,1)</f>
        <v>0</v>
      </c>
      <c r="AG57" s="548">
        <f>IF(AF57,IF(#REF!&lt;&gt;"",-#REF!,0),0)</f>
        <v>0</v>
      </c>
      <c r="AH57" s="53"/>
      <c r="AJ57" s="2443" t="str">
        <f>Uebersetzung!D560</f>
        <v>Minergie-P avec SIA 380/1:2016</v>
      </c>
      <c r="AK57" s="1756">
        <v>3</v>
      </c>
      <c r="BK57" s="107" t="s">
        <v>112</v>
      </c>
      <c r="BL57" s="312"/>
      <c r="BM57" s="314" t="str">
        <f>IF(Kategorie3&gt;0,INDEX(BM42:BM54,Kategorie3,1),)</f>
        <v xml:space="preserve"> </v>
      </c>
      <c r="BN57" s="313"/>
      <c r="BO57" s="315" t="b">
        <f>IF(Kategorie3&gt;0,INDEX(BO42:BO54,Kategorie3,1),TRUE)</f>
        <v>1</v>
      </c>
      <c r="BP57" s="315">
        <f>IF(Kategorie3&gt;0,INDEX($BP$42:$BP$54,Kategorie3,1),)</f>
        <v>0</v>
      </c>
      <c r="BQ57" s="315">
        <f>IF(Kategorie3&gt;0,INDEX($BQ$42:$BQ$54,Kategorie3,1),)</f>
        <v>0</v>
      </c>
      <c r="BR57" s="315">
        <f>IF(Kategorie3&gt;0,INDEX($BR$42:$BR$54,Kategorie3,1),)</f>
        <v>0</v>
      </c>
      <c r="BS57" s="315">
        <f>IF(Kategorie3&gt;0,INDEX($BS$42:$BS$54,Kategorie3,1),)</f>
        <v>0</v>
      </c>
      <c r="BT57" s="329">
        <f>IF(Kategorie3&gt;0,INDEX($BT$42:$BT$54,Kategorie3,1),)</f>
        <v>0</v>
      </c>
      <c r="BU57" s="315">
        <f>IF(Kategorie3&gt;0,INDEX($BU$42:$BU$54,Kategorie3,1),)</f>
        <v>0</v>
      </c>
      <c r="BV57" s="315">
        <f>IF(Kategorie3&gt;0,INDEX($BV$42:$BV$54,Kategorie3,1),)</f>
        <v>0</v>
      </c>
    </row>
    <row r="58" spans="1:74">
      <c r="A58" s="90" t="s">
        <v>252</v>
      </c>
      <c r="B58" s="91" t="s">
        <v>253</v>
      </c>
      <c r="C58" s="91">
        <v>1</v>
      </c>
      <c r="D58" s="91">
        <v>0</v>
      </c>
      <c r="E58" s="91">
        <v>316</v>
      </c>
      <c r="F58" s="92">
        <v>10.5</v>
      </c>
      <c r="G58" s="562">
        <v>5</v>
      </c>
      <c r="I58" s="495"/>
      <c r="J58" s="495"/>
      <c r="K58" s="27">
        <v>4</v>
      </c>
      <c r="L58" s="108" t="str">
        <f>N58</f>
        <v>Rotatif</v>
      </c>
      <c r="M58" s="136"/>
      <c r="N58" s="136" t="str">
        <f>Uebersetzung!D105</f>
        <v>Rotatif</v>
      </c>
      <c r="O58" s="84">
        <v>5</v>
      </c>
      <c r="P58" s="332"/>
      <c r="Q58" s="450">
        <v>0.7</v>
      </c>
      <c r="R58" s="134"/>
      <c r="S58" s="243" t="s">
        <v>124</v>
      </c>
      <c r="T58" s="638">
        <f>IF(Entrées!I34="",1,VLOOKUP(Entrées!I34,N54:O59,2,FALSE))</f>
        <v>1</v>
      </c>
      <c r="U58" s="110" t="s">
        <v>32</v>
      </c>
      <c r="V58" s="469">
        <f>W58</f>
        <v>1</v>
      </c>
      <c r="W58" s="602">
        <f>Justificatif!M20</f>
        <v>1</v>
      </c>
      <c r="X58" s="530" t="b">
        <f>INDEX($AH$108:$AH$155,$V58,1)</f>
        <v>0</v>
      </c>
      <c r="Y58" s="49">
        <f>IF(AND(DeckungsgradHeizung&gt;99,X58),#REF!/100,0)</f>
        <v>0</v>
      </c>
      <c r="Z58" s="49">
        <f>IF(AND(DeckungsgradWW&gt;99,X58),#REF!/100,0)</f>
        <v>0</v>
      </c>
      <c r="AA58" s="539">
        <f>IF(Justificatif!$L$54&gt;0,(Justificatif!$L$34*Y58+qw*Z58)/Justificatif!$L$54,0)</f>
        <v>0</v>
      </c>
      <c r="AB58" s="537" t="b">
        <f>INDEX($AI$108:$AI$155,$V58,1)</f>
        <v>0</v>
      </c>
      <c r="AC58" s="538">
        <f>IF(AND(DeckungsgradHeizung&gt;99,AB58),#REF!/100,0)</f>
        <v>0</v>
      </c>
      <c r="AD58" s="539">
        <f>IF(AND(DeckungsgradWW&gt;99,AB58),#REF!/100,0)</f>
        <v>0</v>
      </c>
      <c r="AE58" s="539">
        <f>IF(Justificatif!$L$54&gt;0,(Justificatif!$L$34*AC58+qw*AD58)/Justificatif!$L$54,0)</f>
        <v>0</v>
      </c>
      <c r="AF58" s="337" t="b">
        <f>INDEX($AJ$108:$AJ$155,$V58,1)</f>
        <v>0</v>
      </c>
      <c r="AG58" s="549">
        <f>IF(AF58,IF(#REF!&lt;&gt;"",-#REF!,0),0)</f>
        <v>0</v>
      </c>
      <c r="AH58" s="116"/>
      <c r="AJ58" s="2443" t="str">
        <f>Uebersetzung!D561</f>
        <v>Minergie-A avec SIA 380/1:2016</v>
      </c>
      <c r="AK58" s="1756">
        <v>4</v>
      </c>
      <c r="BK58" s="107" t="s">
        <v>113</v>
      </c>
      <c r="BL58" s="312"/>
      <c r="BM58" s="314" t="str">
        <f>IF(Kategorie4&gt;0,INDEX(BM42:BM54,Kategorie4,1),)</f>
        <v xml:space="preserve"> </v>
      </c>
      <c r="BN58" s="313"/>
      <c r="BO58" s="315" t="b">
        <f>IF(Kategorie4&gt;0,INDEX(BO42:BO54,Kategorie4,1),TRUE)</f>
        <v>1</v>
      </c>
      <c r="BP58" s="315">
        <f>IF(Kategorie4&gt;0,INDEX($BP$42:$BP$54,Kategorie3,1),)</f>
        <v>0</v>
      </c>
      <c r="BQ58" s="315">
        <f>IF(Kategorie4&gt;0,INDEX($BQ$42:$BQ$54,Kategorie4,1),)</f>
        <v>0</v>
      </c>
      <c r="BR58" s="315">
        <f>IF(Kategorie4&gt;0,INDEX($BR$42:$BR$54,Kategorie4,1),)</f>
        <v>0</v>
      </c>
      <c r="BS58" s="315">
        <f>IF(Kategorie4&gt;0,INDEX($BS$42:$BS$54,Kategorie4,1),)</f>
        <v>0</v>
      </c>
      <c r="BT58" s="329">
        <f>IF(Kategorie4&gt;0,INDEX($BT$42:$BT$54,Kategorie4,1),)</f>
        <v>0</v>
      </c>
      <c r="BU58" s="315">
        <f>IF(Kategorie4&gt;0,INDEX($BU$42:$BU$54,Kategorie4,1),)</f>
        <v>0</v>
      </c>
      <c r="BV58" s="315">
        <f>IF(Kategorie4&gt;0,INDEX($BV$42:$BV$54,Kategorie4,1),)</f>
        <v>0</v>
      </c>
    </row>
    <row r="59" spans="1:74">
      <c r="A59" s="90" t="s">
        <v>594</v>
      </c>
      <c r="B59" s="91" t="s">
        <v>271</v>
      </c>
      <c r="C59" s="91">
        <v>4</v>
      </c>
      <c r="D59" s="91">
        <v>0</v>
      </c>
      <c r="E59" s="91">
        <v>565</v>
      </c>
      <c r="F59" s="92">
        <v>9.1</v>
      </c>
      <c r="G59" s="562">
        <v>6</v>
      </c>
      <c r="I59" s="488" t="s">
        <v>3761</v>
      </c>
      <c r="J59" s="489"/>
      <c r="K59" s="27">
        <v>5</v>
      </c>
      <c r="L59" s="108" t="str">
        <f>N59</f>
        <v>Enthalpie</v>
      </c>
      <c r="M59" s="136"/>
      <c r="N59" s="136" t="str">
        <f>Uebersetzung!D571</f>
        <v>Enthalpie</v>
      </c>
      <c r="O59" s="84">
        <v>6</v>
      </c>
      <c r="P59" s="332"/>
      <c r="Q59" s="450">
        <v>0.6</v>
      </c>
      <c r="S59" s="1849" t="s">
        <v>3801</v>
      </c>
      <c r="T59" s="156" t="s">
        <v>199</v>
      </c>
      <c r="U59" s="156" t="s">
        <v>199</v>
      </c>
      <c r="X59" s="27" t="b">
        <f>OR(X55:X58)</f>
        <v>0</v>
      </c>
      <c r="Z59" s="540" t="s">
        <v>505</v>
      </c>
      <c r="AA59" s="542">
        <f>SUM(AA55:AA58)</f>
        <v>0</v>
      </c>
      <c r="AD59" s="540" t="s">
        <v>505</v>
      </c>
      <c r="AE59" s="542">
        <f>SUM(AE55:AE58)</f>
        <v>0</v>
      </c>
      <c r="AF59" s="540" t="s">
        <v>100</v>
      </c>
      <c r="AG59" s="550">
        <f>SUM(AG55:AG58)</f>
        <v>0</v>
      </c>
      <c r="AH59" s="313"/>
      <c r="AJ59" s="2443" t="str">
        <f>Uebersetzung!D562</f>
        <v>Minergie avec SIA 380/1:2009</v>
      </c>
      <c r="AK59" s="1756">
        <v>5</v>
      </c>
      <c r="BK59" s="107" t="s">
        <v>346</v>
      </c>
      <c r="BL59" s="127"/>
      <c r="BM59" s="126"/>
      <c r="BN59" s="317"/>
      <c r="BO59" s="119"/>
      <c r="BP59" s="992" t="str">
        <f>IF(AND(Zonen=2,BP55=BP56),BP55&amp;" m/h",IF(AND(Zonen=3,BP55=BP56,BP55=BP57),BP55&amp;" m/h",IF(AND(Zonen=4,BP55=BP56,BP55=BP57,BP55=BP58),BP55&amp;" m/h","Min-P-Stand")))</f>
        <v>Min-P-Stand</v>
      </c>
      <c r="BQ59" s="334">
        <f t="shared" ref="BQ59:BV59" si="16">IF(EBF&gt;0,(BQ55*_EBF1+BQ56*_EBF2+BQ57*_EBF3+BQ58*_EBF4)/EBF,0)</f>
        <v>0</v>
      </c>
      <c r="BR59" s="334">
        <f t="shared" si="16"/>
        <v>0</v>
      </c>
      <c r="BS59" s="135">
        <f t="shared" si="16"/>
        <v>0</v>
      </c>
      <c r="BT59" s="334">
        <f t="shared" si="16"/>
        <v>0</v>
      </c>
      <c r="BU59" s="335">
        <f t="shared" si="16"/>
        <v>0</v>
      </c>
      <c r="BV59" s="335">
        <f t="shared" si="16"/>
        <v>0</v>
      </c>
    </row>
    <row r="60" spans="1:74">
      <c r="A60" s="90" t="s">
        <v>595</v>
      </c>
      <c r="B60" s="91" t="s">
        <v>272</v>
      </c>
      <c r="C60" s="91">
        <v>4</v>
      </c>
      <c r="D60" s="91">
        <v>0</v>
      </c>
      <c r="E60" s="91">
        <v>387</v>
      </c>
      <c r="F60" s="92">
        <v>9.6999999999999993</v>
      </c>
      <c r="G60" s="562">
        <v>7</v>
      </c>
      <c r="I60" s="1592" t="s">
        <v>3288</v>
      </c>
      <c r="J60" s="427">
        <f>IF(_SIA2009,1.25,1.5)</f>
        <v>1.5</v>
      </c>
      <c r="K60" s="27">
        <v>6</v>
      </c>
      <c r="L60" s="94"/>
      <c r="M60" s="60"/>
      <c r="N60" s="60"/>
      <c r="O60" s="1812">
        <v>7</v>
      </c>
      <c r="P60" s="60"/>
      <c r="Q60" s="116"/>
      <c r="R60" s="1848" t="s">
        <v>132</v>
      </c>
      <c r="S60" s="316" t="s">
        <v>3802</v>
      </c>
      <c r="T60" s="822"/>
      <c r="Z60" s="540" t="s">
        <v>506</v>
      </c>
      <c r="AA60" s="543">
        <f>0.95-AE59</f>
        <v>0.95</v>
      </c>
      <c r="AD60" s="540" t="s">
        <v>506</v>
      </c>
      <c r="AE60" s="315">
        <v>0.5</v>
      </c>
      <c r="AJ60" s="2443" t="str">
        <f>Uebersetzung!D563</f>
        <v>Minergie-P avec SIA 380/1:2009</v>
      </c>
      <c r="AK60" s="1756">
        <v>6</v>
      </c>
    </row>
    <row r="61" spans="1:74">
      <c r="A61" s="90" t="s">
        <v>296</v>
      </c>
      <c r="B61" s="91" t="s">
        <v>295</v>
      </c>
      <c r="C61" s="91">
        <v>9</v>
      </c>
      <c r="D61" s="91">
        <v>0</v>
      </c>
      <c r="E61" s="91">
        <v>555</v>
      </c>
      <c r="F61" s="92">
        <v>9.6</v>
      </c>
      <c r="G61" s="562">
        <v>8</v>
      </c>
      <c r="L61" s="245" t="s">
        <v>625</v>
      </c>
      <c r="M61" s="108">
        <f>INDEX($L$54:$N$59,WRGtyp1,3)</f>
        <v>0</v>
      </c>
      <c r="N61" s="332">
        <f>INDEX($Q$54:$Q$59,WRGtyp1,1)-S61</f>
        <v>0</v>
      </c>
      <c r="O61" s="42"/>
      <c r="P61" s="42"/>
      <c r="Q61" s="53"/>
      <c r="R61" s="40" t="str">
        <f>IF(minergiep,IF(OR(WRGtyp1=2,WRGtyp1=3,_EBF1=0),,1),"")</f>
        <v/>
      </c>
      <c r="S61" s="1850">
        <f>IF(Lüftung1=8,IF(WRGtyp1=6,IF(AND(alpin,alpensued=FALSE),0.1,0),IF(OR(WRGtyp1=3,WRGtyp1=4),IF(AND(alpin,alpensued=FALSE),0.35,0.1),0)),0)</f>
        <v>0</v>
      </c>
      <c r="T61" s="27"/>
      <c r="U61" s="176" t="s">
        <v>689</v>
      </c>
      <c r="V61" s="177"/>
      <c r="W61" s="233"/>
      <c r="AD61" s="540" t="s">
        <v>507</v>
      </c>
      <c r="AE61" s="544" t="b">
        <f>IF(AND(AE59&gt;=AE60,AA59&gt;=AA60,X59=TRUE),TRUE,FALSE)</f>
        <v>0</v>
      </c>
      <c r="AJ61" s="2443" t="str">
        <f>Uebersetzung!D564</f>
        <v>Minergie-A avec SIA 380/1:2009</v>
      </c>
      <c r="AK61" s="1756">
        <v>7</v>
      </c>
    </row>
    <row r="62" spans="1:74">
      <c r="A62" s="90" t="s">
        <v>297</v>
      </c>
      <c r="B62" s="91" t="s">
        <v>295</v>
      </c>
      <c r="C62" s="91">
        <v>9</v>
      </c>
      <c r="D62" s="91">
        <v>4</v>
      </c>
      <c r="E62" s="91">
        <v>1590</v>
      </c>
      <c r="F62" s="92">
        <v>3.6</v>
      </c>
      <c r="G62" s="562">
        <v>9</v>
      </c>
      <c r="L62" s="245" t="s">
        <v>626</v>
      </c>
      <c r="M62" s="108">
        <f>INDEX($L$54:$N$59,WRGtyp2,3)</f>
        <v>0</v>
      </c>
      <c r="N62" s="332">
        <f>INDEX($Q$54:$Q$59,WRGtyp2,1)</f>
        <v>0</v>
      </c>
      <c r="O62" s="42"/>
      <c r="P62" s="42"/>
      <c r="Q62" s="53"/>
      <c r="R62" s="45" t="str">
        <f>IF(minergiep,IF(OR(WRGtyp2=2,WRGtyp2=3,_EBF2=0),,1),"")</f>
        <v/>
      </c>
      <c r="S62" s="1851">
        <f>IF(Lüftung2=8,IF(WRGtyp2=6,IF(AND(alpin,alpensued=FALSE),0.1,0),IF(OR(WRGtyp2=3,WRGtyp2=4),IF(AND(alpin,alpensued=FALSE),0.35,0.1),0)),0)</f>
        <v>0</v>
      </c>
      <c r="T62" s="42"/>
      <c r="U62" s="161" t="s">
        <v>469</v>
      </c>
      <c r="V62" s="230" t="s">
        <v>177</v>
      </c>
      <c r="W62" s="231"/>
      <c r="AJ62" s="2444" t="str">
        <f>Uebersetzung!D702</f>
        <v>Loi sur l'énergie bernoise 2026</v>
      </c>
      <c r="AK62" s="1757">
        <v>8</v>
      </c>
      <c r="BL62" s="341" t="s">
        <v>269</v>
      </c>
      <c r="BM62" s="394"/>
      <c r="BN62" s="394"/>
      <c r="BO62" s="395"/>
    </row>
    <row r="63" spans="1:74">
      <c r="A63" s="90" t="s">
        <v>298</v>
      </c>
      <c r="B63" s="91" t="s">
        <v>295</v>
      </c>
      <c r="C63" s="91">
        <v>9</v>
      </c>
      <c r="D63" s="91">
        <v>0</v>
      </c>
      <c r="E63" s="91">
        <v>1190</v>
      </c>
      <c r="F63" s="92">
        <v>6.7</v>
      </c>
      <c r="G63" s="562">
        <v>10</v>
      </c>
      <c r="L63" s="245" t="s">
        <v>627</v>
      </c>
      <c r="M63" s="108">
        <f>INDEX($L$54:$N$59,WRGtyp3,3)</f>
        <v>0</v>
      </c>
      <c r="N63" s="332">
        <f>INDEX($Q$54:$Q$59,WRGtyp3,1)</f>
        <v>0</v>
      </c>
      <c r="O63" s="42"/>
      <c r="P63" s="42"/>
      <c r="Q63" s="53"/>
      <c r="R63" s="45" t="str">
        <f>IF(minergiep,IF(OR(WRGtyp3=2,WRGtyp3=3,_EBF3=0),,1),"")</f>
        <v/>
      </c>
      <c r="S63" s="1851">
        <f>IF(Lüftung3=8,IF(WRGtyp3=6,IF(AND(alpin,alpensued=FALSE),0.1,0),IF(OR(WRGtyp3=3,WRGtyp3=4),IF(AND(alpin,alpensued=FALSE),0.35,0.1),0)),0)</f>
        <v>0</v>
      </c>
      <c r="T63" s="42">
        <v>1</v>
      </c>
      <c r="U63" s="108" t="str">
        <f>INDEX($V$108:$V$155,_typ1,1)</f>
        <v xml:space="preserve">  </v>
      </c>
      <c r="V63" s="263" t="str">
        <f>INDEX($W$108:$W$155,_typ1,1)</f>
        <v xml:space="preserve">  </v>
      </c>
      <c r="W63" s="44"/>
      <c r="AJ63" s="49">
        <f>IF(Entrées!E14="",0,VLOOKUP(Entrées!E14,AJ55:AK62,2,FALSE))</f>
        <v>1</v>
      </c>
      <c r="AK63" s="968">
        <f>IF(AJ63=8,8,IF(AJ63&lt;5,AJ63,AJ63-3))</f>
        <v>1</v>
      </c>
      <c r="AL63" s="1594" t="s">
        <v>5026</v>
      </c>
      <c r="BL63" s="119" t="b">
        <v>1</v>
      </c>
    </row>
    <row r="64" spans="1:74">
      <c r="A64" s="90" t="s">
        <v>292</v>
      </c>
      <c r="B64" s="91" t="s">
        <v>293</v>
      </c>
      <c r="C64" s="91">
        <v>7</v>
      </c>
      <c r="D64" s="91">
        <v>2</v>
      </c>
      <c r="E64" s="91">
        <v>1035</v>
      </c>
      <c r="F64" s="92">
        <v>6.4</v>
      </c>
      <c r="G64" s="562">
        <v>11</v>
      </c>
      <c r="L64" s="246" t="s">
        <v>628</v>
      </c>
      <c r="M64" s="109">
        <f>INDEX($L$54:$N$59,WRGtyp4,3)</f>
        <v>0</v>
      </c>
      <c r="N64" s="333">
        <f>INDEX($Q$54:$Q$59,WRGtyp4,1)</f>
        <v>0</v>
      </c>
      <c r="O64" s="60"/>
      <c r="P64" s="60"/>
      <c r="Q64" s="116"/>
      <c r="R64" s="49" t="str">
        <f>IF(minergiep,IF(OR(WRGtyp4=2,WRGtyp4=3,_EBF4=0),,1),"")</f>
        <v/>
      </c>
      <c r="S64" s="1852">
        <f>IF(Lüftung4=8,IF(WRGtyp4=6,IF(AND(alpin,alpensued=FALSE),0.1,0),IF(OR(WRGtyp4=3,WRGtyp4=4),IF(AND(alpin,alpensued=FALSE),0.35,0.1),0)),0)</f>
        <v>0</v>
      </c>
      <c r="T64" s="42">
        <v>2</v>
      </c>
      <c r="U64" s="108" t="str">
        <f>INDEX($V$108:$V$155,_typ2,1)</f>
        <v xml:space="preserve">  </v>
      </c>
      <c r="V64" s="263" t="str">
        <f>INDEX($W$108:$W$155,_typ2,1)</f>
        <v xml:space="preserve">  </v>
      </c>
      <c r="W64" s="44"/>
      <c r="AD64" s="737"/>
      <c r="AJ64" s="135" t="s">
        <v>3554</v>
      </c>
      <c r="AK64" s="968" t="b">
        <f>IF(AND(AJ63&gt;4,AJ63&lt;8),TRUE,FALSE)</f>
        <v>0</v>
      </c>
      <c r="AL64" s="968" t="b">
        <f>IF(AJ63=8,TRUE,FALSE)</f>
        <v>0</v>
      </c>
    </row>
    <row r="65" spans="1:71">
      <c r="A65" s="90" t="s">
        <v>284</v>
      </c>
      <c r="B65" s="91" t="s">
        <v>285</v>
      </c>
      <c r="C65" s="91">
        <v>5</v>
      </c>
      <c r="D65" s="91">
        <v>0</v>
      </c>
      <c r="E65" s="91">
        <v>420</v>
      </c>
      <c r="F65" s="92">
        <v>10.7</v>
      </c>
      <c r="G65" s="562">
        <v>12</v>
      </c>
      <c r="I65" s="495"/>
      <c r="J65" s="495"/>
      <c r="R65" s="823">
        <f>IF(SUM(R61:R64)&gt;9,2,IF(SUM(R61:R64)&gt;0,1,))</f>
        <v>0</v>
      </c>
      <c r="T65" s="42">
        <v>3</v>
      </c>
      <c r="U65" s="108" t="str">
        <f>INDEX($V$108:$V$155,_typ3,1)</f>
        <v xml:space="preserve">  </v>
      </c>
      <c r="V65" s="263" t="str">
        <f>INDEX($W$108:$W$155,_typ3,1)</f>
        <v xml:space="preserve">  </v>
      </c>
      <c r="W65" s="44"/>
      <c r="X65" s="3041" t="s">
        <v>3111</v>
      </c>
      <c r="Y65" s="3043"/>
      <c r="Z65" s="3043"/>
      <c r="AA65" s="3043"/>
      <c r="AB65" s="3043"/>
      <c r="AC65" s="3043"/>
      <c r="AD65" s="1647" t="s">
        <v>555</v>
      </c>
      <c r="AE65" s="1648">
        <f>IF(minergiea,IF(Neubau1=3,AC$68,AB$68),IF(minergiep,IF(Neubau1=3,AA$68,Z$68),IF(Neubau1=3,Y$68,X$68)))</f>
        <v>15</v>
      </c>
      <c r="AF65" s="737" t="s">
        <v>524</v>
      </c>
    </row>
    <row r="66" spans="1:71">
      <c r="A66" s="90" t="s">
        <v>288</v>
      </c>
      <c r="B66" s="91" t="s">
        <v>289</v>
      </c>
      <c r="C66" s="91">
        <v>6</v>
      </c>
      <c r="D66" s="91">
        <v>0</v>
      </c>
      <c r="E66" s="91">
        <v>515</v>
      </c>
      <c r="F66" s="92">
        <v>8.8000000000000007</v>
      </c>
      <c r="G66" s="562">
        <v>13</v>
      </c>
      <c r="L66" s="1828" t="s">
        <v>529</v>
      </c>
      <c r="M66" s="916"/>
      <c r="N66" s="1829"/>
      <c r="O66" s="156"/>
      <c r="P66" s="3055" t="s">
        <v>3618</v>
      </c>
      <c r="Q66" s="3056"/>
      <c r="R66" s="3056"/>
      <c r="S66" s="3057"/>
      <c r="T66" s="42">
        <v>4</v>
      </c>
      <c r="U66" s="264" t="str">
        <f>INDEX($V$108:$V$155,_typ4,1)</f>
        <v xml:space="preserve">  </v>
      </c>
      <c r="V66" s="265" t="str">
        <f>INDEX($W$108:$W$155,_typ4,1)</f>
        <v xml:space="preserve">  </v>
      </c>
      <c r="W66" s="111"/>
      <c r="X66" s="3041" t="s">
        <v>546</v>
      </c>
      <c r="Y66" s="3042"/>
      <c r="Z66" s="3041" t="s">
        <v>663</v>
      </c>
      <c r="AA66" s="3042"/>
      <c r="AB66" s="3041" t="s">
        <v>499</v>
      </c>
      <c r="AC66" s="3043"/>
      <c r="AD66" s="808" t="s">
        <v>556</v>
      </c>
      <c r="AE66" s="1649">
        <f>IF(minergiea,IF(Neubau2=3,AC$68,AB$68),IF(minergiep,IF(Neubau2=3,AA$68,Z$68),IF(Neubau2=3,Y$68,X$68)))</f>
        <v>15</v>
      </c>
      <c r="AF66" s="737" t="s">
        <v>524</v>
      </c>
    </row>
    <row r="67" spans="1:71">
      <c r="A67" s="90" t="s">
        <v>300</v>
      </c>
      <c r="B67" s="91" t="s">
        <v>299</v>
      </c>
      <c r="C67" s="91">
        <v>12</v>
      </c>
      <c r="D67" s="91">
        <v>8</v>
      </c>
      <c r="E67" s="91">
        <v>2472</v>
      </c>
      <c r="F67" s="92">
        <v>-0.5</v>
      </c>
      <c r="G67" s="562">
        <v>14</v>
      </c>
      <c r="L67" s="1680">
        <v>1</v>
      </c>
      <c r="M67" s="1830" t="s">
        <v>629</v>
      </c>
      <c r="N67" s="1831" t="s">
        <v>643</v>
      </c>
      <c r="O67" s="156"/>
      <c r="P67" s="435" t="s">
        <v>555</v>
      </c>
      <c r="Q67" s="435" t="s">
        <v>556</v>
      </c>
      <c r="R67" s="435" t="s">
        <v>234</v>
      </c>
      <c r="S67" s="435" t="s">
        <v>235</v>
      </c>
      <c r="X67" s="1625" t="s">
        <v>650</v>
      </c>
      <c r="Y67" s="1626" t="s">
        <v>1693</v>
      </c>
      <c r="Z67" s="1625" t="s">
        <v>650</v>
      </c>
      <c r="AA67" s="1626" t="s">
        <v>1693</v>
      </c>
      <c r="AB67" s="1625" t="s">
        <v>650</v>
      </c>
      <c r="AC67" s="1626" t="s">
        <v>1693</v>
      </c>
      <c r="AD67" s="808" t="s">
        <v>234</v>
      </c>
      <c r="AE67" s="1649">
        <f>IF(minergiea,IF(Neubau3=3,AC$68,AB$68),IF(minergiep,IF(Neubau3=3,AA$68,Z$68),IF(Neubau3=3,Y$68,X$68)))</f>
        <v>15</v>
      </c>
      <c r="AF67" s="737" t="s">
        <v>524</v>
      </c>
      <c r="AL67" s="232"/>
      <c r="AM67" s="232"/>
    </row>
    <row r="68" spans="1:71" ht="15.75">
      <c r="A68" s="90" t="s">
        <v>596</v>
      </c>
      <c r="B68" s="91" t="s">
        <v>273</v>
      </c>
      <c r="C68" s="91">
        <v>3</v>
      </c>
      <c r="D68" s="91">
        <v>0</v>
      </c>
      <c r="E68" s="91">
        <v>440</v>
      </c>
      <c r="F68" s="92">
        <v>9.1999999999999993</v>
      </c>
      <c r="G68" s="562">
        <v>15</v>
      </c>
      <c r="L68" s="159">
        <v>2</v>
      </c>
      <c r="M68" s="169" t="s">
        <v>630</v>
      </c>
      <c r="N68" s="171" t="s">
        <v>644</v>
      </c>
      <c r="O68" s="107"/>
      <c r="P68" s="1682" t="str">
        <f t="shared" ref="P68:P77" si="17">O35</f>
        <v/>
      </c>
      <c r="Q68" s="1682"/>
      <c r="R68" s="1682"/>
      <c r="S68" s="1682"/>
      <c r="T68" s="562">
        <v>1</v>
      </c>
      <c r="W68" s="1075" t="s">
        <v>1792</v>
      </c>
      <c r="X68" s="963">
        <v>15</v>
      </c>
      <c r="Y68" s="427">
        <v>50</v>
      </c>
      <c r="Z68" s="963">
        <v>10</v>
      </c>
      <c r="AA68" s="427">
        <v>40</v>
      </c>
      <c r="AB68" s="963">
        <v>-5</v>
      </c>
      <c r="AC68" s="964">
        <v>-5</v>
      </c>
      <c r="AD68" s="809" t="s">
        <v>235</v>
      </c>
      <c r="AE68" s="1650">
        <f>IF(minergiea,IF(Neubau4=3,AC$68,AB$68),IF(minergiep,IF(Neubau4=3,AA$68,Z$68),IF(Neubau4=3,Y$68,X$68)))</f>
        <v>15</v>
      </c>
      <c r="AF68" s="737" t="s">
        <v>524</v>
      </c>
      <c r="AG68" s="737" t="s">
        <v>3436</v>
      </c>
      <c r="AI68" s="737" t="s">
        <v>546</v>
      </c>
      <c r="AJ68" s="737" t="s">
        <v>3555</v>
      </c>
      <c r="AL68" s="3044" t="s">
        <v>3558</v>
      </c>
      <c r="AM68" s="3044"/>
      <c r="AN68" s="738" t="s">
        <v>3931</v>
      </c>
      <c r="BL68" s="251"/>
    </row>
    <row r="69" spans="1:71" ht="15.75">
      <c r="A69" s="90" t="s">
        <v>294</v>
      </c>
      <c r="B69" s="91" t="s">
        <v>271</v>
      </c>
      <c r="C69" s="91">
        <v>8</v>
      </c>
      <c r="D69" s="91">
        <v>0</v>
      </c>
      <c r="E69" s="91">
        <v>580</v>
      </c>
      <c r="F69" s="92">
        <v>8.6999999999999993</v>
      </c>
      <c r="G69" s="562">
        <v>16</v>
      </c>
      <c r="L69" s="159">
        <v>1</v>
      </c>
      <c r="M69" s="108" t="s">
        <v>645</v>
      </c>
      <c r="N69" s="168" t="s">
        <v>645</v>
      </c>
      <c r="O69" s="107"/>
      <c r="P69" s="45" t="str">
        <f t="shared" si="17"/>
        <v>Pas de ventilation</v>
      </c>
      <c r="Q69" s="45" t="str">
        <f t="shared" ref="Q69:Q77" si="18">IF(Zonen&gt;1,O36,"")</f>
        <v/>
      </c>
      <c r="R69" s="45" t="str">
        <f t="shared" ref="R69:R77" si="19">IF(Zonen&gt;2,O36,"")</f>
        <v/>
      </c>
      <c r="S69" s="45" t="str">
        <f t="shared" ref="S69:S77" si="20">IF(Zonen&gt;3,O36,"")</f>
        <v/>
      </c>
      <c r="T69" s="562">
        <v>2</v>
      </c>
      <c r="W69" s="1190" t="s">
        <v>1791</v>
      </c>
      <c r="X69" s="1185" t="s">
        <v>546</v>
      </c>
      <c r="Y69" s="1187"/>
      <c r="Z69" s="1185" t="s">
        <v>663</v>
      </c>
      <c r="AA69" s="1187"/>
      <c r="AB69" s="1195"/>
      <c r="AC69" s="1186" t="s">
        <v>735</v>
      </c>
      <c r="AD69" s="3038" t="s">
        <v>2445</v>
      </c>
      <c r="AE69" s="3039"/>
      <c r="AF69" s="3040"/>
      <c r="AG69" s="1254" t="s">
        <v>80</v>
      </c>
      <c r="AH69" s="1255" t="s">
        <v>1888</v>
      </c>
      <c r="AI69" s="733" t="s">
        <v>499</v>
      </c>
      <c r="AJ69" s="1767" t="s">
        <v>80</v>
      </c>
      <c r="AK69" s="1768" t="s">
        <v>1888</v>
      </c>
      <c r="AL69" s="1767" t="s">
        <v>80</v>
      </c>
      <c r="AM69" s="1768" t="s">
        <v>1888</v>
      </c>
      <c r="AN69" s="1762" t="s">
        <v>499</v>
      </c>
      <c r="BL69" s="251" t="s">
        <v>381</v>
      </c>
    </row>
    <row r="70" spans="1:71" ht="15.75" customHeight="1">
      <c r="A70" s="90" t="s">
        <v>597</v>
      </c>
      <c r="B70" s="91" t="s">
        <v>270</v>
      </c>
      <c r="C70" s="91">
        <v>2</v>
      </c>
      <c r="D70" s="91">
        <v>0</v>
      </c>
      <c r="E70" s="91">
        <v>1019</v>
      </c>
      <c r="F70" s="92">
        <v>6.5</v>
      </c>
      <c r="G70" s="562">
        <v>17</v>
      </c>
      <c r="L70" s="43"/>
      <c r="M70" s="108"/>
      <c r="N70" s="168"/>
      <c r="O70" s="107"/>
      <c r="P70" s="45" t="str">
        <f t="shared" si="17"/>
        <v>FOU/REP sans RC</v>
      </c>
      <c r="Q70" s="45" t="str">
        <f t="shared" si="18"/>
        <v/>
      </c>
      <c r="R70" s="45" t="str">
        <f t="shared" si="19"/>
        <v/>
      </c>
      <c r="S70" s="45" t="str">
        <f t="shared" si="20"/>
        <v/>
      </c>
      <c r="T70" s="562">
        <v>3</v>
      </c>
      <c r="W70" s="1191" t="s">
        <v>1781</v>
      </c>
      <c r="X70" s="1180" t="s">
        <v>650</v>
      </c>
      <c r="Y70" s="1181" t="s">
        <v>1693</v>
      </c>
      <c r="Z70" s="1180" t="s">
        <v>650</v>
      </c>
      <c r="AA70" s="1181" t="s">
        <v>1693</v>
      </c>
      <c r="AB70" s="734" t="s">
        <v>632</v>
      </c>
      <c r="AC70" s="1182" t="s">
        <v>493</v>
      </c>
      <c r="AD70" s="1181" t="s">
        <v>696</v>
      </c>
      <c r="AE70" s="1180" t="s">
        <v>1849</v>
      </c>
      <c r="AF70" s="1204" t="s">
        <v>1852</v>
      </c>
      <c r="AG70" s="1204" t="s">
        <v>524</v>
      </c>
      <c r="AH70" s="1205" t="s">
        <v>524</v>
      </c>
      <c r="AI70" s="734" t="s">
        <v>2212</v>
      </c>
      <c r="AJ70" s="1758" t="s">
        <v>524</v>
      </c>
      <c r="AK70" s="1759" t="s">
        <v>524</v>
      </c>
      <c r="AL70" s="1772" t="s">
        <v>524</v>
      </c>
      <c r="AM70" s="1773" t="s">
        <v>524</v>
      </c>
      <c r="AN70" s="1874" t="s">
        <v>3931</v>
      </c>
    </row>
    <row r="71" spans="1:71" ht="13.5" thickBot="1">
      <c r="A71" s="90" t="s">
        <v>598</v>
      </c>
      <c r="B71" s="91" t="s">
        <v>286</v>
      </c>
      <c r="C71" s="91">
        <v>2</v>
      </c>
      <c r="D71" s="91">
        <v>0</v>
      </c>
      <c r="E71" s="91">
        <v>1202</v>
      </c>
      <c r="F71" s="92">
        <v>6</v>
      </c>
      <c r="G71" s="562">
        <v>18</v>
      </c>
      <c r="L71" s="163"/>
      <c r="M71" s="172"/>
      <c r="N71" s="173"/>
      <c r="O71" s="107"/>
      <c r="P71" s="45" t="str">
        <f t="shared" si="17"/>
        <v>Double flux</v>
      </c>
      <c r="Q71" s="45" t="str">
        <f t="shared" si="18"/>
        <v/>
      </c>
      <c r="R71" s="45" t="str">
        <f t="shared" si="19"/>
        <v/>
      </c>
      <c r="S71" s="45" t="str">
        <f t="shared" si="20"/>
        <v/>
      </c>
      <c r="T71" s="562">
        <v>4</v>
      </c>
      <c r="W71" s="1192"/>
      <c r="X71" s="1192"/>
      <c r="Y71" s="1194"/>
      <c r="Z71" s="1192"/>
      <c r="AA71" s="1194"/>
      <c r="AB71" s="1189"/>
      <c r="AC71" s="1193"/>
      <c r="AD71" s="1179"/>
      <c r="AE71" s="1178"/>
      <c r="AF71" s="1203"/>
      <c r="AG71" s="1256"/>
      <c r="AH71" s="1257"/>
      <c r="AI71" s="1189"/>
      <c r="AJ71" s="1256"/>
      <c r="AK71" s="1257"/>
      <c r="AL71" s="1256"/>
      <c r="AM71" s="1257"/>
      <c r="AN71" s="1875"/>
      <c r="BL71" s="54" t="s">
        <v>382</v>
      </c>
      <c r="BM71" s="76"/>
      <c r="BN71" s="250" t="s">
        <v>717</v>
      </c>
      <c r="BO71" s="250" t="s">
        <v>207</v>
      </c>
      <c r="BP71" s="250" t="s">
        <v>208</v>
      </c>
      <c r="BQ71" s="477" t="s">
        <v>209</v>
      </c>
      <c r="BR71" s="477" t="s">
        <v>691</v>
      </c>
      <c r="BS71" s="477" t="s">
        <v>447</v>
      </c>
    </row>
    <row r="72" spans="1:71">
      <c r="A72" s="90" t="s">
        <v>306</v>
      </c>
      <c r="B72" s="91" t="s">
        <v>305</v>
      </c>
      <c r="C72" s="91">
        <v>12</v>
      </c>
      <c r="D72" s="91">
        <v>0</v>
      </c>
      <c r="E72" s="91">
        <v>366</v>
      </c>
      <c r="F72" s="92">
        <v>12.3</v>
      </c>
      <c r="G72" s="562">
        <v>19</v>
      </c>
      <c r="L72" s="174" t="s">
        <v>625</v>
      </c>
      <c r="M72" s="108" t="str">
        <f>INDEX($M$67:$O$71,ACDC1,2)</f>
        <v>AC-Motor</v>
      </c>
      <c r="N72" s="168"/>
      <c r="O72" s="107"/>
      <c r="P72" s="45" t="str">
        <f t="shared" si="17"/>
        <v>FOU/REP+PAC</v>
      </c>
      <c r="Q72" s="45" t="str">
        <f t="shared" si="18"/>
        <v/>
      </c>
      <c r="R72" s="45" t="str">
        <f t="shared" si="19"/>
        <v/>
      </c>
      <c r="S72" s="45" t="str">
        <f t="shared" si="20"/>
        <v/>
      </c>
      <c r="T72" s="562">
        <v>5</v>
      </c>
      <c r="W72" s="428" t="s">
        <v>29</v>
      </c>
      <c r="X72" s="84">
        <v>55</v>
      </c>
      <c r="Y72" s="84">
        <v>90</v>
      </c>
      <c r="Z72" s="1183">
        <v>50</v>
      </c>
      <c r="AA72" s="1184">
        <v>80</v>
      </c>
      <c r="AB72" s="84" t="s">
        <v>49</v>
      </c>
      <c r="AC72" s="45">
        <v>99999999</v>
      </c>
      <c r="AD72" s="84">
        <v>0</v>
      </c>
      <c r="AE72" s="45">
        <v>0</v>
      </c>
      <c r="AF72" s="1206">
        <v>0</v>
      </c>
      <c r="AG72" s="1644">
        <v>13</v>
      </c>
      <c r="AH72" s="1645">
        <v>15</v>
      </c>
      <c r="AI72" s="45">
        <f>35</f>
        <v>35</v>
      </c>
      <c r="AJ72" s="1763">
        <v>14</v>
      </c>
      <c r="AK72" s="1764">
        <v>16</v>
      </c>
      <c r="AL72" s="1721">
        <f t="shared" ref="AL72:AL83" si="21">IF(_SIA2009,AJ72,AG72)</f>
        <v>13</v>
      </c>
      <c r="AM72" s="1761">
        <f t="shared" ref="AM72:AM83" si="22">IF(_SIA2009,AK72,AH72)</f>
        <v>15</v>
      </c>
      <c r="AN72" s="1881">
        <v>0</v>
      </c>
      <c r="BL72" s="127" t="s">
        <v>446</v>
      </c>
      <c r="BM72" s="126"/>
      <c r="BN72" s="135">
        <f>F_s1</f>
        <v>0</v>
      </c>
      <c r="BO72" s="135">
        <f>F_s2</f>
        <v>0</v>
      </c>
      <c r="BP72" s="135">
        <f>F_s3</f>
        <v>0</v>
      </c>
      <c r="BQ72" s="427">
        <f>F_s4</f>
        <v>0</v>
      </c>
      <c r="BR72" s="335">
        <f>IF(EBF&gt;0,(BN72*_EBF1+BO72*_EBF2+BP72*_EBF3+BQ72*_EBF4)/EBF,0)</f>
        <v>0</v>
      </c>
      <c r="BS72" s="88"/>
    </row>
    <row r="73" spans="1:71" ht="15.75" customHeight="1">
      <c r="A73" s="90" t="s">
        <v>307</v>
      </c>
      <c r="B73" s="91" t="s">
        <v>305</v>
      </c>
      <c r="C73" s="91">
        <v>12</v>
      </c>
      <c r="D73" s="91">
        <v>0</v>
      </c>
      <c r="E73" s="91">
        <v>273</v>
      </c>
      <c r="F73" s="92">
        <v>12.4</v>
      </c>
      <c r="G73" s="562">
        <v>20</v>
      </c>
      <c r="L73" s="174" t="s">
        <v>626</v>
      </c>
      <c r="M73" s="108" t="str">
        <f>INDEX($M$67:$O$71,ACDC2,2)</f>
        <v>AC-Motor</v>
      </c>
      <c r="N73" s="168"/>
      <c r="O73" s="107"/>
      <c r="P73" s="45" t="str">
        <f t="shared" si="17"/>
        <v>REP</v>
      </c>
      <c r="Q73" s="45" t="str">
        <f t="shared" si="18"/>
        <v/>
      </c>
      <c r="R73" s="45" t="str">
        <f t="shared" si="19"/>
        <v/>
      </c>
      <c r="S73" s="45" t="str">
        <f t="shared" si="20"/>
        <v/>
      </c>
      <c r="T73" s="562">
        <v>6</v>
      </c>
      <c r="W73" s="428" t="s">
        <v>0</v>
      </c>
      <c r="X73" s="84">
        <v>55</v>
      </c>
      <c r="Y73" s="84">
        <v>90</v>
      </c>
      <c r="Z73" s="1090">
        <v>50</v>
      </c>
      <c r="AA73" s="1091">
        <v>80</v>
      </c>
      <c r="AB73" s="84" t="s">
        <v>50</v>
      </c>
      <c r="AC73" s="45">
        <v>99999999</v>
      </c>
      <c r="AD73" s="84">
        <v>0</v>
      </c>
      <c r="AE73" s="45">
        <v>0</v>
      </c>
      <c r="AF73" s="1206">
        <v>0</v>
      </c>
      <c r="AG73" s="1644">
        <v>16</v>
      </c>
      <c r="AH73" s="1645">
        <v>15</v>
      </c>
      <c r="AI73" s="45">
        <f>35</f>
        <v>35</v>
      </c>
      <c r="AJ73" s="1763">
        <v>16</v>
      </c>
      <c r="AK73" s="1764">
        <v>16</v>
      </c>
      <c r="AL73" s="1770">
        <f t="shared" si="21"/>
        <v>16</v>
      </c>
      <c r="AM73" s="1771">
        <f t="shared" si="22"/>
        <v>15</v>
      </c>
      <c r="AN73" s="227">
        <v>0</v>
      </c>
      <c r="BL73" s="127" t="s">
        <v>101</v>
      </c>
      <c r="BM73" s="126"/>
      <c r="BN73" s="335">
        <f>BN72/3.6</f>
        <v>0</v>
      </c>
      <c r="BO73" s="335">
        <f>BO72/3.6</f>
        <v>0</v>
      </c>
      <c r="BP73" s="335">
        <f>BP72/3.6</f>
        <v>0</v>
      </c>
      <c r="BQ73" s="335">
        <f>BQ72/3.6</f>
        <v>0</v>
      </c>
      <c r="BR73" s="551">
        <f>BR72/3.6</f>
        <v>0</v>
      </c>
      <c r="BS73" s="120"/>
    </row>
    <row r="74" spans="1:71">
      <c r="A74" s="90" t="s">
        <v>281</v>
      </c>
      <c r="B74" s="91" t="s">
        <v>282</v>
      </c>
      <c r="C74" s="91">
        <v>7</v>
      </c>
      <c r="D74" s="91">
        <v>0</v>
      </c>
      <c r="E74" s="91">
        <v>456</v>
      </c>
      <c r="F74" s="92">
        <v>9.6999999999999993</v>
      </c>
      <c r="G74" s="562">
        <v>21</v>
      </c>
      <c r="L74" s="174" t="s">
        <v>627</v>
      </c>
      <c r="M74" s="108" t="str">
        <f>INDEX($M$67:$O$71,ACDC3,2)</f>
        <v>AC-Motor</v>
      </c>
      <c r="N74" s="168"/>
      <c r="O74" s="107"/>
      <c r="P74" s="45" t="str">
        <f t="shared" si="17"/>
        <v>REP+PAC</v>
      </c>
      <c r="Q74" s="45" t="str">
        <f t="shared" si="18"/>
        <v/>
      </c>
      <c r="R74" s="45" t="str">
        <f t="shared" si="19"/>
        <v/>
      </c>
      <c r="S74" s="45" t="str">
        <f t="shared" si="20"/>
        <v/>
      </c>
      <c r="T74" s="562">
        <v>7</v>
      </c>
      <c r="W74" s="428" t="s">
        <v>1782</v>
      </c>
      <c r="X74" s="1643">
        <v>80</v>
      </c>
      <c r="Y74" s="1643">
        <v>120</v>
      </c>
      <c r="Z74" s="1644">
        <v>75</v>
      </c>
      <c r="AA74" s="1645">
        <v>115</v>
      </c>
      <c r="AB74" s="84" t="s">
        <v>5</v>
      </c>
      <c r="AC74" s="45">
        <v>250</v>
      </c>
      <c r="AD74" s="1643">
        <v>20</v>
      </c>
      <c r="AE74" s="1646">
        <v>33</v>
      </c>
      <c r="AF74" s="1644">
        <v>7</v>
      </c>
      <c r="AG74" s="1644">
        <v>13</v>
      </c>
      <c r="AH74" s="1645">
        <v>15</v>
      </c>
      <c r="AI74" s="45">
        <f>35</f>
        <v>35</v>
      </c>
      <c r="AJ74" s="1763">
        <v>16</v>
      </c>
      <c r="AK74" s="1764">
        <v>21</v>
      </c>
      <c r="AL74" s="1770">
        <f t="shared" si="21"/>
        <v>13</v>
      </c>
      <c r="AM74" s="1771">
        <f t="shared" si="22"/>
        <v>15</v>
      </c>
      <c r="AN74" s="227">
        <v>0</v>
      </c>
      <c r="BL74" s="36" t="s">
        <v>102</v>
      </c>
      <c r="BM74" s="115"/>
      <c r="BN74" s="552">
        <f>AG55</f>
        <v>0</v>
      </c>
      <c r="BO74" s="552">
        <f>AG56</f>
        <v>0</v>
      </c>
      <c r="BP74" s="552">
        <f>AG57</f>
        <v>0</v>
      </c>
      <c r="BQ74" s="552">
        <f>AG58</f>
        <v>0</v>
      </c>
      <c r="BR74" s="335">
        <f>SUM(BN74:BQ74)</f>
        <v>0</v>
      </c>
      <c r="BS74" s="120"/>
    </row>
    <row r="75" spans="1:71">
      <c r="A75" s="90" t="s">
        <v>599</v>
      </c>
      <c r="B75" s="91" t="s">
        <v>305</v>
      </c>
      <c r="C75" s="91">
        <v>12</v>
      </c>
      <c r="D75" s="91">
        <v>0</v>
      </c>
      <c r="E75" s="91">
        <v>197</v>
      </c>
      <c r="F75" s="92">
        <v>11.7</v>
      </c>
      <c r="G75" s="562">
        <v>22</v>
      </c>
      <c r="L75" s="175" t="s">
        <v>628</v>
      </c>
      <c r="M75" s="109" t="str">
        <f>INDEX($M$67:$O$71,ACDC4,2)</f>
        <v>AC-Motor</v>
      </c>
      <c r="N75" s="167"/>
      <c r="O75" s="107"/>
      <c r="P75" s="45" t="str">
        <f t="shared" si="17"/>
        <v>Par Local</v>
      </c>
      <c r="Q75" s="45" t="str">
        <f t="shared" si="18"/>
        <v/>
      </c>
      <c r="R75" s="45" t="str">
        <f t="shared" si="19"/>
        <v/>
      </c>
      <c r="S75" s="45" t="str">
        <f t="shared" si="20"/>
        <v/>
      </c>
      <c r="T75" s="562">
        <v>8</v>
      </c>
      <c r="W75" s="428" t="s">
        <v>1783</v>
      </c>
      <c r="X75" s="84">
        <v>45</v>
      </c>
      <c r="Y75" s="84">
        <v>85</v>
      </c>
      <c r="Z75" s="1090">
        <v>40</v>
      </c>
      <c r="AA75" s="1091">
        <v>75</v>
      </c>
      <c r="AB75" s="84" t="s">
        <v>7</v>
      </c>
      <c r="AC75" s="45">
        <v>250</v>
      </c>
      <c r="AD75" s="1643">
        <v>17</v>
      </c>
      <c r="AE75" s="1646">
        <v>10</v>
      </c>
      <c r="AF75" s="1644">
        <v>6</v>
      </c>
      <c r="AG75" s="1644">
        <v>14</v>
      </c>
      <c r="AH75" s="1645">
        <v>15</v>
      </c>
      <c r="AI75" s="45">
        <f>20</f>
        <v>20</v>
      </c>
      <c r="AJ75" s="1763">
        <v>18</v>
      </c>
      <c r="AK75" s="1764">
        <v>18</v>
      </c>
      <c r="AL75" s="1770">
        <f t="shared" si="21"/>
        <v>14</v>
      </c>
      <c r="AM75" s="1771">
        <f t="shared" si="22"/>
        <v>15</v>
      </c>
      <c r="AN75" s="227">
        <v>0</v>
      </c>
      <c r="BL75" s="127" t="s">
        <v>103</v>
      </c>
      <c r="BM75" s="126"/>
      <c r="BN75" s="126"/>
      <c r="BO75" s="126"/>
      <c r="BP75" s="126"/>
      <c r="BQ75" s="317"/>
      <c r="BR75" s="553">
        <f>MAX(Justificatif!G58-MINERGIE_Wert,0)</f>
        <v>0</v>
      </c>
      <c r="BS75" s="120"/>
    </row>
    <row r="76" spans="1:71">
      <c r="A76" s="90" t="s">
        <v>301</v>
      </c>
      <c r="B76" s="91" t="s">
        <v>299</v>
      </c>
      <c r="C76" s="91">
        <v>10</v>
      </c>
      <c r="D76" s="91">
        <v>0</v>
      </c>
      <c r="E76" s="91">
        <v>1508</v>
      </c>
      <c r="F76" s="92">
        <v>5.9</v>
      </c>
      <c r="G76" s="562">
        <v>23</v>
      </c>
      <c r="O76" s="107"/>
      <c r="P76" s="45" t="str">
        <f t="shared" si="17"/>
        <v>Fen. auto</v>
      </c>
      <c r="Q76" s="45" t="str">
        <f t="shared" si="18"/>
        <v/>
      </c>
      <c r="R76" s="45" t="str">
        <f t="shared" si="19"/>
        <v/>
      </c>
      <c r="S76" s="45" t="str">
        <f t="shared" si="20"/>
        <v/>
      </c>
      <c r="T76" s="562">
        <v>9</v>
      </c>
      <c r="W76" s="428" t="s">
        <v>1784</v>
      </c>
      <c r="X76" s="1643">
        <v>85</v>
      </c>
      <c r="Y76" s="1643">
        <v>110</v>
      </c>
      <c r="Z76" s="1644">
        <v>75</v>
      </c>
      <c r="AA76" s="1645">
        <v>100</v>
      </c>
      <c r="AB76" s="84" t="s">
        <v>9</v>
      </c>
      <c r="AC76" s="45">
        <v>250</v>
      </c>
      <c r="AD76" s="1643">
        <v>61</v>
      </c>
      <c r="AE76" s="1646">
        <v>10</v>
      </c>
      <c r="AF76" s="1644">
        <v>15</v>
      </c>
      <c r="AG76" s="1644">
        <v>7</v>
      </c>
      <c r="AH76" s="1645">
        <v>14</v>
      </c>
      <c r="AI76" s="45">
        <f>40</f>
        <v>40</v>
      </c>
      <c r="AJ76" s="1763">
        <v>13</v>
      </c>
      <c r="AK76" s="1764">
        <v>16</v>
      </c>
      <c r="AL76" s="1770">
        <f t="shared" si="21"/>
        <v>7</v>
      </c>
      <c r="AM76" s="1771">
        <f t="shared" si="22"/>
        <v>14</v>
      </c>
      <c r="AN76" s="227">
        <v>0</v>
      </c>
      <c r="BL76" s="94" t="s">
        <v>104</v>
      </c>
      <c r="BM76" s="60"/>
      <c r="BN76" s="60"/>
      <c r="BO76" s="60"/>
      <c r="BP76" s="60"/>
      <c r="BQ76" s="116"/>
      <c r="BR76" s="553">
        <f>IF(BR73-Grau_Grenz&gt;0,-MIN(BR73-Grau_Grenz,BR75),0)</f>
        <v>0</v>
      </c>
      <c r="BS76" s="142"/>
    </row>
    <row r="77" spans="1:71">
      <c r="A77" s="90" t="s">
        <v>287</v>
      </c>
      <c r="B77" s="91" t="s">
        <v>270</v>
      </c>
      <c r="C77" s="91">
        <v>5</v>
      </c>
      <c r="D77" s="91">
        <v>0</v>
      </c>
      <c r="E77" s="91">
        <v>485</v>
      </c>
      <c r="F77" s="92">
        <v>10.3</v>
      </c>
      <c r="G77" s="562">
        <v>24</v>
      </c>
      <c r="O77" s="107"/>
      <c r="P77" s="45" t="str">
        <f t="shared" si="17"/>
        <v>Vent. de transfert d’air</v>
      </c>
      <c r="Q77" s="45" t="str">
        <f t="shared" si="18"/>
        <v/>
      </c>
      <c r="R77" s="45" t="str">
        <f t="shared" si="19"/>
        <v/>
      </c>
      <c r="S77" s="45" t="str">
        <f t="shared" si="20"/>
        <v/>
      </c>
      <c r="T77" s="562">
        <v>10</v>
      </c>
      <c r="W77" s="428" t="s">
        <v>1785</v>
      </c>
      <c r="X77" s="1643">
        <v>70</v>
      </c>
      <c r="Y77" s="1643">
        <v>100</v>
      </c>
      <c r="Z77" s="1644">
        <v>60</v>
      </c>
      <c r="AA77" s="1645">
        <v>90</v>
      </c>
      <c r="AB77" s="84" t="s">
        <v>10</v>
      </c>
      <c r="AC77" s="45">
        <v>250</v>
      </c>
      <c r="AD77" s="1643">
        <v>21</v>
      </c>
      <c r="AE77" s="1646">
        <v>9</v>
      </c>
      <c r="AF77" s="1644">
        <v>17</v>
      </c>
      <c r="AG77" s="1644">
        <v>16</v>
      </c>
      <c r="AH77" s="1645">
        <v>15</v>
      </c>
      <c r="AI77" s="227">
        <f>40</f>
        <v>40</v>
      </c>
      <c r="AJ77" s="1763">
        <v>24</v>
      </c>
      <c r="AK77" s="1764">
        <v>19</v>
      </c>
      <c r="AL77" s="1770">
        <f t="shared" si="21"/>
        <v>16</v>
      </c>
      <c r="AM77" s="1771">
        <f t="shared" si="22"/>
        <v>15</v>
      </c>
      <c r="AN77" s="227">
        <f>IF(minergiea,56,0)</f>
        <v>0</v>
      </c>
      <c r="BL77" s="127" t="s">
        <v>105</v>
      </c>
      <c r="BM77" s="126"/>
      <c r="BN77" s="126"/>
      <c r="BO77" s="126"/>
      <c r="BP77" s="126"/>
      <c r="BQ77" s="317"/>
      <c r="BR77" s="551">
        <f>BR73+BR76</f>
        <v>0</v>
      </c>
      <c r="BS77" s="315">
        <v>50</v>
      </c>
    </row>
    <row r="78" spans="1:71">
      <c r="A78" s="90" t="s">
        <v>600</v>
      </c>
      <c r="B78" s="91" t="s">
        <v>286</v>
      </c>
      <c r="C78" s="91">
        <v>5</v>
      </c>
      <c r="D78" s="91">
        <v>0</v>
      </c>
      <c r="E78" s="91">
        <v>490</v>
      </c>
      <c r="F78" s="92">
        <v>9.4</v>
      </c>
      <c r="G78" s="562">
        <v>25</v>
      </c>
      <c r="O78" s="107"/>
      <c r="P78" s="45" t="str">
        <f>IF(AND(MUKEN=FALSE,_neu1),"",O45)</f>
        <v>Vent. de base</v>
      </c>
      <c r="Q78" s="45" t="str">
        <f>IF(Zonen&gt;1,IF(AND(MUKEN=FALSE,_neu2),"",O45),"")</f>
        <v/>
      </c>
      <c r="R78" s="45" t="str">
        <f>IF(Zonen&gt;2,IF(AND(MUKEN=FALSE,_neu3),"",O45),"")</f>
        <v/>
      </c>
      <c r="S78" s="45" t="str">
        <f>IF(Zonen&gt;3,IF(AND(MUKEN=FALSE,_neu4),"",O45),"")</f>
        <v/>
      </c>
      <c r="T78" s="562">
        <v>11</v>
      </c>
      <c r="W78" s="1088" t="s">
        <v>1786</v>
      </c>
      <c r="X78" s="1643">
        <v>60</v>
      </c>
      <c r="Y78" s="1643">
        <v>95</v>
      </c>
      <c r="Z78" s="1644">
        <v>50</v>
      </c>
      <c r="AA78" s="1645">
        <v>85</v>
      </c>
      <c r="AB78" s="93" t="s">
        <v>227</v>
      </c>
      <c r="AC78" s="227">
        <v>250</v>
      </c>
      <c r="AD78" s="1643">
        <v>33</v>
      </c>
      <c r="AE78" s="1646">
        <v>8</v>
      </c>
      <c r="AF78" s="1644">
        <v>8</v>
      </c>
      <c r="AG78" s="1644">
        <v>18</v>
      </c>
      <c r="AH78" s="1645">
        <v>15</v>
      </c>
      <c r="AI78" s="45">
        <f>25</f>
        <v>25</v>
      </c>
      <c r="AJ78" s="1763">
        <v>24</v>
      </c>
      <c r="AK78" s="1764">
        <v>19</v>
      </c>
      <c r="AL78" s="1770">
        <f t="shared" si="21"/>
        <v>18</v>
      </c>
      <c r="AM78" s="1771">
        <f t="shared" si="22"/>
        <v>15</v>
      </c>
      <c r="AN78" s="227">
        <v>0</v>
      </c>
    </row>
    <row r="79" spans="1:71">
      <c r="A79" s="90" t="s">
        <v>601</v>
      </c>
      <c r="B79" s="91" t="s">
        <v>305</v>
      </c>
      <c r="C79" s="91">
        <v>12</v>
      </c>
      <c r="D79" s="91">
        <v>0</v>
      </c>
      <c r="E79" s="91">
        <v>1007</v>
      </c>
      <c r="F79" s="92">
        <v>7.8</v>
      </c>
      <c r="G79" s="562">
        <v>26</v>
      </c>
      <c r="P79" s="49" t="str">
        <f>O46</f>
        <v/>
      </c>
      <c r="Q79" s="49" t="str">
        <f t="shared" ref="Q79" si="23">O46</f>
        <v/>
      </c>
      <c r="R79" s="49" t="str">
        <f t="shared" ref="R79" si="24">O46</f>
        <v/>
      </c>
      <c r="S79" s="49" t="str">
        <f t="shared" ref="S79" si="25">O46</f>
        <v/>
      </c>
      <c r="T79" s="93"/>
      <c r="W79" s="1088" t="s">
        <v>1787</v>
      </c>
      <c r="X79" s="1643">
        <v>100</v>
      </c>
      <c r="Y79" s="1643">
        <v>125</v>
      </c>
      <c r="Z79" s="1644">
        <v>90</v>
      </c>
      <c r="AA79" s="1645">
        <v>120</v>
      </c>
      <c r="AB79" s="93" t="s">
        <v>228</v>
      </c>
      <c r="AC79" s="227">
        <v>250</v>
      </c>
      <c r="AD79" s="1643">
        <v>27</v>
      </c>
      <c r="AE79" s="1646">
        <v>17</v>
      </c>
      <c r="AF79" s="1644">
        <v>16</v>
      </c>
      <c r="AG79" s="1644">
        <v>18</v>
      </c>
      <c r="AH79" s="1645">
        <v>17</v>
      </c>
      <c r="AI79" s="45">
        <f>50</f>
        <v>50</v>
      </c>
      <c r="AJ79" s="1763">
        <v>20</v>
      </c>
      <c r="AK79" s="1764">
        <v>20</v>
      </c>
      <c r="AL79" s="1770">
        <f t="shared" si="21"/>
        <v>18</v>
      </c>
      <c r="AM79" s="1771">
        <f t="shared" si="22"/>
        <v>17</v>
      </c>
      <c r="AN79" s="227">
        <v>0</v>
      </c>
    </row>
    <row r="80" spans="1:71">
      <c r="A80" s="90" t="s">
        <v>602</v>
      </c>
      <c r="B80" s="91" t="s">
        <v>286</v>
      </c>
      <c r="C80" s="91">
        <v>5</v>
      </c>
      <c r="D80" s="91">
        <v>0</v>
      </c>
      <c r="E80" s="91">
        <v>461</v>
      </c>
      <c r="F80" s="92">
        <v>10.9</v>
      </c>
      <c r="G80" s="562">
        <v>27</v>
      </c>
      <c r="T80" s="93"/>
      <c r="W80" s="1088" t="s">
        <v>1788</v>
      </c>
      <c r="X80" s="1643">
        <v>55</v>
      </c>
      <c r="Y80" s="1643">
        <v>105</v>
      </c>
      <c r="Z80" s="1644">
        <v>45</v>
      </c>
      <c r="AA80" s="1645">
        <v>95</v>
      </c>
      <c r="AB80" s="93" t="s">
        <v>229</v>
      </c>
      <c r="AC80" s="227">
        <v>250</v>
      </c>
      <c r="AD80" s="1643">
        <v>27</v>
      </c>
      <c r="AE80" s="1646">
        <v>14</v>
      </c>
      <c r="AF80" s="1644">
        <v>13</v>
      </c>
      <c r="AG80" s="1644">
        <v>10</v>
      </c>
      <c r="AH80" s="1645">
        <v>14</v>
      </c>
      <c r="AI80" s="45">
        <f>30</f>
        <v>30</v>
      </c>
      <c r="AJ80" s="1763">
        <v>15</v>
      </c>
      <c r="AK80" s="1764">
        <v>18</v>
      </c>
      <c r="AL80" s="1770">
        <f t="shared" si="21"/>
        <v>10</v>
      </c>
      <c r="AM80" s="1771">
        <f t="shared" si="22"/>
        <v>14</v>
      </c>
      <c r="AN80" s="227">
        <v>0</v>
      </c>
    </row>
    <row r="81" spans="1:40" ht="15.75">
      <c r="A81" s="90" t="s">
        <v>308</v>
      </c>
      <c r="B81" s="91" t="s">
        <v>295</v>
      </c>
      <c r="C81" s="91">
        <v>12</v>
      </c>
      <c r="D81" s="91">
        <v>0</v>
      </c>
      <c r="E81" s="91">
        <v>1078</v>
      </c>
      <c r="F81" s="92">
        <v>7</v>
      </c>
      <c r="G81" s="562">
        <v>28</v>
      </c>
      <c r="I81" s="449" t="s">
        <v>665</v>
      </c>
      <c r="N81" s="449" t="s">
        <v>545</v>
      </c>
      <c r="O81" s="93"/>
      <c r="P81" s="251"/>
      <c r="Q81" s="53"/>
      <c r="S81" s="27"/>
      <c r="T81" s="27"/>
      <c r="W81" s="428" t="s">
        <v>1789</v>
      </c>
      <c r="X81" s="1643">
        <v>45</v>
      </c>
      <c r="Y81" s="1643">
        <v>65</v>
      </c>
      <c r="Z81" s="1644">
        <v>35</v>
      </c>
      <c r="AA81" s="1645">
        <v>55</v>
      </c>
      <c r="AB81" s="84" t="s">
        <v>230</v>
      </c>
      <c r="AC81" s="45">
        <v>250</v>
      </c>
      <c r="AD81" s="1643">
        <v>37</v>
      </c>
      <c r="AE81" s="1646">
        <v>8</v>
      </c>
      <c r="AF81" s="1644">
        <v>3</v>
      </c>
      <c r="AG81" s="1644">
        <v>14</v>
      </c>
      <c r="AH81" s="1645">
        <v>14</v>
      </c>
      <c r="AI81" s="45">
        <f>25</f>
        <v>25</v>
      </c>
      <c r="AJ81" s="1763">
        <v>15</v>
      </c>
      <c r="AK81" s="1764">
        <v>18</v>
      </c>
      <c r="AL81" s="1770">
        <f t="shared" si="21"/>
        <v>14</v>
      </c>
      <c r="AM81" s="1771">
        <f t="shared" si="22"/>
        <v>14</v>
      </c>
      <c r="AN81" s="227">
        <v>0</v>
      </c>
    </row>
    <row r="82" spans="1:40">
      <c r="A82" s="90" t="s">
        <v>603</v>
      </c>
      <c r="B82" s="91" t="s">
        <v>253</v>
      </c>
      <c r="C82" s="91">
        <v>1</v>
      </c>
      <c r="D82" s="91">
        <v>0</v>
      </c>
      <c r="E82" s="91">
        <v>610</v>
      </c>
      <c r="F82" s="92">
        <v>9.1</v>
      </c>
      <c r="G82" s="562">
        <v>29</v>
      </c>
      <c r="I82" s="94" t="s">
        <v>674</v>
      </c>
      <c r="J82" s="42"/>
      <c r="K82" s="42"/>
      <c r="N82" s="445" t="s">
        <v>650</v>
      </c>
      <c r="O82" s="446"/>
      <c r="P82" s="447" t="s">
        <v>12</v>
      </c>
      <c r="Q82" s="448" t="s">
        <v>651</v>
      </c>
      <c r="S82" s="27"/>
      <c r="T82" s="27"/>
      <c r="W82" s="428" t="s">
        <v>1790</v>
      </c>
      <c r="X82" s="1643">
        <v>45</v>
      </c>
      <c r="Y82" s="1643">
        <v>65</v>
      </c>
      <c r="Z82" s="1644">
        <v>40</v>
      </c>
      <c r="AA82" s="1645">
        <v>55</v>
      </c>
      <c r="AB82" s="84" t="s">
        <v>231</v>
      </c>
      <c r="AC82" s="45">
        <v>250</v>
      </c>
      <c r="AD82" s="1643">
        <v>28</v>
      </c>
      <c r="AE82" s="1646">
        <v>4</v>
      </c>
      <c r="AF82" s="1644">
        <v>6</v>
      </c>
      <c r="AG82" s="1644">
        <v>16</v>
      </c>
      <c r="AH82" s="1645">
        <v>14</v>
      </c>
      <c r="AI82" s="745">
        <f>25</f>
        <v>25</v>
      </c>
      <c r="AJ82" s="1763">
        <v>19</v>
      </c>
      <c r="AK82" s="1764">
        <v>18</v>
      </c>
      <c r="AL82" s="1770">
        <f t="shared" si="21"/>
        <v>16</v>
      </c>
      <c r="AM82" s="1771">
        <f t="shared" si="22"/>
        <v>14</v>
      </c>
      <c r="AN82" s="227">
        <f>IF(minergiea,83,0)</f>
        <v>0</v>
      </c>
    </row>
    <row r="83" spans="1:40">
      <c r="A83" s="90" t="s">
        <v>604</v>
      </c>
      <c r="B83" s="91" t="s">
        <v>295</v>
      </c>
      <c r="C83" s="91">
        <v>11</v>
      </c>
      <c r="D83" s="91">
        <v>8</v>
      </c>
      <c r="E83" s="91">
        <v>1705</v>
      </c>
      <c r="F83" s="92">
        <v>1.8</v>
      </c>
      <c r="G83" s="562">
        <v>30</v>
      </c>
      <c r="I83" s="360"/>
      <c r="J83" s="361" t="s">
        <v>666</v>
      </c>
      <c r="K83" s="362"/>
      <c r="L83" s="28" t="s">
        <v>667</v>
      </c>
      <c r="M83" s="64"/>
      <c r="N83" s="28" t="s">
        <v>546</v>
      </c>
      <c r="O83" s="3073" t="s">
        <v>13</v>
      </c>
      <c r="P83" s="3074"/>
      <c r="Q83" s="309" t="s">
        <v>546</v>
      </c>
      <c r="R83" s="309" t="s">
        <v>663</v>
      </c>
      <c r="S83" s="27"/>
      <c r="T83" s="27"/>
      <c r="U83" s="27"/>
      <c r="V83" s="27"/>
      <c r="W83" s="1158" t="s">
        <v>8</v>
      </c>
      <c r="X83" s="134">
        <v>0</v>
      </c>
      <c r="Y83" s="134">
        <v>0</v>
      </c>
      <c r="Z83" s="1092">
        <v>0</v>
      </c>
      <c r="AA83" s="1093">
        <v>0</v>
      </c>
      <c r="AB83" s="1157" t="s">
        <v>720</v>
      </c>
      <c r="AC83" s="49">
        <v>99999999</v>
      </c>
      <c r="AD83" s="134">
        <v>0</v>
      </c>
      <c r="AE83" s="49">
        <v>0</v>
      </c>
      <c r="AF83" s="1207">
        <v>0</v>
      </c>
      <c r="AG83" s="1743">
        <v>15</v>
      </c>
      <c r="AH83" s="1744">
        <v>18</v>
      </c>
      <c r="AI83" s="49">
        <f>0</f>
        <v>0</v>
      </c>
      <c r="AJ83" s="1765">
        <v>18</v>
      </c>
      <c r="AK83" s="1766">
        <v>23</v>
      </c>
      <c r="AL83" s="1774">
        <f t="shared" si="21"/>
        <v>15</v>
      </c>
      <c r="AM83" s="1775">
        <f t="shared" si="22"/>
        <v>18</v>
      </c>
      <c r="AN83" s="476">
        <v>0</v>
      </c>
    </row>
    <row r="84" spans="1:40">
      <c r="A84" s="90" t="s">
        <v>605</v>
      </c>
      <c r="B84" s="91" t="s">
        <v>295</v>
      </c>
      <c r="C84" s="91">
        <v>12</v>
      </c>
      <c r="D84" s="91">
        <v>2</v>
      </c>
      <c r="E84" s="91">
        <v>1639</v>
      </c>
      <c r="F84" s="92">
        <v>3.9</v>
      </c>
      <c r="G84" s="562">
        <v>31</v>
      </c>
      <c r="H84" s="46">
        <v>1</v>
      </c>
      <c r="I84" s="47"/>
      <c r="J84" s="350" t="s">
        <v>199</v>
      </c>
      <c r="K84" s="351" t="s">
        <v>199</v>
      </c>
      <c r="L84" s="94"/>
      <c r="M84" s="116"/>
      <c r="N84" s="94"/>
      <c r="O84" s="442"/>
      <c r="P84" s="116"/>
      <c r="Q84" s="142"/>
      <c r="R84" s="120"/>
      <c r="S84" s="27"/>
      <c r="T84" s="27"/>
      <c r="U84" s="27"/>
      <c r="V84" s="27"/>
      <c r="X84" s="738" t="s">
        <v>524</v>
      </c>
      <c r="Y84" s="738" t="s">
        <v>524</v>
      </c>
      <c r="Z84" s="738" t="s">
        <v>524</v>
      </c>
      <c r="AA84" s="738" t="s">
        <v>524</v>
      </c>
      <c r="AB84" s="738"/>
      <c r="AC84" s="738" t="s">
        <v>321</v>
      </c>
      <c r="AD84" s="738" t="s">
        <v>524</v>
      </c>
      <c r="AE84" s="738" t="s">
        <v>524</v>
      </c>
      <c r="AF84" s="738" t="s">
        <v>524</v>
      </c>
    </row>
    <row r="85" spans="1:40">
      <c r="A85" s="90" t="s">
        <v>276</v>
      </c>
      <c r="B85" s="91" t="s">
        <v>277</v>
      </c>
      <c r="C85" s="91">
        <v>3</v>
      </c>
      <c r="D85" s="91">
        <v>0</v>
      </c>
      <c r="E85" s="91">
        <v>779</v>
      </c>
      <c r="F85" s="92">
        <v>8.1999999999999993</v>
      </c>
      <c r="G85" s="562">
        <v>32</v>
      </c>
      <c r="H85" s="46">
        <v>2</v>
      </c>
      <c r="I85" s="349" t="str">
        <f t="shared" ref="I85:I96" si="26">I10</f>
        <v>Habitat collectif</v>
      </c>
      <c r="J85" s="352" t="str">
        <f>AA48</f>
        <v>oui</v>
      </c>
      <c r="K85" s="353" t="str">
        <f>AA48</f>
        <v>oui</v>
      </c>
      <c r="L85" s="42" t="b">
        <v>1</v>
      </c>
      <c r="M85" s="53" t="b">
        <v>1</v>
      </c>
      <c r="N85" s="431">
        <v>0.9</v>
      </c>
      <c r="O85" s="443">
        <v>0.6</v>
      </c>
      <c r="P85" s="430">
        <v>15</v>
      </c>
      <c r="Q85" s="439">
        <v>0</v>
      </c>
      <c r="R85" s="439">
        <f>0.8</f>
        <v>0.8</v>
      </c>
      <c r="S85" s="27"/>
      <c r="T85" s="27"/>
      <c r="U85" s="27"/>
      <c r="V85" s="27"/>
    </row>
    <row r="86" spans="1:40">
      <c r="A86" s="90" t="s">
        <v>274</v>
      </c>
      <c r="B86" s="91" t="s">
        <v>275</v>
      </c>
      <c r="C86" s="91">
        <v>3</v>
      </c>
      <c r="D86" s="91">
        <v>0</v>
      </c>
      <c r="E86" s="91">
        <v>437</v>
      </c>
      <c r="F86" s="92">
        <v>9.4</v>
      </c>
      <c r="G86" s="562">
        <v>33</v>
      </c>
      <c r="H86" s="46">
        <v>3</v>
      </c>
      <c r="I86" s="37" t="str">
        <f t="shared" si="26"/>
        <v>Habitat individuel</v>
      </c>
      <c r="J86" s="354" t="str">
        <f>AA48</f>
        <v>oui</v>
      </c>
      <c r="K86" s="355" t="str">
        <f>AA48</f>
        <v>oui</v>
      </c>
      <c r="L86" s="42" t="b">
        <v>1</v>
      </c>
      <c r="M86" s="53" t="b">
        <v>1</v>
      </c>
      <c r="N86" s="431">
        <v>0.9</v>
      </c>
      <c r="O86" s="443">
        <v>0.6</v>
      </c>
      <c r="P86" s="432">
        <v>15</v>
      </c>
      <c r="Q86" s="440">
        <v>0</v>
      </c>
      <c r="R86" s="440">
        <f t="shared" ref="R86:R95" si="27">0.8</f>
        <v>0.8</v>
      </c>
      <c r="S86" s="27"/>
      <c r="T86" s="27"/>
      <c r="U86" s="27"/>
      <c r="V86" s="27"/>
      <c r="W86" s="27" t="str">
        <f>MINERGIE!B33</f>
        <v>Ascenseur / élévateur disponible sur place?</v>
      </c>
      <c r="X86" s="738" t="s">
        <v>650</v>
      </c>
      <c r="Y86" s="738" t="s">
        <v>3288</v>
      </c>
    </row>
    <row r="87" spans="1:40">
      <c r="A87" s="90" t="s">
        <v>304</v>
      </c>
      <c r="B87" s="91" t="s">
        <v>295</v>
      </c>
      <c r="C87" s="91">
        <v>11</v>
      </c>
      <c r="D87" s="91">
        <v>2</v>
      </c>
      <c r="E87" s="91">
        <v>1298</v>
      </c>
      <c r="F87" s="92">
        <v>5.5</v>
      </c>
      <c r="G87" s="562">
        <v>34</v>
      </c>
      <c r="H87" s="46">
        <v>4</v>
      </c>
      <c r="I87" s="37" t="str">
        <f t="shared" si="26"/>
        <v>Administration</v>
      </c>
      <c r="J87" s="354" t="str">
        <f>AA48</f>
        <v>oui</v>
      </c>
      <c r="K87" s="355" t="str">
        <f>AA49</f>
        <v>non</v>
      </c>
      <c r="L87" s="42" t="b">
        <v>1</v>
      </c>
      <c r="M87" s="53" t="b">
        <v>0</v>
      </c>
      <c r="N87" s="431">
        <v>0.9</v>
      </c>
      <c r="O87" s="443">
        <v>0.6</v>
      </c>
      <c r="P87" s="432">
        <v>15</v>
      </c>
      <c r="Q87" s="440">
        <v>0</v>
      </c>
      <c r="R87" s="440">
        <f t="shared" si="27"/>
        <v>0.8</v>
      </c>
      <c r="S87" s="27"/>
      <c r="T87" s="27"/>
      <c r="U87" s="27"/>
      <c r="V87" s="107">
        <v>1</v>
      </c>
      <c r="W87" s="88" t="str">
        <f>MINERGIE!B34</f>
        <v>Tous les lave-vaiselle min. classe C</v>
      </c>
      <c r="X87" s="1885">
        <v>0.02</v>
      </c>
      <c r="Y87" s="1886">
        <v>0.04</v>
      </c>
      <c r="AA87" s="1244" t="s">
        <v>3523</v>
      </c>
      <c r="AB87" s="1245"/>
      <c r="AC87" s="1246"/>
      <c r="AF87" s="1244" t="s">
        <v>3011</v>
      </c>
      <c r="AG87" s="1244" t="s">
        <v>3022</v>
      </c>
      <c r="AH87" s="1601">
        <f>Anteil_WP</f>
        <v>0</v>
      </c>
      <c r="AI87" s="1246"/>
    </row>
    <row r="88" spans="1:40">
      <c r="A88" s="90" t="s">
        <v>302</v>
      </c>
      <c r="B88" s="91" t="s">
        <v>299</v>
      </c>
      <c r="C88" s="91">
        <v>10</v>
      </c>
      <c r="D88" s="91">
        <v>0</v>
      </c>
      <c r="E88" s="91">
        <v>482</v>
      </c>
      <c r="F88" s="92">
        <v>10.1</v>
      </c>
      <c r="G88" s="562">
        <v>35</v>
      </c>
      <c r="H88" s="46">
        <v>5</v>
      </c>
      <c r="I88" s="37" t="str">
        <f t="shared" si="26"/>
        <v>Ecole</v>
      </c>
      <c r="J88" s="354" t="str">
        <f>AA48</f>
        <v>oui</v>
      </c>
      <c r="K88" s="355" t="str">
        <f>AA49</f>
        <v>non</v>
      </c>
      <c r="L88" s="42" t="b">
        <v>1</v>
      </c>
      <c r="M88" s="53" t="b">
        <v>0</v>
      </c>
      <c r="N88" s="431">
        <v>0.9</v>
      </c>
      <c r="O88" s="443">
        <v>0.6</v>
      </c>
      <c r="P88" s="432">
        <v>15</v>
      </c>
      <c r="Q88" s="440">
        <v>0</v>
      </c>
      <c r="R88" s="440">
        <f t="shared" si="27"/>
        <v>0.8</v>
      </c>
      <c r="S88" s="27"/>
      <c r="T88" s="27"/>
      <c r="U88" s="27"/>
      <c r="V88" s="107">
        <v>2</v>
      </c>
      <c r="W88" s="120" t="str">
        <f>MINERGIE!B35</f>
        <v>Tous les réfrigérateurs min. classe D</v>
      </c>
      <c r="X88" s="1698">
        <v>0.02</v>
      </c>
      <c r="Y88" s="1699">
        <v>0.03</v>
      </c>
      <c r="AA88" s="88"/>
      <c r="AB88" s="88"/>
      <c r="AC88" s="115"/>
      <c r="AF88" s="1592" t="s">
        <v>3023</v>
      </c>
      <c r="AG88" s="1594" t="s">
        <v>3014</v>
      </c>
      <c r="AH88" s="1594" t="s">
        <v>3015</v>
      </c>
      <c r="AI88" s="1593" t="s">
        <v>3016</v>
      </c>
    </row>
    <row r="89" spans="1:40">
      <c r="A89" s="90" t="s">
        <v>606</v>
      </c>
      <c r="B89" s="91" t="s">
        <v>618</v>
      </c>
      <c r="C89" s="91">
        <v>10</v>
      </c>
      <c r="D89" s="91">
        <v>0</v>
      </c>
      <c r="E89" s="91">
        <v>1345</v>
      </c>
      <c r="F89" s="92">
        <v>3.7</v>
      </c>
      <c r="G89" s="562">
        <v>36</v>
      </c>
      <c r="H89" s="46">
        <v>6</v>
      </c>
      <c r="I89" s="37" t="str">
        <f t="shared" si="26"/>
        <v>Commerce</v>
      </c>
      <c r="J89" s="354" t="str">
        <f>AA48</f>
        <v>oui</v>
      </c>
      <c r="K89" s="355" t="str">
        <f>AA49</f>
        <v>non</v>
      </c>
      <c r="L89" s="42" t="b">
        <v>1</v>
      </c>
      <c r="M89" s="53" t="b">
        <v>0</v>
      </c>
      <c r="N89" s="431">
        <v>0.9</v>
      </c>
      <c r="O89" s="443">
        <v>0.6</v>
      </c>
      <c r="P89" s="432">
        <v>15</v>
      </c>
      <c r="Q89" s="440">
        <v>0</v>
      </c>
      <c r="R89" s="440">
        <f t="shared" si="27"/>
        <v>0.8</v>
      </c>
      <c r="S89" s="27"/>
      <c r="T89" s="27"/>
      <c r="U89" s="27"/>
      <c r="V89" s="107">
        <v>3</v>
      </c>
      <c r="W89" s="120" t="str">
        <f>MINERGIE!B36</f>
        <v>Tous les congélateurs min. classe E</v>
      </c>
      <c r="X89" s="1698">
        <v>0.01</v>
      </c>
      <c r="Y89" s="1699">
        <v>0.02</v>
      </c>
      <c r="AA89" s="142"/>
      <c r="AB89" s="809" t="s">
        <v>650</v>
      </c>
      <c r="AC89" s="1248" t="s">
        <v>1693</v>
      </c>
      <c r="AF89" s="1590" t="s">
        <v>3012</v>
      </c>
      <c r="AG89" s="1595"/>
      <c r="AH89" s="1595"/>
      <c r="AI89" s="1349"/>
    </row>
    <row r="90" spans="1:40">
      <c r="A90" s="90" t="s">
        <v>607</v>
      </c>
      <c r="B90" s="91" t="s">
        <v>619</v>
      </c>
      <c r="C90" s="91">
        <v>6</v>
      </c>
      <c r="D90" s="91">
        <v>0</v>
      </c>
      <c r="E90" s="91">
        <v>460</v>
      </c>
      <c r="F90" s="92">
        <v>10</v>
      </c>
      <c r="G90" s="562">
        <v>37</v>
      </c>
      <c r="H90" s="46">
        <v>7</v>
      </c>
      <c r="I90" s="37" t="str">
        <f t="shared" si="26"/>
        <v>Restaurant</v>
      </c>
      <c r="J90" s="354" t="str">
        <f>AA49</f>
        <v>non</v>
      </c>
      <c r="K90" s="355" t="str">
        <f>AA49</f>
        <v>non</v>
      </c>
      <c r="L90" s="42" t="b">
        <v>0</v>
      </c>
      <c r="M90" s="53" t="b">
        <v>0</v>
      </c>
      <c r="N90" s="431">
        <v>0.9</v>
      </c>
      <c r="O90" s="443">
        <v>0.6</v>
      </c>
      <c r="P90" s="432">
        <v>15</v>
      </c>
      <c r="Q90" s="440">
        <v>0</v>
      </c>
      <c r="R90" s="440">
        <f t="shared" si="27"/>
        <v>0.8</v>
      </c>
      <c r="S90" s="27"/>
      <c r="T90" s="27"/>
      <c r="U90" s="27"/>
      <c r="V90" s="107">
        <v>4</v>
      </c>
      <c r="W90" s="120" t="str">
        <f>MINERGIE!B37</f>
        <v>Tous les lave-linge min. classe C</v>
      </c>
      <c r="X90" s="1698">
        <v>0.02</v>
      </c>
      <c r="Y90" s="1699">
        <v>0.04</v>
      </c>
      <c r="AA90" s="554" t="s">
        <v>313</v>
      </c>
      <c r="AB90" s="1249">
        <v>1</v>
      </c>
      <c r="AC90" s="1247"/>
      <c r="AF90" s="108">
        <v>0</v>
      </c>
      <c r="AG90" s="45">
        <v>-0.5</v>
      </c>
      <c r="AH90" s="45">
        <v>30</v>
      </c>
      <c r="AI90" s="1585">
        <v>-12</v>
      </c>
    </row>
    <row r="91" spans="1:40">
      <c r="A91" s="90" t="s">
        <v>608</v>
      </c>
      <c r="B91" s="91" t="s">
        <v>271</v>
      </c>
      <c r="C91" s="91">
        <v>4</v>
      </c>
      <c r="D91" s="91">
        <v>0</v>
      </c>
      <c r="E91" s="91">
        <v>422</v>
      </c>
      <c r="F91" s="92">
        <v>9</v>
      </c>
      <c r="G91" s="562">
        <v>38</v>
      </c>
      <c r="H91" s="46">
        <v>8</v>
      </c>
      <c r="I91" s="37" t="str">
        <f t="shared" si="26"/>
        <v>Lieu de rassemblement</v>
      </c>
      <c r="J91" s="354" t="str">
        <f>AA48</f>
        <v>oui</v>
      </c>
      <c r="K91" s="355" t="str">
        <f>AA49</f>
        <v>non</v>
      </c>
      <c r="L91" s="42" t="b">
        <v>1</v>
      </c>
      <c r="M91" s="53" t="b">
        <v>0</v>
      </c>
      <c r="N91" s="431">
        <v>0.9</v>
      </c>
      <c r="O91" s="443">
        <v>0.6</v>
      </c>
      <c r="P91" s="432">
        <v>15</v>
      </c>
      <c r="Q91" s="440">
        <v>0</v>
      </c>
      <c r="R91" s="440">
        <f t="shared" si="27"/>
        <v>0.8</v>
      </c>
      <c r="S91" s="474" t="s">
        <v>698</v>
      </c>
      <c r="T91" s="426"/>
      <c r="U91" s="93"/>
      <c r="V91" s="1377">
        <v>5</v>
      </c>
      <c r="W91" s="120" t="str">
        <f>MINERGIE!B38</f>
        <v>Tous les sèche-linge sont de classe A+++</v>
      </c>
      <c r="X91" s="1698">
        <v>0.03</v>
      </c>
      <c r="Y91" s="1699">
        <v>7.0000000000000007E-2</v>
      </c>
      <c r="AA91" s="554" t="s">
        <v>652</v>
      </c>
      <c r="AB91" s="1249">
        <v>0.7</v>
      </c>
      <c r="AC91" s="1247">
        <v>0.9</v>
      </c>
      <c r="AF91" s="108">
        <v>5</v>
      </c>
      <c r="AG91" s="45">
        <v>-0.6</v>
      </c>
      <c r="AH91" s="45">
        <v>40</v>
      </c>
      <c r="AI91" s="1585">
        <v>-8</v>
      </c>
    </row>
    <row r="92" spans="1:40">
      <c r="A92" s="90" t="s">
        <v>303</v>
      </c>
      <c r="B92" s="91" t="s">
        <v>299</v>
      </c>
      <c r="C92" s="91">
        <v>10</v>
      </c>
      <c r="D92" s="91">
        <v>2</v>
      </c>
      <c r="E92" s="91">
        <v>1638</v>
      </c>
      <c r="F92" s="92">
        <v>4.3</v>
      </c>
      <c r="G92" s="562">
        <v>39</v>
      </c>
      <c r="H92" s="46">
        <v>9</v>
      </c>
      <c r="I92" s="37" t="str">
        <f t="shared" si="26"/>
        <v>Hôpital</v>
      </c>
      <c r="J92" s="354" t="str">
        <f>AA48</f>
        <v>oui</v>
      </c>
      <c r="K92" s="355" t="str">
        <f>AA48</f>
        <v>oui</v>
      </c>
      <c r="L92" s="42" t="b">
        <v>1</v>
      </c>
      <c r="M92" s="53" t="b">
        <v>1</v>
      </c>
      <c r="N92" s="431">
        <v>0.9</v>
      </c>
      <c r="O92" s="443">
        <v>0.6</v>
      </c>
      <c r="P92" s="432">
        <v>15</v>
      </c>
      <c r="Q92" s="440">
        <v>0</v>
      </c>
      <c r="R92" s="440">
        <f t="shared" si="27"/>
        <v>0.8</v>
      </c>
      <c r="S92" s="475" t="s">
        <v>555</v>
      </c>
      <c r="T92" s="424">
        <v>1</v>
      </c>
      <c r="U92" s="93"/>
      <c r="V92" s="1377">
        <v>6</v>
      </c>
      <c r="W92" s="120" t="str">
        <f>MINERGIE!B39</f>
        <v>Toutes les cuisinières sont à induction</v>
      </c>
      <c r="X92" s="1698">
        <v>0.01</v>
      </c>
      <c r="Y92" s="1699">
        <v>0.02</v>
      </c>
      <c r="AA92" s="555" t="s">
        <v>827</v>
      </c>
      <c r="AB92" s="1250">
        <v>1</v>
      </c>
      <c r="AC92" s="1208"/>
      <c r="AF92" s="109">
        <v>10</v>
      </c>
      <c r="AG92" s="49">
        <v>-0.7</v>
      </c>
      <c r="AH92" s="49">
        <v>45</v>
      </c>
      <c r="AI92" s="1586">
        <v>-3</v>
      </c>
    </row>
    <row r="93" spans="1:40">
      <c r="A93" s="90" t="s">
        <v>609</v>
      </c>
      <c r="B93" s="91" t="s">
        <v>279</v>
      </c>
      <c r="C93" s="91">
        <v>3</v>
      </c>
      <c r="D93" s="91">
        <v>0</v>
      </c>
      <c r="E93" s="91">
        <v>425</v>
      </c>
      <c r="F93" s="92">
        <v>9.4</v>
      </c>
      <c r="G93" s="562">
        <v>40</v>
      </c>
      <c r="H93" s="46">
        <v>10</v>
      </c>
      <c r="I93" s="37" t="str">
        <f t="shared" si="26"/>
        <v>Industrie</v>
      </c>
      <c r="J93" s="354" t="str">
        <f>AA48</f>
        <v>oui</v>
      </c>
      <c r="K93" s="355" t="str">
        <f>AA49</f>
        <v>non</v>
      </c>
      <c r="L93" s="42" t="b">
        <v>1</v>
      </c>
      <c r="M93" s="53" t="b">
        <v>0</v>
      </c>
      <c r="N93" s="431">
        <v>0.9</v>
      </c>
      <c r="O93" s="443">
        <v>0.6</v>
      </c>
      <c r="P93" s="432">
        <v>15</v>
      </c>
      <c r="Q93" s="440">
        <v>0</v>
      </c>
      <c r="R93" s="440">
        <f t="shared" si="27"/>
        <v>0.8</v>
      </c>
      <c r="S93" s="475" t="s">
        <v>556</v>
      </c>
      <c r="T93" s="425">
        <v>1</v>
      </c>
      <c r="V93" s="107">
        <v>7</v>
      </c>
      <c r="W93" s="120" t="str">
        <f>MINERGIE!B40</f>
        <v>Eclairage LED au moins C &amp; régulation</v>
      </c>
      <c r="X93" s="1698">
        <v>0.03</v>
      </c>
      <c r="Y93" s="1699">
        <v>0.06</v>
      </c>
      <c r="AA93" s="1251" t="str">
        <f>IF(MUKEN,"",IF(minergiea,AA92,IF(minergiep,AA91,AA90)))</f>
        <v/>
      </c>
      <c r="AB93" s="1252" t="str">
        <f>IF(MUKEN,"",IF(minergiea,AB92,IF(minergiep,AB91,AB90)))</f>
        <v/>
      </c>
      <c r="AC93" s="1252" t="str">
        <f>IF(MUKEN,"",IF(minergiea,AC92,IF(minergiep,AC91,AC90)))</f>
        <v/>
      </c>
      <c r="AF93" s="1590" t="s">
        <v>3013</v>
      </c>
      <c r="AG93" s="1596"/>
      <c r="AH93" s="1596"/>
      <c r="AI93" s="1591"/>
    </row>
    <row r="94" spans="1:40">
      <c r="A94" s="516" t="s">
        <v>278</v>
      </c>
      <c r="B94" s="515" t="s">
        <v>279</v>
      </c>
      <c r="C94" s="515">
        <v>3</v>
      </c>
      <c r="D94" s="515">
        <v>0</v>
      </c>
      <c r="E94" s="515">
        <v>556</v>
      </c>
      <c r="F94" s="519">
        <v>9.4</v>
      </c>
      <c r="G94" s="562">
        <v>41</v>
      </c>
      <c r="H94" s="46">
        <v>11</v>
      </c>
      <c r="I94" s="37" t="str">
        <f t="shared" si="26"/>
        <v>Entrepôt</v>
      </c>
      <c r="J94" s="354" t="str">
        <f>AA48</f>
        <v>oui</v>
      </c>
      <c r="K94" s="355" t="str">
        <f>AA49</f>
        <v>non</v>
      </c>
      <c r="L94" s="42" t="b">
        <v>1</v>
      </c>
      <c r="M94" s="53" t="b">
        <v>0</v>
      </c>
      <c r="N94" s="431">
        <v>0.9</v>
      </c>
      <c r="O94" s="443">
        <v>0.6</v>
      </c>
      <c r="P94" s="432">
        <v>15</v>
      </c>
      <c r="Q94" s="440">
        <v>0</v>
      </c>
      <c r="R94" s="440">
        <f t="shared" si="27"/>
        <v>0.8</v>
      </c>
      <c r="S94" s="475" t="s">
        <v>234</v>
      </c>
      <c r="T94" s="425">
        <v>1</v>
      </c>
      <c r="V94" s="107">
        <v>8</v>
      </c>
      <c r="W94" s="142" t="str">
        <f>MINERGIE!B41</f>
        <v>Appareils efficaces pour l’exploitation du bâtiment</v>
      </c>
      <c r="X94" s="1887">
        <v>0.02</v>
      </c>
      <c r="Y94" s="1888">
        <v>0.04</v>
      </c>
      <c r="AA94" s="127" t="s">
        <v>3524</v>
      </c>
      <c r="AB94" s="3029">
        <v>0.9</v>
      </c>
      <c r="AC94" s="3030"/>
      <c r="AF94" s="108">
        <v>0</v>
      </c>
      <c r="AG94" s="45">
        <v>-0.5</v>
      </c>
      <c r="AH94" s="45">
        <v>30</v>
      </c>
      <c r="AI94" s="1585">
        <v>-12</v>
      </c>
    </row>
    <row r="95" spans="1:40">
      <c r="A95" s="46"/>
      <c r="B95" s="502"/>
      <c r="C95" s="503"/>
      <c r="D95" s="503"/>
      <c r="E95" s="503"/>
      <c r="F95" s="503"/>
      <c r="G95" s="504"/>
      <c r="H95" s="46">
        <v>12</v>
      </c>
      <c r="I95" s="37" t="str">
        <f t="shared" si="26"/>
        <v>Installation sportive</v>
      </c>
      <c r="J95" s="354" t="str">
        <f>AA49</f>
        <v>non</v>
      </c>
      <c r="K95" s="355" t="str">
        <f>AA49</f>
        <v>non</v>
      </c>
      <c r="L95" s="42" t="b">
        <v>0</v>
      </c>
      <c r="M95" s="53" t="b">
        <v>0</v>
      </c>
      <c r="N95" s="431">
        <v>0.9</v>
      </c>
      <c r="O95" s="443">
        <v>0.6</v>
      </c>
      <c r="P95" s="432">
        <v>15</v>
      </c>
      <c r="Q95" s="440">
        <v>0</v>
      </c>
      <c r="R95" s="440">
        <f t="shared" si="27"/>
        <v>0.8</v>
      </c>
      <c r="S95" s="475" t="s">
        <v>235</v>
      </c>
      <c r="T95" s="425">
        <v>1</v>
      </c>
      <c r="W95" s="127" t="s">
        <v>2208</v>
      </c>
      <c r="X95" s="1379">
        <v>0.15</v>
      </c>
      <c r="Y95" s="1378">
        <v>0.3</v>
      </c>
      <c r="AF95" s="108">
        <v>5</v>
      </c>
      <c r="AG95" s="45">
        <v>-0.8</v>
      </c>
      <c r="AH95" s="45">
        <v>50</v>
      </c>
      <c r="AI95" s="1585">
        <v>0</v>
      </c>
    </row>
    <row r="96" spans="1:40">
      <c r="A96" s="508" t="s">
        <v>21</v>
      </c>
      <c r="B96" s="509">
        <f t="shared" ref="B96:G96" si="28">IF(Kanton&gt;1,INDEX(B97:B125,Kanton,1),0)</f>
        <v>0</v>
      </c>
      <c r="C96" s="509">
        <f t="shared" si="28"/>
        <v>0</v>
      </c>
      <c r="D96" s="509">
        <f t="shared" si="28"/>
        <v>0</v>
      </c>
      <c r="E96" s="509">
        <f t="shared" si="28"/>
        <v>0</v>
      </c>
      <c r="F96" s="509">
        <f t="shared" si="28"/>
        <v>0</v>
      </c>
      <c r="G96" s="509">
        <f t="shared" si="28"/>
        <v>0</v>
      </c>
      <c r="H96" s="46">
        <v>13</v>
      </c>
      <c r="I96" s="47" t="str">
        <f t="shared" si="26"/>
        <v>Piscine couverte</v>
      </c>
      <c r="J96" s="356" t="str">
        <f>AA49</f>
        <v>non</v>
      </c>
      <c r="K96" s="357" t="str">
        <f>AA49</f>
        <v>non</v>
      </c>
      <c r="L96" s="60" t="b">
        <v>0</v>
      </c>
      <c r="M96" s="116" t="b">
        <v>0</v>
      </c>
      <c r="N96" s="431">
        <v>0.9</v>
      </c>
      <c r="O96" s="444">
        <v>0</v>
      </c>
      <c r="P96" s="433">
        <v>0</v>
      </c>
      <c r="Q96" s="441">
        <v>1</v>
      </c>
      <c r="R96" s="441">
        <v>1</v>
      </c>
      <c r="AF96" s="109">
        <v>10</v>
      </c>
      <c r="AG96" s="49">
        <v>-0.8</v>
      </c>
      <c r="AH96" s="49">
        <v>60</v>
      </c>
      <c r="AI96" s="1586">
        <v>0</v>
      </c>
    </row>
    <row r="97" spans="1:51">
      <c r="A97" s="507" t="s">
        <v>199</v>
      </c>
      <c r="B97" s="510"/>
      <c r="C97" s="510"/>
      <c r="D97" s="510"/>
      <c r="E97" s="89"/>
      <c r="F97" s="40"/>
      <c r="G97" s="40"/>
      <c r="I97" s="244"/>
      <c r="J97" s="359" t="s">
        <v>625</v>
      </c>
      <c r="K97" s="359" t="s">
        <v>626</v>
      </c>
      <c r="L97" s="359" t="s">
        <v>627</v>
      </c>
      <c r="M97" s="330" t="s">
        <v>628</v>
      </c>
      <c r="N97" s="435" t="s">
        <v>16</v>
      </c>
      <c r="O97" s="438">
        <f>IF(minergiep,IF(Neubau1=3,INDEX($R$84:$R$96,Kategorie1,1),INDEX($O$84:$O$96,Kategorie1,1)),IF(Neubau1=3,INDEX($Q$84:$Q$96,Kategorie1,1),INDEX($N$84:$N$96,Kategorie1,1)))</f>
        <v>0</v>
      </c>
      <c r="P97" s="436">
        <f>IF(minergiep,INDEX($P$84:$P$96,Kategorie1,1),0)</f>
        <v>0</v>
      </c>
      <c r="Q97" s="434">
        <f>IF(Primaeranf1&gt;0,1,0)</f>
        <v>0</v>
      </c>
      <c r="R97" s="476" t="str">
        <f>S43</f>
        <v/>
      </c>
      <c r="S97" s="135" t="str">
        <f>INDEX($I$9:$I$21,Kategorie1,1)</f>
        <v xml:space="preserve"> </v>
      </c>
      <c r="T97" s="630" t="s">
        <v>16</v>
      </c>
    </row>
    <row r="98" spans="1:51">
      <c r="A98" s="505" t="str">
        <f>Uebersetzung!D118</f>
        <v>Argovie</v>
      </c>
      <c r="B98" s="91">
        <v>7</v>
      </c>
      <c r="C98" s="91">
        <v>5</v>
      </c>
      <c r="D98" s="91"/>
      <c r="E98" s="91"/>
      <c r="F98" s="45"/>
      <c r="G98" s="45"/>
      <c r="I98" s="310" t="s">
        <v>632</v>
      </c>
      <c r="J98" s="318">
        <f>Kategorie1</f>
        <v>1</v>
      </c>
      <c r="K98" s="318">
        <f>Kategorie2</f>
        <v>1</v>
      </c>
      <c r="L98" s="318">
        <f>Kategorie3</f>
        <v>1</v>
      </c>
      <c r="M98" s="242">
        <f>Kategorie4</f>
        <v>1</v>
      </c>
      <c r="N98" s="435" t="s">
        <v>17</v>
      </c>
      <c r="O98" s="438">
        <f>IF(minergiep,IF(Neubau2=3,INDEX($R$84:$R$96,Kategorie2,1),INDEX($O$84:$O$96,Kategorie2,1)),IF(Neubau2=3,INDEX($Q$84:$Q$96,Kategorie2,1),INDEX($N$84:$N$96,Kategorie2,1)))</f>
        <v>0</v>
      </c>
      <c r="P98" s="436">
        <f>IF(minergiep,INDEX($P$84:$P$96,Kategorie2,1),0)</f>
        <v>0</v>
      </c>
      <c r="Q98" s="434">
        <f>IF(Primaeranf2&gt;0,1,0)</f>
        <v>0</v>
      </c>
      <c r="R98" s="423" t="str">
        <f>S44</f>
        <v/>
      </c>
      <c r="S98" s="135" t="str">
        <f>INDEX($I$9:$I$21,Kategorie2,1)</f>
        <v xml:space="preserve"> </v>
      </c>
      <c r="T98" s="630" t="s">
        <v>17</v>
      </c>
    </row>
    <row r="99" spans="1:51">
      <c r="A99" s="505" t="str">
        <f>Uebersetzung!D119</f>
        <v>Appenzell Rhodes-Intérieures</v>
      </c>
      <c r="B99" s="91">
        <v>32</v>
      </c>
      <c r="C99" s="91"/>
      <c r="D99" s="91"/>
      <c r="E99" s="91"/>
      <c r="F99" s="45"/>
      <c r="G99" s="45"/>
      <c r="I99" s="41" t="s">
        <v>668</v>
      </c>
      <c r="J99" s="45" t="str">
        <f>IF(Kategorie1&gt;1,INDEX($J$84:$J$96,Kategorie1,1),"")</f>
        <v/>
      </c>
      <c r="K99" s="45" t="str">
        <f>IF(Kategorie2&gt;1,INDEX($J$84:$J$96,Kategorie2,1),"")</f>
        <v/>
      </c>
      <c r="L99" s="45" t="str">
        <f>IF(Kategorie3&gt;1,INDEX($J$84:$J$96,Kategorie3,1),"")</f>
        <v/>
      </c>
      <c r="M99" s="44" t="str">
        <f>IF(Kategorie4&gt;1,INDEX($J$84:$J$96,Kategorie4,1),"")</f>
        <v/>
      </c>
      <c r="N99" s="562">
        <v>1</v>
      </c>
      <c r="O99" s="438">
        <f>IF(minergiep,IF(Neubau3=3,INDEX($R$84:$R$96,Kategorie3,1),INDEX($O$84:$O$96,Kategorie3,1)),IF(Neubau3=3,INDEX($Q$84:$Q$96,Kategorie3,1),INDEX($N$84:$N$96,Kategorie3,1)))</f>
        <v>0</v>
      </c>
      <c r="P99" s="436">
        <f>IF(minergiep,INDEX($P$84:$P$96,Kategorie3,1),0)</f>
        <v>0</v>
      </c>
      <c r="Q99" s="434">
        <f>IF(Primaeranf3&gt;0,1,0)</f>
        <v>0</v>
      </c>
      <c r="R99" s="423" t="str">
        <f>S45</f>
        <v/>
      </c>
      <c r="S99" s="135" t="str">
        <f>INDEX($I$9:$I$21,Kategorie3,1)</f>
        <v xml:space="preserve"> </v>
      </c>
      <c r="T99" s="630" t="s">
        <v>18</v>
      </c>
    </row>
    <row r="100" spans="1:51">
      <c r="A100" s="505" t="str">
        <f>Uebersetzung!D120</f>
        <v>Appenzell Rhodes-Extérieures</v>
      </c>
      <c r="B100" s="91">
        <v>32</v>
      </c>
      <c r="C100" s="91"/>
      <c r="D100" s="91"/>
      <c r="E100" s="91"/>
      <c r="F100" s="45"/>
      <c r="G100" s="45"/>
      <c r="I100" s="358"/>
      <c r="J100" s="45" t="str">
        <f>IF(Kategorie1&gt;1,INDEX($K$84:$K$96,Kategorie1,1),"")</f>
        <v/>
      </c>
      <c r="K100" s="45" t="str">
        <f>IF(Kategorie2&gt;1,INDEX($K$84:$K$96,Kategorie2,1),"")</f>
        <v/>
      </c>
      <c r="L100" s="45" t="str">
        <f>IF(Kategorie3&gt;1,INDEX($K$84:$K$96,Kategorie3,1),"")</f>
        <v/>
      </c>
      <c r="M100" s="44" t="str">
        <f>IF(Kategorie4&gt;1,INDEX($K$84:$K$96,Kategorie4,1),"")</f>
        <v/>
      </c>
      <c r="N100" s="562">
        <v>2</v>
      </c>
      <c r="O100" s="438">
        <f>IF(minergiep,IF(Neubau4=3,INDEX($R$84:$R$96,Kategorie4,1),INDEX($O$84:$O$96,Kategorie4,1)),IF(Neubau4=3,INDEX($Q$84:$Q$96,Kategorie4,1),INDEX($N$84:$N$96,Kategorie4,1)))</f>
        <v>0</v>
      </c>
      <c r="P100" s="436">
        <f>IF(minergiep,INDEX($P$84:$P$96,Kategorie4,1),0)</f>
        <v>0</v>
      </c>
      <c r="Q100" s="434">
        <f>IF(Primaeranf4&gt;0,1,0)</f>
        <v>0</v>
      </c>
      <c r="R100" s="423" t="str">
        <f>S46</f>
        <v/>
      </c>
      <c r="S100" s="135" t="str">
        <f>INDEX($I$9:$I$21,Kategorie4,1)</f>
        <v xml:space="preserve"> </v>
      </c>
      <c r="T100" s="630" t="s">
        <v>19</v>
      </c>
    </row>
    <row r="101" spans="1:51">
      <c r="A101" s="505" t="str">
        <f>Uebersetzung!D121</f>
        <v>Berne</v>
      </c>
      <c r="B101" s="91">
        <v>6</v>
      </c>
      <c r="C101" s="91">
        <v>2</v>
      </c>
      <c r="D101" s="91"/>
      <c r="E101" s="91"/>
      <c r="F101" s="45"/>
      <c r="G101" s="45"/>
      <c r="I101" s="43" t="s">
        <v>177</v>
      </c>
      <c r="J101" s="742">
        <f>IF(Entrées!$F$17="",1,VLOOKUP(Entrées!$F$17,J99:N100,5,FALSE))</f>
        <v>1</v>
      </c>
      <c r="K101" s="742">
        <f>IF(Entrées!$G$17="",1,VLOOKUP(Entrées!$G$17,K99:N100,4,FALSE))</f>
        <v>1</v>
      </c>
      <c r="L101" s="742">
        <f>IF(Entrées!$H$17="",1,VLOOKUP(Entrées!$H$17,L99:N100,3,FALSE))</f>
        <v>1</v>
      </c>
      <c r="M101" s="637">
        <f>IF(Entrées!$I$17="",1,VLOOKUP(Entrées!$I$17,M99:N100,2,FALSE))</f>
        <v>1</v>
      </c>
      <c r="N101" s="383" t="s">
        <v>11</v>
      </c>
      <c r="O101" s="313" t="b">
        <f>IF(SUM(O97:O100)&gt;0,TRUE,FALSE)</f>
        <v>0</v>
      </c>
    </row>
    <row r="102" spans="1:51">
      <c r="A102" s="505" t="str">
        <f>Uebersetzung!D122</f>
        <v>Bâle-Campagne</v>
      </c>
      <c r="B102" s="91">
        <v>5</v>
      </c>
      <c r="C102" s="91"/>
      <c r="D102" s="91"/>
      <c r="E102" s="91"/>
      <c r="F102" s="45"/>
      <c r="G102" s="45"/>
      <c r="I102" s="43" t="s">
        <v>666</v>
      </c>
      <c r="J102" s="45" t="str">
        <f>INDEX(J99:J100,_WW1,1)</f>
        <v/>
      </c>
      <c r="K102" s="45" t="str">
        <f>INDEX(K99:K100,_WW2,1)</f>
        <v/>
      </c>
      <c r="L102" s="45" t="str">
        <f>INDEX(L99:L100,_WW3,1)</f>
        <v/>
      </c>
      <c r="M102" s="44" t="str">
        <f>INDEX(M99:M100,_WW4,1)</f>
        <v/>
      </c>
    </row>
    <row r="103" spans="1:51">
      <c r="A103" s="505" t="str">
        <f>Uebersetzung!D123</f>
        <v>Bâle-Ville</v>
      </c>
      <c r="B103" s="91">
        <v>5</v>
      </c>
      <c r="C103" s="91"/>
      <c r="D103" s="91"/>
      <c r="E103" s="91"/>
      <c r="F103" s="45"/>
      <c r="G103" s="45"/>
      <c r="I103" s="43" t="s">
        <v>667</v>
      </c>
      <c r="J103" s="45" t="str">
        <f>IF(Kategorie1&gt;1,IF(AND(minergiea,OR(Kategorie1=7,Kategorie1=12),MINERGIE!F18=""),TRUE,INDEX($L$84:$M$96,Kategorie1,_WW1)),"")</f>
        <v/>
      </c>
      <c r="K103" s="45" t="str">
        <f>IF(Kategorie2&gt;1,IF(AND(minergiea,OR(Kategorie2=7,Kategorie2=12),MINERGIE!G18=""),TRUE,INDEX($L$84:$M$96,Kategorie2,_WW2)),"")</f>
        <v/>
      </c>
      <c r="L103" s="45" t="str">
        <f>IF(Kategorie3&gt;1,IF(AND(minergiea,OR(Kategorie3=7,Kategorie3=12),MINERGIE!H18=""),TRUE,INDEX($L$84:$M$96,Kategorie3,_WW3)),"")</f>
        <v/>
      </c>
      <c r="M103" s="45" t="str">
        <f>IF(Kategorie4&gt;1,IF(AND(minergiea,OR(Kategorie4=7,Kategorie4=12),MINERGIE!I18=""),TRUE,INDEX($L$84:$M$96,Kategorie4,_WW4)),"")</f>
        <v/>
      </c>
      <c r="N103" s="149" t="b">
        <f>IF(AND(J103="",K103="",L103="",M103=""),FALSE,OR(J103,K103,L103,M103))</f>
        <v>0</v>
      </c>
      <c r="O103" s="27" t="s">
        <v>675</v>
      </c>
    </row>
    <row r="104" spans="1:51" ht="15.75">
      <c r="A104" s="505" t="str">
        <f>Uebersetzung!D124</f>
        <v>Fribourg</v>
      </c>
      <c r="B104" s="91">
        <v>6</v>
      </c>
      <c r="C104" s="91">
        <v>2</v>
      </c>
      <c r="D104" s="91"/>
      <c r="E104" s="91"/>
      <c r="F104" s="45"/>
      <c r="G104" s="45"/>
      <c r="I104" s="36" t="s">
        <v>669</v>
      </c>
      <c r="J104" s="363">
        <f>IF(_EBF1&gt;0,IF(J103,INDEX($L$9:$L$21,Kategorie1,1)/3.6*EBFo1/_EBF1,0),)</f>
        <v>0</v>
      </c>
      <c r="K104" s="363">
        <f>IF(_EBF2&gt;0,IF(K103,INDEX($L$9:$L$21,Kategorie2,1)/3.6*EBFo2/_EBF2,0),)</f>
        <v>0</v>
      </c>
      <c r="L104" s="363">
        <f>IF(_EBF3&gt;0,IF(L103,INDEX($L$9:$L$21,Kategorie3,1)/3.6*EBFo3/_EBF3,0),)</f>
        <v>0</v>
      </c>
      <c r="M104" s="363">
        <f>IF(_EBF4&gt;0,IF(M103,INDEX($L$9:$L$21,Kategorie4,1)/3.6*EBFo4/_EBF4,0),)</f>
        <v>0</v>
      </c>
      <c r="N104" s="40"/>
      <c r="O104" s="27" t="s">
        <v>524</v>
      </c>
      <c r="U104" s="251" t="s">
        <v>161</v>
      </c>
      <c r="AD104" s="42"/>
      <c r="AN104" s="107" t="s">
        <v>2182</v>
      </c>
      <c r="AP104" s="1357">
        <f>AP120</f>
        <v>0.13900000000000001</v>
      </c>
      <c r="AW104" s="2333"/>
      <c r="AY104" s="2333"/>
    </row>
    <row r="105" spans="1:51">
      <c r="A105" s="505" t="str">
        <f>Uebersetzung!D125</f>
        <v>Genève</v>
      </c>
      <c r="B105" s="91">
        <v>12</v>
      </c>
      <c r="C105" s="91"/>
      <c r="D105" s="91"/>
      <c r="E105" s="91"/>
      <c r="F105" s="45"/>
      <c r="G105" s="45"/>
      <c r="I105" s="43" t="s">
        <v>265</v>
      </c>
      <c r="J105" s="45">
        <f>_EBF1</f>
        <v>0</v>
      </c>
      <c r="K105" s="45">
        <f>_EBF2</f>
        <v>0</v>
      </c>
      <c r="L105" s="45">
        <f>_EBF3</f>
        <v>0</v>
      </c>
      <c r="M105" s="84">
        <f>_EBF4</f>
        <v>0</v>
      </c>
      <c r="N105" s="45">
        <f>SUM(J105:M105)</f>
        <v>0</v>
      </c>
      <c r="O105" s="27" t="s">
        <v>321</v>
      </c>
      <c r="T105" s="84"/>
      <c r="U105" s="84"/>
      <c r="V105" s="84"/>
      <c r="W105" s="60"/>
      <c r="X105" s="60"/>
      <c r="Y105" s="60"/>
      <c r="AD105" s="42"/>
      <c r="AN105" s="107" t="s">
        <v>2183</v>
      </c>
      <c r="AP105" s="1360">
        <f>AP112</f>
        <v>0.249</v>
      </c>
      <c r="AW105" s="2333"/>
      <c r="AX105" s="2333"/>
      <c r="AY105" s="2333"/>
    </row>
    <row r="106" spans="1:51">
      <c r="A106" s="505" t="str">
        <f>Uebersetzung!D126</f>
        <v>Glaris</v>
      </c>
      <c r="B106" s="91">
        <v>13</v>
      </c>
      <c r="C106" s="91"/>
      <c r="D106" s="91"/>
      <c r="E106" s="91"/>
      <c r="F106" s="45"/>
      <c r="G106" s="45"/>
      <c r="I106" s="94" t="s">
        <v>670</v>
      </c>
      <c r="J106" s="364">
        <f>J105*J104</f>
        <v>0</v>
      </c>
      <c r="K106" s="364">
        <f>K105*K104</f>
        <v>0</v>
      </c>
      <c r="L106" s="364">
        <f>L105*L104</f>
        <v>0</v>
      </c>
      <c r="M106" s="365">
        <f>M105*M104</f>
        <v>0</v>
      </c>
      <c r="N106" s="364">
        <f>SUM(J106:M106)</f>
        <v>0</v>
      </c>
      <c r="O106" s="27" t="s">
        <v>672</v>
      </c>
      <c r="T106" s="1632"/>
      <c r="U106" s="1634"/>
      <c r="V106" s="1633" t="s">
        <v>317</v>
      </c>
      <c r="W106" s="459"/>
      <c r="X106" s="597" t="s">
        <v>316</v>
      </c>
      <c r="Y106" s="597"/>
      <c r="Z106" s="460" t="s">
        <v>236</v>
      </c>
      <c r="AA106" s="461" t="s">
        <v>527</v>
      </c>
      <c r="AB106" s="1634"/>
      <c r="AC106" s="1789" t="s">
        <v>365</v>
      </c>
      <c r="AD106" s="595"/>
      <c r="AE106" s="595"/>
      <c r="AF106" s="461" t="s">
        <v>728</v>
      </c>
      <c r="AG106" s="461" t="s">
        <v>99</v>
      </c>
      <c r="AH106" s="461" t="s">
        <v>499</v>
      </c>
      <c r="AI106" s="461" t="s">
        <v>499</v>
      </c>
      <c r="AJ106" s="461" t="s">
        <v>499</v>
      </c>
      <c r="AK106" s="461"/>
      <c r="AL106" s="595" t="s">
        <v>1230</v>
      </c>
      <c r="AM106" s="1345"/>
      <c r="AN106" s="1350" t="s">
        <v>2092</v>
      </c>
      <c r="AO106" s="1352"/>
      <c r="AP106" s="1350" t="s">
        <v>2179</v>
      </c>
      <c r="AQ106" s="1346"/>
      <c r="AR106" s="1352"/>
      <c r="AS106" s="1350" t="s">
        <v>2481</v>
      </c>
      <c r="AT106" s="1346"/>
      <c r="AU106" s="461" t="s">
        <v>3088</v>
      </c>
      <c r="AV106" s="2336" t="s">
        <v>4720</v>
      </c>
      <c r="AW106" s="2333"/>
      <c r="AX106" s="2333"/>
      <c r="AY106" s="2333"/>
    </row>
    <row r="107" spans="1:51">
      <c r="A107" s="505" t="str">
        <f>Uebersetzung!D127</f>
        <v>Grisons</v>
      </c>
      <c r="B107" s="91">
        <v>8</v>
      </c>
      <c r="C107" s="91">
        <v>9</v>
      </c>
      <c r="D107" s="91">
        <v>10</v>
      </c>
      <c r="E107" s="91">
        <v>28</v>
      </c>
      <c r="F107" s="91">
        <v>34</v>
      </c>
      <c r="G107" s="45">
        <v>30</v>
      </c>
      <c r="I107" s="366" t="s">
        <v>673</v>
      </c>
      <c r="J107" s="367">
        <f>IF(_EBF1&gt;0,INDEX($L$9:$L$21,Kategorie1,1)/3.6*EBFo1/_EBF1,0)-J104</f>
        <v>0</v>
      </c>
      <c r="K107" s="367">
        <f>IF(_EBF2&gt;0,INDEX($L$9:$L$21,Kategorie2,1)/3.6*EBFo2/_EBF2,0)-K104</f>
        <v>0</v>
      </c>
      <c r="L107" s="367">
        <f>IF(_EBF3&gt;0,INDEX($L$9:$L$21,Kategorie3,1)/3.6*EBFo3/_EBF3,0)-L104</f>
        <v>0</v>
      </c>
      <c r="M107" s="367">
        <f>IF(_EBF4&gt;0,INDEX($L$9:$L$21,Kategorie4,1)/3.6*EBFo4/_EBF4,0)-M104</f>
        <v>0</v>
      </c>
      <c r="N107" s="88"/>
      <c r="T107" s="462" t="s">
        <v>3574</v>
      </c>
      <c r="U107" s="465" t="s">
        <v>754</v>
      </c>
      <c r="V107" s="1631" t="s">
        <v>721</v>
      </c>
      <c r="W107" s="463" t="s">
        <v>201</v>
      </c>
      <c r="X107" s="464" t="s">
        <v>242</v>
      </c>
      <c r="Y107" s="465" t="s">
        <v>747</v>
      </c>
      <c r="Z107" s="465" t="s">
        <v>202</v>
      </c>
      <c r="AA107" s="465" t="s">
        <v>525</v>
      </c>
      <c r="AB107" s="465" t="s">
        <v>526</v>
      </c>
      <c r="AC107" s="1790" t="s">
        <v>366</v>
      </c>
      <c r="AD107" s="596" t="s">
        <v>748</v>
      </c>
      <c r="AE107" s="596" t="s">
        <v>749</v>
      </c>
      <c r="AF107" s="465" t="s">
        <v>733</v>
      </c>
      <c r="AG107" s="465" t="s">
        <v>733</v>
      </c>
      <c r="AH107" s="465" t="s">
        <v>500</v>
      </c>
      <c r="AI107" s="465" t="s">
        <v>501</v>
      </c>
      <c r="AJ107" s="465" t="s">
        <v>99</v>
      </c>
      <c r="AK107" s="465" t="s">
        <v>1231</v>
      </c>
      <c r="AL107" s="972" t="s">
        <v>1232</v>
      </c>
      <c r="AM107" s="1344"/>
      <c r="AN107" s="1351" t="s">
        <v>1231</v>
      </c>
      <c r="AO107" s="1353"/>
      <c r="AP107" s="1351" t="s">
        <v>2180</v>
      </c>
      <c r="AQ107" s="1347"/>
      <c r="AR107" s="1353"/>
      <c r="AS107" s="1351" t="s">
        <v>2482</v>
      </c>
      <c r="AT107" s="1347"/>
      <c r="AU107" s="465" t="s">
        <v>3002</v>
      </c>
      <c r="AV107" s="2327" t="s">
        <v>4721</v>
      </c>
      <c r="AW107" s="2333"/>
      <c r="AX107" s="2333"/>
      <c r="AY107" s="2333"/>
    </row>
    <row r="108" spans="1:51">
      <c r="A108" s="505" t="str">
        <f>Uebersetzung!D128</f>
        <v>Jura</v>
      </c>
      <c r="B108" s="91">
        <v>5</v>
      </c>
      <c r="C108" s="91">
        <v>17</v>
      </c>
      <c r="D108" s="91"/>
      <c r="E108" s="91"/>
      <c r="F108" s="45"/>
      <c r="G108" s="45"/>
      <c r="I108" s="127" t="s">
        <v>671</v>
      </c>
      <c r="J108" s="126"/>
      <c r="K108" s="126"/>
      <c r="L108" s="126"/>
      <c r="M108" s="317"/>
      <c r="N108" s="229">
        <f>IF(EBF&gt;0,N106/EBF,)</f>
        <v>0</v>
      </c>
      <c r="O108" s="27" t="s">
        <v>524</v>
      </c>
      <c r="T108" s="43" t="str">
        <f t="shared" ref="T108:T155" si="29">INDEX($W$108:$W$155,$AC108,1)</f>
        <v xml:space="preserve">  </v>
      </c>
      <c r="U108" s="45">
        <v>1</v>
      </c>
      <c r="V108" s="53" t="s">
        <v>557</v>
      </c>
      <c r="W108" s="120" t="s">
        <v>557</v>
      </c>
      <c r="X108" s="227"/>
      <c r="Y108" s="227"/>
      <c r="Z108" s="228"/>
      <c r="AA108" s="235"/>
      <c r="AB108" s="45"/>
      <c r="AC108" s="156">
        <v>1</v>
      </c>
      <c r="AD108" s="428"/>
      <c r="AE108" s="428"/>
      <c r="AF108" s="45" t="b">
        <v>0</v>
      </c>
      <c r="AG108" s="45" t="b">
        <v>0</v>
      </c>
      <c r="AH108" s="45" t="b">
        <v>0</v>
      </c>
      <c r="AI108" s="45" t="b">
        <v>0</v>
      </c>
      <c r="AJ108" s="45" t="b">
        <v>0</v>
      </c>
      <c r="AK108" s="971">
        <f t="shared" ref="AK108:AK155" si="30">AC108</f>
        <v>1</v>
      </c>
      <c r="AL108" s="88">
        <v>1</v>
      </c>
      <c r="AM108" s="43"/>
      <c r="AN108" s="1340">
        <v>0</v>
      </c>
      <c r="AO108" s="36"/>
      <c r="AP108" s="820"/>
      <c r="AQ108" s="1349"/>
      <c r="AR108" s="36"/>
      <c r="AS108" s="819"/>
      <c r="AT108" s="1349"/>
      <c r="AU108" s="88"/>
      <c r="AV108" s="2326"/>
      <c r="AW108" s="2333"/>
      <c r="AX108" s="2333"/>
      <c r="AY108" s="2333"/>
    </row>
    <row r="109" spans="1:51">
      <c r="A109" s="505" t="str">
        <f>Uebersetzung!D129</f>
        <v>Lucerne</v>
      </c>
      <c r="B109" s="91">
        <v>21</v>
      </c>
      <c r="C109" s="91"/>
      <c r="D109" s="91"/>
      <c r="E109" s="91"/>
      <c r="F109" s="45"/>
      <c r="G109" s="45"/>
      <c r="I109" s="737" t="s">
        <v>832</v>
      </c>
      <c r="J109" s="27" t="b">
        <f>ISERROR(_WW1)</f>
        <v>0</v>
      </c>
      <c r="K109" s="27" t="b">
        <f>ISERROR(_WW2)</f>
        <v>0</v>
      </c>
      <c r="L109" s="27" t="b">
        <f>ISERROR(_WW3)</f>
        <v>0</v>
      </c>
      <c r="M109" s="27" t="b">
        <f>ISERROR(_WW4)</f>
        <v>0</v>
      </c>
      <c r="T109" s="43" t="str">
        <f t="shared" si="29"/>
        <v>Pompe à chaleur géothermique, que chauffage</v>
      </c>
      <c r="U109" s="45">
        <v>2</v>
      </c>
      <c r="V109" s="53" t="str">
        <f>Uebersetzung!D202</f>
        <v>Chaudière à mazout</v>
      </c>
      <c r="W109" s="120" t="str">
        <f>Uebersetzung!D157</f>
        <v>Chaudière à mazout</v>
      </c>
      <c r="X109" s="228">
        <v>0.85</v>
      </c>
      <c r="Y109" s="228">
        <v>0.9</v>
      </c>
      <c r="Z109" s="228">
        <v>1</v>
      </c>
      <c r="AA109" s="235">
        <v>1</v>
      </c>
      <c r="AB109" s="45">
        <v>1</v>
      </c>
      <c r="AC109" s="156">
        <v>19</v>
      </c>
      <c r="AD109" s="428"/>
      <c r="AE109" s="428"/>
      <c r="AF109" s="45" t="b">
        <v>0</v>
      </c>
      <c r="AG109" s="45" t="b">
        <v>0</v>
      </c>
      <c r="AH109" s="45" t="b">
        <v>0</v>
      </c>
      <c r="AI109" s="45" t="b">
        <v>0</v>
      </c>
      <c r="AJ109" s="45" t="b">
        <v>0</v>
      </c>
      <c r="AK109" s="428">
        <f t="shared" si="30"/>
        <v>19</v>
      </c>
      <c r="AL109" s="120">
        <v>1</v>
      </c>
      <c r="AM109" s="43"/>
      <c r="AN109" s="1340">
        <v>1</v>
      </c>
      <c r="AO109" s="43"/>
      <c r="AP109" s="1354">
        <v>0.31900000000000001</v>
      </c>
      <c r="AQ109" s="53"/>
      <c r="AR109" s="43"/>
      <c r="AS109" s="332">
        <v>0</v>
      </c>
      <c r="AT109" s="53"/>
      <c r="AU109" s="120" t="b">
        <v>0</v>
      </c>
      <c r="AV109" s="2334" t="b">
        <v>0</v>
      </c>
      <c r="AW109" s="2333"/>
      <c r="AX109" s="2333"/>
      <c r="AY109" s="2333"/>
    </row>
    <row r="110" spans="1:51">
      <c r="A110" s="505" t="str">
        <f>Uebersetzung!D130</f>
        <v>Neuchâtel</v>
      </c>
      <c r="B110" s="91">
        <v>24</v>
      </c>
      <c r="C110" s="91">
        <v>17</v>
      </c>
      <c r="D110" s="91"/>
      <c r="E110" s="91"/>
      <c r="F110" s="45"/>
      <c r="G110" s="45"/>
      <c r="I110" s="366" t="s">
        <v>3945</v>
      </c>
      <c r="J110" s="367">
        <f>IF(AND(minergiea,OR(Kategorie1=7,Kategorie1=12)),INDEX(AN71:AN83,Kategorie1,1),0)</f>
        <v>0</v>
      </c>
      <c r="K110" s="367">
        <f>IF(AND(minergiea,OR(Kategorie2=7,Kategorie2=12)),INDEX(AN71:AN83,Kategorie2,1),0)</f>
        <v>0</v>
      </c>
      <c r="L110" s="367">
        <f>IF(AND(minergiea,OR(Kategorie3=7,Kategorie3=12)),INDEX(AN71:AN83,Kategorie3,1),0)</f>
        <v>0</v>
      </c>
      <c r="M110" s="367">
        <f>IF(AND(minergiea,OR(Kategorie4=7,Kategorie4=12)),INDEX(AN71:AN83,Kategorie4,1),0)</f>
        <v>0</v>
      </c>
      <c r="O110" s="27" t="s">
        <v>3946</v>
      </c>
      <c r="T110" s="43" t="str">
        <f t="shared" si="29"/>
        <v>Pompe à chaleur géothermique, qu'eau chaude</v>
      </c>
      <c r="U110" s="45">
        <v>3</v>
      </c>
      <c r="V110" s="53" t="str">
        <f>Uebersetzung!D203</f>
        <v>Chaudière à mazout à condensation</v>
      </c>
      <c r="W110" s="120" t="str">
        <f>Uebersetzung!D158</f>
        <v>Chaudière à mazout à condensation, que chauffage</v>
      </c>
      <c r="X110" s="228">
        <v>0.91</v>
      </c>
      <c r="Y110" s="228">
        <v>1</v>
      </c>
      <c r="Z110" s="228">
        <v>1</v>
      </c>
      <c r="AA110" s="235"/>
      <c r="AB110" s="45">
        <v>1</v>
      </c>
      <c r="AC110" s="156">
        <v>20</v>
      </c>
      <c r="AD110" s="428"/>
      <c r="AE110" s="428"/>
      <c r="AF110" s="45" t="b">
        <v>0</v>
      </c>
      <c r="AG110" s="45" t="b">
        <v>0</v>
      </c>
      <c r="AH110" s="45" t="b">
        <v>0</v>
      </c>
      <c r="AI110" s="45" t="b">
        <v>0</v>
      </c>
      <c r="AJ110" s="45" t="b">
        <v>0</v>
      </c>
      <c r="AK110" s="428">
        <f t="shared" si="30"/>
        <v>20</v>
      </c>
      <c r="AL110" s="120">
        <v>1</v>
      </c>
      <c r="AM110" s="43"/>
      <c r="AN110" s="1340">
        <v>2</v>
      </c>
      <c r="AO110" s="43"/>
      <c r="AP110" s="1354">
        <v>0.31900000000000001</v>
      </c>
      <c r="AQ110" s="53"/>
      <c r="AR110" s="43"/>
      <c r="AS110" s="332">
        <v>0</v>
      </c>
      <c r="AT110" s="53"/>
      <c r="AU110" s="120" t="b">
        <v>0</v>
      </c>
      <c r="AV110" s="2334" t="b">
        <v>0</v>
      </c>
      <c r="AW110" s="2333"/>
      <c r="AX110" s="2333"/>
      <c r="AY110" s="2333"/>
    </row>
    <row r="111" spans="1:51">
      <c r="A111" s="505" t="str">
        <f>Uebersetzung!D131</f>
        <v>Nidwald</v>
      </c>
      <c r="B111" s="45">
        <v>21</v>
      </c>
      <c r="C111" s="45">
        <v>11</v>
      </c>
      <c r="D111" s="45"/>
      <c r="E111" s="227"/>
      <c r="F111" s="45"/>
      <c r="G111" s="45"/>
      <c r="T111" s="43" t="str">
        <f t="shared" si="29"/>
        <v>Pompe à chaleur air-eau, que chauffage</v>
      </c>
      <c r="U111" s="45">
        <v>4</v>
      </c>
      <c r="V111" s="53" t="str">
        <f>Uebersetzung!D204</f>
        <v xml:space="preserve">Chaudière à mazout à condensation. Eau chaude. </v>
      </c>
      <c r="W111" s="120" t="str">
        <f>Uebersetzung!D159</f>
        <v xml:space="preserve">Chaudière à mazout à condensation, qu'eau chaude </v>
      </c>
      <c r="X111" s="228">
        <v>0.88</v>
      </c>
      <c r="Y111" s="228">
        <v>0.95</v>
      </c>
      <c r="Z111" s="228">
        <v>1</v>
      </c>
      <c r="AA111" s="235">
        <v>1</v>
      </c>
      <c r="AB111" s="45"/>
      <c r="AC111" s="156">
        <v>17</v>
      </c>
      <c r="AD111" s="428"/>
      <c r="AE111" s="428"/>
      <c r="AF111" s="45" t="b">
        <v>0</v>
      </c>
      <c r="AG111" s="45" t="b">
        <v>0</v>
      </c>
      <c r="AH111" s="45" t="b">
        <v>0</v>
      </c>
      <c r="AI111" s="45" t="b">
        <v>0</v>
      </c>
      <c r="AJ111" s="45" t="b">
        <v>0</v>
      </c>
      <c r="AK111" s="428">
        <f t="shared" si="30"/>
        <v>17</v>
      </c>
      <c r="AL111" s="120">
        <v>1</v>
      </c>
      <c r="AM111" s="43"/>
      <c r="AN111" s="1340">
        <v>3</v>
      </c>
      <c r="AO111" s="43"/>
      <c r="AP111" s="1354">
        <v>0.31900000000000001</v>
      </c>
      <c r="AQ111" s="53"/>
      <c r="AR111" s="43"/>
      <c r="AS111" s="332">
        <v>0</v>
      </c>
      <c r="AT111" s="53"/>
      <c r="AU111" s="120" t="b">
        <v>0</v>
      </c>
      <c r="AV111" s="2334" t="b">
        <v>0</v>
      </c>
      <c r="AW111" s="2333"/>
      <c r="AX111" s="2333"/>
      <c r="AY111" s="2333"/>
    </row>
    <row r="112" spans="1:51">
      <c r="A112" s="505" t="str">
        <f>Uebersetzung!D132</f>
        <v>Obwald</v>
      </c>
      <c r="B112" s="45">
        <v>21</v>
      </c>
      <c r="C112" s="45">
        <v>11</v>
      </c>
      <c r="D112" s="45"/>
      <c r="E112" s="227"/>
      <c r="F112" s="45"/>
      <c r="G112" s="45"/>
      <c r="I112" s="383" t="s">
        <v>369</v>
      </c>
      <c r="J112" s="359" t="s">
        <v>625</v>
      </c>
      <c r="K112" s="384" t="s">
        <v>626</v>
      </c>
      <c r="L112" s="384" t="s">
        <v>627</v>
      </c>
      <c r="M112" s="250" t="s">
        <v>628</v>
      </c>
      <c r="T112" s="43" t="str">
        <f t="shared" si="29"/>
        <v>Pompe à chaleur air-eau, qu'eau chaude</v>
      </c>
      <c r="U112" s="45">
        <v>5</v>
      </c>
      <c r="V112" s="53" t="str">
        <f>Uebersetzung!D205</f>
        <v>Chaudière à gaz</v>
      </c>
      <c r="W112" s="120" t="str">
        <f>Uebersetzung!D160</f>
        <v>Chaudière à gaz</v>
      </c>
      <c r="X112" s="228">
        <v>0.85</v>
      </c>
      <c r="Y112" s="228">
        <v>0.9</v>
      </c>
      <c r="Z112" s="228">
        <v>1</v>
      </c>
      <c r="AA112" s="235">
        <v>1</v>
      </c>
      <c r="AB112" s="45">
        <v>1</v>
      </c>
      <c r="AC112" s="156">
        <v>18</v>
      </c>
      <c r="AD112" s="428"/>
      <c r="AE112" s="428"/>
      <c r="AF112" s="45" t="b">
        <v>0</v>
      </c>
      <c r="AG112" s="45" t="b">
        <v>0</v>
      </c>
      <c r="AH112" s="45" t="b">
        <v>0</v>
      </c>
      <c r="AI112" s="45" t="b">
        <v>0</v>
      </c>
      <c r="AJ112" s="45" t="b">
        <v>0</v>
      </c>
      <c r="AK112" s="428">
        <f t="shared" si="30"/>
        <v>18</v>
      </c>
      <c r="AL112" s="120">
        <v>1</v>
      </c>
      <c r="AM112" s="43"/>
      <c r="AN112" s="1340">
        <v>4</v>
      </c>
      <c r="AO112" s="43"/>
      <c r="AP112" s="1354">
        <v>0.249</v>
      </c>
      <c r="AQ112" s="53"/>
      <c r="AR112" s="43"/>
      <c r="AS112" s="332">
        <v>0</v>
      </c>
      <c r="AT112" s="53"/>
      <c r="AU112" s="120" t="b">
        <v>0</v>
      </c>
      <c r="AV112" s="2334" t="b">
        <v>0</v>
      </c>
      <c r="AW112" s="2333"/>
      <c r="AX112" s="2333"/>
      <c r="AY112" s="2333"/>
    </row>
    <row r="113" spans="1:51">
      <c r="A113" s="505" t="str">
        <f>Uebersetzung!D133</f>
        <v>St-Gall</v>
      </c>
      <c r="B113" s="45">
        <v>32</v>
      </c>
      <c r="C113" s="45"/>
      <c r="D113" s="45"/>
      <c r="E113" s="227"/>
      <c r="F113" s="45"/>
      <c r="G113" s="45"/>
      <c r="J113" s="88"/>
      <c r="K113" s="115"/>
      <c r="L113" s="88"/>
      <c r="M113" s="88"/>
      <c r="N113" s="562">
        <v>1</v>
      </c>
      <c r="T113" s="43" t="str">
        <f t="shared" si="29"/>
        <v>Pompe à chaleur eau-eau, que chauffage</v>
      </c>
      <c r="U113" s="45">
        <v>6</v>
      </c>
      <c r="V113" s="53" t="str">
        <f>Uebersetzung!D206</f>
        <v>Chaudière à gaz à condensation</v>
      </c>
      <c r="W113" s="120" t="str">
        <f>Uebersetzung!D161</f>
        <v>Chaudière à gaz à condensation, que chauffage</v>
      </c>
      <c r="X113" s="228">
        <v>0.95</v>
      </c>
      <c r="Y113" s="228">
        <v>1</v>
      </c>
      <c r="Z113" s="228">
        <v>1</v>
      </c>
      <c r="AA113" s="235"/>
      <c r="AB113" s="45">
        <v>1</v>
      </c>
      <c r="AC113" s="156">
        <v>23</v>
      </c>
      <c r="AD113" s="428"/>
      <c r="AE113" s="428"/>
      <c r="AF113" s="45" t="b">
        <v>0</v>
      </c>
      <c r="AG113" s="45" t="b">
        <v>0</v>
      </c>
      <c r="AH113" s="45" t="b">
        <v>0</v>
      </c>
      <c r="AI113" s="45" t="b">
        <v>0</v>
      </c>
      <c r="AJ113" s="45" t="b">
        <v>0</v>
      </c>
      <c r="AK113" s="428">
        <f t="shared" si="30"/>
        <v>23</v>
      </c>
      <c r="AL113" s="120">
        <v>1</v>
      </c>
      <c r="AM113" s="43"/>
      <c r="AN113" s="1340">
        <v>5</v>
      </c>
      <c r="AO113" s="43"/>
      <c r="AP113" s="1354">
        <v>0.249</v>
      </c>
      <c r="AQ113" s="53"/>
      <c r="AR113" s="43"/>
      <c r="AS113" s="332">
        <v>0</v>
      </c>
      <c r="AT113" s="53"/>
      <c r="AU113" s="120" t="b">
        <v>0</v>
      </c>
      <c r="AV113" s="2334" t="b">
        <v>0</v>
      </c>
      <c r="AW113" s="2333"/>
      <c r="AX113" s="2333"/>
      <c r="AY113" s="2333"/>
    </row>
    <row r="114" spans="1:51">
      <c r="A114" s="505" t="str">
        <f>Uebersetzung!D134</f>
        <v>Schaffhouse</v>
      </c>
      <c r="B114" s="45">
        <v>33</v>
      </c>
      <c r="C114" s="45"/>
      <c r="D114" s="45"/>
      <c r="E114" s="227"/>
      <c r="F114" s="45"/>
      <c r="G114" s="45"/>
      <c r="J114" s="120" t="str">
        <f>Uebersetzung!D78</f>
        <v>Refroidissement</v>
      </c>
      <c r="K114" s="53" t="str">
        <f>J114</f>
        <v>Refroidissement</v>
      </c>
      <c r="L114" s="120" t="str">
        <f>K114</f>
        <v>Refroidissement</v>
      </c>
      <c r="M114" s="120" t="str">
        <f>L114</f>
        <v>Refroidissement</v>
      </c>
      <c r="N114" s="562">
        <v>2</v>
      </c>
      <c r="T114" s="43" t="str">
        <f t="shared" si="29"/>
        <v>Pompe à chaleur eau-eau, qu'eau chaude</v>
      </c>
      <c r="U114" s="45">
        <v>7</v>
      </c>
      <c r="V114" s="53" t="str">
        <f>Uebersetzung!D207</f>
        <v>Chaudière à gaz à condensation. Eau chaude</v>
      </c>
      <c r="W114" s="120" t="str">
        <f>Uebersetzung!D162</f>
        <v>Chaudière à gaz à condensation, qu'eau chaude</v>
      </c>
      <c r="X114" s="228">
        <v>0.92</v>
      </c>
      <c r="Y114" s="228">
        <v>0.95</v>
      </c>
      <c r="Z114" s="228">
        <v>1</v>
      </c>
      <c r="AA114" s="235">
        <v>1</v>
      </c>
      <c r="AB114" s="45"/>
      <c r="AC114" s="156">
        <v>24</v>
      </c>
      <c r="AD114" s="428"/>
      <c r="AE114" s="428"/>
      <c r="AF114" s="45" t="b">
        <v>0</v>
      </c>
      <c r="AG114" s="45" t="b">
        <v>0</v>
      </c>
      <c r="AH114" s="45" t="b">
        <v>0</v>
      </c>
      <c r="AI114" s="45" t="b">
        <v>0</v>
      </c>
      <c r="AJ114" s="45" t="b">
        <v>0</v>
      </c>
      <c r="AK114" s="428">
        <f t="shared" si="30"/>
        <v>24</v>
      </c>
      <c r="AL114" s="120">
        <v>1</v>
      </c>
      <c r="AM114" s="43"/>
      <c r="AN114" s="1340">
        <v>6</v>
      </c>
      <c r="AO114" s="43"/>
      <c r="AP114" s="1354">
        <v>0.249</v>
      </c>
      <c r="AQ114" s="53"/>
      <c r="AR114" s="43"/>
      <c r="AS114" s="332">
        <v>0</v>
      </c>
      <c r="AT114" s="53"/>
      <c r="AU114" s="120" t="b">
        <v>0</v>
      </c>
      <c r="AV114" s="2334" t="b">
        <v>0</v>
      </c>
      <c r="AW114" s="2333"/>
      <c r="AX114" s="2333"/>
      <c r="AY114" s="2333"/>
    </row>
    <row r="115" spans="1:51">
      <c r="A115" s="505" t="str">
        <f>Uebersetzung!D135</f>
        <v>Soleure</v>
      </c>
      <c r="B115" s="45">
        <v>38</v>
      </c>
      <c r="C115" s="45"/>
      <c r="D115" s="45"/>
      <c r="E115" s="227"/>
      <c r="F115" s="45"/>
      <c r="G115" s="45"/>
      <c r="J115" s="120" t="str">
        <f>Uebersetzung!D79</f>
        <v>Humidification</v>
      </c>
      <c r="K115" s="53" t="str">
        <f t="shared" ref="K115:M117" si="31">J115</f>
        <v>Humidification</v>
      </c>
      <c r="L115" s="120" t="str">
        <f t="shared" si="31"/>
        <v>Humidification</v>
      </c>
      <c r="M115" s="120" t="str">
        <f t="shared" si="31"/>
        <v>Humidification</v>
      </c>
      <c r="N115" s="562">
        <v>3</v>
      </c>
      <c r="T115" s="43" t="str">
        <f t="shared" si="29"/>
        <v>Pompe à chaleur eau usée, que chauffage</v>
      </c>
      <c r="U115" s="45">
        <v>8</v>
      </c>
      <c r="V115" s="53" t="str">
        <f>Uebersetzung!D208</f>
        <v>Chauffe-eau à gaz</v>
      </c>
      <c r="W115" s="120" t="str">
        <f>Uebersetzung!D163</f>
        <v>Chauffe-eau à gaz</v>
      </c>
      <c r="X115" s="228">
        <v>0.7</v>
      </c>
      <c r="Y115" s="228">
        <v>0.9</v>
      </c>
      <c r="Z115" s="228">
        <v>1</v>
      </c>
      <c r="AA115" s="235">
        <v>1</v>
      </c>
      <c r="AB115" s="45"/>
      <c r="AC115" s="156">
        <v>21</v>
      </c>
      <c r="AD115" s="428"/>
      <c r="AE115" s="428"/>
      <c r="AF115" s="45" t="b">
        <v>0</v>
      </c>
      <c r="AG115" s="45" t="b">
        <v>0</v>
      </c>
      <c r="AH115" s="45" t="b">
        <v>0</v>
      </c>
      <c r="AI115" s="45" t="b">
        <v>0</v>
      </c>
      <c r="AJ115" s="45" t="b">
        <v>0</v>
      </c>
      <c r="AK115" s="428">
        <f t="shared" si="30"/>
        <v>21</v>
      </c>
      <c r="AL115" s="120">
        <v>1</v>
      </c>
      <c r="AM115" s="43"/>
      <c r="AN115" s="1340">
        <v>7</v>
      </c>
      <c r="AO115" s="43"/>
      <c r="AP115" s="1354">
        <v>0.249</v>
      </c>
      <c r="AQ115" s="53"/>
      <c r="AR115" s="43"/>
      <c r="AS115" s="332">
        <v>0</v>
      </c>
      <c r="AT115" s="53"/>
      <c r="AU115" s="120" t="b">
        <v>0</v>
      </c>
      <c r="AV115" s="2334" t="b">
        <v>0</v>
      </c>
      <c r="AW115" s="2333"/>
      <c r="AX115" s="2333"/>
      <c r="AY115" s="2333"/>
    </row>
    <row r="116" spans="1:51">
      <c r="A116" s="505" t="str">
        <f>Uebersetzung!D136</f>
        <v>Schwytz</v>
      </c>
      <c r="B116" s="45">
        <v>21</v>
      </c>
      <c r="C116" s="45">
        <v>41</v>
      </c>
      <c r="D116" s="45"/>
      <c r="E116" s="227"/>
      <c r="F116" s="45"/>
      <c r="G116" s="45"/>
      <c r="J116" s="120" t="str">
        <f>Uebersetzung!D80</f>
        <v>Refr. + humid.</v>
      </c>
      <c r="K116" s="53" t="str">
        <f t="shared" si="31"/>
        <v>Refr. + humid.</v>
      </c>
      <c r="L116" s="120" t="str">
        <f t="shared" si="31"/>
        <v>Refr. + humid.</v>
      </c>
      <c r="M116" s="120" t="str">
        <f t="shared" si="31"/>
        <v>Refr. + humid.</v>
      </c>
      <c r="N116" s="562">
        <v>4</v>
      </c>
      <c r="T116" s="43" t="str">
        <f t="shared" si="29"/>
        <v>Pompe à chaleur eau usée, qu'eau chaude</v>
      </c>
      <c r="U116" s="45">
        <v>9</v>
      </c>
      <c r="V116" s="53" t="str">
        <f>Uebersetzung!D209</f>
        <v>Chauffage au bois</v>
      </c>
      <c r="W116" s="120" t="str">
        <f>Uebersetzung!D164</f>
        <v>Chauffage au bois</v>
      </c>
      <c r="X116" s="228">
        <v>0.75</v>
      </c>
      <c r="Y116" s="228">
        <v>0.9</v>
      </c>
      <c r="Z116" s="2349">
        <v>0.5</v>
      </c>
      <c r="AA116" s="235">
        <v>1</v>
      </c>
      <c r="AB116" s="45">
        <v>1</v>
      </c>
      <c r="AC116" s="156">
        <v>22</v>
      </c>
      <c r="AD116" s="428"/>
      <c r="AE116" s="428"/>
      <c r="AF116" s="45" t="b">
        <v>0</v>
      </c>
      <c r="AG116" s="45" t="b">
        <v>0</v>
      </c>
      <c r="AH116" s="45" t="b">
        <v>0</v>
      </c>
      <c r="AI116" s="45" t="b">
        <v>0</v>
      </c>
      <c r="AJ116" s="45" t="b">
        <v>0</v>
      </c>
      <c r="AK116" s="428">
        <f t="shared" si="30"/>
        <v>22</v>
      </c>
      <c r="AL116" s="120">
        <v>1</v>
      </c>
      <c r="AM116" s="43"/>
      <c r="AN116" s="1340">
        <v>8</v>
      </c>
      <c r="AO116" s="43"/>
      <c r="AP116" s="1354">
        <v>0.02</v>
      </c>
      <c r="AQ116" s="53"/>
      <c r="AR116" s="43"/>
      <c r="AS116" s="332">
        <v>1</v>
      </c>
      <c r="AT116" s="53"/>
      <c r="AU116" s="120" t="b">
        <v>0</v>
      </c>
      <c r="AV116" s="2334" t="b">
        <v>1</v>
      </c>
      <c r="AW116" s="2333"/>
      <c r="AX116" s="2333"/>
      <c r="AY116" s="2333"/>
    </row>
    <row r="117" spans="1:51">
      <c r="A117" s="505" t="str">
        <f>Uebersetzung!D137</f>
        <v>Thurgovie</v>
      </c>
      <c r="B117" s="45">
        <v>15</v>
      </c>
      <c r="C117" s="45"/>
      <c r="D117" s="45"/>
      <c r="E117" s="227"/>
      <c r="F117" s="45"/>
      <c r="G117" s="45"/>
      <c r="J117" s="120" t="str">
        <f>Uebersetzung!D81</f>
        <v>aucune</v>
      </c>
      <c r="K117" s="53" t="str">
        <f t="shared" si="31"/>
        <v>aucune</v>
      </c>
      <c r="L117" s="120" t="str">
        <f t="shared" si="31"/>
        <v>aucune</v>
      </c>
      <c r="M117" s="120" t="str">
        <f t="shared" si="31"/>
        <v>aucune</v>
      </c>
      <c r="N117" s="562">
        <v>5</v>
      </c>
      <c r="T117" s="43" t="str">
        <f t="shared" si="29"/>
        <v>Pompe à chaleur eau souterraine, directe, que chauffage</v>
      </c>
      <c r="U117" s="45">
        <v>10</v>
      </c>
      <c r="V117" s="53" t="str">
        <f>Uebersetzung!D210</f>
        <v>Chauffage au pellets</v>
      </c>
      <c r="W117" s="120" t="str">
        <f>Uebersetzung!D165</f>
        <v>Chauffage au pellets</v>
      </c>
      <c r="X117" s="594">
        <v>0.85</v>
      </c>
      <c r="Y117" s="594">
        <v>0.9</v>
      </c>
      <c r="Z117" s="2349">
        <v>0.5</v>
      </c>
      <c r="AA117" s="235">
        <v>1</v>
      </c>
      <c r="AB117" s="45">
        <v>1</v>
      </c>
      <c r="AC117" s="156">
        <v>25</v>
      </c>
      <c r="AD117" s="428"/>
      <c r="AE117" s="428"/>
      <c r="AF117" s="45" t="b">
        <v>0</v>
      </c>
      <c r="AG117" s="45" t="b">
        <v>0</v>
      </c>
      <c r="AH117" s="45" t="b">
        <v>0</v>
      </c>
      <c r="AI117" s="45" t="b">
        <v>0</v>
      </c>
      <c r="AJ117" s="45" t="b">
        <v>0</v>
      </c>
      <c r="AK117" s="428">
        <f t="shared" si="30"/>
        <v>25</v>
      </c>
      <c r="AL117" s="120">
        <v>1</v>
      </c>
      <c r="AM117" s="43"/>
      <c r="AN117" s="1340">
        <v>9</v>
      </c>
      <c r="AO117" s="43"/>
      <c r="AP117" s="1354">
        <v>4.8000000000000001E-2</v>
      </c>
      <c r="AQ117" s="53"/>
      <c r="AR117" s="43"/>
      <c r="AS117" s="332">
        <v>1</v>
      </c>
      <c r="AT117" s="53"/>
      <c r="AU117" s="120" t="b">
        <v>0</v>
      </c>
      <c r="AV117" s="2334" t="b">
        <v>1</v>
      </c>
      <c r="AW117" s="2333"/>
      <c r="AX117" s="2333"/>
      <c r="AY117" s="2333"/>
    </row>
    <row r="118" spans="1:51">
      <c r="A118" s="505" t="str">
        <f>Uebersetzung!D138</f>
        <v>Tessin</v>
      </c>
      <c r="B118" s="45">
        <v>19</v>
      </c>
      <c r="C118" s="45">
        <v>20</v>
      </c>
      <c r="D118" s="45">
        <v>22</v>
      </c>
      <c r="E118" s="227">
        <v>28</v>
      </c>
      <c r="F118" s="45">
        <v>31</v>
      </c>
      <c r="G118" s="45"/>
      <c r="J118" s="639">
        <f>IF(Entrées!$F$39="",1,VLOOKUP(Entrées!$F$39,Standardwerte!J113:N117,5,FALSE))</f>
        <v>1</v>
      </c>
      <c r="K118" s="640">
        <f>IF(Entrées!$G$39="",1,VLOOKUP(Entrées!$G$39,Standardwerte!K113:N117,4,FALSE))</f>
        <v>1</v>
      </c>
      <c r="L118" s="640">
        <f>IF(Entrées!$H$39="",1,VLOOKUP(Entrées!$H$39,Standardwerte!L113:N117,3,FALSE))</f>
        <v>1</v>
      </c>
      <c r="M118" s="640">
        <f>IF(Entrées!$I$39="",1,VLOOKUP(Entrées!$I$39,Standardwerte!M113:N117,2,FALSE))</f>
        <v>1</v>
      </c>
      <c r="T118" s="43" t="str">
        <f t="shared" si="29"/>
        <v>Pompe à chaleur eau souterraine, directe, qu'eau chaude</v>
      </c>
      <c r="U118" s="45">
        <v>11</v>
      </c>
      <c r="V118" s="53" t="str">
        <f>Uebersetzung!D211</f>
        <v>Chaleur à distance (min. 50% énergies ren.)</v>
      </c>
      <c r="W118" s="2347" t="str">
        <f>Uebersetzung!D166</f>
        <v>Chaleur à distance (min. 50% énergies ren., rejets, CCF)</v>
      </c>
      <c r="X118" s="2349">
        <v>1</v>
      </c>
      <c r="Y118" s="2349">
        <v>1</v>
      </c>
      <c r="Z118" s="2349">
        <v>0.6</v>
      </c>
      <c r="AA118" s="970">
        <v>1</v>
      </c>
      <c r="AB118" s="970">
        <v>1</v>
      </c>
      <c r="AC118" s="156">
        <v>26</v>
      </c>
      <c r="AD118" s="969"/>
      <c r="AE118" s="969"/>
      <c r="AF118" s="2350" t="b">
        <v>0</v>
      </c>
      <c r="AG118" s="2350" t="b">
        <v>0</v>
      </c>
      <c r="AH118" s="2350" t="b">
        <v>0</v>
      </c>
      <c r="AI118" s="2350" t="b">
        <v>0</v>
      </c>
      <c r="AJ118" s="2350" t="b">
        <v>0</v>
      </c>
      <c r="AK118" s="2351">
        <f t="shared" si="30"/>
        <v>26</v>
      </c>
      <c r="AL118" s="2347">
        <v>2</v>
      </c>
      <c r="AM118" s="2352"/>
      <c r="AN118" s="1340">
        <v>10</v>
      </c>
      <c r="AO118" s="43"/>
      <c r="AP118" s="1354">
        <v>0.09</v>
      </c>
      <c r="AQ118" s="53"/>
      <c r="AR118" s="43"/>
      <c r="AS118" s="2358">
        <v>0.7</v>
      </c>
      <c r="AT118" s="53"/>
      <c r="AU118" s="120" t="b">
        <v>0</v>
      </c>
      <c r="AV118" s="2334" t="b">
        <v>1</v>
      </c>
      <c r="AW118" s="2333"/>
      <c r="AX118" s="2333"/>
      <c r="AY118" s="2333"/>
    </row>
    <row r="119" spans="1:51">
      <c r="A119" s="505" t="str">
        <f>Uebersetzung!D139</f>
        <v>Uri</v>
      </c>
      <c r="B119" s="45">
        <v>4</v>
      </c>
      <c r="C119" s="45"/>
      <c r="D119" s="45"/>
      <c r="E119" s="227"/>
      <c r="F119" s="45"/>
      <c r="G119" s="45"/>
      <c r="T119" s="43" t="str">
        <f t="shared" si="29"/>
        <v>Pompe à chaleur eau souterraine, indirecte, que chauffage</v>
      </c>
      <c r="U119" s="45">
        <v>12</v>
      </c>
      <c r="V119" s="53" t="str">
        <f>Uebersetzung!D212</f>
        <v>Chauffage central électrique</v>
      </c>
      <c r="W119" s="120" t="str">
        <f>Uebersetzung!D167</f>
        <v>Chauffage central électrique</v>
      </c>
      <c r="X119" s="228">
        <v>0.93</v>
      </c>
      <c r="Y119" s="228">
        <v>0.95</v>
      </c>
      <c r="Z119" s="228">
        <v>2</v>
      </c>
      <c r="AA119" s="235"/>
      <c r="AB119" s="45">
        <v>1</v>
      </c>
      <c r="AC119" s="156">
        <v>27</v>
      </c>
      <c r="AD119" s="428"/>
      <c r="AE119" s="428"/>
      <c r="AF119" s="45" t="b">
        <v>0</v>
      </c>
      <c r="AG119" s="45" t="b">
        <v>0</v>
      </c>
      <c r="AH119" s="45" t="b">
        <v>0</v>
      </c>
      <c r="AI119" s="45" t="b">
        <v>0</v>
      </c>
      <c r="AJ119" s="45" t="b">
        <v>0</v>
      </c>
      <c r="AK119" s="428">
        <f t="shared" si="30"/>
        <v>27</v>
      </c>
      <c r="AL119" s="120">
        <v>1</v>
      </c>
      <c r="AM119" s="43"/>
      <c r="AN119" s="1340">
        <v>12</v>
      </c>
      <c r="AO119" s="43"/>
      <c r="AP119" s="1354">
        <v>0.13900000000000001</v>
      </c>
      <c r="AQ119" s="53"/>
      <c r="AR119" s="43"/>
      <c r="AS119" s="332">
        <v>1</v>
      </c>
      <c r="AT119" s="53"/>
      <c r="AU119" s="120" t="b">
        <v>0</v>
      </c>
      <c r="AV119" s="2334" t="b">
        <v>1</v>
      </c>
      <c r="AW119" s="2333"/>
      <c r="AX119" s="2333"/>
      <c r="AY119" s="2333"/>
    </row>
    <row r="120" spans="1:51">
      <c r="A120" s="505" t="str">
        <f>Uebersetzung!D140</f>
        <v>Vaud</v>
      </c>
      <c r="B120" s="45">
        <v>25</v>
      </c>
      <c r="C120" s="45">
        <v>17</v>
      </c>
      <c r="D120" s="45">
        <v>2</v>
      </c>
      <c r="E120" s="227"/>
      <c r="F120" s="45"/>
      <c r="G120" s="45"/>
      <c r="S120" s="27"/>
      <c r="T120" s="43" t="str">
        <f t="shared" si="29"/>
        <v>Pompe à chaleur eau souterraine, indirecte, qu'eau chaude</v>
      </c>
      <c r="U120" s="45">
        <v>13</v>
      </c>
      <c r="V120" s="53" t="str">
        <f>Uebersetzung!D213</f>
        <v>Chauffage électrique direct</v>
      </c>
      <c r="W120" s="120" t="str">
        <f>Uebersetzung!D168</f>
        <v>Chauffage électrique direct</v>
      </c>
      <c r="X120" s="228">
        <v>1</v>
      </c>
      <c r="Y120" s="228">
        <v>1</v>
      </c>
      <c r="Z120" s="228">
        <v>2</v>
      </c>
      <c r="AA120" s="235"/>
      <c r="AB120" s="45">
        <v>1</v>
      </c>
      <c r="AC120" s="156">
        <v>28</v>
      </c>
      <c r="AD120" s="428"/>
      <c r="AE120" s="428"/>
      <c r="AF120" s="45" t="b">
        <v>0</v>
      </c>
      <c r="AG120" s="45" t="b">
        <v>0</v>
      </c>
      <c r="AH120" s="45" t="b">
        <v>0</v>
      </c>
      <c r="AI120" s="45" t="b">
        <v>0</v>
      </c>
      <c r="AJ120" s="45" t="b">
        <v>0</v>
      </c>
      <c r="AK120" s="428">
        <f t="shared" si="30"/>
        <v>28</v>
      </c>
      <c r="AL120" s="120">
        <v>1</v>
      </c>
      <c r="AM120" s="43"/>
      <c r="AN120" s="1340">
        <v>13</v>
      </c>
      <c r="AO120" s="43"/>
      <c r="AP120" s="1354">
        <v>0.13900000000000001</v>
      </c>
      <c r="AQ120" s="53"/>
      <c r="AR120" s="43"/>
      <c r="AS120" s="332">
        <v>1</v>
      </c>
      <c r="AT120" s="53"/>
      <c r="AU120" s="120" t="b">
        <v>0</v>
      </c>
      <c r="AV120" s="2334" t="b">
        <v>1</v>
      </c>
      <c r="AW120" s="2333"/>
      <c r="AX120" s="2333"/>
      <c r="AY120" s="2333"/>
    </row>
    <row r="121" spans="1:51">
      <c r="A121" s="505" t="str">
        <f>Uebersetzung!D141</f>
        <v>Valais</v>
      </c>
      <c r="B121" s="45">
        <v>35</v>
      </c>
      <c r="C121" s="45">
        <v>39</v>
      </c>
      <c r="D121" s="45">
        <v>23</v>
      </c>
      <c r="E121" s="227">
        <v>14</v>
      </c>
      <c r="F121" s="45"/>
      <c r="G121" s="45"/>
      <c r="S121" s="27"/>
      <c r="T121" s="43" t="str">
        <f t="shared" si="29"/>
        <v>Pompe à chaleur registre terrestre, que chauffage</v>
      </c>
      <c r="U121" s="45">
        <v>14</v>
      </c>
      <c r="V121" s="53" t="str">
        <f>Uebersetzung!D214</f>
        <v>Chauffe-eau électrique</v>
      </c>
      <c r="W121" s="120" t="str">
        <f>Uebersetzung!D169</f>
        <v>Chauffe-eau électrique</v>
      </c>
      <c r="X121" s="228">
        <v>0.9</v>
      </c>
      <c r="Y121" s="228">
        <v>0.95</v>
      </c>
      <c r="Z121" s="228">
        <v>2</v>
      </c>
      <c r="AA121" s="235">
        <v>1</v>
      </c>
      <c r="AB121" s="45"/>
      <c r="AC121" s="156">
        <v>29</v>
      </c>
      <c r="AD121" s="428"/>
      <c r="AE121" s="428"/>
      <c r="AF121" s="45" t="b">
        <v>0</v>
      </c>
      <c r="AG121" s="45" t="b">
        <v>0</v>
      </c>
      <c r="AH121" s="45" t="b">
        <v>0</v>
      </c>
      <c r="AI121" s="45" t="b">
        <v>0</v>
      </c>
      <c r="AJ121" s="45" t="b">
        <v>0</v>
      </c>
      <c r="AK121" s="428">
        <f t="shared" si="30"/>
        <v>29</v>
      </c>
      <c r="AL121" s="120">
        <v>1</v>
      </c>
      <c r="AM121" s="43"/>
      <c r="AN121" s="1340">
        <v>14</v>
      </c>
      <c r="AO121" s="43"/>
      <c r="AP121" s="1354">
        <v>0.13900000000000001</v>
      </c>
      <c r="AQ121" s="53"/>
      <c r="AR121" s="43"/>
      <c r="AS121" s="332">
        <v>1</v>
      </c>
      <c r="AT121" s="53"/>
      <c r="AU121" s="120" t="b">
        <v>0</v>
      </c>
      <c r="AV121" s="2334" t="b">
        <v>1</v>
      </c>
      <c r="AW121" s="2333"/>
      <c r="AX121" s="2333"/>
      <c r="AY121" s="2333"/>
    </row>
    <row r="122" spans="1:51" ht="15">
      <c r="A122" s="505" t="str">
        <f>Uebersetzung!D142</f>
        <v>Zoug</v>
      </c>
      <c r="B122" s="45">
        <v>21</v>
      </c>
      <c r="C122" s="45"/>
      <c r="D122" s="45"/>
      <c r="E122" s="227"/>
      <c r="F122" s="45"/>
      <c r="G122" s="45"/>
      <c r="I122" s="711" t="str">
        <f>IF(bern,"Bern","MUKEN")</f>
        <v>MUKEN</v>
      </c>
      <c r="J122" s="707" t="s">
        <v>241</v>
      </c>
      <c r="K122" s="995" t="s">
        <v>651</v>
      </c>
      <c r="L122" s="977" t="s">
        <v>650</v>
      </c>
      <c r="M122" s="733"/>
      <c r="N122" s="3070" t="s">
        <v>786</v>
      </c>
      <c r="O122" s="3071"/>
      <c r="P122" s="3071"/>
      <c r="Q122" s="3072"/>
      <c r="R122" s="733"/>
      <c r="S122" s="27"/>
      <c r="T122" s="43" t="str">
        <f t="shared" si="29"/>
        <v>Pompe à chaleur registre terrestre, qu'eau chaude</v>
      </c>
      <c r="U122" s="45">
        <v>15</v>
      </c>
      <c r="V122" s="53" t="str">
        <f>Uebersetzung!D215</f>
        <v>CCF (fossile) - part thermique et électrique</v>
      </c>
      <c r="W122" s="120" t="str">
        <f>Uebersetzung!D170</f>
        <v>CCF (fossile) - part thermique et électrique</v>
      </c>
      <c r="X122" s="228">
        <v>0.8</v>
      </c>
      <c r="Y122" s="228">
        <v>0.9</v>
      </c>
      <c r="Z122" s="228">
        <v>1</v>
      </c>
      <c r="AA122" s="235">
        <v>1</v>
      </c>
      <c r="AB122" s="45">
        <v>1</v>
      </c>
      <c r="AC122" s="156">
        <v>30</v>
      </c>
      <c r="AD122" s="428" t="str">
        <f>Uebersetzung!D249</f>
        <v>Rendement électrique (joindre calcul)</v>
      </c>
      <c r="AE122" s="428"/>
      <c r="AF122" s="45" t="b">
        <v>1</v>
      </c>
      <c r="AG122" s="45" t="b">
        <v>0</v>
      </c>
      <c r="AH122" s="45" t="b">
        <v>0</v>
      </c>
      <c r="AI122" s="45" t="b">
        <v>0</v>
      </c>
      <c r="AJ122" s="45" t="b">
        <v>0</v>
      </c>
      <c r="AK122" s="428">
        <f t="shared" si="30"/>
        <v>30</v>
      </c>
      <c r="AL122" s="120">
        <v>1</v>
      </c>
      <c r="AM122" s="43"/>
      <c r="AN122" s="1340">
        <v>15</v>
      </c>
      <c r="AO122" s="43"/>
      <c r="AP122" s="1354">
        <v>0.249</v>
      </c>
      <c r="AQ122" s="53"/>
      <c r="AR122" s="43"/>
      <c r="AS122" s="332">
        <v>1</v>
      </c>
      <c r="AT122" s="53"/>
      <c r="AU122" s="120" t="b">
        <v>0</v>
      </c>
      <c r="AV122" s="2334" t="b">
        <v>0</v>
      </c>
      <c r="AW122" s="2333"/>
      <c r="AX122" s="2333"/>
      <c r="AY122" s="2333"/>
    </row>
    <row r="123" spans="1:51">
      <c r="A123" s="505" t="str">
        <f>Uebersetzung!D143</f>
        <v>Zurich</v>
      </c>
      <c r="B123" s="45">
        <v>41</v>
      </c>
      <c r="C123" s="45"/>
      <c r="D123" s="45"/>
      <c r="E123" s="227"/>
      <c r="F123" s="45"/>
      <c r="G123" s="45"/>
      <c r="I123" s="1191" t="str">
        <f>IF(bern,"2023","2014")</f>
        <v>2014</v>
      </c>
      <c r="J123" s="708"/>
      <c r="K123" s="741" t="s">
        <v>1697</v>
      </c>
      <c r="L123" s="740" t="s">
        <v>1697</v>
      </c>
      <c r="M123" s="734" t="s">
        <v>784</v>
      </c>
      <c r="N123" s="739" t="s">
        <v>555</v>
      </c>
      <c r="O123" s="741" t="s">
        <v>556</v>
      </c>
      <c r="P123" s="740" t="s">
        <v>234</v>
      </c>
      <c r="Q123" s="740" t="s">
        <v>235</v>
      </c>
      <c r="R123" s="734" t="s">
        <v>1694</v>
      </c>
      <c r="S123" s="27"/>
      <c r="T123" s="43" t="str">
        <f t="shared" si="29"/>
        <v>Chaleur à distance (min. 75% énergies ren., rejets, CCF)</v>
      </c>
      <c r="U123" s="45">
        <v>16</v>
      </c>
      <c r="V123" s="53" t="str">
        <f>Uebersetzung!D216</f>
        <v>CCF (bois) - part thermique et électrique</v>
      </c>
      <c r="W123" s="120" t="str">
        <f>Uebersetzung!D171</f>
        <v>CCF (bois) - part thermique et électrique</v>
      </c>
      <c r="X123" s="228">
        <v>0.7</v>
      </c>
      <c r="Y123" s="228">
        <v>0.9</v>
      </c>
      <c r="Z123" s="2349">
        <v>0.5</v>
      </c>
      <c r="AA123" s="235">
        <v>1</v>
      </c>
      <c r="AB123" s="45">
        <v>1</v>
      </c>
      <c r="AC123" s="156">
        <v>46</v>
      </c>
      <c r="AD123" s="428" t="str">
        <f>AD122</f>
        <v>Rendement électrique (joindre calcul)</v>
      </c>
      <c r="AE123" s="428"/>
      <c r="AF123" s="45" t="b">
        <v>1</v>
      </c>
      <c r="AG123" s="45" t="b">
        <v>0</v>
      </c>
      <c r="AH123" s="45" t="b">
        <v>1</v>
      </c>
      <c r="AI123" s="45" t="b">
        <v>0</v>
      </c>
      <c r="AJ123" s="45" t="b">
        <v>0</v>
      </c>
      <c r="AK123" s="428">
        <f t="shared" si="30"/>
        <v>46</v>
      </c>
      <c r="AL123" s="120">
        <v>1</v>
      </c>
      <c r="AM123" s="43"/>
      <c r="AN123" s="1340">
        <v>16</v>
      </c>
      <c r="AO123" s="43"/>
      <c r="AP123" s="1354">
        <v>0.02</v>
      </c>
      <c r="AQ123" s="53"/>
      <c r="AR123" s="43"/>
      <c r="AS123" s="332">
        <v>1</v>
      </c>
      <c r="AT123" s="53"/>
      <c r="AU123" s="120" t="b">
        <v>0</v>
      </c>
      <c r="AV123" s="2334" t="b">
        <v>1</v>
      </c>
      <c r="AW123" s="2333"/>
      <c r="AX123" s="2333"/>
      <c r="AY123" s="2333"/>
    </row>
    <row r="124" spans="1:51">
      <c r="A124" s="505" t="str">
        <f>Uebersetzung!D144</f>
        <v>Principauté du Liechtenstein</v>
      </c>
      <c r="B124" s="45">
        <v>37</v>
      </c>
      <c r="C124" s="45">
        <v>11</v>
      </c>
      <c r="D124" s="45"/>
      <c r="E124" s="227"/>
      <c r="F124" s="45"/>
      <c r="G124" s="45"/>
      <c r="I124" s="709"/>
      <c r="J124" s="710" t="s">
        <v>632</v>
      </c>
      <c r="K124" s="996" t="s">
        <v>1698</v>
      </c>
      <c r="L124" s="994" t="s">
        <v>1698</v>
      </c>
      <c r="M124" s="735" t="s">
        <v>783</v>
      </c>
      <c r="N124" s="747" t="e">
        <f>IF(J103,INDEX($L$9:$L$21,Kategorie1,1),0)</f>
        <v>#VALUE!</v>
      </c>
      <c r="O124" s="747" t="e">
        <f>IF(K103,INDEX($L$9:$L$21,Kategorie2,1),0)</f>
        <v>#VALUE!</v>
      </c>
      <c r="P124" s="747" t="e">
        <f>IF(L103,INDEX($L$9:$L$21,Kategorie3,1),0)</f>
        <v>#VALUE!</v>
      </c>
      <c r="Q124" s="747" t="e">
        <f>IF(M103,INDEX($L$9:$L$21,Kategorie4,1),0)</f>
        <v>#VALUE!</v>
      </c>
      <c r="R124" s="735" t="s">
        <v>1695</v>
      </c>
      <c r="S124" s="27"/>
      <c r="T124" s="43" t="str">
        <f t="shared" si="29"/>
        <v>Chaleur à distance (min. 50% énergies ren., rejets, CCF)</v>
      </c>
      <c r="U124" s="45">
        <v>17</v>
      </c>
      <c r="V124" s="53" t="str">
        <f>Uebersetzung!D217</f>
        <v>Pompe à chaleur air-air, chauffage</v>
      </c>
      <c r="W124" s="120" t="str">
        <f>Uebersetzung!D172</f>
        <v>Pompe à chaleur air-eau, que chauffage</v>
      </c>
      <c r="X124" s="594">
        <v>2.2999999999999998</v>
      </c>
      <c r="Y124" s="594">
        <v>6</v>
      </c>
      <c r="Z124" s="228">
        <v>2</v>
      </c>
      <c r="AA124" s="235"/>
      <c r="AB124" s="45">
        <v>1</v>
      </c>
      <c r="AC124" s="156">
        <v>11</v>
      </c>
      <c r="AD124" s="428"/>
      <c r="AE124" s="428"/>
      <c r="AF124" s="45" t="b">
        <v>0</v>
      </c>
      <c r="AG124" s="45" t="b">
        <v>0</v>
      </c>
      <c r="AH124" s="45" t="b">
        <v>0</v>
      </c>
      <c r="AI124" s="45" t="b">
        <v>0</v>
      </c>
      <c r="AJ124" s="45" t="b">
        <v>0</v>
      </c>
      <c r="AK124" s="428">
        <f t="shared" si="30"/>
        <v>11</v>
      </c>
      <c r="AL124" s="120">
        <v>1</v>
      </c>
      <c r="AM124" s="43"/>
      <c r="AN124" s="1340">
        <v>17</v>
      </c>
      <c r="AO124" s="43"/>
      <c r="AP124" s="1354">
        <v>0.13900000000000001</v>
      </c>
      <c r="AQ124" s="53"/>
      <c r="AR124" s="43"/>
      <c r="AS124" s="332">
        <v>1</v>
      </c>
      <c r="AT124" s="53"/>
      <c r="AU124" s="120" t="b">
        <v>1</v>
      </c>
      <c r="AV124" s="2334" t="b">
        <v>1</v>
      </c>
      <c r="AW124" s="2333"/>
      <c r="AX124" s="2333"/>
      <c r="AY124" s="2333"/>
    </row>
    <row r="125" spans="1:51">
      <c r="A125" s="506" t="str">
        <f>Uebersetzung!D145</f>
        <v>spécial</v>
      </c>
      <c r="B125" s="110"/>
      <c r="C125" s="110"/>
      <c r="D125" s="110"/>
      <c r="E125" s="521"/>
      <c r="F125" s="110"/>
      <c r="G125" s="49"/>
      <c r="H125" s="27">
        <v>1</v>
      </c>
      <c r="I125" s="43"/>
      <c r="J125" s="42"/>
      <c r="K125" s="120"/>
      <c r="L125" s="693"/>
      <c r="M125" s="36"/>
      <c r="N125" s="112"/>
      <c r="O125" s="40"/>
      <c r="P125" s="40"/>
      <c r="Q125" s="113"/>
      <c r="R125" s="40"/>
      <c r="S125" s="27"/>
      <c r="T125" s="43" t="str">
        <f t="shared" si="29"/>
        <v>Chaleur à distance (min. 25% énergies ren., rejets, CCF)</v>
      </c>
      <c r="U125" s="45">
        <v>18</v>
      </c>
      <c r="V125" s="53" t="str">
        <f>Uebersetzung!D218</f>
        <v>Pompe à chaleur air-air, eau chaude</v>
      </c>
      <c r="W125" s="120" t="str">
        <f>Uebersetzung!D173</f>
        <v>Pompe à chaleur air-eau, qu'eau chaude</v>
      </c>
      <c r="X125" s="594">
        <v>2.2999999999999998</v>
      </c>
      <c r="Y125" s="594">
        <v>5</v>
      </c>
      <c r="Z125" s="228">
        <v>2</v>
      </c>
      <c r="AA125" s="235">
        <v>1</v>
      </c>
      <c r="AB125" s="45"/>
      <c r="AC125" s="156">
        <v>45</v>
      </c>
      <c r="AD125" s="428"/>
      <c r="AE125" s="428"/>
      <c r="AF125" s="45" t="b">
        <v>0</v>
      </c>
      <c r="AG125" s="45" t="b">
        <v>0</v>
      </c>
      <c r="AH125" s="45" t="b">
        <v>0</v>
      </c>
      <c r="AI125" s="45" t="b">
        <v>0</v>
      </c>
      <c r="AJ125" s="45" t="b">
        <v>0</v>
      </c>
      <c r="AK125" s="428">
        <f t="shared" si="30"/>
        <v>45</v>
      </c>
      <c r="AL125" s="120">
        <v>1</v>
      </c>
      <c r="AM125" s="43"/>
      <c r="AN125" s="1340">
        <v>18</v>
      </c>
      <c r="AO125" s="43"/>
      <c r="AP125" s="1354">
        <v>0.13900000000000001</v>
      </c>
      <c r="AQ125" s="53"/>
      <c r="AR125" s="43"/>
      <c r="AS125" s="332">
        <v>1</v>
      </c>
      <c r="AT125" s="53"/>
      <c r="AU125" s="120" t="b">
        <v>1</v>
      </c>
      <c r="AV125" s="2334" t="b">
        <v>1</v>
      </c>
      <c r="AW125" s="2333"/>
      <c r="AX125" s="2333"/>
      <c r="AY125" s="2333"/>
    </row>
    <row r="126" spans="1:51">
      <c r="A126" s="511" t="str">
        <f t="shared" ref="A126:F126" si="32">IF(Kanton&gt;1,INDEX(A127:A155,Kanton,1),"")</f>
        <v/>
      </c>
      <c r="B126" s="511" t="str">
        <f t="shared" si="32"/>
        <v/>
      </c>
      <c r="C126" s="511" t="str">
        <f t="shared" si="32"/>
        <v/>
      </c>
      <c r="D126" s="511" t="str">
        <f t="shared" si="32"/>
        <v/>
      </c>
      <c r="E126" s="511" t="str">
        <f t="shared" si="32"/>
        <v/>
      </c>
      <c r="F126" s="511" t="str">
        <f t="shared" si="32"/>
        <v/>
      </c>
      <c r="G126" s="518"/>
      <c r="H126" s="27">
        <v>2</v>
      </c>
      <c r="I126" s="43" t="s">
        <v>49</v>
      </c>
      <c r="J126" s="42" t="s">
        <v>29</v>
      </c>
      <c r="K126" s="45">
        <f>IF(bern,0,60)</f>
        <v>60</v>
      </c>
      <c r="L126" s="1825">
        <f>IF(bern,55,35)</f>
        <v>35</v>
      </c>
      <c r="M126" s="744">
        <f>L126+G157</f>
        <v>35</v>
      </c>
      <c r="N126" s="744">
        <f t="shared" ref="N126:N137" si="33">IF(Kategorie1=$H126,IF(Neubau1=3,$K126+$R126,$M126)-IF(J$103=FALSE,INDEX($L$9:$L$21,Kategorie1,1),0)/3.6,0)</f>
        <v>0</v>
      </c>
      <c r="O126" s="745">
        <f t="shared" ref="O126:O137" si="34">IF(Kategorie2=$H126,IF(Neubau2=3,$K126+$R126,$M126)-IF(K$103=FALSE,INDEX($L$9:$L$21,Kategorie2,1),0)/3.6,0)</f>
        <v>0</v>
      </c>
      <c r="P126" s="745">
        <f t="shared" ref="P126:P137" si="35">IF(Kategorie3=$H126,IF(Neubau3=3,$K126+$R126,$M126)-IF(L$103=FALSE,INDEX($L$9:$L$21,Kategorie3,1),0)/3.6,0)</f>
        <v>0</v>
      </c>
      <c r="Q126" s="748">
        <f t="shared" ref="Q126:Q137" si="36">IF(Kategorie4=$H126,IF(Neubau4=3,$K126+$R126,$M126)-IF(M$103=FALSE,INDEX($L$9:$L$21,Kategorie4,1),0)/3.6,0)</f>
        <v>0</v>
      </c>
      <c r="R126" s="745">
        <f>G157</f>
        <v>0</v>
      </c>
      <c r="S126" s="27"/>
      <c r="T126" s="43" t="str">
        <f t="shared" si="29"/>
        <v>Chaleur à distance (max. 25% énergies ren., rejets, CCF)</v>
      </c>
      <c r="U126" s="45">
        <v>19</v>
      </c>
      <c r="V126" s="53" t="str">
        <f>Uebersetzung!D219</f>
        <v>Pompe à chaleur géothermique, chauffage</v>
      </c>
      <c r="W126" s="120" t="str">
        <f>Uebersetzung!D174</f>
        <v>Pompe à chaleur géothermique, que chauffage</v>
      </c>
      <c r="X126" s="594">
        <v>3.1</v>
      </c>
      <c r="Y126" s="594">
        <v>10</v>
      </c>
      <c r="Z126" s="228">
        <v>2</v>
      </c>
      <c r="AA126" s="235"/>
      <c r="AB126" s="45">
        <v>1</v>
      </c>
      <c r="AC126" s="156">
        <v>44</v>
      </c>
      <c r="AD126" s="428" t="str">
        <f>Uebersetzung!D695</f>
        <v>Longueur totale de toutes les sondes [m]</v>
      </c>
      <c r="AE126" s="428"/>
      <c r="AF126" s="45" t="b">
        <v>0</v>
      </c>
      <c r="AG126" s="45" t="b">
        <v>0</v>
      </c>
      <c r="AH126" s="45" t="b">
        <v>0</v>
      </c>
      <c r="AI126" s="45" t="b">
        <v>0</v>
      </c>
      <c r="AJ126" s="45" t="b">
        <v>0</v>
      </c>
      <c r="AK126" s="428">
        <f t="shared" si="30"/>
        <v>44</v>
      </c>
      <c r="AL126" s="120">
        <v>1</v>
      </c>
      <c r="AM126" s="43"/>
      <c r="AN126" s="1340">
        <v>19</v>
      </c>
      <c r="AO126" s="43"/>
      <c r="AP126" s="1354">
        <v>0.13900000000000001</v>
      </c>
      <c r="AQ126" s="53"/>
      <c r="AR126" s="43"/>
      <c r="AS126" s="332">
        <v>1</v>
      </c>
      <c r="AT126" s="53"/>
      <c r="AU126" s="120" t="b">
        <v>1</v>
      </c>
      <c r="AV126" s="2334" t="b">
        <v>1</v>
      </c>
      <c r="AW126" s="2333"/>
      <c r="AX126" s="2333"/>
      <c r="AY126" s="2333"/>
    </row>
    <row r="127" spans="1:51">
      <c r="A127" s="510"/>
      <c r="B127" s="510"/>
      <c r="C127" s="510"/>
      <c r="D127" s="89"/>
      <c r="E127" s="40"/>
      <c r="F127" s="40"/>
      <c r="G127" s="88"/>
      <c r="H127" s="27">
        <v>3</v>
      </c>
      <c r="I127" s="43" t="s">
        <v>50</v>
      </c>
      <c r="J127" s="42" t="s">
        <v>0</v>
      </c>
      <c r="K127" s="45">
        <f>IF(bern,0,60)</f>
        <v>60</v>
      </c>
      <c r="L127" s="693">
        <f>IF(bern,45,35)</f>
        <v>35</v>
      </c>
      <c r="M127" s="744">
        <f>L127+O157</f>
        <v>35</v>
      </c>
      <c r="N127" s="744">
        <f t="shared" si="33"/>
        <v>0</v>
      </c>
      <c r="O127" s="745">
        <f t="shared" si="34"/>
        <v>0</v>
      </c>
      <c r="P127" s="745">
        <f t="shared" si="35"/>
        <v>0</v>
      </c>
      <c r="Q127" s="748">
        <f t="shared" si="36"/>
        <v>0</v>
      </c>
      <c r="R127" s="745">
        <f>O157</f>
        <v>0</v>
      </c>
      <c r="S127" s="27"/>
      <c r="T127" s="43" t="str">
        <f t="shared" si="29"/>
        <v>Chauffage au bois</v>
      </c>
      <c r="U127" s="45">
        <v>20</v>
      </c>
      <c r="V127" s="53" t="str">
        <f>Uebersetzung!D220</f>
        <v>Pompe à chaleur géothermique, eau chaude</v>
      </c>
      <c r="W127" s="120" t="str">
        <f>Uebersetzung!D175</f>
        <v>Pompe à chaleur géothermique, qu'eau chaude</v>
      </c>
      <c r="X127" s="594">
        <v>2.7</v>
      </c>
      <c r="Y127" s="594">
        <v>7</v>
      </c>
      <c r="Z127" s="228">
        <v>2</v>
      </c>
      <c r="AA127" s="235">
        <v>1</v>
      </c>
      <c r="AB127" s="45"/>
      <c r="AC127" s="156">
        <v>9</v>
      </c>
      <c r="AD127" s="428" t="str">
        <f>Uebersetzung!D695</f>
        <v>Longueur totale de toutes les sondes [m]</v>
      </c>
      <c r="AE127" s="428"/>
      <c r="AF127" s="45" t="b">
        <v>0</v>
      </c>
      <c r="AG127" s="45" t="b">
        <v>0</v>
      </c>
      <c r="AH127" s="45" t="b">
        <v>0</v>
      </c>
      <c r="AI127" s="45" t="b">
        <v>0</v>
      </c>
      <c r="AJ127" s="45" t="b">
        <v>0</v>
      </c>
      <c r="AK127" s="428">
        <f t="shared" si="30"/>
        <v>9</v>
      </c>
      <c r="AL127" s="120">
        <v>1</v>
      </c>
      <c r="AM127" s="43"/>
      <c r="AN127" s="1340">
        <v>20</v>
      </c>
      <c r="AO127" s="43"/>
      <c r="AP127" s="1354">
        <v>0.13900000000000001</v>
      </c>
      <c r="AQ127" s="53"/>
      <c r="AR127" s="43"/>
      <c r="AS127" s="332">
        <v>1</v>
      </c>
      <c r="AT127" s="53"/>
      <c r="AU127" s="120" t="b">
        <v>1</v>
      </c>
      <c r="AV127" s="2334" t="b">
        <v>1</v>
      </c>
      <c r="AW127" s="2333"/>
      <c r="AX127" s="2333"/>
      <c r="AY127" s="2333"/>
    </row>
    <row r="128" spans="1:51">
      <c r="A128" s="90" t="str">
        <f t="shared" ref="A128:F137" si="37">IF(B98&gt;0,INDEX($A$54:$A$94,B98,1),"")</f>
        <v>Buchs Aarau</v>
      </c>
      <c r="B128" s="90" t="str">
        <f t="shared" si="37"/>
        <v>Basel-Binningen</v>
      </c>
      <c r="C128" s="90" t="str">
        <f t="shared" si="37"/>
        <v/>
      </c>
      <c r="D128" s="90" t="str">
        <f t="shared" si="37"/>
        <v/>
      </c>
      <c r="E128" s="90" t="str">
        <f t="shared" si="37"/>
        <v/>
      </c>
      <c r="F128" s="90" t="str">
        <f t="shared" si="37"/>
        <v/>
      </c>
      <c r="G128" s="120" t="str">
        <f>A126</f>
        <v/>
      </c>
      <c r="H128" s="27">
        <v>4</v>
      </c>
      <c r="I128" s="43" t="s">
        <v>5</v>
      </c>
      <c r="J128" s="42" t="s">
        <v>1</v>
      </c>
      <c r="K128" s="45">
        <f>IF(bern,0,55)</f>
        <v>55</v>
      </c>
      <c r="L128" s="693">
        <f>IF(bern,80,40)</f>
        <v>40</v>
      </c>
      <c r="M128" s="744">
        <f>L128+W157</f>
        <v>40</v>
      </c>
      <c r="N128" s="744">
        <f t="shared" si="33"/>
        <v>0</v>
      </c>
      <c r="O128" s="745">
        <f t="shared" si="34"/>
        <v>0</v>
      </c>
      <c r="P128" s="745">
        <f t="shared" si="35"/>
        <v>0</v>
      </c>
      <c r="Q128" s="748">
        <f t="shared" si="36"/>
        <v>0</v>
      </c>
      <c r="R128" s="745">
        <f>W157</f>
        <v>0</v>
      </c>
      <c r="S128" s="27"/>
      <c r="T128" s="43" t="str">
        <f t="shared" si="29"/>
        <v>Chauffage au pellets</v>
      </c>
      <c r="U128" s="45">
        <v>21</v>
      </c>
      <c r="V128" s="53" t="str">
        <f>Uebersetzung!D221</f>
        <v>Pompe à chaleur eau usée (directe), chauffage</v>
      </c>
      <c r="W128" s="120" t="str">
        <f>Uebersetzung!D176</f>
        <v>Pompe à chaleur eau usée, que chauffage</v>
      </c>
      <c r="X128" s="594">
        <v>2.7</v>
      </c>
      <c r="Y128" s="594">
        <v>10</v>
      </c>
      <c r="Z128" s="228">
        <v>2</v>
      </c>
      <c r="AA128" s="235"/>
      <c r="AB128" s="45">
        <v>1</v>
      </c>
      <c r="AC128" s="156">
        <v>10</v>
      </c>
      <c r="AD128" s="428"/>
      <c r="AE128" s="428"/>
      <c r="AF128" s="45" t="b">
        <v>0</v>
      </c>
      <c r="AG128" s="45" t="b">
        <v>0</v>
      </c>
      <c r="AH128" s="45" t="b">
        <v>0</v>
      </c>
      <c r="AI128" s="45" t="b">
        <v>0</v>
      </c>
      <c r="AJ128" s="45" t="b">
        <v>0</v>
      </c>
      <c r="AK128" s="428">
        <f t="shared" si="30"/>
        <v>10</v>
      </c>
      <c r="AL128" s="120">
        <v>1</v>
      </c>
      <c r="AM128" s="43"/>
      <c r="AN128" s="1340">
        <v>21</v>
      </c>
      <c r="AO128" s="43"/>
      <c r="AP128" s="1354">
        <v>0.13900000000000001</v>
      </c>
      <c r="AQ128" s="53"/>
      <c r="AR128" s="43"/>
      <c r="AS128" s="332">
        <v>1</v>
      </c>
      <c r="AT128" s="53"/>
      <c r="AU128" s="120" t="b">
        <v>1</v>
      </c>
      <c r="AV128" s="2334" t="b">
        <v>1</v>
      </c>
      <c r="AW128" s="2333"/>
      <c r="AX128" s="2333"/>
      <c r="AY128" s="2333"/>
    </row>
    <row r="129" spans="1:51">
      <c r="A129" s="90" t="str">
        <f t="shared" si="37"/>
        <v>St. Gallen</v>
      </c>
      <c r="B129" s="90" t="str">
        <f t="shared" si="37"/>
        <v/>
      </c>
      <c r="C129" s="90" t="str">
        <f t="shared" si="37"/>
        <v/>
      </c>
      <c r="D129" s="90" t="str">
        <f t="shared" si="37"/>
        <v/>
      </c>
      <c r="E129" s="90" t="str">
        <f t="shared" si="37"/>
        <v/>
      </c>
      <c r="F129" s="90" t="str">
        <f t="shared" si="37"/>
        <v/>
      </c>
      <c r="G129" s="120" t="str">
        <f>B126</f>
        <v/>
      </c>
      <c r="H129" s="27">
        <v>5</v>
      </c>
      <c r="I129" s="43" t="s">
        <v>7</v>
      </c>
      <c r="J129" s="42" t="s">
        <v>2</v>
      </c>
      <c r="K129" s="45">
        <f>IF(bern,0,55)</f>
        <v>55</v>
      </c>
      <c r="L129" s="693">
        <f>IF(bern,40,35)</f>
        <v>35</v>
      </c>
      <c r="M129" s="744">
        <f>L129+AE157</f>
        <v>35</v>
      </c>
      <c r="N129" s="744">
        <f t="shared" si="33"/>
        <v>0</v>
      </c>
      <c r="O129" s="745">
        <f t="shared" si="34"/>
        <v>0</v>
      </c>
      <c r="P129" s="745">
        <f t="shared" si="35"/>
        <v>0</v>
      </c>
      <c r="Q129" s="748">
        <f t="shared" si="36"/>
        <v>0</v>
      </c>
      <c r="R129" s="745">
        <f>AE157</f>
        <v>0</v>
      </c>
      <c r="S129" s="27"/>
      <c r="T129" s="43" t="str">
        <f t="shared" si="29"/>
        <v>Capteurs solaires thermiques, que chauffage</v>
      </c>
      <c r="U129" s="45">
        <v>22</v>
      </c>
      <c r="V129" s="53" t="str">
        <f>Uebersetzung!D222</f>
        <v>Pompe à chaleur eau usée directe, eau chaude</v>
      </c>
      <c r="W129" s="120" t="str">
        <f>Uebersetzung!D177</f>
        <v>Pompe à chaleur eau usée, qu'eau chaude</v>
      </c>
      <c r="X129" s="594">
        <v>2.8</v>
      </c>
      <c r="Y129" s="594">
        <v>7</v>
      </c>
      <c r="Z129" s="228">
        <v>2</v>
      </c>
      <c r="AA129" s="235">
        <v>1</v>
      </c>
      <c r="AB129" s="45"/>
      <c r="AC129" s="156">
        <v>31</v>
      </c>
      <c r="AD129" s="428"/>
      <c r="AE129" s="428"/>
      <c r="AF129" s="45" t="b">
        <v>0</v>
      </c>
      <c r="AG129" s="45" t="b">
        <v>0</v>
      </c>
      <c r="AH129" s="45" t="b">
        <v>0</v>
      </c>
      <c r="AI129" s="45" t="b">
        <v>0</v>
      </c>
      <c r="AJ129" s="45" t="b">
        <v>0</v>
      </c>
      <c r="AK129" s="428">
        <f t="shared" si="30"/>
        <v>31</v>
      </c>
      <c r="AL129" s="120">
        <v>1</v>
      </c>
      <c r="AM129" s="43"/>
      <c r="AN129" s="1340">
        <v>22</v>
      </c>
      <c r="AO129" s="43"/>
      <c r="AP129" s="1354">
        <v>0.13900000000000001</v>
      </c>
      <c r="AQ129" s="53"/>
      <c r="AR129" s="43"/>
      <c r="AS129" s="332">
        <v>1</v>
      </c>
      <c r="AT129" s="53"/>
      <c r="AU129" s="120" t="b">
        <v>1</v>
      </c>
      <c r="AV129" s="2334" t="b">
        <v>1</v>
      </c>
      <c r="AW129" s="2333"/>
      <c r="AX129" s="2333"/>
      <c r="AY129" s="2333"/>
    </row>
    <row r="130" spans="1:51">
      <c r="A130" s="90" t="str">
        <f t="shared" si="37"/>
        <v>St. Gallen</v>
      </c>
      <c r="B130" s="90" t="str">
        <f t="shared" si="37"/>
        <v/>
      </c>
      <c r="C130" s="90" t="str">
        <f t="shared" si="37"/>
        <v/>
      </c>
      <c r="D130" s="90" t="str">
        <f t="shared" si="37"/>
        <v/>
      </c>
      <c r="E130" s="90" t="str">
        <f t="shared" si="37"/>
        <v/>
      </c>
      <c r="F130" s="90" t="str">
        <f t="shared" si="37"/>
        <v/>
      </c>
      <c r="G130" s="120" t="str">
        <f>C126</f>
        <v/>
      </c>
      <c r="H130" s="27">
        <v>6</v>
      </c>
      <c r="I130" s="43" t="s">
        <v>9</v>
      </c>
      <c r="J130" s="42" t="s">
        <v>237</v>
      </c>
      <c r="K130" s="45">
        <f>IF(bern,0,55)</f>
        <v>55</v>
      </c>
      <c r="L130" s="693">
        <f>IF(bern,100,40)</f>
        <v>40</v>
      </c>
      <c r="M130" s="744">
        <f>L130+AM157</f>
        <v>40</v>
      </c>
      <c r="N130" s="744">
        <f t="shared" si="33"/>
        <v>0</v>
      </c>
      <c r="O130" s="745">
        <f t="shared" si="34"/>
        <v>0</v>
      </c>
      <c r="P130" s="745">
        <f t="shared" si="35"/>
        <v>0</v>
      </c>
      <c r="Q130" s="748">
        <f t="shared" si="36"/>
        <v>0</v>
      </c>
      <c r="R130" s="745">
        <f>AM157</f>
        <v>0</v>
      </c>
      <c r="S130" s="27"/>
      <c r="T130" s="43" t="str">
        <f t="shared" si="29"/>
        <v>Capteurs solaires thermiques, qu'eau chaude</v>
      </c>
      <c r="U130" s="45">
        <v>23</v>
      </c>
      <c r="V130" s="53" t="str">
        <f>Uebersetzung!D223</f>
        <v>Pompe à chaleur eau-eau, chauffage</v>
      </c>
      <c r="W130" s="120" t="str">
        <f>Uebersetzung!D178</f>
        <v>Pompe à chaleur eau-eau, que chauffage</v>
      </c>
      <c r="X130" s="594">
        <v>2.7</v>
      </c>
      <c r="Y130" s="594">
        <v>10</v>
      </c>
      <c r="Z130" s="228">
        <v>2</v>
      </c>
      <c r="AA130" s="235"/>
      <c r="AB130" s="45">
        <v>1</v>
      </c>
      <c r="AC130" s="156">
        <v>32</v>
      </c>
      <c r="AD130" s="428"/>
      <c r="AE130" s="428"/>
      <c r="AF130" s="45" t="b">
        <v>0</v>
      </c>
      <c r="AG130" s="45" t="b">
        <v>0</v>
      </c>
      <c r="AH130" s="45" t="b">
        <v>0</v>
      </c>
      <c r="AI130" s="45" t="b">
        <v>0</v>
      </c>
      <c r="AJ130" s="45" t="b">
        <v>0</v>
      </c>
      <c r="AK130" s="428">
        <f t="shared" si="30"/>
        <v>32</v>
      </c>
      <c r="AL130" s="120">
        <v>1</v>
      </c>
      <c r="AM130" s="43"/>
      <c r="AN130" s="1340">
        <v>23</v>
      </c>
      <c r="AO130" s="43"/>
      <c r="AP130" s="1354">
        <v>0.13900000000000001</v>
      </c>
      <c r="AQ130" s="53"/>
      <c r="AR130" s="43"/>
      <c r="AS130" s="332">
        <v>1</v>
      </c>
      <c r="AT130" s="53"/>
      <c r="AU130" s="120" t="b">
        <v>1</v>
      </c>
      <c r="AV130" s="2334" t="b">
        <v>1</v>
      </c>
      <c r="AW130" s="2333"/>
      <c r="AX130" s="2333"/>
      <c r="AY130" s="2333"/>
    </row>
    <row r="131" spans="1:51">
      <c r="A131" s="90" t="str">
        <f t="shared" si="37"/>
        <v>Bern  Liebefeld</v>
      </c>
      <c r="B131" s="90" t="str">
        <f t="shared" si="37"/>
        <v>Adelboden</v>
      </c>
      <c r="C131" s="90" t="str">
        <f t="shared" si="37"/>
        <v/>
      </c>
      <c r="D131" s="90" t="str">
        <f t="shared" si="37"/>
        <v/>
      </c>
      <c r="E131" s="90" t="str">
        <f t="shared" si="37"/>
        <v/>
      </c>
      <c r="F131" s="90" t="str">
        <f t="shared" si="37"/>
        <v/>
      </c>
      <c r="G131" s="120" t="str">
        <f>D126</f>
        <v/>
      </c>
      <c r="H131" s="27">
        <v>7</v>
      </c>
      <c r="I131" s="43" t="s">
        <v>10</v>
      </c>
      <c r="J131" s="42" t="s">
        <v>3</v>
      </c>
      <c r="K131" s="227">
        <f>IF(bern,0,65)</f>
        <v>65</v>
      </c>
      <c r="L131" s="1878">
        <f>IF(bern,80,45)</f>
        <v>45</v>
      </c>
      <c r="M131" s="744">
        <f>L131+AU157</f>
        <v>45</v>
      </c>
      <c r="N131" s="744">
        <f t="shared" si="33"/>
        <v>0</v>
      </c>
      <c r="O131" s="745">
        <f t="shared" si="34"/>
        <v>0</v>
      </c>
      <c r="P131" s="745">
        <f t="shared" si="35"/>
        <v>0</v>
      </c>
      <c r="Q131" s="748">
        <f t="shared" si="36"/>
        <v>0</v>
      </c>
      <c r="R131" s="745">
        <f>AU157</f>
        <v>0</v>
      </c>
      <c r="S131" s="27"/>
      <c r="T131" s="43" t="str">
        <f t="shared" si="29"/>
        <v>Capteurs solaires thermiques, chauffage et eau chaude</v>
      </c>
      <c r="U131" s="45">
        <v>24</v>
      </c>
      <c r="V131" s="53" t="str">
        <f>Uebersetzung!D224</f>
        <v>Pompe à chaleur eau-eau, eau chaude</v>
      </c>
      <c r="W131" s="120" t="str">
        <f>Uebersetzung!D179</f>
        <v>Pompe à chaleur eau-eau, qu'eau chaude</v>
      </c>
      <c r="X131" s="594">
        <v>2.8</v>
      </c>
      <c r="Y131" s="594">
        <v>7</v>
      </c>
      <c r="Z131" s="228">
        <v>2</v>
      </c>
      <c r="AA131" s="235">
        <v>1</v>
      </c>
      <c r="AB131" s="1791"/>
      <c r="AC131" s="156">
        <v>33</v>
      </c>
      <c r="AD131" s="428"/>
      <c r="AE131" s="428"/>
      <c r="AF131" s="45" t="b">
        <v>0</v>
      </c>
      <c r="AG131" s="45" t="b">
        <v>0</v>
      </c>
      <c r="AH131" s="45" t="b">
        <v>0</v>
      </c>
      <c r="AI131" s="45" t="b">
        <v>0</v>
      </c>
      <c r="AJ131" s="45" t="b">
        <v>0</v>
      </c>
      <c r="AK131" s="428">
        <f t="shared" si="30"/>
        <v>33</v>
      </c>
      <c r="AL131" s="120">
        <v>1</v>
      </c>
      <c r="AM131" s="43"/>
      <c r="AN131" s="1340">
        <v>24</v>
      </c>
      <c r="AO131" s="43"/>
      <c r="AP131" s="1354">
        <v>0.13900000000000001</v>
      </c>
      <c r="AQ131" s="53"/>
      <c r="AR131" s="43"/>
      <c r="AS131" s="332">
        <v>1</v>
      </c>
      <c r="AT131" s="53"/>
      <c r="AU131" s="120" t="b">
        <v>1</v>
      </c>
      <c r="AV131" s="2334" t="b">
        <v>1</v>
      </c>
      <c r="AW131" s="2333"/>
      <c r="AX131" s="2333"/>
      <c r="AY131" s="2333"/>
    </row>
    <row r="132" spans="1:51">
      <c r="A132" s="90" t="str">
        <f t="shared" si="37"/>
        <v>Basel-Binningen</v>
      </c>
      <c r="B132" s="90" t="str">
        <f t="shared" si="37"/>
        <v/>
      </c>
      <c r="C132" s="90" t="str">
        <f t="shared" si="37"/>
        <v/>
      </c>
      <c r="D132" s="90" t="str">
        <f t="shared" si="37"/>
        <v/>
      </c>
      <c r="E132" s="90" t="str">
        <f t="shared" si="37"/>
        <v/>
      </c>
      <c r="F132" s="90" t="str">
        <f t="shared" si="37"/>
        <v/>
      </c>
      <c r="G132" s="120" t="str">
        <f>E126</f>
        <v/>
      </c>
      <c r="H132" s="27">
        <v>8</v>
      </c>
      <c r="I132" s="43" t="s">
        <v>227</v>
      </c>
      <c r="J132" s="42" t="s">
        <v>781</v>
      </c>
      <c r="K132" s="45">
        <f>IF(bern,0,60)</f>
        <v>60</v>
      </c>
      <c r="L132" s="693">
        <f>IF(bern,70,40)</f>
        <v>40</v>
      </c>
      <c r="M132" s="744">
        <f>L132+BC157</f>
        <v>40</v>
      </c>
      <c r="N132" s="744">
        <f t="shared" si="33"/>
        <v>0</v>
      </c>
      <c r="O132" s="745">
        <f t="shared" si="34"/>
        <v>0</v>
      </c>
      <c r="P132" s="745">
        <f t="shared" si="35"/>
        <v>0</v>
      </c>
      <c r="Q132" s="748">
        <f t="shared" si="36"/>
        <v>0</v>
      </c>
      <c r="R132" s="745">
        <f>BC157</f>
        <v>0</v>
      </c>
      <c r="S132" s="27"/>
      <c r="T132" s="43" t="str">
        <f t="shared" si="29"/>
        <v>Chauffage central électrique</v>
      </c>
      <c r="U132" s="45">
        <v>25</v>
      </c>
      <c r="V132" s="53" t="str">
        <f>Uebersetzung!D225</f>
        <v>Pompe à chaleur eau souterraine, directe, chauffage</v>
      </c>
      <c r="W132" s="120" t="str">
        <f>Uebersetzung!D180</f>
        <v>Pompe à chaleur eau souterraine, directe, que chauffage</v>
      </c>
      <c r="X132" s="594">
        <v>3.2</v>
      </c>
      <c r="Y132" s="594">
        <v>10</v>
      </c>
      <c r="Z132" s="228">
        <v>2</v>
      </c>
      <c r="AA132" s="235"/>
      <c r="AB132" s="45">
        <v>1</v>
      </c>
      <c r="AC132" s="156">
        <v>12</v>
      </c>
      <c r="AD132" s="428"/>
      <c r="AE132" s="428"/>
      <c r="AF132" s="45" t="b">
        <v>0</v>
      </c>
      <c r="AG132" s="45" t="b">
        <v>0</v>
      </c>
      <c r="AH132" s="45" t="b">
        <v>0</v>
      </c>
      <c r="AI132" s="45" t="b">
        <v>0</v>
      </c>
      <c r="AJ132" s="45" t="b">
        <v>0</v>
      </c>
      <c r="AK132" s="428">
        <f t="shared" si="30"/>
        <v>12</v>
      </c>
      <c r="AL132" s="120">
        <v>1</v>
      </c>
      <c r="AM132" s="43"/>
      <c r="AN132" s="1340">
        <v>25</v>
      </c>
      <c r="AO132" s="43"/>
      <c r="AP132" s="1354">
        <v>0.13900000000000001</v>
      </c>
      <c r="AQ132" s="53"/>
      <c r="AR132" s="43"/>
      <c r="AS132" s="332">
        <v>1</v>
      </c>
      <c r="AT132" s="53"/>
      <c r="AU132" s="120" t="b">
        <v>1</v>
      </c>
      <c r="AV132" s="2334" t="b">
        <v>1</v>
      </c>
      <c r="AW132" s="2333"/>
      <c r="AX132" s="2333"/>
      <c r="AY132" s="2333"/>
    </row>
    <row r="133" spans="1:51">
      <c r="A133" s="90" t="str">
        <f t="shared" si="37"/>
        <v>Basel-Binningen</v>
      </c>
      <c r="B133" s="90" t="str">
        <f t="shared" si="37"/>
        <v/>
      </c>
      <c r="C133" s="90" t="str">
        <f t="shared" si="37"/>
        <v/>
      </c>
      <c r="D133" s="90" t="str">
        <f t="shared" si="37"/>
        <v/>
      </c>
      <c r="E133" s="90" t="str">
        <f t="shared" si="37"/>
        <v/>
      </c>
      <c r="F133" s="90" t="str">
        <f t="shared" si="37"/>
        <v/>
      </c>
      <c r="G133" s="120" t="str">
        <f>F126</f>
        <v/>
      </c>
      <c r="H133" s="27">
        <v>9</v>
      </c>
      <c r="I133" s="43" t="s">
        <v>228</v>
      </c>
      <c r="J133" s="42" t="s">
        <v>238</v>
      </c>
      <c r="K133" s="45">
        <f>IF(bern,0,85)</f>
        <v>85</v>
      </c>
      <c r="L133" s="693">
        <f>IF(bern,110,70)</f>
        <v>70</v>
      </c>
      <c r="M133" s="744">
        <f>L133+BK157</f>
        <v>70</v>
      </c>
      <c r="N133" s="744">
        <f t="shared" si="33"/>
        <v>0</v>
      </c>
      <c r="O133" s="745">
        <f t="shared" si="34"/>
        <v>0</v>
      </c>
      <c r="P133" s="745">
        <f t="shared" si="35"/>
        <v>0</v>
      </c>
      <c r="Q133" s="748">
        <f t="shared" si="36"/>
        <v>0</v>
      </c>
      <c r="R133" s="745">
        <f>BK157</f>
        <v>0</v>
      </c>
      <c r="S133" s="27"/>
      <c r="T133" s="43" t="str">
        <f t="shared" si="29"/>
        <v>Chauffage électrique direct</v>
      </c>
      <c r="U133" s="45">
        <v>26</v>
      </c>
      <c r="V133" s="53" t="str">
        <f>Uebersetzung!D226</f>
        <v>Pompe à chaleur eau souterraine, directe, eau chaude</v>
      </c>
      <c r="W133" s="120" t="str">
        <f>Uebersetzung!D181</f>
        <v>Pompe à chaleur eau souterraine, directe, qu'eau chaude</v>
      </c>
      <c r="X133" s="594">
        <v>2.9</v>
      </c>
      <c r="Y133" s="594">
        <v>7</v>
      </c>
      <c r="Z133" s="228">
        <v>2</v>
      </c>
      <c r="AA133" s="235">
        <v>1</v>
      </c>
      <c r="AB133" s="45"/>
      <c r="AC133" s="156">
        <v>13</v>
      </c>
      <c r="AD133" s="428"/>
      <c r="AE133" s="428"/>
      <c r="AF133" s="45" t="b">
        <v>0</v>
      </c>
      <c r="AG133" s="45" t="b">
        <v>0</v>
      </c>
      <c r="AH133" s="45" t="b">
        <v>0</v>
      </c>
      <c r="AI133" s="45" t="b">
        <v>0</v>
      </c>
      <c r="AJ133" s="45" t="b">
        <v>0</v>
      </c>
      <c r="AK133" s="428">
        <f t="shared" si="30"/>
        <v>13</v>
      </c>
      <c r="AL133" s="120">
        <v>1</v>
      </c>
      <c r="AM133" s="43"/>
      <c r="AN133" s="1340">
        <v>26</v>
      </c>
      <c r="AO133" s="43"/>
      <c r="AP133" s="1354">
        <v>0.13900000000000001</v>
      </c>
      <c r="AQ133" s="53"/>
      <c r="AR133" s="43"/>
      <c r="AS133" s="332">
        <v>1</v>
      </c>
      <c r="AT133" s="53"/>
      <c r="AU133" s="120" t="b">
        <v>1</v>
      </c>
      <c r="AV133" s="2334" t="b">
        <v>1</v>
      </c>
      <c r="AW133" s="2333"/>
      <c r="AX133" s="2333"/>
      <c r="AY133" s="2333"/>
    </row>
    <row r="134" spans="1:51">
      <c r="A134" s="90" t="str">
        <f t="shared" si="37"/>
        <v>Bern  Liebefeld</v>
      </c>
      <c r="B134" s="90" t="str">
        <f t="shared" si="37"/>
        <v>Adelboden</v>
      </c>
      <c r="C134" s="90" t="str">
        <f t="shared" si="37"/>
        <v/>
      </c>
      <c r="D134" s="90" t="str">
        <f t="shared" si="37"/>
        <v/>
      </c>
      <c r="E134" s="90" t="str">
        <f t="shared" si="37"/>
        <v/>
      </c>
      <c r="F134" s="90" t="str">
        <f t="shared" si="37"/>
        <v/>
      </c>
      <c r="G134" s="120"/>
      <c r="H134" s="737">
        <v>10</v>
      </c>
      <c r="I134" s="43" t="s">
        <v>229</v>
      </c>
      <c r="J134" s="42" t="s">
        <v>491</v>
      </c>
      <c r="K134" s="45">
        <f>IF(bern,0,40)</f>
        <v>40</v>
      </c>
      <c r="L134" s="693">
        <f>IF(bern,60,20)</f>
        <v>20</v>
      </c>
      <c r="M134" s="744">
        <f>L134+BS157</f>
        <v>20</v>
      </c>
      <c r="N134" s="744">
        <f t="shared" si="33"/>
        <v>0</v>
      </c>
      <c r="O134" s="745">
        <f t="shared" si="34"/>
        <v>0</v>
      </c>
      <c r="P134" s="745">
        <f t="shared" si="35"/>
        <v>0</v>
      </c>
      <c r="Q134" s="748">
        <f t="shared" si="36"/>
        <v>0</v>
      </c>
      <c r="R134" s="745">
        <f>BS157</f>
        <v>0</v>
      </c>
      <c r="S134" s="27"/>
      <c r="T134" s="43" t="str">
        <f t="shared" si="29"/>
        <v>Chauffe-eau électrique</v>
      </c>
      <c r="U134" s="45">
        <v>27</v>
      </c>
      <c r="V134" s="53" t="str">
        <f>Uebersetzung!D227</f>
        <v>Pompe à chaleur eau souterraine, indirecte, chauffage</v>
      </c>
      <c r="W134" s="120" t="str">
        <f>Uebersetzung!D182</f>
        <v>Pompe à chaleur eau souterraine, indirecte, que chauffage</v>
      </c>
      <c r="X134" s="594">
        <v>2.7</v>
      </c>
      <c r="Y134" s="594">
        <v>8</v>
      </c>
      <c r="Z134" s="266">
        <v>2</v>
      </c>
      <c r="AA134" s="267"/>
      <c r="AB134" s="267">
        <v>1</v>
      </c>
      <c r="AC134" s="156">
        <v>14</v>
      </c>
      <c r="AD134" s="428"/>
      <c r="AE134" s="428"/>
      <c r="AF134" s="45" t="b">
        <v>0</v>
      </c>
      <c r="AG134" s="45" t="b">
        <v>0</v>
      </c>
      <c r="AH134" s="45" t="b">
        <v>0</v>
      </c>
      <c r="AI134" s="45" t="b">
        <v>0</v>
      </c>
      <c r="AJ134" s="45" t="b">
        <v>0</v>
      </c>
      <c r="AK134" s="428">
        <f t="shared" si="30"/>
        <v>14</v>
      </c>
      <c r="AL134" s="120">
        <v>1</v>
      </c>
      <c r="AM134" s="43"/>
      <c r="AN134" s="1340">
        <v>27</v>
      </c>
      <c r="AO134" s="43"/>
      <c r="AP134" s="1354">
        <v>0.13900000000000001</v>
      </c>
      <c r="AQ134" s="53"/>
      <c r="AR134" s="43"/>
      <c r="AS134" s="332">
        <v>1</v>
      </c>
      <c r="AT134" s="53"/>
      <c r="AU134" s="120" t="b">
        <v>1</v>
      </c>
      <c r="AV134" s="2334" t="b">
        <v>1</v>
      </c>
      <c r="AW134" s="2333"/>
      <c r="AX134" s="2333"/>
      <c r="AY134" s="2333"/>
    </row>
    <row r="135" spans="1:51">
      <c r="A135" s="90" t="str">
        <f t="shared" si="37"/>
        <v>Genève</v>
      </c>
      <c r="B135" s="90" t="str">
        <f t="shared" si="37"/>
        <v/>
      </c>
      <c r="C135" s="90" t="str">
        <f t="shared" si="37"/>
        <v/>
      </c>
      <c r="D135" s="90" t="str">
        <f t="shared" si="37"/>
        <v/>
      </c>
      <c r="E135" s="90" t="str">
        <f t="shared" si="37"/>
        <v/>
      </c>
      <c r="F135" s="90" t="str">
        <f t="shared" si="37"/>
        <v/>
      </c>
      <c r="G135" s="120"/>
      <c r="H135" s="743">
        <v>11</v>
      </c>
      <c r="I135" s="43" t="s">
        <v>230</v>
      </c>
      <c r="J135" s="42" t="s">
        <v>239</v>
      </c>
      <c r="K135" s="45">
        <f>IF(bern,0,35)</f>
        <v>35</v>
      </c>
      <c r="L135" s="693">
        <f>IF(bern,50,20)</f>
        <v>20</v>
      </c>
      <c r="M135" s="744">
        <f>L135+CA157</f>
        <v>20</v>
      </c>
      <c r="N135" s="744">
        <f t="shared" si="33"/>
        <v>0</v>
      </c>
      <c r="O135" s="745">
        <f t="shared" si="34"/>
        <v>0</v>
      </c>
      <c r="P135" s="745">
        <f t="shared" si="35"/>
        <v>0</v>
      </c>
      <c r="Q135" s="748">
        <f t="shared" si="36"/>
        <v>0</v>
      </c>
      <c r="R135" s="745">
        <f>CA157</f>
        <v>0</v>
      </c>
      <c r="S135" s="27"/>
      <c r="T135" s="43" t="str">
        <f t="shared" si="29"/>
        <v>Rubans chauffants</v>
      </c>
      <c r="U135" s="45">
        <v>28</v>
      </c>
      <c r="V135" s="53" t="str">
        <f>Uebersetzung!D228</f>
        <v>Pompe à chaleur eau souterraine, indirecte, eau chaude</v>
      </c>
      <c r="W135" s="120" t="str">
        <f>Uebersetzung!D183</f>
        <v>Pompe à chaleur eau souterraine, indirecte, qu'eau chaude</v>
      </c>
      <c r="X135" s="594">
        <v>2.7</v>
      </c>
      <c r="Y135" s="594">
        <v>6</v>
      </c>
      <c r="Z135" s="266">
        <v>2</v>
      </c>
      <c r="AA135" s="267">
        <v>1</v>
      </c>
      <c r="AB135" s="267"/>
      <c r="AC135" s="156">
        <v>34</v>
      </c>
      <c r="AD135" s="428"/>
      <c r="AE135" s="428"/>
      <c r="AF135" s="45" t="b">
        <v>0</v>
      </c>
      <c r="AG135" s="45" t="b">
        <v>0</v>
      </c>
      <c r="AH135" s="45" t="b">
        <v>0</v>
      </c>
      <c r="AI135" s="45" t="b">
        <v>0</v>
      </c>
      <c r="AJ135" s="45" t="b">
        <v>0</v>
      </c>
      <c r="AK135" s="428">
        <f t="shared" si="30"/>
        <v>34</v>
      </c>
      <c r="AL135" s="120">
        <v>1</v>
      </c>
      <c r="AM135" s="43"/>
      <c r="AN135" s="1340">
        <v>28</v>
      </c>
      <c r="AO135" s="43"/>
      <c r="AP135" s="1354">
        <v>0.13900000000000001</v>
      </c>
      <c r="AQ135" s="53"/>
      <c r="AR135" s="43"/>
      <c r="AS135" s="332">
        <v>1</v>
      </c>
      <c r="AT135" s="53"/>
      <c r="AU135" s="120" t="b">
        <v>1</v>
      </c>
      <c r="AV135" s="2334" t="b">
        <v>1</v>
      </c>
      <c r="AW135" s="2333"/>
      <c r="AX135" s="2333"/>
      <c r="AY135" s="2333"/>
    </row>
    <row r="136" spans="1:51">
      <c r="A136" s="90" t="str">
        <f t="shared" si="37"/>
        <v>Glarus</v>
      </c>
      <c r="B136" s="90" t="str">
        <f t="shared" si="37"/>
        <v/>
      </c>
      <c r="C136" s="90" t="str">
        <f t="shared" si="37"/>
        <v/>
      </c>
      <c r="D136" s="90" t="str">
        <f t="shared" si="37"/>
        <v/>
      </c>
      <c r="E136" s="90" t="str">
        <f t="shared" si="37"/>
        <v/>
      </c>
      <c r="F136" s="90" t="str">
        <f t="shared" si="37"/>
        <v/>
      </c>
      <c r="G136" s="120"/>
      <c r="H136" s="27">
        <v>12</v>
      </c>
      <c r="I136" s="43" t="s">
        <v>231</v>
      </c>
      <c r="J136" s="42" t="s">
        <v>6</v>
      </c>
      <c r="K136" s="227">
        <f>IF(bern,0,40)</f>
        <v>40</v>
      </c>
      <c r="L136" s="1878">
        <f>IF(bern,50,25)</f>
        <v>25</v>
      </c>
      <c r="M136" s="744">
        <f>L136+CI157</f>
        <v>25</v>
      </c>
      <c r="N136" s="744">
        <f t="shared" si="33"/>
        <v>0</v>
      </c>
      <c r="O136" s="745">
        <f t="shared" si="34"/>
        <v>0</v>
      </c>
      <c r="P136" s="745">
        <f t="shared" si="35"/>
        <v>0</v>
      </c>
      <c r="Q136" s="748">
        <f t="shared" si="36"/>
        <v>0</v>
      </c>
      <c r="R136" s="745">
        <f>CI157</f>
        <v>0</v>
      </c>
      <c r="S136" s="27"/>
      <c r="T136" s="43" t="str">
        <f t="shared" si="29"/>
        <v>Chaudière à mazout</v>
      </c>
      <c r="U136" s="45">
        <v>29</v>
      </c>
      <c r="V136" s="53" t="str">
        <f>Uebersetzung!D229</f>
        <v>Pompe à chaleur registre terrestre, chauffage</v>
      </c>
      <c r="W136" s="120" t="str">
        <f>Uebersetzung!D184</f>
        <v>Pompe à chaleur registre terrestre, que chauffage</v>
      </c>
      <c r="X136" s="594">
        <v>2.9</v>
      </c>
      <c r="Y136" s="594">
        <v>8</v>
      </c>
      <c r="Z136" s="266">
        <v>2</v>
      </c>
      <c r="AA136" s="267"/>
      <c r="AB136" s="267">
        <v>1</v>
      </c>
      <c r="AC136" s="156">
        <v>2</v>
      </c>
      <c r="AD136" s="428"/>
      <c r="AE136" s="428"/>
      <c r="AF136" s="45" t="b">
        <v>0</v>
      </c>
      <c r="AG136" s="45" t="b">
        <v>0</v>
      </c>
      <c r="AH136" s="45" t="b">
        <v>0</v>
      </c>
      <c r="AI136" s="45" t="b">
        <v>0</v>
      </c>
      <c r="AJ136" s="45" t="b">
        <v>0</v>
      </c>
      <c r="AK136" s="428">
        <f t="shared" si="30"/>
        <v>2</v>
      </c>
      <c r="AL136" s="120">
        <v>1</v>
      </c>
      <c r="AM136" s="43"/>
      <c r="AN136" s="1340">
        <v>29</v>
      </c>
      <c r="AO136" s="2352"/>
      <c r="AP136" s="2357">
        <v>0.13900000000000001</v>
      </c>
      <c r="AQ136" s="53"/>
      <c r="AR136" s="43"/>
      <c r="AS136" s="332">
        <v>1</v>
      </c>
      <c r="AT136" s="53"/>
      <c r="AU136" s="120" t="b">
        <v>1</v>
      </c>
      <c r="AV136" s="2334" t="b">
        <v>1</v>
      </c>
      <c r="AW136" s="2333"/>
      <c r="AX136" s="2333"/>
      <c r="AY136" s="2333"/>
    </row>
    <row r="137" spans="1:51">
      <c r="A137" s="90" t="str">
        <f t="shared" si="37"/>
        <v>Chur</v>
      </c>
      <c r="B137" s="90" t="str">
        <f t="shared" si="37"/>
        <v>Davos</v>
      </c>
      <c r="C137" s="90" t="str">
        <f t="shared" si="37"/>
        <v>Disentis</v>
      </c>
      <c r="D137" s="90" t="str">
        <f t="shared" si="37"/>
        <v>Robbia</v>
      </c>
      <c r="E137" s="90" t="str">
        <f t="shared" si="37"/>
        <v>Schuls</v>
      </c>
      <c r="F137" s="90" t="str">
        <f t="shared" si="37"/>
        <v>Samedan</v>
      </c>
      <c r="G137" s="120"/>
      <c r="H137" s="27">
        <v>13</v>
      </c>
      <c r="I137" s="94" t="s">
        <v>720</v>
      </c>
      <c r="J137" s="60" t="s">
        <v>8</v>
      </c>
      <c r="K137" s="49"/>
      <c r="L137" s="694">
        <v>0</v>
      </c>
      <c r="M137" s="746">
        <f>L137</f>
        <v>0</v>
      </c>
      <c r="N137" s="744">
        <f t="shared" si="33"/>
        <v>0</v>
      </c>
      <c r="O137" s="745">
        <f t="shared" si="34"/>
        <v>0</v>
      </c>
      <c r="P137" s="745">
        <f t="shared" si="35"/>
        <v>0</v>
      </c>
      <c r="Q137" s="748">
        <f t="shared" si="36"/>
        <v>0</v>
      </c>
      <c r="R137" s="49"/>
      <c r="S137" s="27"/>
      <c r="T137" s="43" t="str">
        <f t="shared" si="29"/>
        <v>Chaudière à mazout à condensation, que chauffage</v>
      </c>
      <c r="U137" s="45">
        <v>30</v>
      </c>
      <c r="V137" s="53" t="str">
        <f>Uebersetzung!D230</f>
        <v>Pompe à chaleur registre terrestre, eau chaude</v>
      </c>
      <c r="W137" s="120" t="str">
        <f>Uebersetzung!D185</f>
        <v>Pompe à chaleur registre terrestre, qu'eau chaude</v>
      </c>
      <c r="X137" s="594">
        <v>2.7</v>
      </c>
      <c r="Y137" s="594">
        <v>6</v>
      </c>
      <c r="Z137" s="266">
        <v>2</v>
      </c>
      <c r="AA137" s="267">
        <v>1</v>
      </c>
      <c r="AB137" s="267"/>
      <c r="AC137" s="156">
        <v>3</v>
      </c>
      <c r="AD137" s="428"/>
      <c r="AE137" s="428"/>
      <c r="AF137" s="45" t="b">
        <v>0</v>
      </c>
      <c r="AG137" s="45" t="b">
        <v>0</v>
      </c>
      <c r="AH137" s="45" t="b">
        <v>0</v>
      </c>
      <c r="AI137" s="45" t="b">
        <v>0</v>
      </c>
      <c r="AJ137" s="45" t="b">
        <v>0</v>
      </c>
      <c r="AK137" s="428">
        <f t="shared" si="30"/>
        <v>3</v>
      </c>
      <c r="AL137" s="2347">
        <v>1</v>
      </c>
      <c r="AM137" s="2352"/>
      <c r="AN137" s="1764">
        <v>30</v>
      </c>
      <c r="AO137" s="2352"/>
      <c r="AP137" s="2357">
        <v>0.13900000000000001</v>
      </c>
      <c r="AQ137" s="53"/>
      <c r="AR137" s="2352"/>
      <c r="AS137" s="2358">
        <v>1</v>
      </c>
      <c r="AT137" s="2346"/>
      <c r="AU137" s="2347" t="b">
        <v>1</v>
      </c>
      <c r="AV137" s="2347" t="b">
        <v>1</v>
      </c>
      <c r="AW137" s="2333"/>
      <c r="AX137" s="2333"/>
      <c r="AY137" s="2333"/>
    </row>
    <row r="138" spans="1:51">
      <c r="A138" s="90" t="str">
        <f t="shared" ref="A138:F147" si="38">IF(B108&gt;0,INDEX($A$54:$A$94,B108,1),"")</f>
        <v>Basel-Binningen</v>
      </c>
      <c r="B138" s="90" t="str">
        <f t="shared" si="38"/>
        <v>La Chaux-de-Fonds</v>
      </c>
      <c r="C138" s="90" t="str">
        <f t="shared" si="38"/>
        <v/>
      </c>
      <c r="D138" s="90" t="str">
        <f t="shared" si="38"/>
        <v/>
      </c>
      <c r="E138" s="90" t="str">
        <f t="shared" si="38"/>
        <v/>
      </c>
      <c r="F138" s="90" t="str">
        <f t="shared" si="38"/>
        <v/>
      </c>
      <c r="G138" s="120"/>
      <c r="M138" s="993" t="s">
        <v>1699</v>
      </c>
      <c r="N138" s="749">
        <f>SUM(N126:N137)</f>
        <v>0</v>
      </c>
      <c r="O138" s="749">
        <f>SUM(O126:O137)</f>
        <v>0</v>
      </c>
      <c r="P138" s="749">
        <f>SUM(P126:P137)</f>
        <v>0</v>
      </c>
      <c r="Q138" s="749">
        <f>SUM(Q126:Q137)</f>
        <v>0</v>
      </c>
      <c r="R138" s="750" t="s">
        <v>524</v>
      </c>
      <c r="S138" s="27"/>
      <c r="T138" s="43" t="str">
        <f t="shared" si="29"/>
        <v xml:space="preserve">Chaudière à mazout à condensation, qu'eau chaude </v>
      </c>
      <c r="U138" s="45">
        <v>31</v>
      </c>
      <c r="V138" s="53" t="str">
        <f>Uebersetzung!D231</f>
        <v>Capteurs solaires thermiques, chauffage</v>
      </c>
      <c r="W138" s="120" t="str">
        <f>Uebersetzung!D186</f>
        <v>Capteurs solaires thermiques, que chauffage</v>
      </c>
      <c r="X138" s="303">
        <v>1</v>
      </c>
      <c r="Y138" s="303">
        <v>1</v>
      </c>
      <c r="Z138" s="303">
        <v>0</v>
      </c>
      <c r="AA138" s="235"/>
      <c r="AB138" s="45">
        <v>1</v>
      </c>
      <c r="AC138" s="156">
        <v>4</v>
      </c>
      <c r="AD138" s="428" t="str">
        <f>Uebersetzung!D250</f>
        <v>Surface d'absorbeur [m2]</v>
      </c>
      <c r="AE138" s="925" t="str">
        <f>Uebersetzung!D252</f>
        <v>Apport net par m2 d'absorbeur [kWh/m2]</v>
      </c>
      <c r="AF138" s="45" t="b">
        <v>0</v>
      </c>
      <c r="AG138" s="45" t="b">
        <v>0</v>
      </c>
      <c r="AH138" s="45" t="b">
        <v>0</v>
      </c>
      <c r="AI138" s="45" t="b">
        <v>1</v>
      </c>
      <c r="AJ138" s="45" t="b">
        <v>0</v>
      </c>
      <c r="AK138" s="428">
        <f t="shared" si="30"/>
        <v>4</v>
      </c>
      <c r="AL138" s="2347">
        <v>1</v>
      </c>
      <c r="AM138" s="2352"/>
      <c r="AN138" s="1764">
        <v>39</v>
      </c>
      <c r="AO138" s="2352"/>
      <c r="AP138" s="2357">
        <v>3.9E-2</v>
      </c>
      <c r="AQ138" s="53"/>
      <c r="AR138" s="2352"/>
      <c r="AS138" s="2358">
        <v>1</v>
      </c>
      <c r="AT138" s="2346"/>
      <c r="AU138" s="2347" t="b">
        <v>0</v>
      </c>
      <c r="AV138" s="2347" t="b">
        <v>1</v>
      </c>
      <c r="AW138" s="2333"/>
      <c r="AX138" s="2333"/>
      <c r="AY138" s="2333"/>
    </row>
    <row r="139" spans="1:51">
      <c r="A139" s="90" t="str">
        <f t="shared" si="38"/>
        <v>Luzern</v>
      </c>
      <c r="B139" s="90" t="str">
        <f t="shared" si="38"/>
        <v/>
      </c>
      <c r="C139" s="90" t="str">
        <f t="shared" si="38"/>
        <v/>
      </c>
      <c r="D139" s="90" t="str">
        <f t="shared" si="38"/>
        <v/>
      </c>
      <c r="E139" s="90" t="str">
        <f t="shared" si="38"/>
        <v/>
      </c>
      <c r="F139" s="90" t="str">
        <f t="shared" si="38"/>
        <v/>
      </c>
      <c r="G139" s="120"/>
      <c r="M139" s="993" t="s">
        <v>783</v>
      </c>
      <c r="N139" s="2458">
        <f>INDEX($R$125:$R$137,Kategorie1,1)</f>
        <v>0</v>
      </c>
      <c r="O139" s="2458">
        <f>INDEX($R$125:$R$137,Kategorie2,1)</f>
        <v>0</v>
      </c>
      <c r="P139" s="2458">
        <f>INDEX($R$125:$R$137,Kategorie3,1)</f>
        <v>0</v>
      </c>
      <c r="Q139" s="2458">
        <f>INDEX($R$125:$R$137,Kategorie3,1)</f>
        <v>0</v>
      </c>
      <c r="R139" s="750" t="s">
        <v>1696</v>
      </c>
      <c r="S139" s="27"/>
      <c r="T139" s="43" t="str">
        <f t="shared" si="29"/>
        <v>Chaudière à gaz</v>
      </c>
      <c r="U139" s="45">
        <v>32</v>
      </c>
      <c r="V139" s="53" t="str">
        <f>Uebersetzung!D232</f>
        <v>Capteurs solaires thermiques, eau chaude</v>
      </c>
      <c r="W139" s="120" t="str">
        <f>Uebersetzung!D187</f>
        <v>Capteurs solaires thermiques, qu'eau chaude</v>
      </c>
      <c r="X139" s="303">
        <v>1</v>
      </c>
      <c r="Y139" s="303">
        <v>1</v>
      </c>
      <c r="Z139" s="303">
        <v>0</v>
      </c>
      <c r="AA139" s="235">
        <v>1</v>
      </c>
      <c r="AB139" s="45"/>
      <c r="AC139" s="156">
        <v>5</v>
      </c>
      <c r="AD139" s="428" t="str">
        <f>AD138</f>
        <v>Surface d'absorbeur [m2]</v>
      </c>
      <c r="AE139" s="428" t="str">
        <f>AE138</f>
        <v>Apport net par m2 d'absorbeur [kWh/m2]</v>
      </c>
      <c r="AF139" s="45" t="b">
        <v>0</v>
      </c>
      <c r="AG139" s="45" t="b">
        <v>0</v>
      </c>
      <c r="AH139" s="45" t="b">
        <v>0</v>
      </c>
      <c r="AI139" s="45" t="b">
        <v>1</v>
      </c>
      <c r="AJ139" s="45" t="b">
        <v>0</v>
      </c>
      <c r="AK139" s="428">
        <f t="shared" si="30"/>
        <v>5</v>
      </c>
      <c r="AL139" s="2347">
        <v>1</v>
      </c>
      <c r="AM139" s="2352"/>
      <c r="AN139" s="1764">
        <v>40</v>
      </c>
      <c r="AO139" s="2352"/>
      <c r="AP139" s="2357">
        <v>1.6E-2</v>
      </c>
      <c r="AQ139" s="53"/>
      <c r="AR139" s="2352"/>
      <c r="AS139" s="2358">
        <v>1</v>
      </c>
      <c r="AT139" s="2346"/>
      <c r="AU139" s="2347" t="b">
        <v>0</v>
      </c>
      <c r="AV139" s="2347" t="b">
        <v>1</v>
      </c>
      <c r="AW139" s="2333"/>
      <c r="AX139" s="2333"/>
      <c r="AY139" s="2333"/>
    </row>
    <row r="140" spans="1:51" ht="15.75">
      <c r="A140" s="90" t="str">
        <f t="shared" si="38"/>
        <v>Neuchâtel</v>
      </c>
      <c r="B140" s="90" t="str">
        <f t="shared" si="38"/>
        <v>La Chaux-de-Fonds</v>
      </c>
      <c r="C140" s="90" t="str">
        <f t="shared" si="38"/>
        <v/>
      </c>
      <c r="D140" s="90" t="str">
        <f t="shared" si="38"/>
        <v/>
      </c>
      <c r="E140" s="90" t="str">
        <f t="shared" si="38"/>
        <v/>
      </c>
      <c r="F140" s="90" t="str">
        <f t="shared" si="38"/>
        <v/>
      </c>
      <c r="G140" s="120"/>
      <c r="I140" s="2459" t="s">
        <v>5040</v>
      </c>
      <c r="J140" s="2290" t="s">
        <v>5043</v>
      </c>
      <c r="K140" s="2460" t="s">
        <v>5044</v>
      </c>
      <c r="L140" s="2460" t="s">
        <v>5041</v>
      </c>
      <c r="M140" s="2460" t="s">
        <v>5042</v>
      </c>
      <c r="N140" s="739" t="s">
        <v>555</v>
      </c>
      <c r="O140" s="741" t="s">
        <v>556</v>
      </c>
      <c r="P140" s="740" t="s">
        <v>234</v>
      </c>
      <c r="Q140" s="740" t="s">
        <v>235</v>
      </c>
      <c r="R140" s="2462" t="s">
        <v>5045</v>
      </c>
      <c r="T140" s="43" t="str">
        <f t="shared" si="29"/>
        <v>Chaudière à gaz à condensation, que chauffage</v>
      </c>
      <c r="U140" s="45">
        <v>33</v>
      </c>
      <c r="V140" s="53" t="str">
        <f>Uebersetzung!D233</f>
        <v>Capteurs solaires thermiques, chauffage et eau chaude</v>
      </c>
      <c r="W140" s="120" t="str">
        <f>Uebersetzung!D188</f>
        <v>Capteurs solaires thermiques, chauffage et eau chaude</v>
      </c>
      <c r="X140" s="303">
        <v>1</v>
      </c>
      <c r="Y140" s="303">
        <v>1</v>
      </c>
      <c r="Z140" s="303">
        <v>0</v>
      </c>
      <c r="AA140" s="235">
        <v>1</v>
      </c>
      <c r="AB140" s="45">
        <v>1</v>
      </c>
      <c r="AC140" s="156">
        <v>6</v>
      </c>
      <c r="AD140" s="428" t="str">
        <f>AD138</f>
        <v>Surface d'absorbeur [m2]</v>
      </c>
      <c r="AE140" s="428" t="str">
        <f>AE138</f>
        <v>Apport net par m2 d'absorbeur [kWh/m2]</v>
      </c>
      <c r="AF140" s="45" t="b">
        <v>0</v>
      </c>
      <c r="AG140" s="45" t="b">
        <v>0</v>
      </c>
      <c r="AH140" s="45" t="b">
        <v>0</v>
      </c>
      <c r="AI140" s="45" t="b">
        <v>1</v>
      </c>
      <c r="AJ140" s="45" t="b">
        <v>0</v>
      </c>
      <c r="AK140" s="428">
        <f t="shared" si="30"/>
        <v>6</v>
      </c>
      <c r="AL140" s="2347">
        <v>1</v>
      </c>
      <c r="AM140" s="2352"/>
      <c r="AN140" s="1764">
        <v>41</v>
      </c>
      <c r="AO140" s="2352"/>
      <c r="AP140" s="2357">
        <v>3.9E-2</v>
      </c>
      <c r="AQ140" s="53"/>
      <c r="AR140" s="2352"/>
      <c r="AS140" s="2358">
        <v>1</v>
      </c>
      <c r="AT140" s="2346"/>
      <c r="AU140" s="2347" t="b">
        <v>0</v>
      </c>
      <c r="AV140" s="2347" t="b">
        <v>1</v>
      </c>
      <c r="AW140" s="2333"/>
      <c r="AX140" s="2333"/>
      <c r="AY140" s="2333"/>
    </row>
    <row r="141" spans="1:51">
      <c r="A141" s="90" t="str">
        <f t="shared" si="38"/>
        <v>Luzern</v>
      </c>
      <c r="B141" s="90" t="str">
        <f t="shared" si="38"/>
        <v>Engelberg</v>
      </c>
      <c r="C141" s="90" t="str">
        <f t="shared" si="38"/>
        <v/>
      </c>
      <c r="D141" s="90" t="str">
        <f t="shared" si="38"/>
        <v/>
      </c>
      <c r="E141" s="90" t="str">
        <f t="shared" si="38"/>
        <v/>
      </c>
      <c r="F141" s="90" t="str">
        <f t="shared" si="38"/>
        <v/>
      </c>
      <c r="G141" s="120"/>
      <c r="I141" s="709"/>
      <c r="J141" s="710" t="s">
        <v>632</v>
      </c>
      <c r="K141" s="996" t="s">
        <v>1698</v>
      </c>
      <c r="L141" s="994" t="s">
        <v>1698</v>
      </c>
      <c r="M141" s="994" t="s">
        <v>1698</v>
      </c>
      <c r="N141" s="2464">
        <f>IF(_neu1,INDEX(N142:N154,Kategorie1,1),0)</f>
        <v>0</v>
      </c>
      <c r="O141" s="2464">
        <f>IF(_neu2,INDEX(O142:O154,Kategorie2,1),0)</f>
        <v>0</v>
      </c>
      <c r="P141" s="2464">
        <f>IF(_neu3,INDEX(P142:P154,Kategorie3,1),0)</f>
        <v>0</v>
      </c>
      <c r="Q141" s="2464">
        <f>IF(_neu4,INDEX(Q142:Q154,Kategorie4,1),0)</f>
        <v>0</v>
      </c>
      <c r="R141" s="2463">
        <f>2*Entrées!$F$52*Entrées!$E$53/1000*(Entrées!$I$53+0.4*(1-Entrées!$I$53))</f>
        <v>0</v>
      </c>
      <c r="T141" s="43" t="str">
        <f t="shared" si="29"/>
        <v>Chaudière à gaz à condensation, qu'eau chaude</v>
      </c>
      <c r="U141" s="45">
        <v>34</v>
      </c>
      <c r="V141" s="53" t="str">
        <f>Uebersetzung!D466</f>
        <v>Rubans chauffants</v>
      </c>
      <c r="W141" s="120" t="str">
        <f>Uebersetzung!D466</f>
        <v>Rubans chauffants</v>
      </c>
      <c r="X141" s="228">
        <v>1</v>
      </c>
      <c r="Y141" s="228">
        <v>1</v>
      </c>
      <c r="Z141" s="228">
        <v>2</v>
      </c>
      <c r="AA141" s="235">
        <v>1</v>
      </c>
      <c r="AB141" s="45"/>
      <c r="AC141" s="156">
        <v>7</v>
      </c>
      <c r="AD141" s="925"/>
      <c r="AE141" s="925"/>
      <c r="AF141" s="45" t="b">
        <v>0</v>
      </c>
      <c r="AG141" s="45" t="b">
        <v>0</v>
      </c>
      <c r="AH141" s="45" t="b">
        <v>0</v>
      </c>
      <c r="AI141" s="45" t="b">
        <v>0</v>
      </c>
      <c r="AJ141" s="45" t="b">
        <v>0</v>
      </c>
      <c r="AK141" s="428">
        <f t="shared" si="30"/>
        <v>7</v>
      </c>
      <c r="AL141" s="2347">
        <v>1</v>
      </c>
      <c r="AM141" s="2352"/>
      <c r="AN141" s="1764">
        <v>58</v>
      </c>
      <c r="AO141" s="2352"/>
      <c r="AP141" s="2357">
        <v>0.13900000000000001</v>
      </c>
      <c r="AQ141" s="53"/>
      <c r="AR141" s="2352"/>
      <c r="AS141" s="2358">
        <v>1</v>
      </c>
      <c r="AT141" s="2346"/>
      <c r="AU141" s="2347" t="b">
        <v>0</v>
      </c>
      <c r="AV141" s="2347" t="b">
        <v>1</v>
      </c>
      <c r="AW141" s="2333"/>
      <c r="AX141" s="2333"/>
      <c r="AY141" s="2333"/>
    </row>
    <row r="142" spans="1:51">
      <c r="A142" s="90" t="str">
        <f t="shared" si="38"/>
        <v>Luzern</v>
      </c>
      <c r="B142" s="90" t="str">
        <f t="shared" si="38"/>
        <v>Engelberg</v>
      </c>
      <c r="C142" s="90" t="str">
        <f t="shared" si="38"/>
        <v/>
      </c>
      <c r="D142" s="90" t="str">
        <f t="shared" si="38"/>
        <v/>
      </c>
      <c r="E142" s="90" t="str">
        <f t="shared" si="38"/>
        <v/>
      </c>
      <c r="F142" s="90" t="str">
        <f t="shared" si="38"/>
        <v/>
      </c>
      <c r="G142" s="120"/>
      <c r="H142" s="2333">
        <v>1</v>
      </c>
      <c r="I142" s="43"/>
      <c r="J142" s="42"/>
      <c r="K142" s="2461"/>
      <c r="L142" s="2461"/>
      <c r="M142" s="2461"/>
      <c r="N142" s="2461"/>
      <c r="O142" s="2461"/>
      <c r="P142" s="2461"/>
      <c r="Q142" s="2461"/>
      <c r="R142" s="2461"/>
      <c r="T142" s="43" t="str">
        <f t="shared" si="29"/>
        <v>Chauffe-eau à gaz</v>
      </c>
      <c r="U142" s="45">
        <v>35</v>
      </c>
      <c r="V142" s="53" t="str">
        <f>Uebersetzung!D190</f>
        <v>Rejets thermiques issus de climatisation</v>
      </c>
      <c r="W142" s="53" t="str">
        <f>Uebersetzung!D190</f>
        <v>Rejets thermiques issus de climatisation</v>
      </c>
      <c r="X142" s="2348">
        <v>10</v>
      </c>
      <c r="Y142" s="2348">
        <v>10</v>
      </c>
      <c r="Z142" s="2348">
        <v>2</v>
      </c>
      <c r="AA142" s="2350">
        <v>1</v>
      </c>
      <c r="AB142" s="2350"/>
      <c r="AC142" s="156">
        <v>8</v>
      </c>
      <c r="AD142" s="925" t="str">
        <f>Uebersetzung!D567</f>
        <v>Rendement de climatisation  (EER)</v>
      </c>
      <c r="AE142" s="925" t="str">
        <f>Uebersetzung!D566</f>
        <v>Températures des rejets thermique [°C]</v>
      </c>
      <c r="AF142" s="45" t="b">
        <v>0</v>
      </c>
      <c r="AG142" s="45" t="b">
        <v>0</v>
      </c>
      <c r="AH142" s="45" t="b">
        <v>0</v>
      </c>
      <c r="AI142" s="45" t="b">
        <v>0</v>
      </c>
      <c r="AJ142" s="45" t="b">
        <v>0</v>
      </c>
      <c r="AK142" s="428">
        <f t="shared" si="30"/>
        <v>8</v>
      </c>
      <c r="AL142" s="2347">
        <v>1</v>
      </c>
      <c r="AM142" s="2352"/>
      <c r="AN142" s="1764">
        <v>61</v>
      </c>
      <c r="AO142" s="2352"/>
      <c r="AP142" s="2357">
        <v>0</v>
      </c>
      <c r="AQ142" s="53"/>
      <c r="AR142" s="2352"/>
      <c r="AS142" s="2358">
        <v>1</v>
      </c>
      <c r="AT142" s="2346"/>
      <c r="AU142" s="2347" t="b">
        <v>1</v>
      </c>
      <c r="AV142" s="2347" t="b">
        <v>1</v>
      </c>
      <c r="AW142" s="2333"/>
      <c r="AX142" s="2333"/>
      <c r="AY142" s="2333"/>
    </row>
    <row r="143" spans="1:51">
      <c r="A143" s="90" t="str">
        <f t="shared" si="38"/>
        <v>St. Gallen</v>
      </c>
      <c r="B143" s="90" t="str">
        <f t="shared" si="38"/>
        <v/>
      </c>
      <c r="C143" s="90" t="str">
        <f t="shared" si="38"/>
        <v/>
      </c>
      <c r="D143" s="90" t="str">
        <f t="shared" si="38"/>
        <v/>
      </c>
      <c r="E143" s="90" t="str">
        <f t="shared" si="38"/>
        <v/>
      </c>
      <c r="F143" s="90" t="str">
        <f t="shared" si="38"/>
        <v/>
      </c>
      <c r="G143" s="120"/>
      <c r="H143" s="2333">
        <v>2</v>
      </c>
      <c r="I143" s="43" t="s">
        <v>49</v>
      </c>
      <c r="J143" s="42" t="s">
        <v>29</v>
      </c>
      <c r="K143" s="45">
        <v>0</v>
      </c>
      <c r="L143" s="45">
        <v>0</v>
      </c>
      <c r="M143" s="45">
        <v>0</v>
      </c>
      <c r="N143" s="745">
        <f>IF(Entrées!O$2&gt;0,IF(bern,MINERGIE!O44,2*(0.85*(Entrées!F$23*800+20*0.8*Entrées!O$2)+100*Entrées!F$23)/Entrées!O$2),0)</f>
        <v>0</v>
      </c>
      <c r="O143" s="745">
        <f>IF(Entrées!P$2&gt;0,IF(bern,MINERGIE!P44,2*(0.85*(Entrées!G$23*800+20*0.8*Entrées!P$2)+100*Entrées!G$23)/Entrées!P$2),0)</f>
        <v>0</v>
      </c>
      <c r="P143" s="745">
        <f>IF(Entrées!Q$2&gt;0,IF(bern,MINERGIE!Q44,2*(0.85*(Entrées!H$23*800+20*0.8*Entrées!Q$2)+100*Entrées!H$23)/Entrées!Q$2),0)</f>
        <v>0</v>
      </c>
      <c r="Q143" s="745">
        <f>IF(Entrées!R$2&gt;0,IF(bern,MINERGIE!R44,2*(0.85*(Entrées!I$23*800+20*0.8*Entrées!R$2)+100*Entrées!I$23)/Entrées!R$2),0)</f>
        <v>0</v>
      </c>
      <c r="R143" s="745">
        <f>2*Entrées!$F$52*Entrées!$E$53/1000*(Entrées!$I$53+0.4*(1-Entrées!$I$53))</f>
        <v>0</v>
      </c>
      <c r="T143" s="43" t="str">
        <f t="shared" si="29"/>
        <v>Pompe à chaleur à gaz, seul. chauffage</v>
      </c>
      <c r="U143" s="45">
        <v>36</v>
      </c>
      <c r="V143" s="1794" t="str">
        <f>Uebersetzung!D191</f>
        <v>Rejets thermiques issus de froid industriel</v>
      </c>
      <c r="W143" s="53" t="str">
        <f>Uebersetzung!D191</f>
        <v>Rejets thermiques issus de froid industriel</v>
      </c>
      <c r="X143" s="2348">
        <v>10</v>
      </c>
      <c r="Y143" s="2348">
        <v>10</v>
      </c>
      <c r="Z143" s="2348">
        <v>2</v>
      </c>
      <c r="AA143" s="2350">
        <v>1</v>
      </c>
      <c r="AB143" s="2350">
        <v>1</v>
      </c>
      <c r="AC143" s="156">
        <v>47</v>
      </c>
      <c r="AD143" s="925" t="str">
        <f>Uebersetzung!D565</f>
        <v>Rejets thermiques  [kWh]</v>
      </c>
      <c r="AE143" s="925" t="str">
        <f>Uebersetzung!D566</f>
        <v>Températures des rejets thermique [°C]</v>
      </c>
      <c r="AF143" s="45" t="b">
        <v>0</v>
      </c>
      <c r="AG143" s="45" t="b">
        <v>0</v>
      </c>
      <c r="AH143" s="45" t="b">
        <v>0</v>
      </c>
      <c r="AI143" s="45" t="b">
        <v>0</v>
      </c>
      <c r="AJ143" s="45" t="b">
        <v>0</v>
      </c>
      <c r="AK143" s="428">
        <f t="shared" si="30"/>
        <v>47</v>
      </c>
      <c r="AL143" s="2347">
        <v>1</v>
      </c>
      <c r="AM143" s="2352"/>
      <c r="AN143" s="1764">
        <v>62</v>
      </c>
      <c r="AO143" s="2352"/>
      <c r="AP143" s="2357">
        <v>0</v>
      </c>
      <c r="AQ143" s="53"/>
      <c r="AR143" s="2352"/>
      <c r="AS143" s="2358">
        <v>1</v>
      </c>
      <c r="AT143" s="2346"/>
      <c r="AU143" s="2347" t="b">
        <v>1</v>
      </c>
      <c r="AV143" s="2347" t="b">
        <v>1</v>
      </c>
      <c r="AW143" s="2333"/>
      <c r="AX143" s="2333"/>
      <c r="AY143" s="2333"/>
    </row>
    <row r="144" spans="1:51">
      <c r="A144" s="90" t="str">
        <f t="shared" si="38"/>
        <v>Schaffhausen</v>
      </c>
      <c r="B144" s="90" t="str">
        <f t="shared" si="38"/>
        <v/>
      </c>
      <c r="C144" s="90" t="str">
        <f t="shared" si="38"/>
        <v/>
      </c>
      <c r="D144" s="90" t="str">
        <f t="shared" si="38"/>
        <v/>
      </c>
      <c r="E144" s="90" t="str">
        <f t="shared" si="38"/>
        <v/>
      </c>
      <c r="F144" s="90" t="str">
        <f t="shared" si="38"/>
        <v/>
      </c>
      <c r="G144" s="120"/>
      <c r="H144" s="2333">
        <v>3</v>
      </c>
      <c r="I144" s="43" t="s">
        <v>50</v>
      </c>
      <c r="J144" s="42" t="s">
        <v>0</v>
      </c>
      <c r="K144" s="45">
        <v>0</v>
      </c>
      <c r="L144" s="45">
        <v>0</v>
      </c>
      <c r="M144" s="45">
        <v>0</v>
      </c>
      <c r="N144" s="745">
        <f>IF(Entrées!O$2&gt;0,IF(bern,MINERGIE!O44,2*0.85*(Entrées!F$23*800+20*0.8*Entrées!O$2)/Entrées!O$2),0)</f>
        <v>0</v>
      </c>
      <c r="O144" s="745">
        <f>IF(Entrées!P$2&gt;0,IF(bern,MINERGIE!P44,2*0.85*(Entrées!G$23*800+20*0.8*Entrées!P$2)/Entrées!P$2),0)</f>
        <v>0</v>
      </c>
      <c r="P144" s="745">
        <f>IF(Entrées!Q$2&gt;0,IF(bern,MINERGIE!Q44,2*0.85*(Entrées!H$23*800+20*0.8*Entrées!Q$2)/Entrées!Q$2),0)</f>
        <v>0</v>
      </c>
      <c r="Q144" s="745">
        <f>IF(Entrées!R$2&gt;0,IF(bern,MINERGIE!R44,2*0.85*(Entrées!I$23*800+20*0.8*Entrées!R$2)/Entrées!R$2),0)</f>
        <v>0</v>
      </c>
      <c r="R144" s="745">
        <f>2*Entrées!$F$52*Entrées!$E$53/1000*(Entrées!$I$53+0.4*(1-Entrées!$I$53))</f>
        <v>0</v>
      </c>
      <c r="T144" s="43" t="str">
        <f t="shared" si="29"/>
        <v>Pompe à chaleur à gaz, seul. eau chaude</v>
      </c>
      <c r="U144" s="45">
        <v>37</v>
      </c>
      <c r="V144" s="53" t="str">
        <f>Uebersetzung!D237</f>
        <v>PAC air fourni/repris avec récup. de chaleur</v>
      </c>
      <c r="W144" s="120" t="str">
        <f>Uebersetzung!D192</f>
        <v>Aération avec PAC air repris/fourni et récup. de chaleur</v>
      </c>
      <c r="X144" s="228">
        <v>2.2999999999999998</v>
      </c>
      <c r="Y144" s="228">
        <f t="shared" ref="Y144:Y149" si="39">X144+1.2</f>
        <v>3.5</v>
      </c>
      <c r="Z144" s="228">
        <v>2</v>
      </c>
      <c r="AA144" s="235"/>
      <c r="AB144" s="45">
        <v>1</v>
      </c>
      <c r="AC144" s="156">
        <v>48</v>
      </c>
      <c r="AD144" s="428"/>
      <c r="AE144" s="428"/>
      <c r="AF144" s="45" t="b">
        <v>0</v>
      </c>
      <c r="AG144" s="45" t="b">
        <v>0</v>
      </c>
      <c r="AH144" s="45" t="b">
        <v>0</v>
      </c>
      <c r="AI144" s="45" t="b">
        <v>0</v>
      </c>
      <c r="AJ144" s="45" t="b">
        <v>0</v>
      </c>
      <c r="AK144" s="428">
        <f t="shared" si="30"/>
        <v>48</v>
      </c>
      <c r="AL144" s="2347">
        <v>1</v>
      </c>
      <c r="AM144" s="2352"/>
      <c r="AN144" s="1764">
        <v>43</v>
      </c>
      <c r="AO144" s="2352"/>
      <c r="AP144" s="2357">
        <v>0.13900000000000001</v>
      </c>
      <c r="AQ144" s="53"/>
      <c r="AR144" s="2352"/>
      <c r="AS144" s="2358">
        <v>1</v>
      </c>
      <c r="AT144" s="2346"/>
      <c r="AU144" s="2347" t="b">
        <v>0</v>
      </c>
      <c r="AV144" s="2347" t="b">
        <v>1</v>
      </c>
      <c r="AW144" s="2333"/>
      <c r="AX144" s="2333"/>
      <c r="AY144" s="2333"/>
    </row>
    <row r="145" spans="1:95">
      <c r="A145" s="90" t="str">
        <f t="shared" si="38"/>
        <v>Wynau</v>
      </c>
      <c r="B145" s="90" t="str">
        <f t="shared" si="38"/>
        <v/>
      </c>
      <c r="C145" s="90" t="str">
        <f t="shared" si="38"/>
        <v/>
      </c>
      <c r="D145" s="90" t="str">
        <f t="shared" si="38"/>
        <v/>
      </c>
      <c r="E145" s="90" t="str">
        <f t="shared" si="38"/>
        <v/>
      </c>
      <c r="F145" s="90" t="str">
        <f t="shared" si="38"/>
        <v/>
      </c>
      <c r="G145" s="120"/>
      <c r="H145" s="2333">
        <v>4</v>
      </c>
      <c r="I145" s="43" t="s">
        <v>5</v>
      </c>
      <c r="J145" s="42" t="s">
        <v>1</v>
      </c>
      <c r="K145" s="45">
        <v>20</v>
      </c>
      <c r="L145" s="45">
        <v>33</v>
      </c>
      <c r="M145" s="45">
        <v>7</v>
      </c>
      <c r="N145" s="45">
        <f>IF(EBF_Zweckneubau&lt;1000.1,$K145,IF(Entrées!F$24*2&gt;0,Entrées!F$24*2,$K145))+$L145+$M145</f>
        <v>60</v>
      </c>
      <c r="O145" s="45">
        <f>IF(EBF_Zweckneubau&lt;1000.1,$K145,IF(Entrées!G$24*2&gt;0,Entrées!G$24*2,$K145))+$L145+$M145</f>
        <v>60</v>
      </c>
      <c r="P145" s="45">
        <f>IF(EBF_Zweckneubau&lt;1000.1,$K145,IF(Entrées!H$24*2&gt;0,Entrées!H$24*2,$K145))+$L145+$M145</f>
        <v>60</v>
      </c>
      <c r="Q145" s="45">
        <f>IF(EBF_Zweckneubau&lt;1000.1,$K145,IF(Entrées!I$24*2&gt;0,Entrées!I$24*2,$K145))+$L145+$M145</f>
        <v>60</v>
      </c>
      <c r="R145" s="745">
        <f>2*Entrées!$F$52*Entrées!$E$53/1000*(Entrées!$I$53+0.4*(1-Entrées!$I$53))</f>
        <v>0</v>
      </c>
      <c r="T145" s="43" t="str">
        <f t="shared" si="29"/>
        <v>CCF (fossile) - part thermique et électrique</v>
      </c>
      <c r="U145" s="45">
        <v>38</v>
      </c>
      <c r="V145" s="53" t="str">
        <f>Uebersetzung!D238</f>
        <v>PAC air fourni/repris sans récup. de chaleur</v>
      </c>
      <c r="W145" s="120" t="str">
        <f>Uebersetzung!D193</f>
        <v>Aération avec PAC air repris/fourni sans récup. de chaleur</v>
      </c>
      <c r="X145" s="228">
        <v>2.7</v>
      </c>
      <c r="Y145" s="228">
        <f t="shared" si="39"/>
        <v>3.9000000000000004</v>
      </c>
      <c r="Z145" s="228">
        <v>2</v>
      </c>
      <c r="AA145" s="235"/>
      <c r="AB145" s="45">
        <v>1</v>
      </c>
      <c r="AC145" s="156">
        <v>15</v>
      </c>
      <c r="AD145" s="428"/>
      <c r="AE145" s="428"/>
      <c r="AF145" s="45" t="b">
        <v>0</v>
      </c>
      <c r="AG145" s="45" t="b">
        <v>0</v>
      </c>
      <c r="AH145" s="45" t="b">
        <v>0</v>
      </c>
      <c r="AI145" s="45" t="b">
        <v>0</v>
      </c>
      <c r="AJ145" s="45" t="b">
        <v>0</v>
      </c>
      <c r="AK145" s="428">
        <f t="shared" si="30"/>
        <v>15</v>
      </c>
      <c r="AL145" s="2347">
        <v>1</v>
      </c>
      <c r="AM145" s="2352"/>
      <c r="AN145" s="1764">
        <v>44</v>
      </c>
      <c r="AO145" s="2352"/>
      <c r="AP145" s="2357">
        <v>0.13900000000000001</v>
      </c>
      <c r="AQ145" s="53"/>
      <c r="AR145" s="2352"/>
      <c r="AS145" s="2358">
        <v>1</v>
      </c>
      <c r="AT145" s="2346"/>
      <c r="AU145" s="2347" t="b">
        <v>0</v>
      </c>
      <c r="AV145" s="2347" t="b">
        <v>1</v>
      </c>
      <c r="AW145" s="2333"/>
      <c r="AX145" s="2333"/>
      <c r="AY145" s="2333"/>
    </row>
    <row r="146" spans="1:95">
      <c r="A146" s="90" t="str">
        <f t="shared" si="38"/>
        <v>Luzern</v>
      </c>
      <c r="B146" s="90" t="str">
        <f t="shared" si="38"/>
        <v>Zürich SMA</v>
      </c>
      <c r="C146" s="90" t="str">
        <f t="shared" si="38"/>
        <v/>
      </c>
      <c r="D146" s="90" t="str">
        <f t="shared" si="38"/>
        <v/>
      </c>
      <c r="E146" s="90" t="str">
        <f t="shared" si="38"/>
        <v/>
      </c>
      <c r="F146" s="90" t="str">
        <f t="shared" si="38"/>
        <v/>
      </c>
      <c r="G146" s="120"/>
      <c r="H146" s="2333">
        <v>5</v>
      </c>
      <c r="I146" s="43" t="s">
        <v>7</v>
      </c>
      <c r="J146" s="42" t="s">
        <v>2</v>
      </c>
      <c r="K146" s="45">
        <v>17</v>
      </c>
      <c r="L146" s="45">
        <v>10</v>
      </c>
      <c r="M146" s="45">
        <v>6</v>
      </c>
      <c r="N146" s="45">
        <f>IF(EBF_Zweckneubau&lt;1000.1,$K146,IF(Entrées!F$24*2&gt;0,Entrées!F$24*2,$K146))+$L146+$M146</f>
        <v>33</v>
      </c>
      <c r="O146" s="45">
        <f>IF(EBF_Zweckneubau&lt;1000.1,$K146,IF(Entrées!G$24*2&gt;0,Entrées!G$24*2,$K146))+$L146+$M146</f>
        <v>33</v>
      </c>
      <c r="P146" s="45">
        <f>IF(EBF_Zweckneubau&lt;1000.1,$K146,IF(Entrées!H$24*2&gt;0,Entrées!H$24*2,$K146))+$L146+$M146</f>
        <v>33</v>
      </c>
      <c r="Q146" s="45">
        <f>IF(EBF_Zweckneubau&lt;1000.1,$K146,IF(Entrées!I$24*2&gt;0,Entrées!I$24*2,$K146))+$L146+$M146</f>
        <v>33</v>
      </c>
      <c r="R146" s="745">
        <f>2*Entrées!$F$52*Entrées!$E$53/1000*(Entrées!$I$53+0.4*(1-Entrées!$I$53))</f>
        <v>0</v>
      </c>
      <c r="T146" s="43" t="str">
        <f t="shared" si="29"/>
        <v>CCF (bois) - part thermique et électrique</v>
      </c>
      <c r="U146" s="45">
        <v>39</v>
      </c>
      <c r="V146" s="53" t="str">
        <f>Uebersetzung!D239</f>
        <v>PAC air repris sans air fourni</v>
      </c>
      <c r="W146" s="120" t="str">
        <f>Uebersetzung!D194</f>
        <v>Aération air repris avec PAC (sans air fourni)</v>
      </c>
      <c r="X146" s="228">
        <v>2.5</v>
      </c>
      <c r="Y146" s="228">
        <f t="shared" si="39"/>
        <v>3.7</v>
      </c>
      <c r="Z146" s="228">
        <v>2</v>
      </c>
      <c r="AA146" s="235">
        <v>1</v>
      </c>
      <c r="AB146" s="45">
        <v>1</v>
      </c>
      <c r="AC146" s="156">
        <v>16</v>
      </c>
      <c r="AD146" s="428"/>
      <c r="AE146" s="428"/>
      <c r="AF146" s="2350" t="b">
        <v>0</v>
      </c>
      <c r="AG146" s="2350" t="b">
        <v>0</v>
      </c>
      <c r="AH146" s="2350" t="b">
        <v>0</v>
      </c>
      <c r="AI146" s="2350" t="b">
        <v>0</v>
      </c>
      <c r="AJ146" s="2350" t="b">
        <v>0</v>
      </c>
      <c r="AK146" s="2351">
        <f t="shared" si="30"/>
        <v>16</v>
      </c>
      <c r="AL146" s="2347">
        <v>1</v>
      </c>
      <c r="AM146" s="2352"/>
      <c r="AN146" s="1764">
        <v>45</v>
      </c>
      <c r="AO146" s="2352"/>
      <c r="AP146" s="2357">
        <v>0.13900000000000001</v>
      </c>
      <c r="AQ146" s="53"/>
      <c r="AR146" s="2352"/>
      <c r="AS146" s="2358">
        <v>1</v>
      </c>
      <c r="AT146" s="2346"/>
      <c r="AU146" s="2347" t="b">
        <v>1</v>
      </c>
      <c r="AV146" s="2347" t="b">
        <v>1</v>
      </c>
      <c r="AW146" s="2333"/>
      <c r="AX146" s="2333"/>
      <c r="AY146" s="2333"/>
    </row>
    <row r="147" spans="1:95">
      <c r="A147" s="90" t="str">
        <f t="shared" si="38"/>
        <v>Güttingen</v>
      </c>
      <c r="B147" s="90" t="str">
        <f t="shared" si="38"/>
        <v/>
      </c>
      <c r="C147" s="90" t="str">
        <f t="shared" si="38"/>
        <v/>
      </c>
      <c r="D147" s="90" t="str">
        <f t="shared" si="38"/>
        <v/>
      </c>
      <c r="E147" s="90" t="str">
        <f t="shared" si="38"/>
        <v/>
      </c>
      <c r="F147" s="90" t="str">
        <f t="shared" si="38"/>
        <v/>
      </c>
      <c r="G147" s="120"/>
      <c r="H147" s="2333">
        <v>6</v>
      </c>
      <c r="I147" s="43" t="s">
        <v>9</v>
      </c>
      <c r="J147" s="42" t="s">
        <v>237</v>
      </c>
      <c r="K147" s="45">
        <v>61</v>
      </c>
      <c r="L147" s="45">
        <v>10</v>
      </c>
      <c r="M147" s="45">
        <v>15</v>
      </c>
      <c r="N147" s="45">
        <f>IF(EBF_Zweckneubau&lt;1000.1,$K147,IF(Entrées!F$24*2&gt;0,Entrées!F$24*2,$K147))+$L147+$M147</f>
        <v>86</v>
      </c>
      <c r="O147" s="45">
        <f>IF(EBF_Zweckneubau&lt;1000.1,$K147,IF(Entrées!G$24*2&gt;0,Entrées!G$24*2,$K147))+$L147+$M147</f>
        <v>86</v>
      </c>
      <c r="P147" s="45">
        <f>IF(EBF_Zweckneubau&lt;1000.1,$K147,IF(Entrées!H$24*2&gt;0,Entrées!H$24*2,$K147))+$L147+$M147</f>
        <v>86</v>
      </c>
      <c r="Q147" s="45">
        <f>IF(EBF_Zweckneubau&lt;1000.1,$K147,IF(Entrées!I$24*2&gt;0,Entrées!I$24*2,$K147))+$L147+$M147</f>
        <v>86</v>
      </c>
      <c r="R147" s="745">
        <f>2*Entrées!$F$52*Entrées!$E$53/1000*(Entrées!$I$53+0.4*(1-Entrées!$I$53))</f>
        <v>0</v>
      </c>
      <c r="T147" s="43" t="str">
        <f t="shared" si="29"/>
        <v>Aération avec PAC air repris/fourni et récup. de chaleur</v>
      </c>
      <c r="U147" s="45">
        <v>40</v>
      </c>
      <c r="V147" s="53" t="str">
        <f>Uebersetzung!D240</f>
        <v>PAC compacte avec récup. de chaleur</v>
      </c>
      <c r="W147" s="120" t="str">
        <f>Uebersetzung!D195</f>
        <v>PAC compacte avec air fourni/repris avec récup. de chaleur</v>
      </c>
      <c r="X147" s="228">
        <v>2.2999999999999998</v>
      </c>
      <c r="Y147" s="228">
        <f t="shared" si="39"/>
        <v>3.5</v>
      </c>
      <c r="Z147" s="228">
        <v>2</v>
      </c>
      <c r="AA147" s="235">
        <v>1</v>
      </c>
      <c r="AB147" s="45">
        <v>1</v>
      </c>
      <c r="AC147" s="156">
        <v>37</v>
      </c>
      <c r="AD147" s="428"/>
      <c r="AE147" s="428"/>
      <c r="AF147" s="2350" t="b">
        <v>0</v>
      </c>
      <c r="AG147" s="2350" t="b">
        <v>0</v>
      </c>
      <c r="AH147" s="2350" t="b">
        <v>0</v>
      </c>
      <c r="AI147" s="2350" t="b">
        <v>0</v>
      </c>
      <c r="AJ147" s="2350" t="b">
        <v>0</v>
      </c>
      <c r="AK147" s="2351">
        <f t="shared" si="30"/>
        <v>37</v>
      </c>
      <c r="AL147" s="2347">
        <v>1</v>
      </c>
      <c r="AM147" s="2352"/>
      <c r="AN147" s="1764">
        <v>46</v>
      </c>
      <c r="AO147" s="43"/>
      <c r="AP147" s="1354">
        <v>0.13900000000000001</v>
      </c>
      <c r="AQ147" s="53"/>
      <c r="AR147" s="2352"/>
      <c r="AS147" s="2358">
        <v>1</v>
      </c>
      <c r="AT147" s="2346"/>
      <c r="AU147" s="2347" t="b">
        <v>1</v>
      </c>
      <c r="AV147" s="2347" t="b">
        <v>1</v>
      </c>
      <c r="AW147" s="2333"/>
      <c r="AX147" s="2333"/>
      <c r="AY147" s="2333"/>
    </row>
    <row r="148" spans="1:95">
      <c r="A148" s="90" t="str">
        <f t="shared" ref="A148:F154" si="40">IF(B118&gt;0,INDEX($A$54:$A$94,B118,1),"")</f>
        <v>Locarno-Monti</v>
      </c>
      <c r="B148" s="90" t="str">
        <f t="shared" si="40"/>
        <v>Lugano</v>
      </c>
      <c r="C148" s="90" t="str">
        <f t="shared" si="40"/>
        <v>Magadino</v>
      </c>
      <c r="D148" s="90" t="str">
        <f t="shared" si="40"/>
        <v>Robbia</v>
      </c>
      <c r="E148" s="90" t="str">
        <f t="shared" si="40"/>
        <v>San Bernardino</v>
      </c>
      <c r="F148" s="90" t="str">
        <f t="shared" si="40"/>
        <v/>
      </c>
      <c r="G148" s="120"/>
      <c r="H148" s="2333">
        <v>7</v>
      </c>
      <c r="I148" s="43" t="s">
        <v>10</v>
      </c>
      <c r="J148" s="42" t="s">
        <v>3</v>
      </c>
      <c r="K148" s="45">
        <v>21</v>
      </c>
      <c r="L148" s="45">
        <v>9</v>
      </c>
      <c r="M148" s="45">
        <v>17</v>
      </c>
      <c r="N148" s="45">
        <f>IF(EBF_Zweckneubau&lt;1000.1,$K148,IF(Entrées!F$24*2&gt;0,Entrées!F$24*2,$K148))+$L148+$M148</f>
        <v>47</v>
      </c>
      <c r="O148" s="45">
        <f>IF(EBF_Zweckneubau&lt;1000.1,$K148,IF(Entrées!G$24*2&gt;0,Entrées!G$24*2,$K148))+$L148+$M148</f>
        <v>47</v>
      </c>
      <c r="P148" s="45">
        <f>IF(EBF_Zweckneubau&lt;1000.1,$K148,IF(Entrées!H$24*2&gt;0,Entrées!H$24*2,$K148))+$L148+$M148</f>
        <v>47</v>
      </c>
      <c r="Q148" s="45">
        <f>IF(EBF_Zweckneubau&lt;1000.1,$K148,IF(Entrées!I$24*2&gt;0,Entrées!I$24*2,$K148))+$L148+$M148</f>
        <v>47</v>
      </c>
      <c r="R148" s="745">
        <f>2*Entrées!$F$52*Entrées!$E$53/1000*(Entrées!$I$53+0.4*(1-Entrées!$I$53))</f>
        <v>0</v>
      </c>
      <c r="T148" s="43" t="str">
        <f t="shared" si="29"/>
        <v>Aération avec PAC air repris/fourni sans récup. de chaleur</v>
      </c>
      <c r="U148" s="45">
        <v>41</v>
      </c>
      <c r="V148" s="53" t="str">
        <f>Uebersetzung!D241</f>
        <v>PAC compacte sans récup. de chaleur, chauffage</v>
      </c>
      <c r="W148" s="120" t="str">
        <f>Uebersetzung!D196</f>
        <v>PAC compacte avec air fourni/repris sans récup. de chaleur (que chauffage)</v>
      </c>
      <c r="X148" s="228">
        <v>2.7</v>
      </c>
      <c r="Y148" s="228">
        <f t="shared" si="39"/>
        <v>3.9000000000000004</v>
      </c>
      <c r="Z148" s="228">
        <v>2</v>
      </c>
      <c r="AA148" s="235"/>
      <c r="AB148" s="45">
        <v>1</v>
      </c>
      <c r="AC148" s="156">
        <v>38</v>
      </c>
      <c r="AD148" s="428"/>
      <c r="AE148" s="428"/>
      <c r="AF148" s="2350" t="b">
        <v>0</v>
      </c>
      <c r="AG148" s="2350" t="b">
        <v>0</v>
      </c>
      <c r="AH148" s="2350" t="b">
        <v>0</v>
      </c>
      <c r="AI148" s="2350" t="b">
        <v>0</v>
      </c>
      <c r="AJ148" s="2350" t="b">
        <v>0</v>
      </c>
      <c r="AK148" s="2351">
        <f t="shared" si="30"/>
        <v>38</v>
      </c>
      <c r="AL148" s="2347">
        <v>1</v>
      </c>
      <c r="AM148" s="2352"/>
      <c r="AN148" s="1764">
        <v>47</v>
      </c>
      <c r="AO148" s="43"/>
      <c r="AP148" s="1354">
        <v>0.13900000000000001</v>
      </c>
      <c r="AQ148" s="53"/>
      <c r="AR148" s="2352"/>
      <c r="AS148" s="2358">
        <v>1</v>
      </c>
      <c r="AT148" s="2346"/>
      <c r="AU148" s="2347" t="b">
        <v>1</v>
      </c>
      <c r="AV148" s="2347" t="b">
        <v>1</v>
      </c>
      <c r="AW148" s="2333"/>
      <c r="AX148" s="2333"/>
      <c r="AY148" s="2333"/>
    </row>
    <row r="149" spans="1:95">
      <c r="A149" s="90" t="str">
        <f t="shared" si="40"/>
        <v>Altdorf</v>
      </c>
      <c r="B149" s="90" t="str">
        <f t="shared" si="40"/>
        <v/>
      </c>
      <c r="C149" s="90" t="str">
        <f t="shared" si="40"/>
        <v/>
      </c>
      <c r="D149" s="90" t="str">
        <f t="shared" si="40"/>
        <v/>
      </c>
      <c r="E149" s="90" t="str">
        <f t="shared" si="40"/>
        <v/>
      </c>
      <c r="F149" s="90" t="str">
        <f t="shared" si="40"/>
        <v/>
      </c>
      <c r="G149" s="120"/>
      <c r="H149" s="2333">
        <v>8</v>
      </c>
      <c r="I149" s="43" t="s">
        <v>227</v>
      </c>
      <c r="J149" s="42" t="s">
        <v>781</v>
      </c>
      <c r="K149" s="45">
        <v>33</v>
      </c>
      <c r="L149" s="45">
        <v>8</v>
      </c>
      <c r="M149" s="45">
        <v>8</v>
      </c>
      <c r="N149" s="45">
        <f>IF(EBF_Zweckneubau&lt;1000.1,$K149,IF(Entrées!F$24*2&gt;0,Entrées!F$24*2,$K149))+$L149+$M149</f>
        <v>49</v>
      </c>
      <c r="O149" s="45">
        <f>IF(EBF_Zweckneubau&lt;1000.1,$K149,IF(Entrées!G$24*2&gt;0,Entrées!G$24*2,$K149))+$L149+$M149</f>
        <v>49</v>
      </c>
      <c r="P149" s="45">
        <f>IF(EBF_Zweckneubau&lt;1000.1,$K149,IF(Entrées!H$24*2&gt;0,Entrées!H$24*2,$K149))+$L149+$M149</f>
        <v>49</v>
      </c>
      <c r="Q149" s="45">
        <f>IF(EBF_Zweckneubau&lt;1000.1,$K149,IF(Entrées!I$24*2&gt;0,Entrées!I$24*2,$K149))+$L149+$M149</f>
        <v>49</v>
      </c>
      <c r="R149" s="745">
        <f>2*Entrées!$F$52*Entrées!$E$53/1000*(Entrées!$I$53+0.4*(1-Entrées!$I$53))</f>
        <v>0</v>
      </c>
      <c r="T149" s="43" t="str">
        <f t="shared" si="29"/>
        <v>Aération air repris avec PAC (sans air fourni)</v>
      </c>
      <c r="U149" s="45">
        <v>42</v>
      </c>
      <c r="V149" s="53" t="str">
        <f>Uebersetzung!D242</f>
        <v>PAC compacte sans récup. de chaleur, eau chaude</v>
      </c>
      <c r="W149" s="120" t="str">
        <f>Uebersetzung!D197</f>
        <v>PAC compacte avec air fourni/repris sans récup. de chaleur (qu'eau chaude)</v>
      </c>
      <c r="X149" s="228">
        <v>2.5</v>
      </c>
      <c r="Y149" s="228">
        <f t="shared" si="39"/>
        <v>3.7</v>
      </c>
      <c r="Z149" s="228">
        <v>2</v>
      </c>
      <c r="AA149" s="235">
        <v>1</v>
      </c>
      <c r="AB149" s="45"/>
      <c r="AC149" s="156">
        <v>39</v>
      </c>
      <c r="AD149" s="428"/>
      <c r="AE149" s="428"/>
      <c r="AF149" s="2350" t="b">
        <v>0</v>
      </c>
      <c r="AG149" s="2350" t="b">
        <v>0</v>
      </c>
      <c r="AH149" s="2350" t="b">
        <v>0</v>
      </c>
      <c r="AI149" s="2350" t="b">
        <v>0</v>
      </c>
      <c r="AJ149" s="2350" t="b">
        <v>0</v>
      </c>
      <c r="AK149" s="2351">
        <f t="shared" si="30"/>
        <v>39</v>
      </c>
      <c r="AL149" s="2347">
        <v>1</v>
      </c>
      <c r="AM149" s="2352"/>
      <c r="AN149" s="1764">
        <v>48</v>
      </c>
      <c r="AO149" s="43"/>
      <c r="AP149" s="1354">
        <v>0.13900000000000001</v>
      </c>
      <c r="AQ149" s="53"/>
      <c r="AR149" s="2352"/>
      <c r="AS149" s="2358">
        <v>1</v>
      </c>
      <c r="AT149" s="2346"/>
      <c r="AU149" s="2347" t="b">
        <v>1</v>
      </c>
      <c r="AV149" s="2347" t="b">
        <v>1</v>
      </c>
      <c r="AW149" s="2333"/>
      <c r="AX149" s="2333"/>
      <c r="AY149" s="2333"/>
    </row>
    <row r="150" spans="1:95">
      <c r="A150" s="90" t="str">
        <f t="shared" si="40"/>
        <v>Payerne</v>
      </c>
      <c r="B150" s="90" t="str">
        <f t="shared" si="40"/>
        <v>La Chaux-de-Fonds</v>
      </c>
      <c r="C150" s="90" t="str">
        <f t="shared" si="40"/>
        <v>Adelboden</v>
      </c>
      <c r="D150" s="90" t="str">
        <f t="shared" si="40"/>
        <v/>
      </c>
      <c r="E150" s="90" t="str">
        <f t="shared" si="40"/>
        <v/>
      </c>
      <c r="F150" s="90" t="str">
        <f t="shared" si="40"/>
        <v/>
      </c>
      <c r="G150" s="120"/>
      <c r="H150" s="2333">
        <v>9</v>
      </c>
      <c r="I150" s="43" t="s">
        <v>228</v>
      </c>
      <c r="J150" s="42" t="s">
        <v>238</v>
      </c>
      <c r="K150" s="45">
        <v>27</v>
      </c>
      <c r="L150" s="45">
        <v>17</v>
      </c>
      <c r="M150" s="45">
        <v>16</v>
      </c>
      <c r="N150" s="45">
        <f>IF(EBF_Zweckneubau&lt;1000.1,$K150,IF(Entrées!F$24*2&gt;0,Entrées!F$24*2,$K150))+$L150+$M150</f>
        <v>60</v>
      </c>
      <c r="O150" s="45">
        <f>IF(EBF_Zweckneubau&lt;1000.1,$K150,IF(Entrées!G$24*2&gt;0,Entrées!G$24*2,$K150))+$L150+$M150</f>
        <v>60</v>
      </c>
      <c r="P150" s="45">
        <f>IF(EBF_Zweckneubau&lt;1000.1,$K150,IF(Entrées!H$24*2&gt;0,Entrées!H$24*2,$K150))+$L150+$M150</f>
        <v>60</v>
      </c>
      <c r="Q150" s="45">
        <f>IF(EBF_Zweckneubau&lt;1000.1,$K150,IF(Entrées!I$24*2&gt;0,Entrées!I$24*2,$K150))+$L150+$M150</f>
        <v>60</v>
      </c>
      <c r="R150" s="745">
        <f>2*Entrées!$F$52*Entrées!$E$53/1000*(Entrées!$I$53+0.4*(1-Entrées!$I$53))</f>
        <v>0</v>
      </c>
      <c r="T150" s="43" t="str">
        <f t="shared" si="29"/>
        <v>PAC compacte avec air fourni/repris avec récup. de chaleur</v>
      </c>
      <c r="U150" s="45">
        <v>43</v>
      </c>
      <c r="V150" s="2346" t="str">
        <f>Uebersetzung!D243</f>
        <v>Biomasse, connectée</v>
      </c>
      <c r="W150" s="2347" t="str">
        <f>Uebersetzung!D198</f>
        <v>Biomasse, connectée au réseau hydraulique</v>
      </c>
      <c r="X150" s="2348">
        <v>0.75</v>
      </c>
      <c r="Y150" s="2348">
        <v>0.85</v>
      </c>
      <c r="Z150" s="2349">
        <v>0.5</v>
      </c>
      <c r="AA150" s="2350">
        <v>1</v>
      </c>
      <c r="AB150" s="2350">
        <v>1</v>
      </c>
      <c r="AC150" s="156">
        <v>40</v>
      </c>
      <c r="AD150" s="428"/>
      <c r="AE150" s="428"/>
      <c r="AF150" s="2350" t="b">
        <v>0</v>
      </c>
      <c r="AG150" s="2350" t="b">
        <v>0</v>
      </c>
      <c r="AH150" s="2350" t="b">
        <v>1</v>
      </c>
      <c r="AI150" s="2350" t="b">
        <v>0</v>
      </c>
      <c r="AJ150" s="2350" t="b">
        <v>0</v>
      </c>
      <c r="AK150" s="2351">
        <f t="shared" si="30"/>
        <v>40</v>
      </c>
      <c r="AL150" s="2347">
        <v>1</v>
      </c>
      <c r="AM150" s="2352"/>
      <c r="AN150" s="1764">
        <v>53</v>
      </c>
      <c r="AO150" s="43"/>
      <c r="AP150" s="1354">
        <v>0.02</v>
      </c>
      <c r="AQ150" s="53"/>
      <c r="AR150" s="2352"/>
      <c r="AS150" s="2358">
        <v>1</v>
      </c>
      <c r="AT150" s="2346"/>
      <c r="AU150" s="2347" t="b">
        <v>0</v>
      </c>
      <c r="AV150" s="2347" t="b">
        <v>1</v>
      </c>
      <c r="AW150" s="2333"/>
      <c r="AX150" s="2333"/>
      <c r="AY150" s="2333"/>
    </row>
    <row r="151" spans="1:95">
      <c r="A151" s="90" t="str">
        <f t="shared" si="40"/>
        <v>Sion</v>
      </c>
      <c r="B151" s="90" t="str">
        <f t="shared" si="40"/>
        <v>Zermatt</v>
      </c>
      <c r="C151" s="90" t="str">
        <f t="shared" si="40"/>
        <v>Montana</v>
      </c>
      <c r="D151" s="90" t="str">
        <f t="shared" si="40"/>
        <v>Gr. St. Bernhard</v>
      </c>
      <c r="E151" s="90" t="str">
        <f t="shared" si="40"/>
        <v/>
      </c>
      <c r="F151" s="90" t="str">
        <f t="shared" si="40"/>
        <v/>
      </c>
      <c r="G151" s="120"/>
      <c r="H151" s="737">
        <v>10</v>
      </c>
      <c r="I151" s="43" t="s">
        <v>229</v>
      </c>
      <c r="J151" s="42" t="s">
        <v>491</v>
      </c>
      <c r="K151" s="45">
        <v>27</v>
      </c>
      <c r="L151" s="45">
        <v>14</v>
      </c>
      <c r="M151" s="45">
        <v>13</v>
      </c>
      <c r="N151" s="45">
        <f>IF(EBF_Zweckneubau&lt;1000.1,$K151,IF(Entrées!F$24*2&gt;0,Entrées!F$24*2,$K151))+$L151+$M151</f>
        <v>54</v>
      </c>
      <c r="O151" s="45">
        <f>IF(EBF_Zweckneubau&lt;1000.1,$K151,IF(Entrées!G$24*2&gt;0,Entrées!G$24*2,$K151))+$L151+$M151</f>
        <v>54</v>
      </c>
      <c r="P151" s="45">
        <f>IF(EBF_Zweckneubau&lt;1000.1,$K151,IF(Entrées!H$24*2&gt;0,Entrées!H$24*2,$K151))+$L151+$M151</f>
        <v>54</v>
      </c>
      <c r="Q151" s="45">
        <f>IF(EBF_Zweckneubau&lt;1000.1,$K151,IF(Entrées!I$24*2&gt;0,Entrées!I$24*2,$K151))+$L151+$M151</f>
        <v>54</v>
      </c>
      <c r="R151" s="745">
        <f>2*Entrées!$F$52*Entrées!$E$53/1000*(Entrées!$I$53+0.4*(1-Entrées!$I$53))</f>
        <v>0</v>
      </c>
      <c r="T151" s="43" t="str">
        <f t="shared" si="29"/>
        <v>PAC compacte avec air fourni/repris sans récup. de chaleur (que chauffage)</v>
      </c>
      <c r="U151" s="45">
        <v>44</v>
      </c>
      <c r="V151" s="2346" t="str">
        <f>Uebersetzung!D244</f>
        <v>Chaleur à distance (&lt;=25% renouvelable)</v>
      </c>
      <c r="W151" s="2347" t="str">
        <f>Uebersetzung!D199</f>
        <v>Chaleur à distance (max. 25% énergies ren., rejets, CCF)</v>
      </c>
      <c r="X151" s="2348">
        <v>1</v>
      </c>
      <c r="Y151" s="2348">
        <v>1</v>
      </c>
      <c r="Z151" s="2348">
        <v>1</v>
      </c>
      <c r="AA151" s="2350">
        <v>1</v>
      </c>
      <c r="AB151" s="2350">
        <v>1</v>
      </c>
      <c r="AC151" s="156">
        <v>41</v>
      </c>
      <c r="AD151" s="969"/>
      <c r="AE151" s="969"/>
      <c r="AF151" s="2350" t="b">
        <v>0</v>
      </c>
      <c r="AG151" s="2350" t="b">
        <v>0</v>
      </c>
      <c r="AH151" s="2350" t="b">
        <v>0</v>
      </c>
      <c r="AI151" s="2350" t="b">
        <v>0</v>
      </c>
      <c r="AJ151" s="2350" t="b">
        <v>0</v>
      </c>
      <c r="AK151" s="2351">
        <f t="shared" si="30"/>
        <v>41</v>
      </c>
      <c r="AL151" s="2347">
        <v>2</v>
      </c>
      <c r="AM151" s="2352"/>
      <c r="AN151" s="1764">
        <v>55</v>
      </c>
      <c r="AO151" s="43"/>
      <c r="AP151" s="1354">
        <v>0.36</v>
      </c>
      <c r="AQ151" s="53"/>
      <c r="AR151" s="2352"/>
      <c r="AS151" s="2358">
        <v>0.1</v>
      </c>
      <c r="AT151" s="2346"/>
      <c r="AU151" s="2347" t="b">
        <v>0</v>
      </c>
      <c r="AV151" s="2347" t="b">
        <v>1</v>
      </c>
      <c r="AW151" s="2333"/>
      <c r="AX151" s="2333"/>
      <c r="AY151" s="2333"/>
    </row>
    <row r="152" spans="1:95">
      <c r="A152" s="90" t="str">
        <f t="shared" si="40"/>
        <v>Luzern</v>
      </c>
      <c r="B152" s="90" t="str">
        <f t="shared" si="40"/>
        <v/>
      </c>
      <c r="C152" s="90" t="str">
        <f t="shared" si="40"/>
        <v/>
      </c>
      <c r="D152" s="90" t="str">
        <f t="shared" si="40"/>
        <v/>
      </c>
      <c r="E152" s="90" t="str">
        <f t="shared" si="40"/>
        <v/>
      </c>
      <c r="F152" s="90" t="str">
        <f t="shared" si="40"/>
        <v/>
      </c>
      <c r="G152" s="120"/>
      <c r="H152" s="743">
        <v>11</v>
      </c>
      <c r="I152" s="43" t="s">
        <v>230</v>
      </c>
      <c r="J152" s="42" t="s">
        <v>239</v>
      </c>
      <c r="K152" s="45">
        <v>37</v>
      </c>
      <c r="L152" s="45">
        <v>8</v>
      </c>
      <c r="M152" s="45">
        <v>3</v>
      </c>
      <c r="N152" s="45">
        <f>IF(EBF_Zweckneubau&lt;1000.1,$K152,IF(Entrées!F$24*2&gt;0,Entrées!F$24*2,$K152))+$L152+$M152</f>
        <v>48</v>
      </c>
      <c r="O152" s="45">
        <f>IF(EBF_Zweckneubau&lt;1000.1,$K152,IF(Entrées!G$24*2&gt;0,Entrées!G$24*2,$K152))+$L152+$M152</f>
        <v>48</v>
      </c>
      <c r="P152" s="45">
        <f>IF(EBF_Zweckneubau&lt;1000.1,$K152,IF(Entrées!H$24*2&gt;0,Entrées!H$24*2,$K152))+$L152+$M152</f>
        <v>48</v>
      </c>
      <c r="Q152" s="45">
        <f>IF(EBF_Zweckneubau&lt;1000.1,$K152,IF(Entrées!I$24*2&gt;0,Entrées!I$24*2,$K152))+$L152+$M152</f>
        <v>48</v>
      </c>
      <c r="R152" s="745">
        <f>2*Entrées!$F$52*Entrées!$E$53/1000*(Entrées!$I$53+0.4*(1-Entrées!$I$53))</f>
        <v>0</v>
      </c>
      <c r="T152" s="43" t="str">
        <f t="shared" si="29"/>
        <v>PAC compacte avec air fourni/repris sans récup. de chaleur (qu'eau chaude)</v>
      </c>
      <c r="U152" s="45">
        <v>45</v>
      </c>
      <c r="V152" s="2346" t="str">
        <f>Uebersetzung!D245</f>
        <v>Chaleur à distance (&gt;25% renouvelable)</v>
      </c>
      <c r="W152" s="2347" t="str">
        <f>Uebersetzung!D200</f>
        <v>Chaleur à distance (min. 25% énergies ren., rejets, CCF)</v>
      </c>
      <c r="X152" s="2348">
        <v>1</v>
      </c>
      <c r="Y152" s="2348">
        <v>1</v>
      </c>
      <c r="Z152" s="2348">
        <v>0.8</v>
      </c>
      <c r="AA152" s="2350">
        <v>1</v>
      </c>
      <c r="AB152" s="2350">
        <v>1</v>
      </c>
      <c r="AC152" s="156">
        <v>42</v>
      </c>
      <c r="AD152" s="969"/>
      <c r="AE152" s="969"/>
      <c r="AF152" s="2350" t="b">
        <v>0</v>
      </c>
      <c r="AG152" s="2350" t="b">
        <v>0</v>
      </c>
      <c r="AH152" s="2350" t="b">
        <v>0</v>
      </c>
      <c r="AI152" s="2350" t="b">
        <v>0</v>
      </c>
      <c r="AJ152" s="2350" t="b">
        <v>0</v>
      </c>
      <c r="AK152" s="2351">
        <f t="shared" si="30"/>
        <v>42</v>
      </c>
      <c r="AL152" s="2347">
        <v>2</v>
      </c>
      <c r="AM152" s="2352"/>
      <c r="AN152" s="1764">
        <v>56</v>
      </c>
      <c r="AO152" s="43"/>
      <c r="AP152" s="1354">
        <v>0.16200000000000001</v>
      </c>
      <c r="AQ152" s="53"/>
      <c r="AR152" s="2352"/>
      <c r="AS152" s="2358">
        <v>0.4</v>
      </c>
      <c r="AT152" s="2346"/>
      <c r="AU152" s="2347" t="b">
        <v>0</v>
      </c>
      <c r="AV152" s="2347" t="b">
        <v>1</v>
      </c>
      <c r="AW152" s="2333"/>
      <c r="AX152" s="2333"/>
      <c r="AY152" s="2333"/>
    </row>
    <row r="153" spans="1:95">
      <c r="A153" s="90" t="str">
        <f t="shared" si="40"/>
        <v>Zürich SMA</v>
      </c>
      <c r="B153" s="90" t="str">
        <f t="shared" si="40"/>
        <v/>
      </c>
      <c r="C153" s="90" t="str">
        <f t="shared" si="40"/>
        <v/>
      </c>
      <c r="D153" s="90" t="str">
        <f t="shared" si="40"/>
        <v/>
      </c>
      <c r="E153" s="90" t="str">
        <f t="shared" si="40"/>
        <v/>
      </c>
      <c r="F153" s="90" t="str">
        <f t="shared" si="40"/>
        <v/>
      </c>
      <c r="G153" s="120"/>
      <c r="H153" s="2333">
        <v>12</v>
      </c>
      <c r="I153" s="43" t="s">
        <v>231</v>
      </c>
      <c r="J153" s="42" t="s">
        <v>6</v>
      </c>
      <c r="K153" s="45">
        <v>28</v>
      </c>
      <c r="L153" s="45">
        <v>4</v>
      </c>
      <c r="M153" s="45">
        <v>6</v>
      </c>
      <c r="N153" s="45">
        <f>IF(EBF_Zweckneubau&lt;1000.1,$K153,IF(Entrées!F$24*2&gt;0,Entrées!F$24*2,$K153))+$L153+$M153</f>
        <v>38</v>
      </c>
      <c r="O153" s="45">
        <f>IF(EBF_Zweckneubau&lt;1000.1,$K153,IF(Entrées!G$24*2&gt;0,Entrées!G$24*2,$K153))+$L153+$M153</f>
        <v>38</v>
      </c>
      <c r="P153" s="45">
        <f>IF(EBF_Zweckneubau&lt;1000.1,$K153,IF(Entrées!H$24*2&gt;0,Entrées!H$24*2,$K153))+$L153+$M153</f>
        <v>38</v>
      </c>
      <c r="Q153" s="45">
        <f>IF(EBF_Zweckneubau&lt;1000.1,$K153,IF(Entrées!I$24*2&gt;0,Entrées!I$24*2,$K153))+$L153+$M153</f>
        <v>38</v>
      </c>
      <c r="R153" s="745">
        <f>2*Entrées!$F$52*Entrées!$E$53/1000*(Entrées!$I$53+0.4*(1-Entrées!$I$53))</f>
        <v>0</v>
      </c>
      <c r="T153" s="43" t="str">
        <f t="shared" si="29"/>
        <v>Biomasse, connectée au réseau hydraulique</v>
      </c>
      <c r="U153" s="45">
        <v>46</v>
      </c>
      <c r="V153" s="2347" t="str">
        <f>Uebersetzung!D246</f>
        <v>Chaleur à distance (&gt;75% renouvelable)</v>
      </c>
      <c r="W153" s="2347" t="str">
        <f>Uebersetzung!D201</f>
        <v>Chaleur à distance (min. 75% énergies ren., rejets, CCF)</v>
      </c>
      <c r="X153" s="2348">
        <v>1</v>
      </c>
      <c r="Y153" s="2348">
        <v>1</v>
      </c>
      <c r="Z153" s="2348">
        <v>0.4</v>
      </c>
      <c r="AA153" s="1764">
        <v>1</v>
      </c>
      <c r="AB153" s="2350">
        <v>1</v>
      </c>
      <c r="AC153" s="156">
        <v>43</v>
      </c>
      <c r="AD153" s="969"/>
      <c r="AE153" s="969"/>
      <c r="AF153" s="2350" t="b">
        <v>0</v>
      </c>
      <c r="AG153" s="2350" t="b">
        <v>0</v>
      </c>
      <c r="AH153" s="2350" t="b">
        <v>0</v>
      </c>
      <c r="AI153" s="2350" t="b">
        <v>0</v>
      </c>
      <c r="AJ153" s="2350" t="b">
        <v>0</v>
      </c>
      <c r="AK153" s="2351">
        <f t="shared" si="30"/>
        <v>43</v>
      </c>
      <c r="AL153" s="2347">
        <v>2</v>
      </c>
      <c r="AM153" s="2352"/>
      <c r="AN153" s="1764">
        <v>57</v>
      </c>
      <c r="AO153" s="43"/>
      <c r="AP153" s="1354">
        <v>4.7E-2</v>
      </c>
      <c r="AQ153" s="53"/>
      <c r="AR153" s="2352"/>
      <c r="AS153" s="2358">
        <v>0.9</v>
      </c>
      <c r="AT153" s="2346"/>
      <c r="AU153" s="2347" t="b">
        <v>0</v>
      </c>
      <c r="AV153" s="2347" t="b">
        <v>1</v>
      </c>
      <c r="AW153" s="2333"/>
      <c r="AX153" s="2333"/>
      <c r="AY153" s="2333"/>
    </row>
    <row r="154" spans="1:95">
      <c r="A154" s="90" t="str">
        <f t="shared" si="40"/>
        <v>Vaduz</v>
      </c>
      <c r="B154" s="90" t="str">
        <f t="shared" si="40"/>
        <v>Engelberg</v>
      </c>
      <c r="C154" s="90" t="str">
        <f t="shared" si="40"/>
        <v/>
      </c>
      <c r="D154" s="90" t="str">
        <f t="shared" si="40"/>
        <v/>
      </c>
      <c r="E154" s="90" t="str">
        <f t="shared" si="40"/>
        <v/>
      </c>
      <c r="F154" s="90" t="str">
        <f t="shared" si="40"/>
        <v/>
      </c>
      <c r="G154" s="120"/>
      <c r="H154" s="2333">
        <v>13</v>
      </c>
      <c r="I154" s="94" t="s">
        <v>720</v>
      </c>
      <c r="J154" s="60" t="s">
        <v>8</v>
      </c>
      <c r="K154" s="49">
        <v>0</v>
      </c>
      <c r="L154" s="49">
        <v>0</v>
      </c>
      <c r="M154" s="49">
        <v>0</v>
      </c>
      <c r="N154" s="49">
        <v>0</v>
      </c>
      <c r="O154" s="49">
        <v>0</v>
      </c>
      <c r="P154" s="49">
        <v>0</v>
      </c>
      <c r="Q154" s="49">
        <v>0</v>
      </c>
      <c r="R154" s="364">
        <v>0</v>
      </c>
      <c r="T154" s="43" t="str">
        <f t="shared" si="29"/>
        <v>Rejets thermiques issus de climatisation</v>
      </c>
      <c r="U154" s="45">
        <v>47</v>
      </c>
      <c r="V154" s="53" t="str">
        <f>Uebersetzung!D523</f>
        <v>Pompe à chaleur à gaz, chauffage</v>
      </c>
      <c r="W154" s="120" t="str">
        <f>Uebersetzung!D525</f>
        <v>Pompe à chaleur à gaz, seul. chauffage</v>
      </c>
      <c r="X154" s="228">
        <v>1.3</v>
      </c>
      <c r="Y154" s="228">
        <v>2</v>
      </c>
      <c r="Z154" s="228">
        <v>1</v>
      </c>
      <c r="AA154" s="235"/>
      <c r="AB154" s="45">
        <v>1</v>
      </c>
      <c r="AC154" s="156">
        <v>35</v>
      </c>
      <c r="AD154" s="428"/>
      <c r="AE154" s="428"/>
      <c r="AF154" s="2350" t="b">
        <v>0</v>
      </c>
      <c r="AG154" s="2350" t="b">
        <v>0</v>
      </c>
      <c r="AH154" s="2350" t="b">
        <v>0</v>
      </c>
      <c r="AI154" s="2350" t="b">
        <v>0</v>
      </c>
      <c r="AJ154" s="2350" t="b">
        <v>0</v>
      </c>
      <c r="AK154" s="2351">
        <f t="shared" si="30"/>
        <v>35</v>
      </c>
      <c r="AL154" s="2347">
        <v>1</v>
      </c>
      <c r="AM154" s="2352"/>
      <c r="AN154" s="1764">
        <v>59</v>
      </c>
      <c r="AO154" s="43"/>
      <c r="AP154" s="1354">
        <v>0.249</v>
      </c>
      <c r="AQ154" s="53"/>
      <c r="AR154" s="2352"/>
      <c r="AS154" s="2358">
        <v>0</v>
      </c>
      <c r="AT154" s="2346"/>
      <c r="AU154" s="2347" t="b">
        <v>0</v>
      </c>
      <c r="AV154" s="2347" t="b">
        <v>0</v>
      </c>
      <c r="AW154" s="2333"/>
      <c r="AX154" s="2333"/>
      <c r="AY154" s="2333"/>
    </row>
    <row r="155" spans="1:95">
      <c r="A155" s="120"/>
      <c r="B155" s="120"/>
      <c r="C155" s="120"/>
      <c r="D155" s="120"/>
      <c r="E155" s="120"/>
      <c r="F155" s="120"/>
      <c r="G155" s="120"/>
      <c r="Q155" s="156"/>
      <c r="T155" s="43" t="str">
        <f t="shared" si="29"/>
        <v>Rejets thermiques issus de froid industriel</v>
      </c>
      <c r="U155" s="49">
        <v>48</v>
      </c>
      <c r="V155" s="142" t="str">
        <f>Uebersetzung!D524</f>
        <v>Pompe à chaleur à gaz, eau chaude</v>
      </c>
      <c r="W155" s="142" t="str">
        <f>Uebersetzung!D526</f>
        <v>Pompe à chaleur à gaz, seul. eau chaude</v>
      </c>
      <c r="X155" s="229">
        <v>1.3</v>
      </c>
      <c r="Y155" s="229">
        <v>2</v>
      </c>
      <c r="Z155" s="229">
        <v>1</v>
      </c>
      <c r="AA155" s="1638">
        <v>1</v>
      </c>
      <c r="AB155" s="49"/>
      <c r="AC155" s="156">
        <v>36</v>
      </c>
      <c r="AD155" s="1639"/>
      <c r="AE155" s="1639"/>
      <c r="AF155" s="2355" t="b">
        <v>0</v>
      </c>
      <c r="AG155" s="2355" t="b">
        <v>0</v>
      </c>
      <c r="AH155" s="2355" t="b">
        <v>0</v>
      </c>
      <c r="AI155" s="2355" t="b">
        <v>0</v>
      </c>
      <c r="AJ155" s="2355" t="b">
        <v>0</v>
      </c>
      <c r="AK155" s="2356">
        <f t="shared" si="30"/>
        <v>36</v>
      </c>
      <c r="AL155" s="2353">
        <v>1</v>
      </c>
      <c r="AM155" s="2354"/>
      <c r="AN155" s="1766">
        <v>60</v>
      </c>
      <c r="AO155" s="94"/>
      <c r="AP155" s="1355">
        <v>0.249</v>
      </c>
      <c r="AQ155" s="116"/>
      <c r="AR155" s="2354"/>
      <c r="AS155" s="2359">
        <v>0</v>
      </c>
      <c r="AT155" s="2360"/>
      <c r="AU155" s="2353" t="b">
        <v>0</v>
      </c>
      <c r="AV155" s="2353" t="b">
        <v>0</v>
      </c>
      <c r="AW155" s="2333"/>
      <c r="AX155" s="2333"/>
      <c r="AY155" s="2333"/>
      <c r="AZ155" s="503"/>
      <c r="BA155" s="503"/>
      <c r="BB155" s="503"/>
      <c r="BC155" s="504"/>
    </row>
    <row r="156" spans="1:95">
      <c r="A156" s="763" t="s">
        <v>790</v>
      </c>
      <c r="B156" s="758"/>
      <c r="C156" s="759"/>
      <c r="D156" s="759"/>
      <c r="E156" s="759"/>
      <c r="F156" s="759"/>
      <c r="G156" s="760"/>
      <c r="I156" s="763" t="s">
        <v>790</v>
      </c>
      <c r="J156" s="758"/>
      <c r="K156" s="759"/>
      <c r="L156" s="759"/>
      <c r="M156" s="759"/>
      <c r="N156" s="759"/>
      <c r="O156" s="760"/>
      <c r="Q156" s="763" t="s">
        <v>790</v>
      </c>
      <c r="R156" s="758"/>
      <c r="S156" s="759"/>
      <c r="T156" s="1630"/>
      <c r="U156" s="1630"/>
      <c r="V156" s="1630"/>
      <c r="W156" s="1635"/>
      <c r="Y156" s="1636" t="s">
        <v>790</v>
      </c>
      <c r="Z156" s="1637"/>
      <c r="AA156" s="1630"/>
      <c r="AB156" s="1630"/>
      <c r="AC156" s="1630"/>
      <c r="AD156" s="1630"/>
      <c r="AE156" s="1635"/>
      <c r="AG156" s="1636" t="s">
        <v>790</v>
      </c>
      <c r="AH156" s="1637"/>
      <c r="AI156" s="1630"/>
      <c r="AJ156" s="1630"/>
      <c r="AK156" s="1630"/>
      <c r="AL156" s="1630"/>
      <c r="AM156" s="1635"/>
      <c r="AO156" s="1636" t="s">
        <v>790</v>
      </c>
      <c r="AP156" s="1637"/>
      <c r="AQ156" s="1630"/>
      <c r="AR156" s="1630"/>
      <c r="AS156" s="1630"/>
      <c r="AT156" s="1630"/>
      <c r="AU156" s="1635"/>
      <c r="AW156" s="763" t="s">
        <v>790</v>
      </c>
      <c r="AX156" s="758"/>
      <c r="AY156" s="759"/>
      <c r="AZ156" s="759"/>
      <c r="BA156" s="759"/>
      <c r="BB156" s="759"/>
      <c r="BC156" s="760"/>
      <c r="BE156" s="763" t="s">
        <v>790</v>
      </c>
      <c r="BF156" s="758"/>
      <c r="BG156" s="759"/>
      <c r="BH156" s="759"/>
      <c r="BI156" s="759"/>
      <c r="BJ156" s="759"/>
      <c r="BK156" s="760"/>
      <c r="BM156" s="763" t="s">
        <v>790</v>
      </c>
      <c r="BN156" s="758"/>
      <c r="BO156" s="759"/>
      <c r="BP156" s="759"/>
      <c r="BQ156" s="759"/>
      <c r="BR156" s="759"/>
      <c r="BS156" s="760"/>
      <c r="BU156" s="763" t="s">
        <v>790</v>
      </c>
      <c r="BV156" s="758"/>
      <c r="BW156" s="759"/>
      <c r="BX156" s="759"/>
      <c r="BY156" s="759"/>
      <c r="BZ156" s="759"/>
      <c r="CA156" s="760"/>
      <c r="CC156" s="763" t="s">
        <v>790</v>
      </c>
      <c r="CD156" s="758"/>
      <c r="CE156" s="759"/>
      <c r="CF156" s="759"/>
      <c r="CG156" s="759"/>
      <c r="CH156" s="759"/>
      <c r="CI156" s="760"/>
      <c r="CK156" s="763" t="s">
        <v>790</v>
      </c>
      <c r="CL156" s="758"/>
      <c r="CM156" s="759"/>
      <c r="CN156" s="759"/>
      <c r="CO156" s="759"/>
      <c r="CP156" s="759"/>
      <c r="CQ156" s="760"/>
    </row>
    <row r="157" spans="1:95">
      <c r="A157" s="764" t="s">
        <v>332</v>
      </c>
      <c r="B157" s="756" t="s">
        <v>789</v>
      </c>
      <c r="C157" s="757"/>
      <c r="D157" s="757"/>
      <c r="E157" s="757"/>
      <c r="F157" s="757"/>
      <c r="G157" s="765">
        <f>INDEX(A158:G158,1,Klima)</f>
        <v>0</v>
      </c>
      <c r="I157" s="764" t="s">
        <v>333</v>
      </c>
      <c r="J157" s="756" t="s">
        <v>789</v>
      </c>
      <c r="K157" s="757"/>
      <c r="L157" s="757"/>
      <c r="M157" s="757"/>
      <c r="N157" s="757"/>
      <c r="O157" s="765">
        <f>INDEX(I158:O158,1,Klima)</f>
        <v>0</v>
      </c>
      <c r="Q157" s="764" t="s">
        <v>1</v>
      </c>
      <c r="R157" s="756" t="s">
        <v>789</v>
      </c>
      <c r="S157" s="757"/>
      <c r="T157" s="757"/>
      <c r="U157" s="757"/>
      <c r="V157" s="757"/>
      <c r="W157" s="765">
        <f>INDEX(Q158:W158,1,Klima)</f>
        <v>0</v>
      </c>
      <c r="Y157" s="764" t="s">
        <v>2</v>
      </c>
      <c r="Z157" s="756" t="s">
        <v>789</v>
      </c>
      <c r="AA157" s="757"/>
      <c r="AB157" s="757"/>
      <c r="AC157" s="757"/>
      <c r="AD157" s="757"/>
      <c r="AE157" s="765">
        <f>INDEX(Y158:AE158,1,Klima)</f>
        <v>0</v>
      </c>
      <c r="AG157" s="764" t="s">
        <v>237</v>
      </c>
      <c r="AH157" s="756" t="s">
        <v>789</v>
      </c>
      <c r="AI157" s="757"/>
      <c r="AJ157" s="757"/>
      <c r="AK157" s="757"/>
      <c r="AL157" s="757"/>
      <c r="AM157" s="765">
        <f>INDEX(AG158:AM158,1,Klima)</f>
        <v>0</v>
      </c>
      <c r="AO157" s="764" t="s">
        <v>791</v>
      </c>
      <c r="AP157" s="756" t="s">
        <v>789</v>
      </c>
      <c r="AQ157" s="757"/>
      <c r="AR157" s="757"/>
      <c r="AS157" s="757"/>
      <c r="AT157" s="757"/>
      <c r="AU157" s="765">
        <f>INDEX(AO158:AU158,1,Klima)</f>
        <v>0</v>
      </c>
      <c r="AW157" s="764" t="s">
        <v>792</v>
      </c>
      <c r="AX157" s="756" t="s">
        <v>789</v>
      </c>
      <c r="AY157" s="757"/>
      <c r="AZ157" s="757"/>
      <c r="BA157" s="757"/>
      <c r="BB157" s="757"/>
      <c r="BC157" s="765">
        <f>INDEX(AW158:BC158,1,Klima)</f>
        <v>0</v>
      </c>
      <c r="BE157" s="764" t="s">
        <v>793</v>
      </c>
      <c r="BF157" s="756" t="s">
        <v>789</v>
      </c>
      <c r="BG157" s="757"/>
      <c r="BH157" s="757"/>
      <c r="BI157" s="757"/>
      <c r="BJ157" s="757"/>
      <c r="BK157" s="765">
        <f>INDEX(BE158:BK158,1,Klima)</f>
        <v>0</v>
      </c>
      <c r="BM157" s="764" t="s">
        <v>491</v>
      </c>
      <c r="BN157" s="756" t="s">
        <v>789</v>
      </c>
      <c r="BO157" s="757"/>
      <c r="BP157" s="757"/>
      <c r="BQ157" s="757"/>
      <c r="BR157" s="757"/>
      <c r="BS157" s="765">
        <f>INDEX(BM158:BS158,1,Klima)</f>
        <v>0</v>
      </c>
      <c r="BU157" s="764" t="s">
        <v>239</v>
      </c>
      <c r="BV157" s="756" t="s">
        <v>789</v>
      </c>
      <c r="BW157" s="757"/>
      <c r="BX157" s="757"/>
      <c r="BY157" s="757"/>
      <c r="BZ157" s="757"/>
      <c r="CA157" s="765">
        <f>INDEX(BU158:CA158,1,Klima)</f>
        <v>0</v>
      </c>
      <c r="CC157" s="764" t="s">
        <v>794</v>
      </c>
      <c r="CD157" s="756" t="s">
        <v>789</v>
      </c>
      <c r="CE157" s="757"/>
      <c r="CF157" s="757"/>
      <c r="CG157" s="757"/>
      <c r="CH157" s="757"/>
      <c r="CI157" s="765">
        <f>INDEX(CC158:CI158,1,Klima)</f>
        <v>0</v>
      </c>
      <c r="CK157" s="764" t="s">
        <v>795</v>
      </c>
      <c r="CL157" s="756" t="s">
        <v>789</v>
      </c>
      <c r="CM157" s="757"/>
      <c r="CN157" s="757"/>
      <c r="CO157" s="757"/>
      <c r="CP157" s="757"/>
      <c r="CQ157" s="765">
        <f>INDEX(CK158:CQ158,1,Klima)</f>
        <v>0</v>
      </c>
    </row>
    <row r="158" spans="1:95">
      <c r="A158" s="761">
        <v>0</v>
      </c>
      <c r="B158" s="762">
        <f t="shared" ref="B158:G158" si="41">IF(Kanton&gt;1,INDEX(B159:B187,Kanton,1),0)</f>
        <v>0</v>
      </c>
      <c r="C158" s="762">
        <f t="shared" si="41"/>
        <v>0</v>
      </c>
      <c r="D158" s="762">
        <f t="shared" si="41"/>
        <v>0</v>
      </c>
      <c r="E158" s="762">
        <f t="shared" si="41"/>
        <v>0</v>
      </c>
      <c r="F158" s="762">
        <f t="shared" si="41"/>
        <v>0</v>
      </c>
      <c r="G158" s="766">
        <f t="shared" si="41"/>
        <v>0</v>
      </c>
      <c r="I158" s="754">
        <v>0</v>
      </c>
      <c r="J158" s="755">
        <f t="shared" ref="J158:O158" si="42">IF(Kanton&gt;1,INDEX(J159:J187,Kanton,1),0)</f>
        <v>0</v>
      </c>
      <c r="K158" s="755">
        <f t="shared" si="42"/>
        <v>0</v>
      </c>
      <c r="L158" s="755">
        <f t="shared" si="42"/>
        <v>0</v>
      </c>
      <c r="M158" s="755">
        <f t="shared" si="42"/>
        <v>0</v>
      </c>
      <c r="N158" s="755">
        <f t="shared" si="42"/>
        <v>0</v>
      </c>
      <c r="O158" s="755">
        <f t="shared" si="42"/>
        <v>0</v>
      </c>
      <c r="Q158" s="754">
        <v>0</v>
      </c>
      <c r="R158" s="755">
        <f t="shared" ref="R158:W158" si="43">IF(Kanton&gt;1,INDEX(R159:R187,Kanton,1),0)</f>
        <v>0</v>
      </c>
      <c r="S158" s="755">
        <f t="shared" si="43"/>
        <v>0</v>
      </c>
      <c r="T158" s="755">
        <f t="shared" si="43"/>
        <v>0</v>
      </c>
      <c r="U158" s="755">
        <f t="shared" si="43"/>
        <v>0</v>
      </c>
      <c r="V158" s="755">
        <f t="shared" si="43"/>
        <v>0</v>
      </c>
      <c r="W158" s="755">
        <f t="shared" si="43"/>
        <v>0</v>
      </c>
      <c r="Y158" s="754">
        <v>0</v>
      </c>
      <c r="Z158" s="755">
        <f t="shared" ref="Z158:AE158" si="44">IF(Kanton&gt;1,INDEX(Z159:Z187,Kanton,1),0)</f>
        <v>0</v>
      </c>
      <c r="AA158" s="755">
        <f t="shared" si="44"/>
        <v>0</v>
      </c>
      <c r="AB158" s="755">
        <f t="shared" si="44"/>
        <v>0</v>
      </c>
      <c r="AC158" s="755">
        <f t="shared" si="44"/>
        <v>0</v>
      </c>
      <c r="AD158" s="755">
        <f t="shared" si="44"/>
        <v>0</v>
      </c>
      <c r="AE158" s="755">
        <f t="shared" si="44"/>
        <v>0</v>
      </c>
      <c r="AG158" s="754">
        <v>0</v>
      </c>
      <c r="AH158" s="755">
        <f t="shared" ref="AH158:AM158" si="45">IF(Kanton&gt;1,INDEX(AH159:AH187,Kanton,1),0)</f>
        <v>0</v>
      </c>
      <c r="AI158" s="755">
        <f t="shared" si="45"/>
        <v>0</v>
      </c>
      <c r="AJ158" s="755">
        <f t="shared" si="45"/>
        <v>0</v>
      </c>
      <c r="AK158" s="755">
        <f t="shared" si="45"/>
        <v>0</v>
      </c>
      <c r="AL158" s="755">
        <f t="shared" si="45"/>
        <v>0</v>
      </c>
      <c r="AM158" s="755">
        <f t="shared" si="45"/>
        <v>0</v>
      </c>
      <c r="AO158" s="754">
        <v>0</v>
      </c>
      <c r="AP158" s="755">
        <f t="shared" ref="AP158:AU158" si="46">IF(Kanton&gt;1,INDEX(AP159:AP187,Kanton,1),0)</f>
        <v>0</v>
      </c>
      <c r="AQ158" s="755">
        <f t="shared" si="46"/>
        <v>0</v>
      </c>
      <c r="AR158" s="755">
        <f t="shared" si="46"/>
        <v>0</v>
      </c>
      <c r="AS158" s="755">
        <f t="shared" si="46"/>
        <v>0</v>
      </c>
      <c r="AT158" s="755">
        <f t="shared" si="46"/>
        <v>0</v>
      </c>
      <c r="AU158" s="755">
        <f t="shared" si="46"/>
        <v>0</v>
      </c>
      <c r="AW158" s="754">
        <v>0</v>
      </c>
      <c r="AX158" s="755">
        <f t="shared" ref="AX158:BC158" si="47">IF(Kanton&gt;1,INDEX(AX159:AX187,Kanton,1),0)</f>
        <v>0</v>
      </c>
      <c r="AY158" s="755">
        <f t="shared" si="47"/>
        <v>0</v>
      </c>
      <c r="AZ158" s="755">
        <f t="shared" si="47"/>
        <v>0</v>
      </c>
      <c r="BA158" s="755">
        <f t="shared" si="47"/>
        <v>0</v>
      </c>
      <c r="BB158" s="755">
        <f t="shared" si="47"/>
        <v>0</v>
      </c>
      <c r="BC158" s="755">
        <f t="shared" si="47"/>
        <v>0</v>
      </c>
      <c r="BE158" s="754">
        <v>0</v>
      </c>
      <c r="BF158" s="755">
        <f t="shared" ref="BF158:BK158" si="48">IF(Kanton&gt;1,INDEX(BF159:BF187,Kanton,1),0)</f>
        <v>0</v>
      </c>
      <c r="BG158" s="755">
        <f t="shared" si="48"/>
        <v>0</v>
      </c>
      <c r="BH158" s="755">
        <f t="shared" si="48"/>
        <v>0</v>
      </c>
      <c r="BI158" s="755">
        <f t="shared" si="48"/>
        <v>0</v>
      </c>
      <c r="BJ158" s="755">
        <f t="shared" si="48"/>
        <v>0</v>
      </c>
      <c r="BK158" s="755">
        <f t="shared" si="48"/>
        <v>0</v>
      </c>
      <c r="BM158" s="754">
        <v>0</v>
      </c>
      <c r="BN158" s="755">
        <f t="shared" ref="BN158:BS158" si="49">IF(Kanton&gt;1,INDEX(BN159:BN187,Kanton,1),0)</f>
        <v>0</v>
      </c>
      <c r="BO158" s="755">
        <f t="shared" si="49"/>
        <v>0</v>
      </c>
      <c r="BP158" s="755">
        <f t="shared" si="49"/>
        <v>0</v>
      </c>
      <c r="BQ158" s="755">
        <f t="shared" si="49"/>
        <v>0</v>
      </c>
      <c r="BR158" s="755">
        <f t="shared" si="49"/>
        <v>0</v>
      </c>
      <c r="BS158" s="755">
        <f t="shared" si="49"/>
        <v>0</v>
      </c>
      <c r="BU158" s="754">
        <v>0</v>
      </c>
      <c r="BV158" s="755">
        <f t="shared" ref="BV158:CA158" si="50">IF(Kanton&gt;1,INDEX(BV159:BV187,Kanton,1),0)</f>
        <v>0</v>
      </c>
      <c r="BW158" s="755">
        <f t="shared" si="50"/>
        <v>0</v>
      </c>
      <c r="BX158" s="755">
        <f t="shared" si="50"/>
        <v>0</v>
      </c>
      <c r="BY158" s="755">
        <f t="shared" si="50"/>
        <v>0</v>
      </c>
      <c r="BZ158" s="755">
        <f t="shared" si="50"/>
        <v>0</v>
      </c>
      <c r="CA158" s="755">
        <f t="shared" si="50"/>
        <v>0</v>
      </c>
      <c r="CC158" s="754">
        <v>0</v>
      </c>
      <c r="CD158" s="755">
        <f t="shared" ref="CD158:CI158" si="51">IF(Kanton&gt;1,INDEX(CD159:CD187,Kanton,1),0)</f>
        <v>0</v>
      </c>
      <c r="CE158" s="755">
        <f t="shared" si="51"/>
        <v>0</v>
      </c>
      <c r="CF158" s="755">
        <f t="shared" si="51"/>
        <v>0</v>
      </c>
      <c r="CG158" s="755">
        <f t="shared" si="51"/>
        <v>0</v>
      </c>
      <c r="CH158" s="755">
        <f t="shared" si="51"/>
        <v>0</v>
      </c>
      <c r="CI158" s="755">
        <f t="shared" si="51"/>
        <v>0</v>
      </c>
      <c r="CK158" s="754">
        <v>0</v>
      </c>
      <c r="CL158" s="755">
        <f t="shared" ref="CL158:CQ158" si="52">IF(Kanton&gt;1,INDEX(CL159:CL187,Kanton,1),0)</f>
        <v>0</v>
      </c>
      <c r="CM158" s="755">
        <f t="shared" si="52"/>
        <v>0</v>
      </c>
      <c r="CN158" s="755">
        <f t="shared" si="52"/>
        <v>0</v>
      </c>
      <c r="CO158" s="755">
        <f t="shared" si="52"/>
        <v>0</v>
      </c>
      <c r="CP158" s="755">
        <f t="shared" si="52"/>
        <v>0</v>
      </c>
      <c r="CQ158" s="755">
        <f t="shared" si="52"/>
        <v>0</v>
      </c>
    </row>
    <row r="159" spans="1:95">
      <c r="A159" s="507" t="s">
        <v>199</v>
      </c>
      <c r="B159" s="510"/>
      <c r="C159" s="510"/>
      <c r="D159" s="510"/>
      <c r="E159" s="89"/>
      <c r="F159" s="40"/>
      <c r="G159" s="40"/>
      <c r="I159" s="507" t="s">
        <v>199</v>
      </c>
      <c r="J159" s="510"/>
      <c r="K159" s="510"/>
      <c r="L159" s="510"/>
      <c r="M159" s="89"/>
      <c r="N159" s="40"/>
      <c r="O159" s="40"/>
      <c r="Q159" s="507" t="s">
        <v>199</v>
      </c>
      <c r="R159" s="510"/>
      <c r="S159" s="510"/>
      <c r="T159" s="510"/>
      <c r="U159" s="89"/>
      <c r="V159" s="40"/>
      <c r="W159" s="40"/>
      <c r="Y159" s="507" t="s">
        <v>199</v>
      </c>
      <c r="Z159" s="510"/>
      <c r="AA159" s="510"/>
      <c r="AB159" s="510"/>
      <c r="AC159" s="89"/>
      <c r="AD159" s="40"/>
      <c r="AE159" s="40"/>
      <c r="AG159" s="507" t="s">
        <v>199</v>
      </c>
      <c r="AH159" s="510"/>
      <c r="AI159" s="510"/>
      <c r="AJ159" s="510"/>
      <c r="AK159" s="89"/>
      <c r="AL159" s="40"/>
      <c r="AM159" s="40"/>
      <c r="AO159" s="507" t="s">
        <v>199</v>
      </c>
      <c r="AP159" s="510"/>
      <c r="AQ159" s="510"/>
      <c r="AR159" s="510"/>
      <c r="AS159" s="89"/>
      <c r="AT159" s="40"/>
      <c r="AU159" s="40"/>
      <c r="AW159" s="507" t="s">
        <v>199</v>
      </c>
      <c r="AX159" s="510"/>
      <c r="AY159" s="510"/>
      <c r="AZ159" s="510"/>
      <c r="BA159" s="89"/>
      <c r="BB159" s="40"/>
      <c r="BC159" s="40"/>
      <c r="BE159" s="507" t="s">
        <v>199</v>
      </c>
      <c r="BF159" s="510"/>
      <c r="BG159" s="510"/>
      <c r="BH159" s="510"/>
      <c r="BI159" s="89"/>
      <c r="BJ159" s="40"/>
      <c r="BK159" s="40"/>
      <c r="BM159" s="507" t="s">
        <v>199</v>
      </c>
      <c r="BN159" s="510"/>
      <c r="BO159" s="510"/>
      <c r="BP159" s="510"/>
      <c r="BQ159" s="89"/>
      <c r="BR159" s="40"/>
      <c r="BS159" s="40"/>
      <c r="BU159" s="507" t="s">
        <v>199</v>
      </c>
      <c r="BV159" s="510"/>
      <c r="BW159" s="510"/>
      <c r="BX159" s="510"/>
      <c r="BY159" s="89"/>
      <c r="BZ159" s="40"/>
      <c r="CA159" s="40"/>
      <c r="CC159" s="507" t="s">
        <v>199</v>
      </c>
      <c r="CD159" s="510"/>
      <c r="CE159" s="510"/>
      <c r="CF159" s="510"/>
      <c r="CG159" s="89"/>
      <c r="CH159" s="40"/>
      <c r="CI159" s="40"/>
      <c r="CK159" s="507" t="s">
        <v>199</v>
      </c>
      <c r="CL159" s="510"/>
      <c r="CM159" s="510"/>
      <c r="CN159" s="510"/>
      <c r="CO159" s="89"/>
      <c r="CP159" s="40"/>
      <c r="CQ159" s="40"/>
    </row>
    <row r="160" spans="1:95">
      <c r="A160" s="505" t="s">
        <v>610</v>
      </c>
      <c r="B160" s="753">
        <f t="shared" ref="B160:G160" si="53">IF(B98&gt;0,INDEX($D$54:$D$94,B98,1),"")</f>
        <v>0</v>
      </c>
      <c r="C160" s="753">
        <f t="shared" si="53"/>
        <v>0</v>
      </c>
      <c r="D160" s="753" t="str">
        <f t="shared" si="53"/>
        <v/>
      </c>
      <c r="E160" s="753" t="str">
        <f t="shared" si="53"/>
        <v/>
      </c>
      <c r="F160" s="753" t="str">
        <f t="shared" si="53"/>
        <v/>
      </c>
      <c r="G160" s="753" t="str">
        <f t="shared" si="53"/>
        <v/>
      </c>
      <c r="I160" s="505" t="s">
        <v>610</v>
      </c>
      <c r="J160" s="753">
        <f t="shared" ref="J160:O160" si="54">IF(B98&gt;0,INDEX($D$54:$D$94,B98,1),"")</f>
        <v>0</v>
      </c>
      <c r="K160" s="753">
        <f t="shared" si="54"/>
        <v>0</v>
      </c>
      <c r="L160" s="753" t="str">
        <f t="shared" si="54"/>
        <v/>
      </c>
      <c r="M160" s="753" t="str">
        <f t="shared" si="54"/>
        <v/>
      </c>
      <c r="N160" s="753" t="str">
        <f t="shared" si="54"/>
        <v/>
      </c>
      <c r="O160" s="753" t="str">
        <f t="shared" si="54"/>
        <v/>
      </c>
      <c r="Q160" s="505" t="s">
        <v>610</v>
      </c>
      <c r="R160" s="753">
        <f t="shared" ref="R160:W160" si="55">IF(B98&gt;0,INDEX($D$54:$D$94,B98,1),"")</f>
        <v>0</v>
      </c>
      <c r="S160" s="753">
        <f t="shared" si="55"/>
        <v>0</v>
      </c>
      <c r="T160" s="753" t="str">
        <f t="shared" si="55"/>
        <v/>
      </c>
      <c r="U160" s="753" t="str">
        <f t="shared" si="55"/>
        <v/>
      </c>
      <c r="V160" s="753" t="str">
        <f t="shared" si="55"/>
        <v/>
      </c>
      <c r="W160" s="753" t="str">
        <f t="shared" si="55"/>
        <v/>
      </c>
      <c r="Y160" s="505" t="s">
        <v>610</v>
      </c>
      <c r="Z160" s="753">
        <f t="shared" ref="Z160:AE160" si="56">IF(B98&gt;0,INDEX($D$54:$D$94,B98,1),"")</f>
        <v>0</v>
      </c>
      <c r="AA160" s="753">
        <f t="shared" si="56"/>
        <v>0</v>
      </c>
      <c r="AB160" s="753" t="str">
        <f t="shared" si="56"/>
        <v/>
      </c>
      <c r="AC160" s="753" t="str">
        <f t="shared" si="56"/>
        <v/>
      </c>
      <c r="AD160" s="753" t="str">
        <f t="shared" si="56"/>
        <v/>
      </c>
      <c r="AE160" s="753" t="str">
        <f t="shared" si="56"/>
        <v/>
      </c>
      <c r="AG160" s="505" t="s">
        <v>610</v>
      </c>
      <c r="AH160" s="753">
        <f t="shared" ref="AH160:AM160" si="57">IF(B98&gt;0,INDEX($D$54:$D$94,B98,1),"")</f>
        <v>0</v>
      </c>
      <c r="AI160" s="753">
        <f t="shared" si="57"/>
        <v>0</v>
      </c>
      <c r="AJ160" s="753" t="str">
        <f t="shared" si="57"/>
        <v/>
      </c>
      <c r="AK160" s="753" t="str">
        <f t="shared" si="57"/>
        <v/>
      </c>
      <c r="AL160" s="753" t="str">
        <f t="shared" si="57"/>
        <v/>
      </c>
      <c r="AM160" s="753" t="str">
        <f t="shared" si="57"/>
        <v/>
      </c>
      <c r="AO160" s="505" t="s">
        <v>610</v>
      </c>
      <c r="AP160" s="753">
        <f t="shared" ref="AP160:AU160" si="58">IF(B98&gt;0,INDEX($D$54:$D$94,B98,1),"")</f>
        <v>0</v>
      </c>
      <c r="AQ160" s="753">
        <f t="shared" si="58"/>
        <v>0</v>
      </c>
      <c r="AR160" s="753" t="str">
        <f t="shared" si="58"/>
        <v/>
      </c>
      <c r="AS160" s="753" t="str">
        <f t="shared" si="58"/>
        <v/>
      </c>
      <c r="AT160" s="753" t="str">
        <f t="shared" si="58"/>
        <v/>
      </c>
      <c r="AU160" s="753" t="str">
        <f t="shared" si="58"/>
        <v/>
      </c>
      <c r="AW160" s="505" t="s">
        <v>610</v>
      </c>
      <c r="AX160" s="753">
        <f t="shared" ref="AX160:BC160" si="59">IF(B98&gt;0,INDEX($D$54:$D$94,B98,1),"")</f>
        <v>0</v>
      </c>
      <c r="AY160" s="753">
        <f t="shared" si="59"/>
        <v>0</v>
      </c>
      <c r="AZ160" s="753" t="str">
        <f t="shared" si="59"/>
        <v/>
      </c>
      <c r="BA160" s="753" t="str">
        <f t="shared" si="59"/>
        <v/>
      </c>
      <c r="BB160" s="753" t="str">
        <f t="shared" si="59"/>
        <v/>
      </c>
      <c r="BC160" s="753" t="str">
        <f t="shared" si="59"/>
        <v/>
      </c>
      <c r="BE160" s="505" t="s">
        <v>610</v>
      </c>
      <c r="BF160" s="753">
        <f t="shared" ref="BF160:BK160" si="60">IF(B98&gt;0,INDEX($D$54:$D$94,B98,1),"")</f>
        <v>0</v>
      </c>
      <c r="BG160" s="753">
        <f t="shared" si="60"/>
        <v>0</v>
      </c>
      <c r="BH160" s="753" t="str">
        <f t="shared" si="60"/>
        <v/>
      </c>
      <c r="BI160" s="753" t="str">
        <f t="shared" si="60"/>
        <v/>
      </c>
      <c r="BJ160" s="753" t="str">
        <f t="shared" si="60"/>
        <v/>
      </c>
      <c r="BK160" s="753" t="str">
        <f t="shared" si="60"/>
        <v/>
      </c>
      <c r="BM160" s="505" t="s">
        <v>610</v>
      </c>
      <c r="BN160" s="753">
        <f t="shared" ref="BN160:BS160" si="61">IF(B98&gt;0,INDEX($D$54:$D$94,B98,1),"")</f>
        <v>0</v>
      </c>
      <c r="BO160" s="753">
        <f t="shared" si="61"/>
        <v>0</v>
      </c>
      <c r="BP160" s="753" t="str">
        <f t="shared" si="61"/>
        <v/>
      </c>
      <c r="BQ160" s="753" t="str">
        <f t="shared" si="61"/>
        <v/>
      </c>
      <c r="BR160" s="753" t="str">
        <f t="shared" si="61"/>
        <v/>
      </c>
      <c r="BS160" s="753" t="str">
        <f t="shared" si="61"/>
        <v/>
      </c>
      <c r="BU160" s="505" t="s">
        <v>610</v>
      </c>
      <c r="BV160" s="753">
        <f t="shared" ref="BV160:CA160" si="62">IF(B98&gt;0,INDEX($D$54:$D$94,B98,1),"")</f>
        <v>0</v>
      </c>
      <c r="BW160" s="753">
        <f t="shared" si="62"/>
        <v>0</v>
      </c>
      <c r="BX160" s="753" t="str">
        <f t="shared" si="62"/>
        <v/>
      </c>
      <c r="BY160" s="753" t="str">
        <f t="shared" si="62"/>
        <v/>
      </c>
      <c r="BZ160" s="753" t="str">
        <f t="shared" si="62"/>
        <v/>
      </c>
      <c r="CA160" s="753" t="str">
        <f t="shared" si="62"/>
        <v/>
      </c>
      <c r="CC160" s="505" t="s">
        <v>610</v>
      </c>
      <c r="CD160" s="753">
        <f t="shared" ref="CD160:CI160" si="63">IF(B98&gt;0,INDEX($D$54:$D$94,B98,1),"")</f>
        <v>0</v>
      </c>
      <c r="CE160" s="753">
        <f t="shared" si="63"/>
        <v>0</v>
      </c>
      <c r="CF160" s="753" t="str">
        <f t="shared" si="63"/>
        <v/>
      </c>
      <c r="CG160" s="753" t="str">
        <f t="shared" si="63"/>
        <v/>
      </c>
      <c r="CH160" s="753" t="str">
        <f t="shared" si="63"/>
        <v/>
      </c>
      <c r="CI160" s="753" t="str">
        <f t="shared" si="63"/>
        <v/>
      </c>
      <c r="CK160" s="505" t="s">
        <v>610</v>
      </c>
      <c r="CL160" s="753">
        <f t="shared" ref="CL160:CQ160" si="64">IF(B98&gt;0,INDEX($D$54:$D$94,B98,1),"")</f>
        <v>0</v>
      </c>
      <c r="CM160" s="753">
        <f t="shared" si="64"/>
        <v>0</v>
      </c>
      <c r="CN160" s="753" t="str">
        <f t="shared" si="64"/>
        <v/>
      </c>
      <c r="CO160" s="753" t="str">
        <f t="shared" si="64"/>
        <v/>
      </c>
      <c r="CP160" s="753" t="str">
        <f t="shared" si="64"/>
        <v/>
      </c>
      <c r="CQ160" s="753" t="str">
        <f t="shared" si="64"/>
        <v/>
      </c>
    </row>
    <row r="161" spans="1:95">
      <c r="A161" s="505" t="s">
        <v>611</v>
      </c>
      <c r="B161" s="753">
        <f t="shared" ref="B161:G161" si="65">IF(B99&gt;0,INDEX($D$54:$D$94,B99,1),"")</f>
        <v>0</v>
      </c>
      <c r="C161" s="753" t="str">
        <f t="shared" si="65"/>
        <v/>
      </c>
      <c r="D161" s="753" t="str">
        <f t="shared" si="65"/>
        <v/>
      </c>
      <c r="E161" s="753" t="str">
        <f t="shared" si="65"/>
        <v/>
      </c>
      <c r="F161" s="753" t="str">
        <f t="shared" si="65"/>
        <v/>
      </c>
      <c r="G161" s="753" t="str">
        <f t="shared" si="65"/>
        <v/>
      </c>
      <c r="I161" s="505" t="s">
        <v>611</v>
      </c>
      <c r="J161" s="753">
        <f t="shared" ref="J161:J186" si="66">IF(B99&gt;0,INDEX($D$54:$D$94,B99,1),"")</f>
        <v>0</v>
      </c>
      <c r="K161" s="753" t="str">
        <f t="shared" ref="K161:K186" si="67">IF(C99&gt;0,INDEX($D$54:$D$94,C99,1),"")</f>
        <v/>
      </c>
      <c r="L161" s="753" t="str">
        <f t="shared" ref="L161:L186" si="68">IF(D99&gt;0,INDEX($D$54:$D$94,D99,1),"")</f>
        <v/>
      </c>
      <c r="M161" s="753" t="str">
        <f t="shared" ref="M161:M186" si="69">IF(E99&gt;0,INDEX($D$54:$D$94,E99,1),"")</f>
        <v/>
      </c>
      <c r="N161" s="753" t="str">
        <f t="shared" ref="N161:N186" si="70">IF(F99&gt;0,INDEX($D$54:$D$94,F99,1),"")</f>
        <v/>
      </c>
      <c r="O161" s="753" t="str">
        <f t="shared" ref="O161:O186" si="71">IF(G99&gt;0,INDEX($D$54:$D$94,G99,1),"")</f>
        <v/>
      </c>
      <c r="Q161" s="505" t="s">
        <v>611</v>
      </c>
      <c r="R161" s="753">
        <f t="shared" ref="R161:R186" si="72">IF(B99&gt;0,INDEX($D$54:$D$94,B99,1),"")</f>
        <v>0</v>
      </c>
      <c r="S161" s="753" t="str">
        <f t="shared" ref="S161:S186" si="73">IF(C99&gt;0,INDEX($D$54:$D$94,C99,1),"")</f>
        <v/>
      </c>
      <c r="T161" s="753" t="str">
        <f t="shared" ref="T161:T186" si="74">IF(D99&gt;0,INDEX($D$54:$D$94,D99,1),"")</f>
        <v/>
      </c>
      <c r="U161" s="753" t="str">
        <f t="shared" ref="U161:U186" si="75">IF(E99&gt;0,INDEX($D$54:$D$94,E99,1),"")</f>
        <v/>
      </c>
      <c r="V161" s="753" t="str">
        <f t="shared" ref="V161:V186" si="76">IF(F99&gt;0,INDEX($D$54:$D$94,F99,1),"")</f>
        <v/>
      </c>
      <c r="W161" s="753" t="str">
        <f t="shared" ref="W161:W186" si="77">IF(G99&gt;0,INDEX($D$54:$D$94,G99,1),"")</f>
        <v/>
      </c>
      <c r="Y161" s="505" t="s">
        <v>611</v>
      </c>
      <c r="Z161" s="753">
        <f t="shared" ref="Z161:Z186" si="78">IF(B99&gt;0,INDEX($D$54:$D$94,B99,1),"")</f>
        <v>0</v>
      </c>
      <c r="AA161" s="753" t="str">
        <f t="shared" ref="AA161:AA186" si="79">IF(C99&gt;0,INDEX($D$54:$D$94,C99,1),"")</f>
        <v/>
      </c>
      <c r="AB161" s="753" t="str">
        <f t="shared" ref="AB161:AB186" si="80">IF(D99&gt;0,INDEX($D$54:$D$94,D99,1),"")</f>
        <v/>
      </c>
      <c r="AC161" s="753" t="str">
        <f t="shared" ref="AC161:AC186" si="81">IF(E99&gt;0,INDEX($D$54:$D$94,E99,1),"")</f>
        <v/>
      </c>
      <c r="AD161" s="753" t="str">
        <f t="shared" ref="AD161:AD186" si="82">IF(F99&gt;0,INDEX($D$54:$D$94,F99,1),"")</f>
        <v/>
      </c>
      <c r="AE161" s="753" t="str">
        <f t="shared" ref="AE161:AE186" si="83">IF(G99&gt;0,INDEX($D$54:$D$94,G99,1),"")</f>
        <v/>
      </c>
      <c r="AG161" s="505" t="s">
        <v>611</v>
      </c>
      <c r="AH161" s="753">
        <f t="shared" ref="AH161:AH186" si="84">IF(B99&gt;0,INDEX($D$54:$D$94,B99,1),"")</f>
        <v>0</v>
      </c>
      <c r="AI161" s="753" t="str">
        <f t="shared" ref="AI161:AI186" si="85">IF(C99&gt;0,INDEX($D$54:$D$94,C99,1),"")</f>
        <v/>
      </c>
      <c r="AJ161" s="753" t="str">
        <f t="shared" ref="AJ161:AJ186" si="86">IF(D99&gt;0,INDEX($D$54:$D$94,D99,1),"")</f>
        <v/>
      </c>
      <c r="AK161" s="753" t="str">
        <f t="shared" ref="AK161:AK186" si="87">IF(E99&gt;0,INDEX($D$54:$D$94,E99,1),"")</f>
        <v/>
      </c>
      <c r="AL161" s="753" t="str">
        <f t="shared" ref="AL161:AL186" si="88">IF(F99&gt;0,INDEX($D$54:$D$94,F99,1),"")</f>
        <v/>
      </c>
      <c r="AM161" s="753" t="str">
        <f t="shared" ref="AM161:AM186" si="89">IF(G99&gt;0,INDEX($D$54:$D$94,G99,1),"")</f>
        <v/>
      </c>
      <c r="AO161" s="505" t="s">
        <v>611</v>
      </c>
      <c r="AP161" s="753">
        <f t="shared" ref="AP161:AP186" si="90">IF(B99&gt;0,INDEX($D$54:$D$94,B99,1),"")</f>
        <v>0</v>
      </c>
      <c r="AQ161" s="753" t="str">
        <f t="shared" ref="AQ161:AQ186" si="91">IF(C99&gt;0,INDEX($D$54:$D$94,C99,1),"")</f>
        <v/>
      </c>
      <c r="AR161" s="753" t="str">
        <f t="shared" ref="AR161:AR186" si="92">IF(D99&gt;0,INDEX($D$54:$D$94,D99,1),"")</f>
        <v/>
      </c>
      <c r="AS161" s="753" t="str">
        <f t="shared" ref="AS161:AS186" si="93">IF(E99&gt;0,INDEX($D$54:$D$94,E99,1),"")</f>
        <v/>
      </c>
      <c r="AT161" s="753" t="str">
        <f t="shared" ref="AT161:AT186" si="94">IF(F99&gt;0,INDEX($D$54:$D$94,F99,1),"")</f>
        <v/>
      </c>
      <c r="AU161" s="753" t="str">
        <f t="shared" ref="AU161:AU186" si="95">IF(G99&gt;0,INDEX($D$54:$D$94,G99,1),"")</f>
        <v/>
      </c>
      <c r="AW161" s="505" t="s">
        <v>611</v>
      </c>
      <c r="AX161" s="753">
        <f t="shared" ref="AX161:AX186" si="96">IF(B99&gt;0,INDEX($D$54:$D$94,B99,1),"")</f>
        <v>0</v>
      </c>
      <c r="AY161" s="753" t="str">
        <f t="shared" ref="AY161:AY186" si="97">IF(C99&gt;0,INDEX($D$54:$D$94,C99,1),"")</f>
        <v/>
      </c>
      <c r="AZ161" s="753" t="str">
        <f t="shared" ref="AZ161:AZ186" si="98">IF(D99&gt;0,INDEX($D$54:$D$94,D99,1),"")</f>
        <v/>
      </c>
      <c r="BA161" s="753" t="str">
        <f t="shared" ref="BA161:BA186" si="99">IF(E99&gt;0,INDEX($D$54:$D$94,E99,1),"")</f>
        <v/>
      </c>
      <c r="BB161" s="753" t="str">
        <f t="shared" ref="BB161:BB186" si="100">IF(F99&gt;0,INDEX($D$54:$D$94,F99,1),"")</f>
        <v/>
      </c>
      <c r="BC161" s="753" t="str">
        <f t="shared" ref="BC161:BC186" si="101">IF(G99&gt;0,INDEX($D$54:$D$94,G99,1),"")</f>
        <v/>
      </c>
      <c r="BE161" s="505" t="s">
        <v>611</v>
      </c>
      <c r="BF161" s="753">
        <f t="shared" ref="BF161:BF186" si="102">IF(B99&gt;0,INDEX($D$54:$D$94,B99,1),"")</f>
        <v>0</v>
      </c>
      <c r="BG161" s="753" t="str">
        <f t="shared" ref="BG161:BG186" si="103">IF(C99&gt;0,INDEX($D$54:$D$94,C99,1),"")</f>
        <v/>
      </c>
      <c r="BH161" s="753" t="str">
        <f t="shared" ref="BH161:BH186" si="104">IF(D99&gt;0,INDEX($D$54:$D$94,D99,1),"")</f>
        <v/>
      </c>
      <c r="BI161" s="753" t="str">
        <f t="shared" ref="BI161:BI186" si="105">IF(E99&gt;0,INDEX($D$54:$D$94,E99,1),"")</f>
        <v/>
      </c>
      <c r="BJ161" s="753" t="str">
        <f t="shared" ref="BJ161:BJ186" si="106">IF(F99&gt;0,INDEX($D$54:$D$94,F99,1),"")</f>
        <v/>
      </c>
      <c r="BK161" s="753" t="str">
        <f t="shared" ref="BK161:BK186" si="107">IF(G99&gt;0,INDEX($D$54:$D$94,G99,1),"")</f>
        <v/>
      </c>
      <c r="BM161" s="505" t="s">
        <v>611</v>
      </c>
      <c r="BN161" s="753">
        <f t="shared" ref="BN161:BN186" si="108">IF(B99&gt;0,INDEX($D$54:$D$94,B99,1),"")</f>
        <v>0</v>
      </c>
      <c r="BO161" s="753" t="str">
        <f t="shared" ref="BO161:BO186" si="109">IF(C99&gt;0,INDEX($D$54:$D$94,C99,1),"")</f>
        <v/>
      </c>
      <c r="BP161" s="753" t="str">
        <f t="shared" ref="BP161:BP186" si="110">IF(D99&gt;0,INDEX($D$54:$D$94,D99,1),"")</f>
        <v/>
      </c>
      <c r="BQ161" s="753" t="str">
        <f t="shared" ref="BQ161:BQ186" si="111">IF(E99&gt;0,INDEX($D$54:$D$94,E99,1),"")</f>
        <v/>
      </c>
      <c r="BR161" s="753" t="str">
        <f t="shared" ref="BR161:BR186" si="112">IF(F99&gt;0,INDEX($D$54:$D$94,F99,1),"")</f>
        <v/>
      </c>
      <c r="BS161" s="753" t="str">
        <f t="shared" ref="BS161:BS186" si="113">IF(G99&gt;0,INDEX($D$54:$D$94,G99,1),"")</f>
        <v/>
      </c>
      <c r="BU161" s="505" t="s">
        <v>611</v>
      </c>
      <c r="BV161" s="753">
        <f t="shared" ref="BV161:BV186" si="114">IF(B99&gt;0,INDEX($D$54:$D$94,B99,1),"")</f>
        <v>0</v>
      </c>
      <c r="BW161" s="753" t="str">
        <f t="shared" ref="BW161:BW186" si="115">IF(C99&gt;0,INDEX($D$54:$D$94,C99,1),"")</f>
        <v/>
      </c>
      <c r="BX161" s="753" t="str">
        <f t="shared" ref="BX161:BX186" si="116">IF(D99&gt;0,INDEX($D$54:$D$94,D99,1),"")</f>
        <v/>
      </c>
      <c r="BY161" s="753" t="str">
        <f t="shared" ref="BY161:BY186" si="117">IF(E99&gt;0,INDEX($D$54:$D$94,E99,1),"")</f>
        <v/>
      </c>
      <c r="BZ161" s="753" t="str">
        <f t="shared" ref="BZ161:BZ186" si="118">IF(F99&gt;0,INDEX($D$54:$D$94,F99,1),"")</f>
        <v/>
      </c>
      <c r="CA161" s="753" t="str">
        <f t="shared" ref="CA161:CA186" si="119">IF(G99&gt;0,INDEX($D$54:$D$94,G99,1),"")</f>
        <v/>
      </c>
      <c r="CC161" s="505" t="s">
        <v>611</v>
      </c>
      <c r="CD161" s="753">
        <f t="shared" ref="CD161:CD186" si="120">IF(B99&gt;0,INDEX($D$54:$D$94,B99,1),"")</f>
        <v>0</v>
      </c>
      <c r="CE161" s="753" t="str">
        <f t="shared" ref="CE161:CE186" si="121">IF(C99&gt;0,INDEX($D$54:$D$94,C99,1),"")</f>
        <v/>
      </c>
      <c r="CF161" s="753" t="str">
        <f t="shared" ref="CF161:CF186" si="122">IF(D99&gt;0,INDEX($D$54:$D$94,D99,1),"")</f>
        <v/>
      </c>
      <c r="CG161" s="753" t="str">
        <f t="shared" ref="CG161:CG186" si="123">IF(E99&gt;0,INDEX($D$54:$D$94,E99,1),"")</f>
        <v/>
      </c>
      <c r="CH161" s="753" t="str">
        <f t="shared" ref="CH161:CH186" si="124">IF(F99&gt;0,INDEX($D$54:$D$94,F99,1),"")</f>
        <v/>
      </c>
      <c r="CI161" s="753" t="str">
        <f t="shared" ref="CI161:CI186" si="125">IF(G99&gt;0,INDEX($D$54:$D$94,G99,1),"")</f>
        <v/>
      </c>
      <c r="CK161" s="505" t="s">
        <v>611</v>
      </c>
      <c r="CL161" s="753">
        <f t="shared" ref="CL161:CL186" si="126">IF(B99&gt;0,INDEX($D$54:$D$94,B99,1),"")</f>
        <v>0</v>
      </c>
      <c r="CM161" s="753" t="str">
        <f t="shared" ref="CM161:CM186" si="127">IF(C99&gt;0,INDEX($D$54:$D$94,C99,1),"")</f>
        <v/>
      </c>
      <c r="CN161" s="753" t="str">
        <f t="shared" ref="CN161:CN186" si="128">IF(D99&gt;0,INDEX($D$54:$D$94,D99,1),"")</f>
        <v/>
      </c>
      <c r="CO161" s="753" t="str">
        <f t="shared" ref="CO161:CO186" si="129">IF(E99&gt;0,INDEX($D$54:$D$94,E99,1),"")</f>
        <v/>
      </c>
      <c r="CP161" s="753" t="str">
        <f t="shared" ref="CP161:CP186" si="130">IF(F99&gt;0,INDEX($D$54:$D$94,F99,1),"")</f>
        <v/>
      </c>
      <c r="CQ161" s="753" t="str">
        <f t="shared" ref="CQ161:CQ186" si="131">IF(G99&gt;0,INDEX($D$54:$D$94,G99,1),"")</f>
        <v/>
      </c>
    </row>
    <row r="162" spans="1:95">
      <c r="A162" s="505" t="s">
        <v>612</v>
      </c>
      <c r="B162" s="753">
        <f t="shared" ref="B162:G162" si="132">IF(B100&gt;0,INDEX($D$54:$D$94,B100,1),"")</f>
        <v>0</v>
      </c>
      <c r="C162" s="753" t="str">
        <f t="shared" si="132"/>
        <v/>
      </c>
      <c r="D162" s="753" t="str">
        <f t="shared" si="132"/>
        <v/>
      </c>
      <c r="E162" s="753" t="str">
        <f t="shared" si="132"/>
        <v/>
      </c>
      <c r="F162" s="753" t="str">
        <f t="shared" si="132"/>
        <v/>
      </c>
      <c r="G162" s="753" t="str">
        <f t="shared" si="132"/>
        <v/>
      </c>
      <c r="I162" s="505" t="s">
        <v>612</v>
      </c>
      <c r="J162" s="753">
        <f t="shared" si="66"/>
        <v>0</v>
      </c>
      <c r="K162" s="753" t="str">
        <f t="shared" si="67"/>
        <v/>
      </c>
      <c r="L162" s="753" t="str">
        <f t="shared" si="68"/>
        <v/>
      </c>
      <c r="M162" s="753" t="str">
        <f t="shared" si="69"/>
        <v/>
      </c>
      <c r="N162" s="753" t="str">
        <f t="shared" si="70"/>
        <v/>
      </c>
      <c r="O162" s="753" t="str">
        <f t="shared" si="71"/>
        <v/>
      </c>
      <c r="Q162" s="505" t="s">
        <v>612</v>
      </c>
      <c r="R162" s="753">
        <f t="shared" si="72"/>
        <v>0</v>
      </c>
      <c r="S162" s="753" t="str">
        <f t="shared" si="73"/>
        <v/>
      </c>
      <c r="T162" s="753" t="str">
        <f t="shared" si="74"/>
        <v/>
      </c>
      <c r="U162" s="753" t="str">
        <f t="shared" si="75"/>
        <v/>
      </c>
      <c r="V162" s="753" t="str">
        <f t="shared" si="76"/>
        <v/>
      </c>
      <c r="W162" s="753" t="str">
        <f t="shared" si="77"/>
        <v/>
      </c>
      <c r="Y162" s="505" t="s">
        <v>612</v>
      </c>
      <c r="Z162" s="753">
        <f t="shared" si="78"/>
        <v>0</v>
      </c>
      <c r="AA162" s="753" t="str">
        <f t="shared" si="79"/>
        <v/>
      </c>
      <c r="AB162" s="753" t="str">
        <f t="shared" si="80"/>
        <v/>
      </c>
      <c r="AC162" s="753" t="str">
        <f t="shared" si="81"/>
        <v/>
      </c>
      <c r="AD162" s="753" t="str">
        <f t="shared" si="82"/>
        <v/>
      </c>
      <c r="AE162" s="753" t="str">
        <f t="shared" si="83"/>
        <v/>
      </c>
      <c r="AG162" s="505" t="s">
        <v>612</v>
      </c>
      <c r="AH162" s="753">
        <f t="shared" si="84"/>
        <v>0</v>
      </c>
      <c r="AI162" s="753" t="str">
        <f t="shared" si="85"/>
        <v/>
      </c>
      <c r="AJ162" s="753" t="str">
        <f t="shared" si="86"/>
        <v/>
      </c>
      <c r="AK162" s="753" t="str">
        <f t="shared" si="87"/>
        <v/>
      </c>
      <c r="AL162" s="753" t="str">
        <f t="shared" si="88"/>
        <v/>
      </c>
      <c r="AM162" s="753" t="str">
        <f t="shared" si="89"/>
        <v/>
      </c>
      <c r="AO162" s="505" t="s">
        <v>612</v>
      </c>
      <c r="AP162" s="753">
        <f t="shared" si="90"/>
        <v>0</v>
      </c>
      <c r="AQ162" s="753" t="str">
        <f t="shared" si="91"/>
        <v/>
      </c>
      <c r="AR162" s="753" t="str">
        <f t="shared" si="92"/>
        <v/>
      </c>
      <c r="AS162" s="753" t="str">
        <f t="shared" si="93"/>
        <v/>
      </c>
      <c r="AT162" s="753" t="str">
        <f t="shared" si="94"/>
        <v/>
      </c>
      <c r="AU162" s="753" t="str">
        <f t="shared" si="95"/>
        <v/>
      </c>
      <c r="AW162" s="505" t="s">
        <v>612</v>
      </c>
      <c r="AX162" s="753">
        <f t="shared" si="96"/>
        <v>0</v>
      </c>
      <c r="AY162" s="753" t="str">
        <f t="shared" si="97"/>
        <v/>
      </c>
      <c r="AZ162" s="753" t="str">
        <f t="shared" si="98"/>
        <v/>
      </c>
      <c r="BA162" s="753" t="str">
        <f t="shared" si="99"/>
        <v/>
      </c>
      <c r="BB162" s="753" t="str">
        <f t="shared" si="100"/>
        <v/>
      </c>
      <c r="BC162" s="753" t="str">
        <f t="shared" si="101"/>
        <v/>
      </c>
      <c r="BE162" s="505" t="s">
        <v>612</v>
      </c>
      <c r="BF162" s="753">
        <f t="shared" si="102"/>
        <v>0</v>
      </c>
      <c r="BG162" s="753" t="str">
        <f t="shared" si="103"/>
        <v/>
      </c>
      <c r="BH162" s="753" t="str">
        <f t="shared" si="104"/>
        <v/>
      </c>
      <c r="BI162" s="753" t="str">
        <f t="shared" si="105"/>
        <v/>
      </c>
      <c r="BJ162" s="753" t="str">
        <f t="shared" si="106"/>
        <v/>
      </c>
      <c r="BK162" s="753" t="str">
        <f t="shared" si="107"/>
        <v/>
      </c>
      <c r="BM162" s="505" t="s">
        <v>612</v>
      </c>
      <c r="BN162" s="753">
        <f t="shared" si="108"/>
        <v>0</v>
      </c>
      <c r="BO162" s="753" t="str">
        <f t="shared" si="109"/>
        <v/>
      </c>
      <c r="BP162" s="753" t="str">
        <f t="shared" si="110"/>
        <v/>
      </c>
      <c r="BQ162" s="753" t="str">
        <f t="shared" si="111"/>
        <v/>
      </c>
      <c r="BR162" s="753" t="str">
        <f t="shared" si="112"/>
        <v/>
      </c>
      <c r="BS162" s="753" t="str">
        <f t="shared" si="113"/>
        <v/>
      </c>
      <c r="BU162" s="505" t="s">
        <v>612</v>
      </c>
      <c r="BV162" s="753">
        <f t="shared" si="114"/>
        <v>0</v>
      </c>
      <c r="BW162" s="753" t="str">
        <f t="shared" si="115"/>
        <v/>
      </c>
      <c r="BX162" s="753" t="str">
        <f t="shared" si="116"/>
        <v/>
      </c>
      <c r="BY162" s="753" t="str">
        <f t="shared" si="117"/>
        <v/>
      </c>
      <c r="BZ162" s="753" t="str">
        <f t="shared" si="118"/>
        <v/>
      </c>
      <c r="CA162" s="753" t="str">
        <f t="shared" si="119"/>
        <v/>
      </c>
      <c r="CC162" s="505" t="s">
        <v>612</v>
      </c>
      <c r="CD162" s="753">
        <f t="shared" si="120"/>
        <v>0</v>
      </c>
      <c r="CE162" s="753" t="str">
        <f t="shared" si="121"/>
        <v/>
      </c>
      <c r="CF162" s="753" t="str">
        <f t="shared" si="122"/>
        <v/>
      </c>
      <c r="CG162" s="753" t="str">
        <f t="shared" si="123"/>
        <v/>
      </c>
      <c r="CH162" s="753" t="str">
        <f t="shared" si="124"/>
        <v/>
      </c>
      <c r="CI162" s="753" t="str">
        <f t="shared" si="125"/>
        <v/>
      </c>
      <c r="CK162" s="505" t="s">
        <v>612</v>
      </c>
      <c r="CL162" s="753">
        <f t="shared" si="126"/>
        <v>0</v>
      </c>
      <c r="CM162" s="753" t="str">
        <f t="shared" si="127"/>
        <v/>
      </c>
      <c r="CN162" s="753" t="str">
        <f t="shared" si="128"/>
        <v/>
      </c>
      <c r="CO162" s="753" t="str">
        <f t="shared" si="129"/>
        <v/>
      </c>
      <c r="CP162" s="753" t="str">
        <f t="shared" si="130"/>
        <v/>
      </c>
      <c r="CQ162" s="753" t="str">
        <f t="shared" si="131"/>
        <v/>
      </c>
    </row>
    <row r="163" spans="1:95">
      <c r="A163" s="505" t="s">
        <v>280</v>
      </c>
      <c r="B163" s="753">
        <f t="shared" ref="B163:G163" si="133">IF(B101&gt;0,INDEX($D$54:$D$94,B101,1),"")</f>
        <v>0</v>
      </c>
      <c r="C163" s="753">
        <f t="shared" si="133"/>
        <v>0</v>
      </c>
      <c r="D163" s="753" t="str">
        <f t="shared" si="133"/>
        <v/>
      </c>
      <c r="E163" s="753" t="str">
        <f t="shared" si="133"/>
        <v/>
      </c>
      <c r="F163" s="753" t="str">
        <f t="shared" si="133"/>
        <v/>
      </c>
      <c r="G163" s="753" t="str">
        <f t="shared" si="133"/>
        <v/>
      </c>
      <c r="I163" s="505" t="s">
        <v>280</v>
      </c>
      <c r="J163" s="753">
        <f t="shared" si="66"/>
        <v>0</v>
      </c>
      <c r="K163" s="753">
        <f t="shared" si="67"/>
        <v>0</v>
      </c>
      <c r="L163" s="753" t="str">
        <f t="shared" si="68"/>
        <v/>
      </c>
      <c r="M163" s="753" t="str">
        <f t="shared" si="69"/>
        <v/>
      </c>
      <c r="N163" s="753" t="str">
        <f t="shared" si="70"/>
        <v/>
      </c>
      <c r="O163" s="753" t="str">
        <f t="shared" si="71"/>
        <v/>
      </c>
      <c r="Q163" s="505" t="s">
        <v>280</v>
      </c>
      <c r="R163" s="753">
        <f t="shared" si="72"/>
        <v>0</v>
      </c>
      <c r="S163" s="753">
        <f t="shared" si="73"/>
        <v>0</v>
      </c>
      <c r="T163" s="753" t="str">
        <f t="shared" si="74"/>
        <v/>
      </c>
      <c r="U163" s="753" t="str">
        <f t="shared" si="75"/>
        <v/>
      </c>
      <c r="V163" s="753" t="str">
        <f t="shared" si="76"/>
        <v/>
      </c>
      <c r="W163" s="753" t="str">
        <f t="shared" si="77"/>
        <v/>
      </c>
      <c r="Y163" s="505" t="s">
        <v>280</v>
      </c>
      <c r="Z163" s="753">
        <f t="shared" si="78"/>
        <v>0</v>
      </c>
      <c r="AA163" s="753">
        <f t="shared" si="79"/>
        <v>0</v>
      </c>
      <c r="AB163" s="753" t="str">
        <f t="shared" si="80"/>
        <v/>
      </c>
      <c r="AC163" s="753" t="str">
        <f t="shared" si="81"/>
        <v/>
      </c>
      <c r="AD163" s="753" t="str">
        <f t="shared" si="82"/>
        <v/>
      </c>
      <c r="AE163" s="753" t="str">
        <f t="shared" si="83"/>
        <v/>
      </c>
      <c r="AG163" s="505" t="s">
        <v>280</v>
      </c>
      <c r="AH163" s="753">
        <f t="shared" si="84"/>
        <v>0</v>
      </c>
      <c r="AI163" s="753">
        <f t="shared" si="85"/>
        <v>0</v>
      </c>
      <c r="AJ163" s="753" t="str">
        <f t="shared" si="86"/>
        <v/>
      </c>
      <c r="AK163" s="753" t="str">
        <f t="shared" si="87"/>
        <v/>
      </c>
      <c r="AL163" s="753" t="str">
        <f t="shared" si="88"/>
        <v/>
      </c>
      <c r="AM163" s="753" t="str">
        <f t="shared" si="89"/>
        <v/>
      </c>
      <c r="AO163" s="505" t="s">
        <v>280</v>
      </c>
      <c r="AP163" s="753">
        <f t="shared" si="90"/>
        <v>0</v>
      </c>
      <c r="AQ163" s="753">
        <f t="shared" si="91"/>
        <v>0</v>
      </c>
      <c r="AR163" s="753" t="str">
        <f t="shared" si="92"/>
        <v/>
      </c>
      <c r="AS163" s="753" t="str">
        <f t="shared" si="93"/>
        <v/>
      </c>
      <c r="AT163" s="753" t="str">
        <f t="shared" si="94"/>
        <v/>
      </c>
      <c r="AU163" s="753" t="str">
        <f t="shared" si="95"/>
        <v/>
      </c>
      <c r="AW163" s="505" t="s">
        <v>280</v>
      </c>
      <c r="AX163" s="753">
        <f t="shared" si="96"/>
        <v>0</v>
      </c>
      <c r="AY163" s="753">
        <f t="shared" si="97"/>
        <v>0</v>
      </c>
      <c r="AZ163" s="753" t="str">
        <f t="shared" si="98"/>
        <v/>
      </c>
      <c r="BA163" s="753" t="str">
        <f t="shared" si="99"/>
        <v/>
      </c>
      <c r="BB163" s="753" t="str">
        <f t="shared" si="100"/>
        <v/>
      </c>
      <c r="BC163" s="753" t="str">
        <f t="shared" si="101"/>
        <v/>
      </c>
      <c r="BE163" s="505" t="s">
        <v>280</v>
      </c>
      <c r="BF163" s="753">
        <f t="shared" si="102"/>
        <v>0</v>
      </c>
      <c r="BG163" s="753">
        <f t="shared" si="103"/>
        <v>0</v>
      </c>
      <c r="BH163" s="753" t="str">
        <f t="shared" si="104"/>
        <v/>
      </c>
      <c r="BI163" s="753" t="str">
        <f t="shared" si="105"/>
        <v/>
      </c>
      <c r="BJ163" s="753" t="str">
        <f t="shared" si="106"/>
        <v/>
      </c>
      <c r="BK163" s="753" t="str">
        <f t="shared" si="107"/>
        <v/>
      </c>
      <c r="BM163" s="505" t="s">
        <v>280</v>
      </c>
      <c r="BN163" s="753">
        <f t="shared" si="108"/>
        <v>0</v>
      </c>
      <c r="BO163" s="753">
        <f t="shared" si="109"/>
        <v>0</v>
      </c>
      <c r="BP163" s="753" t="str">
        <f t="shared" si="110"/>
        <v/>
      </c>
      <c r="BQ163" s="753" t="str">
        <f t="shared" si="111"/>
        <v/>
      </c>
      <c r="BR163" s="753" t="str">
        <f t="shared" si="112"/>
        <v/>
      </c>
      <c r="BS163" s="753" t="str">
        <f t="shared" si="113"/>
        <v/>
      </c>
      <c r="BU163" s="505" t="s">
        <v>280</v>
      </c>
      <c r="BV163" s="753">
        <f t="shared" si="114"/>
        <v>0</v>
      </c>
      <c r="BW163" s="753">
        <f t="shared" si="115"/>
        <v>0</v>
      </c>
      <c r="BX163" s="753" t="str">
        <f t="shared" si="116"/>
        <v/>
      </c>
      <c r="BY163" s="753" t="str">
        <f t="shared" si="117"/>
        <v/>
      </c>
      <c r="BZ163" s="753" t="str">
        <f t="shared" si="118"/>
        <v/>
      </c>
      <c r="CA163" s="753" t="str">
        <f t="shared" si="119"/>
        <v/>
      </c>
      <c r="CC163" s="505" t="s">
        <v>280</v>
      </c>
      <c r="CD163" s="753">
        <f t="shared" si="120"/>
        <v>0</v>
      </c>
      <c r="CE163" s="753">
        <f t="shared" si="121"/>
        <v>0</v>
      </c>
      <c r="CF163" s="753" t="str">
        <f t="shared" si="122"/>
        <v/>
      </c>
      <c r="CG163" s="753" t="str">
        <f t="shared" si="123"/>
        <v/>
      </c>
      <c r="CH163" s="753" t="str">
        <f t="shared" si="124"/>
        <v/>
      </c>
      <c r="CI163" s="753" t="str">
        <f t="shared" si="125"/>
        <v/>
      </c>
      <c r="CK163" s="505" t="s">
        <v>280</v>
      </c>
      <c r="CL163" s="753">
        <f t="shared" si="126"/>
        <v>0</v>
      </c>
      <c r="CM163" s="753">
        <f t="shared" si="127"/>
        <v>0</v>
      </c>
      <c r="CN163" s="753" t="str">
        <f t="shared" si="128"/>
        <v/>
      </c>
      <c r="CO163" s="753" t="str">
        <f t="shared" si="129"/>
        <v/>
      </c>
      <c r="CP163" s="753" t="str">
        <f t="shared" si="130"/>
        <v/>
      </c>
      <c r="CQ163" s="753" t="str">
        <f t="shared" si="131"/>
        <v/>
      </c>
    </row>
    <row r="164" spans="1:95">
      <c r="A164" s="505" t="s">
        <v>613</v>
      </c>
      <c r="B164" s="753">
        <f t="shared" ref="B164:G164" si="134">IF(B102&gt;0,INDEX($D$54:$D$94,B102,1),"")</f>
        <v>0</v>
      </c>
      <c r="C164" s="753" t="str">
        <f t="shared" si="134"/>
        <v/>
      </c>
      <c r="D164" s="753" t="str">
        <f t="shared" si="134"/>
        <v/>
      </c>
      <c r="E164" s="753" t="str">
        <f t="shared" si="134"/>
        <v/>
      </c>
      <c r="F164" s="753" t="str">
        <f t="shared" si="134"/>
        <v/>
      </c>
      <c r="G164" s="753" t="str">
        <f t="shared" si="134"/>
        <v/>
      </c>
      <c r="I164" s="505" t="s">
        <v>613</v>
      </c>
      <c r="J164" s="753">
        <f t="shared" si="66"/>
        <v>0</v>
      </c>
      <c r="K164" s="753" t="str">
        <f t="shared" si="67"/>
        <v/>
      </c>
      <c r="L164" s="753" t="str">
        <f t="shared" si="68"/>
        <v/>
      </c>
      <c r="M164" s="753" t="str">
        <f t="shared" si="69"/>
        <v/>
      </c>
      <c r="N164" s="753" t="str">
        <f t="shared" si="70"/>
        <v/>
      </c>
      <c r="O164" s="753" t="str">
        <f t="shared" si="71"/>
        <v/>
      </c>
      <c r="Q164" s="505" t="s">
        <v>613</v>
      </c>
      <c r="R164" s="753">
        <f t="shared" si="72"/>
        <v>0</v>
      </c>
      <c r="S164" s="753" t="str">
        <f t="shared" si="73"/>
        <v/>
      </c>
      <c r="T164" s="753" t="str">
        <f t="shared" si="74"/>
        <v/>
      </c>
      <c r="U164" s="753" t="str">
        <f t="shared" si="75"/>
        <v/>
      </c>
      <c r="V164" s="753" t="str">
        <f t="shared" si="76"/>
        <v/>
      </c>
      <c r="W164" s="753" t="str">
        <f t="shared" si="77"/>
        <v/>
      </c>
      <c r="Y164" s="505" t="s">
        <v>613</v>
      </c>
      <c r="Z164" s="753">
        <f t="shared" si="78"/>
        <v>0</v>
      </c>
      <c r="AA164" s="753" t="str">
        <f t="shared" si="79"/>
        <v/>
      </c>
      <c r="AB164" s="753" t="str">
        <f t="shared" si="80"/>
        <v/>
      </c>
      <c r="AC164" s="753" t="str">
        <f t="shared" si="81"/>
        <v/>
      </c>
      <c r="AD164" s="753" t="str">
        <f t="shared" si="82"/>
        <v/>
      </c>
      <c r="AE164" s="753" t="str">
        <f t="shared" si="83"/>
        <v/>
      </c>
      <c r="AG164" s="505" t="s">
        <v>613</v>
      </c>
      <c r="AH164" s="753">
        <f t="shared" si="84"/>
        <v>0</v>
      </c>
      <c r="AI164" s="753" t="str">
        <f t="shared" si="85"/>
        <v/>
      </c>
      <c r="AJ164" s="753" t="str">
        <f t="shared" si="86"/>
        <v/>
      </c>
      <c r="AK164" s="753" t="str">
        <f t="shared" si="87"/>
        <v/>
      </c>
      <c r="AL164" s="753" t="str">
        <f t="shared" si="88"/>
        <v/>
      </c>
      <c r="AM164" s="753" t="str">
        <f t="shared" si="89"/>
        <v/>
      </c>
      <c r="AO164" s="505" t="s">
        <v>613</v>
      </c>
      <c r="AP164" s="753">
        <f t="shared" si="90"/>
        <v>0</v>
      </c>
      <c r="AQ164" s="753" t="str">
        <f t="shared" si="91"/>
        <v/>
      </c>
      <c r="AR164" s="753" t="str">
        <f t="shared" si="92"/>
        <v/>
      </c>
      <c r="AS164" s="753" t="str">
        <f t="shared" si="93"/>
        <v/>
      </c>
      <c r="AT164" s="753" t="str">
        <f t="shared" si="94"/>
        <v/>
      </c>
      <c r="AU164" s="753" t="str">
        <f t="shared" si="95"/>
        <v/>
      </c>
      <c r="AW164" s="505" t="s">
        <v>613</v>
      </c>
      <c r="AX164" s="753">
        <f t="shared" si="96"/>
        <v>0</v>
      </c>
      <c r="AY164" s="753" t="str">
        <f t="shared" si="97"/>
        <v/>
      </c>
      <c r="AZ164" s="753" t="str">
        <f t="shared" si="98"/>
        <v/>
      </c>
      <c r="BA164" s="753" t="str">
        <f t="shared" si="99"/>
        <v/>
      </c>
      <c r="BB164" s="753" t="str">
        <f t="shared" si="100"/>
        <v/>
      </c>
      <c r="BC164" s="753" t="str">
        <f t="shared" si="101"/>
        <v/>
      </c>
      <c r="BE164" s="505" t="s">
        <v>613</v>
      </c>
      <c r="BF164" s="753">
        <f t="shared" si="102"/>
        <v>0</v>
      </c>
      <c r="BG164" s="753" t="str">
        <f t="shared" si="103"/>
        <v/>
      </c>
      <c r="BH164" s="753" t="str">
        <f t="shared" si="104"/>
        <v/>
      </c>
      <c r="BI164" s="753" t="str">
        <f t="shared" si="105"/>
        <v/>
      </c>
      <c r="BJ164" s="753" t="str">
        <f t="shared" si="106"/>
        <v/>
      </c>
      <c r="BK164" s="753" t="str">
        <f t="shared" si="107"/>
        <v/>
      </c>
      <c r="BM164" s="505" t="s">
        <v>613</v>
      </c>
      <c r="BN164" s="753">
        <f t="shared" si="108"/>
        <v>0</v>
      </c>
      <c r="BO164" s="753" t="str">
        <f t="shared" si="109"/>
        <v/>
      </c>
      <c r="BP164" s="753" t="str">
        <f t="shared" si="110"/>
        <v/>
      </c>
      <c r="BQ164" s="753" t="str">
        <f t="shared" si="111"/>
        <v/>
      </c>
      <c r="BR164" s="753" t="str">
        <f t="shared" si="112"/>
        <v/>
      </c>
      <c r="BS164" s="753" t="str">
        <f t="shared" si="113"/>
        <v/>
      </c>
      <c r="BU164" s="505" t="s">
        <v>613</v>
      </c>
      <c r="BV164" s="753">
        <f t="shared" si="114"/>
        <v>0</v>
      </c>
      <c r="BW164" s="753" t="str">
        <f t="shared" si="115"/>
        <v/>
      </c>
      <c r="BX164" s="753" t="str">
        <f t="shared" si="116"/>
        <v/>
      </c>
      <c r="BY164" s="753" t="str">
        <f t="shared" si="117"/>
        <v/>
      </c>
      <c r="BZ164" s="753" t="str">
        <f t="shared" si="118"/>
        <v/>
      </c>
      <c r="CA164" s="753" t="str">
        <f t="shared" si="119"/>
        <v/>
      </c>
      <c r="CC164" s="505" t="s">
        <v>613</v>
      </c>
      <c r="CD164" s="753">
        <f t="shared" si="120"/>
        <v>0</v>
      </c>
      <c r="CE164" s="753" t="str">
        <f t="shared" si="121"/>
        <v/>
      </c>
      <c r="CF164" s="753" t="str">
        <f t="shared" si="122"/>
        <v/>
      </c>
      <c r="CG164" s="753" t="str">
        <f t="shared" si="123"/>
        <v/>
      </c>
      <c r="CH164" s="753" t="str">
        <f t="shared" si="124"/>
        <v/>
      </c>
      <c r="CI164" s="753" t="str">
        <f t="shared" si="125"/>
        <v/>
      </c>
      <c r="CK164" s="505" t="s">
        <v>613</v>
      </c>
      <c r="CL164" s="753">
        <f t="shared" si="126"/>
        <v>0</v>
      </c>
      <c r="CM164" s="753" t="str">
        <f t="shared" si="127"/>
        <v/>
      </c>
      <c r="CN164" s="753" t="str">
        <f t="shared" si="128"/>
        <v/>
      </c>
      <c r="CO164" s="753" t="str">
        <f t="shared" si="129"/>
        <v/>
      </c>
      <c r="CP164" s="753" t="str">
        <f t="shared" si="130"/>
        <v/>
      </c>
      <c r="CQ164" s="753" t="str">
        <f t="shared" si="131"/>
        <v/>
      </c>
    </row>
    <row r="165" spans="1:95">
      <c r="A165" s="505" t="s">
        <v>614</v>
      </c>
      <c r="B165" s="753">
        <f t="shared" ref="B165:G165" si="135">IF(B103&gt;0,INDEX($D$54:$D$94,B103,1),"")</f>
        <v>0</v>
      </c>
      <c r="C165" s="753" t="str">
        <f t="shared" si="135"/>
        <v/>
      </c>
      <c r="D165" s="753" t="str">
        <f t="shared" si="135"/>
        <v/>
      </c>
      <c r="E165" s="753" t="str">
        <f t="shared" si="135"/>
        <v/>
      </c>
      <c r="F165" s="753" t="str">
        <f t="shared" si="135"/>
        <v/>
      </c>
      <c r="G165" s="753" t="str">
        <f t="shared" si="135"/>
        <v/>
      </c>
      <c r="I165" s="505" t="s">
        <v>614</v>
      </c>
      <c r="J165" s="753">
        <f t="shared" si="66"/>
        <v>0</v>
      </c>
      <c r="K165" s="753" t="str">
        <f t="shared" si="67"/>
        <v/>
      </c>
      <c r="L165" s="753" t="str">
        <f t="shared" si="68"/>
        <v/>
      </c>
      <c r="M165" s="753" t="str">
        <f t="shared" si="69"/>
        <v/>
      </c>
      <c r="N165" s="753" t="str">
        <f t="shared" si="70"/>
        <v/>
      </c>
      <c r="O165" s="753" t="str">
        <f t="shared" si="71"/>
        <v/>
      </c>
      <c r="Q165" s="505" t="s">
        <v>614</v>
      </c>
      <c r="R165" s="753">
        <f t="shared" si="72"/>
        <v>0</v>
      </c>
      <c r="S165" s="753" t="str">
        <f t="shared" si="73"/>
        <v/>
      </c>
      <c r="T165" s="753" t="str">
        <f t="shared" si="74"/>
        <v/>
      </c>
      <c r="U165" s="753" t="str">
        <f t="shared" si="75"/>
        <v/>
      </c>
      <c r="V165" s="753" t="str">
        <f t="shared" si="76"/>
        <v/>
      </c>
      <c r="W165" s="753" t="str">
        <f t="shared" si="77"/>
        <v/>
      </c>
      <c r="Y165" s="505" t="s">
        <v>614</v>
      </c>
      <c r="Z165" s="753">
        <f t="shared" si="78"/>
        <v>0</v>
      </c>
      <c r="AA165" s="753" t="str">
        <f t="shared" si="79"/>
        <v/>
      </c>
      <c r="AB165" s="753" t="str">
        <f t="shared" si="80"/>
        <v/>
      </c>
      <c r="AC165" s="753" t="str">
        <f t="shared" si="81"/>
        <v/>
      </c>
      <c r="AD165" s="753" t="str">
        <f t="shared" si="82"/>
        <v/>
      </c>
      <c r="AE165" s="753" t="str">
        <f t="shared" si="83"/>
        <v/>
      </c>
      <c r="AG165" s="505" t="s">
        <v>614</v>
      </c>
      <c r="AH165" s="753">
        <f t="shared" si="84"/>
        <v>0</v>
      </c>
      <c r="AI165" s="753" t="str">
        <f t="shared" si="85"/>
        <v/>
      </c>
      <c r="AJ165" s="753" t="str">
        <f t="shared" si="86"/>
        <v/>
      </c>
      <c r="AK165" s="753" t="str">
        <f t="shared" si="87"/>
        <v/>
      </c>
      <c r="AL165" s="753" t="str">
        <f t="shared" si="88"/>
        <v/>
      </c>
      <c r="AM165" s="753" t="str">
        <f t="shared" si="89"/>
        <v/>
      </c>
      <c r="AO165" s="505" t="s">
        <v>614</v>
      </c>
      <c r="AP165" s="753">
        <f t="shared" si="90"/>
        <v>0</v>
      </c>
      <c r="AQ165" s="753" t="str">
        <f t="shared" si="91"/>
        <v/>
      </c>
      <c r="AR165" s="753" t="str">
        <f t="shared" si="92"/>
        <v/>
      </c>
      <c r="AS165" s="753" t="str">
        <f t="shared" si="93"/>
        <v/>
      </c>
      <c r="AT165" s="753" t="str">
        <f t="shared" si="94"/>
        <v/>
      </c>
      <c r="AU165" s="753" t="str">
        <f t="shared" si="95"/>
        <v/>
      </c>
      <c r="AW165" s="505" t="s">
        <v>614</v>
      </c>
      <c r="AX165" s="753">
        <f t="shared" si="96"/>
        <v>0</v>
      </c>
      <c r="AY165" s="753" t="str">
        <f t="shared" si="97"/>
        <v/>
      </c>
      <c r="AZ165" s="753" t="str">
        <f t="shared" si="98"/>
        <v/>
      </c>
      <c r="BA165" s="753" t="str">
        <f t="shared" si="99"/>
        <v/>
      </c>
      <c r="BB165" s="753" t="str">
        <f t="shared" si="100"/>
        <v/>
      </c>
      <c r="BC165" s="753" t="str">
        <f t="shared" si="101"/>
        <v/>
      </c>
      <c r="BE165" s="505" t="s">
        <v>614</v>
      </c>
      <c r="BF165" s="753">
        <f t="shared" si="102"/>
        <v>0</v>
      </c>
      <c r="BG165" s="753" t="str">
        <f t="shared" si="103"/>
        <v/>
      </c>
      <c r="BH165" s="753" t="str">
        <f t="shared" si="104"/>
        <v/>
      </c>
      <c r="BI165" s="753" t="str">
        <f t="shared" si="105"/>
        <v/>
      </c>
      <c r="BJ165" s="753" t="str">
        <f t="shared" si="106"/>
        <v/>
      </c>
      <c r="BK165" s="753" t="str">
        <f t="shared" si="107"/>
        <v/>
      </c>
      <c r="BM165" s="505" t="s">
        <v>614</v>
      </c>
      <c r="BN165" s="753">
        <f t="shared" si="108"/>
        <v>0</v>
      </c>
      <c r="BO165" s="753" t="str">
        <f t="shared" si="109"/>
        <v/>
      </c>
      <c r="BP165" s="753" t="str">
        <f t="shared" si="110"/>
        <v/>
      </c>
      <c r="BQ165" s="753" t="str">
        <f t="shared" si="111"/>
        <v/>
      </c>
      <c r="BR165" s="753" t="str">
        <f t="shared" si="112"/>
        <v/>
      </c>
      <c r="BS165" s="753" t="str">
        <f t="shared" si="113"/>
        <v/>
      </c>
      <c r="BU165" s="505" t="s">
        <v>614</v>
      </c>
      <c r="BV165" s="753">
        <f t="shared" si="114"/>
        <v>0</v>
      </c>
      <c r="BW165" s="753" t="str">
        <f t="shared" si="115"/>
        <v/>
      </c>
      <c r="BX165" s="753" t="str">
        <f t="shared" si="116"/>
        <v/>
      </c>
      <c r="BY165" s="753" t="str">
        <f t="shared" si="117"/>
        <v/>
      </c>
      <c r="BZ165" s="753" t="str">
        <f t="shared" si="118"/>
        <v/>
      </c>
      <c r="CA165" s="753" t="str">
        <f t="shared" si="119"/>
        <v/>
      </c>
      <c r="CC165" s="505" t="s">
        <v>614</v>
      </c>
      <c r="CD165" s="753">
        <f t="shared" si="120"/>
        <v>0</v>
      </c>
      <c r="CE165" s="753" t="str">
        <f t="shared" si="121"/>
        <v/>
      </c>
      <c r="CF165" s="753" t="str">
        <f t="shared" si="122"/>
        <v/>
      </c>
      <c r="CG165" s="753" t="str">
        <f t="shared" si="123"/>
        <v/>
      </c>
      <c r="CH165" s="753" t="str">
        <f t="shared" si="124"/>
        <v/>
      </c>
      <c r="CI165" s="753" t="str">
        <f t="shared" si="125"/>
        <v/>
      </c>
      <c r="CK165" s="505" t="s">
        <v>614</v>
      </c>
      <c r="CL165" s="753">
        <f t="shared" si="126"/>
        <v>0</v>
      </c>
      <c r="CM165" s="753" t="str">
        <f t="shared" si="127"/>
        <v/>
      </c>
      <c r="CN165" s="753" t="str">
        <f t="shared" si="128"/>
        <v/>
      </c>
      <c r="CO165" s="753" t="str">
        <f t="shared" si="129"/>
        <v/>
      </c>
      <c r="CP165" s="753" t="str">
        <f t="shared" si="130"/>
        <v/>
      </c>
      <c r="CQ165" s="753" t="str">
        <f t="shared" si="131"/>
        <v/>
      </c>
    </row>
    <row r="166" spans="1:95">
      <c r="A166" s="505" t="s">
        <v>283</v>
      </c>
      <c r="B166" s="753">
        <f t="shared" ref="B166:G166" si="136">IF(B104&gt;0,INDEX($D$54:$D$94,B104,1),"")</f>
        <v>0</v>
      </c>
      <c r="C166" s="753">
        <f t="shared" si="136"/>
        <v>0</v>
      </c>
      <c r="D166" s="753" t="str">
        <f t="shared" si="136"/>
        <v/>
      </c>
      <c r="E166" s="753" t="str">
        <f t="shared" si="136"/>
        <v/>
      </c>
      <c r="F166" s="753" t="str">
        <f t="shared" si="136"/>
        <v/>
      </c>
      <c r="G166" s="753" t="str">
        <f t="shared" si="136"/>
        <v/>
      </c>
      <c r="I166" s="505" t="s">
        <v>283</v>
      </c>
      <c r="J166" s="753">
        <f t="shared" si="66"/>
        <v>0</v>
      </c>
      <c r="K166" s="753">
        <f t="shared" si="67"/>
        <v>0</v>
      </c>
      <c r="L166" s="753" t="str">
        <f t="shared" si="68"/>
        <v/>
      </c>
      <c r="M166" s="753" t="str">
        <f t="shared" si="69"/>
        <v/>
      </c>
      <c r="N166" s="753" t="str">
        <f t="shared" si="70"/>
        <v/>
      </c>
      <c r="O166" s="753" t="str">
        <f t="shared" si="71"/>
        <v/>
      </c>
      <c r="Q166" s="505" t="s">
        <v>283</v>
      </c>
      <c r="R166" s="753">
        <f t="shared" si="72"/>
        <v>0</v>
      </c>
      <c r="S166" s="753">
        <f t="shared" si="73"/>
        <v>0</v>
      </c>
      <c r="T166" s="753" t="str">
        <f t="shared" si="74"/>
        <v/>
      </c>
      <c r="U166" s="753" t="str">
        <f t="shared" si="75"/>
        <v/>
      </c>
      <c r="V166" s="753" t="str">
        <f t="shared" si="76"/>
        <v/>
      </c>
      <c r="W166" s="753" t="str">
        <f t="shared" si="77"/>
        <v/>
      </c>
      <c r="Y166" s="505" t="s">
        <v>283</v>
      </c>
      <c r="Z166" s="753">
        <f t="shared" si="78"/>
        <v>0</v>
      </c>
      <c r="AA166" s="753">
        <f t="shared" si="79"/>
        <v>0</v>
      </c>
      <c r="AB166" s="753" t="str">
        <f t="shared" si="80"/>
        <v/>
      </c>
      <c r="AC166" s="753" t="str">
        <f t="shared" si="81"/>
        <v/>
      </c>
      <c r="AD166" s="753" t="str">
        <f t="shared" si="82"/>
        <v/>
      </c>
      <c r="AE166" s="753" t="str">
        <f t="shared" si="83"/>
        <v/>
      </c>
      <c r="AG166" s="505" t="s">
        <v>283</v>
      </c>
      <c r="AH166" s="753">
        <f t="shared" si="84"/>
        <v>0</v>
      </c>
      <c r="AI166" s="753">
        <f t="shared" si="85"/>
        <v>0</v>
      </c>
      <c r="AJ166" s="753" t="str">
        <f t="shared" si="86"/>
        <v/>
      </c>
      <c r="AK166" s="753" t="str">
        <f t="shared" si="87"/>
        <v/>
      </c>
      <c r="AL166" s="753" t="str">
        <f t="shared" si="88"/>
        <v/>
      </c>
      <c r="AM166" s="753" t="str">
        <f t="shared" si="89"/>
        <v/>
      </c>
      <c r="AO166" s="505" t="s">
        <v>283</v>
      </c>
      <c r="AP166" s="753">
        <f t="shared" si="90"/>
        <v>0</v>
      </c>
      <c r="AQ166" s="753">
        <f t="shared" si="91"/>
        <v>0</v>
      </c>
      <c r="AR166" s="753" t="str">
        <f t="shared" si="92"/>
        <v/>
      </c>
      <c r="AS166" s="753" t="str">
        <f t="shared" si="93"/>
        <v/>
      </c>
      <c r="AT166" s="753" t="str">
        <f t="shared" si="94"/>
        <v/>
      </c>
      <c r="AU166" s="753" t="str">
        <f t="shared" si="95"/>
        <v/>
      </c>
      <c r="AW166" s="505" t="s">
        <v>283</v>
      </c>
      <c r="AX166" s="753">
        <f t="shared" si="96"/>
        <v>0</v>
      </c>
      <c r="AY166" s="753">
        <f t="shared" si="97"/>
        <v>0</v>
      </c>
      <c r="AZ166" s="753" t="str">
        <f t="shared" si="98"/>
        <v/>
      </c>
      <c r="BA166" s="753" t="str">
        <f t="shared" si="99"/>
        <v/>
      </c>
      <c r="BB166" s="753" t="str">
        <f t="shared" si="100"/>
        <v/>
      </c>
      <c r="BC166" s="753" t="str">
        <f t="shared" si="101"/>
        <v/>
      </c>
      <c r="BE166" s="505" t="s">
        <v>283</v>
      </c>
      <c r="BF166" s="753">
        <f t="shared" si="102"/>
        <v>0</v>
      </c>
      <c r="BG166" s="753">
        <f t="shared" si="103"/>
        <v>0</v>
      </c>
      <c r="BH166" s="753" t="str">
        <f t="shared" si="104"/>
        <v/>
      </c>
      <c r="BI166" s="753" t="str">
        <f t="shared" si="105"/>
        <v/>
      </c>
      <c r="BJ166" s="753" t="str">
        <f t="shared" si="106"/>
        <v/>
      </c>
      <c r="BK166" s="753" t="str">
        <f t="shared" si="107"/>
        <v/>
      </c>
      <c r="BM166" s="505" t="s">
        <v>283</v>
      </c>
      <c r="BN166" s="753">
        <f t="shared" si="108"/>
        <v>0</v>
      </c>
      <c r="BO166" s="753">
        <f t="shared" si="109"/>
        <v>0</v>
      </c>
      <c r="BP166" s="753" t="str">
        <f t="shared" si="110"/>
        <v/>
      </c>
      <c r="BQ166" s="753" t="str">
        <f t="shared" si="111"/>
        <v/>
      </c>
      <c r="BR166" s="753" t="str">
        <f t="shared" si="112"/>
        <v/>
      </c>
      <c r="BS166" s="753" t="str">
        <f t="shared" si="113"/>
        <v/>
      </c>
      <c r="BU166" s="505" t="s">
        <v>283</v>
      </c>
      <c r="BV166" s="753">
        <f t="shared" si="114"/>
        <v>0</v>
      </c>
      <c r="BW166" s="753">
        <f t="shared" si="115"/>
        <v>0</v>
      </c>
      <c r="BX166" s="753" t="str">
        <f t="shared" si="116"/>
        <v/>
      </c>
      <c r="BY166" s="753" t="str">
        <f t="shared" si="117"/>
        <v/>
      </c>
      <c r="BZ166" s="753" t="str">
        <f t="shared" si="118"/>
        <v/>
      </c>
      <c r="CA166" s="753" t="str">
        <f t="shared" si="119"/>
        <v/>
      </c>
      <c r="CC166" s="505" t="s">
        <v>283</v>
      </c>
      <c r="CD166" s="753">
        <f t="shared" si="120"/>
        <v>0</v>
      </c>
      <c r="CE166" s="753">
        <f t="shared" si="121"/>
        <v>0</v>
      </c>
      <c r="CF166" s="753" t="str">
        <f t="shared" si="122"/>
        <v/>
      </c>
      <c r="CG166" s="753" t="str">
        <f t="shared" si="123"/>
        <v/>
      </c>
      <c r="CH166" s="753" t="str">
        <f t="shared" si="124"/>
        <v/>
      </c>
      <c r="CI166" s="753" t="str">
        <f t="shared" si="125"/>
        <v/>
      </c>
      <c r="CK166" s="505" t="s">
        <v>283</v>
      </c>
      <c r="CL166" s="753">
        <f t="shared" si="126"/>
        <v>0</v>
      </c>
      <c r="CM166" s="753">
        <f t="shared" si="127"/>
        <v>0</v>
      </c>
      <c r="CN166" s="753" t="str">
        <f t="shared" si="128"/>
        <v/>
      </c>
      <c r="CO166" s="753" t="str">
        <f t="shared" si="129"/>
        <v/>
      </c>
      <c r="CP166" s="753" t="str">
        <f t="shared" si="130"/>
        <v/>
      </c>
      <c r="CQ166" s="753" t="str">
        <f t="shared" si="131"/>
        <v/>
      </c>
    </row>
    <row r="167" spans="1:95">
      <c r="A167" s="505" t="s">
        <v>284</v>
      </c>
      <c r="B167" s="753">
        <f t="shared" ref="B167:G167" si="137">IF(B105&gt;0,INDEX($D$54:$D$94,B105,1),"")</f>
        <v>0</v>
      </c>
      <c r="C167" s="753" t="str">
        <f t="shared" si="137"/>
        <v/>
      </c>
      <c r="D167" s="753" t="str">
        <f t="shared" si="137"/>
        <v/>
      </c>
      <c r="E167" s="753" t="str">
        <f t="shared" si="137"/>
        <v/>
      </c>
      <c r="F167" s="753" t="str">
        <f t="shared" si="137"/>
        <v/>
      </c>
      <c r="G167" s="753" t="str">
        <f t="shared" si="137"/>
        <v/>
      </c>
      <c r="I167" s="505" t="s">
        <v>284</v>
      </c>
      <c r="J167" s="753">
        <f t="shared" si="66"/>
        <v>0</v>
      </c>
      <c r="K167" s="753" t="str">
        <f t="shared" si="67"/>
        <v/>
      </c>
      <c r="L167" s="753" t="str">
        <f t="shared" si="68"/>
        <v/>
      </c>
      <c r="M167" s="753" t="str">
        <f t="shared" si="69"/>
        <v/>
      </c>
      <c r="N167" s="753" t="str">
        <f t="shared" si="70"/>
        <v/>
      </c>
      <c r="O167" s="753" t="str">
        <f t="shared" si="71"/>
        <v/>
      </c>
      <c r="Q167" s="505" t="s">
        <v>284</v>
      </c>
      <c r="R167" s="753">
        <f t="shared" si="72"/>
        <v>0</v>
      </c>
      <c r="S167" s="753" t="str">
        <f t="shared" si="73"/>
        <v/>
      </c>
      <c r="T167" s="753" t="str">
        <f t="shared" si="74"/>
        <v/>
      </c>
      <c r="U167" s="753" t="str">
        <f t="shared" si="75"/>
        <v/>
      </c>
      <c r="V167" s="753" t="str">
        <f t="shared" si="76"/>
        <v/>
      </c>
      <c r="W167" s="753" t="str">
        <f t="shared" si="77"/>
        <v/>
      </c>
      <c r="Y167" s="505" t="s">
        <v>284</v>
      </c>
      <c r="Z167" s="753">
        <f t="shared" si="78"/>
        <v>0</v>
      </c>
      <c r="AA167" s="753" t="str">
        <f t="shared" si="79"/>
        <v/>
      </c>
      <c r="AB167" s="753" t="str">
        <f t="shared" si="80"/>
        <v/>
      </c>
      <c r="AC167" s="753" t="str">
        <f t="shared" si="81"/>
        <v/>
      </c>
      <c r="AD167" s="753" t="str">
        <f t="shared" si="82"/>
        <v/>
      </c>
      <c r="AE167" s="753" t="str">
        <f t="shared" si="83"/>
        <v/>
      </c>
      <c r="AG167" s="505" t="s">
        <v>284</v>
      </c>
      <c r="AH167" s="753">
        <f t="shared" si="84"/>
        <v>0</v>
      </c>
      <c r="AI167" s="753" t="str">
        <f t="shared" si="85"/>
        <v/>
      </c>
      <c r="AJ167" s="753" t="str">
        <f t="shared" si="86"/>
        <v/>
      </c>
      <c r="AK167" s="753" t="str">
        <f t="shared" si="87"/>
        <v/>
      </c>
      <c r="AL167" s="753" t="str">
        <f t="shared" si="88"/>
        <v/>
      </c>
      <c r="AM167" s="753" t="str">
        <f t="shared" si="89"/>
        <v/>
      </c>
      <c r="AO167" s="505" t="s">
        <v>284</v>
      </c>
      <c r="AP167" s="753">
        <f t="shared" si="90"/>
        <v>0</v>
      </c>
      <c r="AQ167" s="753" t="str">
        <f t="shared" si="91"/>
        <v/>
      </c>
      <c r="AR167" s="753" t="str">
        <f t="shared" si="92"/>
        <v/>
      </c>
      <c r="AS167" s="753" t="str">
        <f t="shared" si="93"/>
        <v/>
      </c>
      <c r="AT167" s="753" t="str">
        <f t="shared" si="94"/>
        <v/>
      </c>
      <c r="AU167" s="753" t="str">
        <f t="shared" si="95"/>
        <v/>
      </c>
      <c r="AW167" s="505" t="s">
        <v>284</v>
      </c>
      <c r="AX167" s="753">
        <f t="shared" si="96"/>
        <v>0</v>
      </c>
      <c r="AY167" s="753" t="str">
        <f t="shared" si="97"/>
        <v/>
      </c>
      <c r="AZ167" s="753" t="str">
        <f t="shared" si="98"/>
        <v/>
      </c>
      <c r="BA167" s="753" t="str">
        <f t="shared" si="99"/>
        <v/>
      </c>
      <c r="BB167" s="753" t="str">
        <f t="shared" si="100"/>
        <v/>
      </c>
      <c r="BC167" s="753" t="str">
        <f t="shared" si="101"/>
        <v/>
      </c>
      <c r="BE167" s="505" t="s">
        <v>284</v>
      </c>
      <c r="BF167" s="753">
        <f t="shared" si="102"/>
        <v>0</v>
      </c>
      <c r="BG167" s="753" t="str">
        <f t="shared" si="103"/>
        <v/>
      </c>
      <c r="BH167" s="753" t="str">
        <f t="shared" si="104"/>
        <v/>
      </c>
      <c r="BI167" s="753" t="str">
        <f t="shared" si="105"/>
        <v/>
      </c>
      <c r="BJ167" s="753" t="str">
        <f t="shared" si="106"/>
        <v/>
      </c>
      <c r="BK167" s="753" t="str">
        <f t="shared" si="107"/>
        <v/>
      </c>
      <c r="BM167" s="505" t="s">
        <v>284</v>
      </c>
      <c r="BN167" s="753">
        <f t="shared" si="108"/>
        <v>0</v>
      </c>
      <c r="BO167" s="753" t="str">
        <f t="shared" si="109"/>
        <v/>
      </c>
      <c r="BP167" s="753" t="str">
        <f t="shared" si="110"/>
        <v/>
      </c>
      <c r="BQ167" s="753" t="str">
        <f t="shared" si="111"/>
        <v/>
      </c>
      <c r="BR167" s="753" t="str">
        <f t="shared" si="112"/>
        <v/>
      </c>
      <c r="BS167" s="753" t="str">
        <f t="shared" si="113"/>
        <v/>
      </c>
      <c r="BU167" s="505" t="s">
        <v>284</v>
      </c>
      <c r="BV167" s="753">
        <f t="shared" si="114"/>
        <v>0</v>
      </c>
      <c r="BW167" s="753" t="str">
        <f t="shared" si="115"/>
        <v/>
      </c>
      <c r="BX167" s="753" t="str">
        <f t="shared" si="116"/>
        <v/>
      </c>
      <c r="BY167" s="753" t="str">
        <f t="shared" si="117"/>
        <v/>
      </c>
      <c r="BZ167" s="753" t="str">
        <f t="shared" si="118"/>
        <v/>
      </c>
      <c r="CA167" s="753" t="str">
        <f t="shared" si="119"/>
        <v/>
      </c>
      <c r="CC167" s="505" t="s">
        <v>284</v>
      </c>
      <c r="CD167" s="753">
        <f t="shared" si="120"/>
        <v>0</v>
      </c>
      <c r="CE167" s="753" t="str">
        <f t="shared" si="121"/>
        <v/>
      </c>
      <c r="CF167" s="753" t="str">
        <f t="shared" si="122"/>
        <v/>
      </c>
      <c r="CG167" s="753" t="str">
        <f t="shared" si="123"/>
        <v/>
      </c>
      <c r="CH167" s="753" t="str">
        <f t="shared" si="124"/>
        <v/>
      </c>
      <c r="CI167" s="753" t="str">
        <f t="shared" si="125"/>
        <v/>
      </c>
      <c r="CK167" s="505" t="s">
        <v>284</v>
      </c>
      <c r="CL167" s="753">
        <f t="shared" si="126"/>
        <v>0</v>
      </c>
      <c r="CM167" s="753" t="str">
        <f t="shared" si="127"/>
        <v/>
      </c>
      <c r="CN167" s="753" t="str">
        <f t="shared" si="128"/>
        <v/>
      </c>
      <c r="CO167" s="753" t="str">
        <f t="shared" si="129"/>
        <v/>
      </c>
      <c r="CP167" s="753" t="str">
        <f t="shared" si="130"/>
        <v/>
      </c>
      <c r="CQ167" s="753" t="str">
        <f t="shared" si="131"/>
        <v/>
      </c>
    </row>
    <row r="168" spans="1:95">
      <c r="A168" s="505" t="s">
        <v>288</v>
      </c>
      <c r="B168" s="753">
        <f t="shared" ref="B168:G168" si="138">IF(B106&gt;0,INDEX($D$54:$D$94,B106,1),"")</f>
        <v>0</v>
      </c>
      <c r="C168" s="753" t="str">
        <f t="shared" si="138"/>
        <v/>
      </c>
      <c r="D168" s="753" t="str">
        <f t="shared" si="138"/>
        <v/>
      </c>
      <c r="E168" s="753" t="str">
        <f t="shared" si="138"/>
        <v/>
      </c>
      <c r="F168" s="753" t="str">
        <f t="shared" si="138"/>
        <v/>
      </c>
      <c r="G168" s="753" t="str">
        <f t="shared" si="138"/>
        <v/>
      </c>
      <c r="I168" s="505" t="s">
        <v>288</v>
      </c>
      <c r="J168" s="753">
        <f t="shared" si="66"/>
        <v>0</v>
      </c>
      <c r="K168" s="753" t="str">
        <f t="shared" si="67"/>
        <v/>
      </c>
      <c r="L168" s="753" t="str">
        <f t="shared" si="68"/>
        <v/>
      </c>
      <c r="M168" s="753" t="str">
        <f t="shared" si="69"/>
        <v/>
      </c>
      <c r="N168" s="753" t="str">
        <f t="shared" si="70"/>
        <v/>
      </c>
      <c r="O168" s="753" t="str">
        <f t="shared" si="71"/>
        <v/>
      </c>
      <c r="Q168" s="505" t="s">
        <v>288</v>
      </c>
      <c r="R168" s="753">
        <f t="shared" si="72"/>
        <v>0</v>
      </c>
      <c r="S168" s="753" t="str">
        <f t="shared" si="73"/>
        <v/>
      </c>
      <c r="T168" s="753" t="str">
        <f t="shared" si="74"/>
        <v/>
      </c>
      <c r="U168" s="753" t="str">
        <f t="shared" si="75"/>
        <v/>
      </c>
      <c r="V168" s="753" t="str">
        <f t="shared" si="76"/>
        <v/>
      </c>
      <c r="W168" s="753" t="str">
        <f t="shared" si="77"/>
        <v/>
      </c>
      <c r="Y168" s="505" t="s">
        <v>288</v>
      </c>
      <c r="Z168" s="753">
        <f t="shared" si="78"/>
        <v>0</v>
      </c>
      <c r="AA168" s="753" t="str">
        <f t="shared" si="79"/>
        <v/>
      </c>
      <c r="AB168" s="753" t="str">
        <f t="shared" si="80"/>
        <v/>
      </c>
      <c r="AC168" s="753" t="str">
        <f t="shared" si="81"/>
        <v/>
      </c>
      <c r="AD168" s="753" t="str">
        <f t="shared" si="82"/>
        <v/>
      </c>
      <c r="AE168" s="753" t="str">
        <f t="shared" si="83"/>
        <v/>
      </c>
      <c r="AG168" s="505" t="s">
        <v>288</v>
      </c>
      <c r="AH168" s="753">
        <f t="shared" si="84"/>
        <v>0</v>
      </c>
      <c r="AI168" s="753" t="str">
        <f t="shared" si="85"/>
        <v/>
      </c>
      <c r="AJ168" s="753" t="str">
        <f t="shared" si="86"/>
        <v/>
      </c>
      <c r="AK168" s="753" t="str">
        <f t="shared" si="87"/>
        <v/>
      </c>
      <c r="AL168" s="753" t="str">
        <f t="shared" si="88"/>
        <v/>
      </c>
      <c r="AM168" s="753" t="str">
        <f t="shared" si="89"/>
        <v/>
      </c>
      <c r="AO168" s="505" t="s">
        <v>288</v>
      </c>
      <c r="AP168" s="753">
        <f t="shared" si="90"/>
        <v>0</v>
      </c>
      <c r="AQ168" s="753" t="str">
        <f t="shared" si="91"/>
        <v/>
      </c>
      <c r="AR168" s="753" t="str">
        <f t="shared" si="92"/>
        <v/>
      </c>
      <c r="AS168" s="753" t="str">
        <f t="shared" si="93"/>
        <v/>
      </c>
      <c r="AT168" s="753" t="str">
        <f t="shared" si="94"/>
        <v/>
      </c>
      <c r="AU168" s="753" t="str">
        <f t="shared" si="95"/>
        <v/>
      </c>
      <c r="AW168" s="505" t="s">
        <v>288</v>
      </c>
      <c r="AX168" s="753">
        <f t="shared" si="96"/>
        <v>0</v>
      </c>
      <c r="AY168" s="753" t="str">
        <f t="shared" si="97"/>
        <v/>
      </c>
      <c r="AZ168" s="753" t="str">
        <f t="shared" si="98"/>
        <v/>
      </c>
      <c r="BA168" s="753" t="str">
        <f t="shared" si="99"/>
        <v/>
      </c>
      <c r="BB168" s="753" t="str">
        <f t="shared" si="100"/>
        <v/>
      </c>
      <c r="BC168" s="753" t="str">
        <f t="shared" si="101"/>
        <v/>
      </c>
      <c r="BE168" s="505" t="s">
        <v>288</v>
      </c>
      <c r="BF168" s="753">
        <f t="shared" si="102"/>
        <v>0</v>
      </c>
      <c r="BG168" s="753" t="str">
        <f t="shared" si="103"/>
        <v/>
      </c>
      <c r="BH168" s="753" t="str">
        <f t="shared" si="104"/>
        <v/>
      </c>
      <c r="BI168" s="753" t="str">
        <f t="shared" si="105"/>
        <v/>
      </c>
      <c r="BJ168" s="753" t="str">
        <f t="shared" si="106"/>
        <v/>
      </c>
      <c r="BK168" s="753" t="str">
        <f t="shared" si="107"/>
        <v/>
      </c>
      <c r="BM168" s="505" t="s">
        <v>288</v>
      </c>
      <c r="BN168" s="753">
        <f t="shared" si="108"/>
        <v>0</v>
      </c>
      <c r="BO168" s="753" t="str">
        <f t="shared" si="109"/>
        <v/>
      </c>
      <c r="BP168" s="753" t="str">
        <f t="shared" si="110"/>
        <v/>
      </c>
      <c r="BQ168" s="753" t="str">
        <f t="shared" si="111"/>
        <v/>
      </c>
      <c r="BR168" s="753" t="str">
        <f t="shared" si="112"/>
        <v/>
      </c>
      <c r="BS168" s="753" t="str">
        <f t="shared" si="113"/>
        <v/>
      </c>
      <c r="BU168" s="505" t="s">
        <v>288</v>
      </c>
      <c r="BV168" s="753">
        <f t="shared" si="114"/>
        <v>0</v>
      </c>
      <c r="BW168" s="753" t="str">
        <f t="shared" si="115"/>
        <v/>
      </c>
      <c r="BX168" s="753" t="str">
        <f t="shared" si="116"/>
        <v/>
      </c>
      <c r="BY168" s="753" t="str">
        <f t="shared" si="117"/>
        <v/>
      </c>
      <c r="BZ168" s="753" t="str">
        <f t="shared" si="118"/>
        <v/>
      </c>
      <c r="CA168" s="753" t="str">
        <f t="shared" si="119"/>
        <v/>
      </c>
      <c r="CC168" s="505" t="s">
        <v>288</v>
      </c>
      <c r="CD168" s="753">
        <f t="shared" si="120"/>
        <v>0</v>
      </c>
      <c r="CE168" s="753" t="str">
        <f t="shared" si="121"/>
        <v/>
      </c>
      <c r="CF168" s="753" t="str">
        <f t="shared" si="122"/>
        <v/>
      </c>
      <c r="CG168" s="753" t="str">
        <f t="shared" si="123"/>
        <v/>
      </c>
      <c r="CH168" s="753" t="str">
        <f t="shared" si="124"/>
        <v/>
      </c>
      <c r="CI168" s="753" t="str">
        <f t="shared" si="125"/>
        <v/>
      </c>
      <c r="CK168" s="505" t="s">
        <v>288</v>
      </c>
      <c r="CL168" s="753">
        <f t="shared" si="126"/>
        <v>0</v>
      </c>
      <c r="CM168" s="753" t="str">
        <f t="shared" si="127"/>
        <v/>
      </c>
      <c r="CN168" s="753" t="str">
        <f t="shared" si="128"/>
        <v/>
      </c>
      <c r="CO168" s="753" t="str">
        <f t="shared" si="129"/>
        <v/>
      </c>
      <c r="CP168" s="753" t="str">
        <f t="shared" si="130"/>
        <v/>
      </c>
      <c r="CQ168" s="753" t="str">
        <f t="shared" si="131"/>
        <v/>
      </c>
    </row>
    <row r="169" spans="1:95">
      <c r="A169" s="505" t="s">
        <v>453</v>
      </c>
      <c r="B169" s="753">
        <f t="shared" ref="B169:G169" si="139">IF(B107&gt;0,INDEX($D$54:$D$94,B107,1),"")</f>
        <v>0</v>
      </c>
      <c r="C169" s="753">
        <f t="shared" si="139"/>
        <v>4</v>
      </c>
      <c r="D169" s="753">
        <f t="shared" si="139"/>
        <v>0</v>
      </c>
      <c r="E169" s="753">
        <f t="shared" si="139"/>
        <v>0</v>
      </c>
      <c r="F169" s="753">
        <f t="shared" si="139"/>
        <v>2</v>
      </c>
      <c r="G169" s="753">
        <f t="shared" si="139"/>
        <v>8</v>
      </c>
      <c r="I169" s="505" t="s">
        <v>453</v>
      </c>
      <c r="J169" s="753">
        <f t="shared" si="66"/>
        <v>0</v>
      </c>
      <c r="K169" s="753">
        <f t="shared" si="67"/>
        <v>4</v>
      </c>
      <c r="L169" s="753">
        <f t="shared" si="68"/>
        <v>0</v>
      </c>
      <c r="M169" s="753">
        <f t="shared" si="69"/>
        <v>0</v>
      </c>
      <c r="N169" s="753">
        <f t="shared" si="70"/>
        <v>2</v>
      </c>
      <c r="O169" s="753">
        <f t="shared" si="71"/>
        <v>8</v>
      </c>
      <c r="Q169" s="505" t="s">
        <v>453</v>
      </c>
      <c r="R169" s="753">
        <f t="shared" si="72"/>
        <v>0</v>
      </c>
      <c r="S169" s="753">
        <f t="shared" si="73"/>
        <v>4</v>
      </c>
      <c r="T169" s="753">
        <f t="shared" si="74"/>
        <v>0</v>
      </c>
      <c r="U169" s="753">
        <f t="shared" si="75"/>
        <v>0</v>
      </c>
      <c r="V169" s="753">
        <f t="shared" si="76"/>
        <v>2</v>
      </c>
      <c r="W169" s="753">
        <f t="shared" si="77"/>
        <v>8</v>
      </c>
      <c r="Y169" s="505" t="s">
        <v>453</v>
      </c>
      <c r="Z169" s="753">
        <f t="shared" si="78"/>
        <v>0</v>
      </c>
      <c r="AA169" s="753">
        <f t="shared" si="79"/>
        <v>4</v>
      </c>
      <c r="AB169" s="753">
        <f t="shared" si="80"/>
        <v>0</v>
      </c>
      <c r="AC169" s="753">
        <f t="shared" si="81"/>
        <v>0</v>
      </c>
      <c r="AD169" s="753">
        <f t="shared" si="82"/>
        <v>2</v>
      </c>
      <c r="AE169" s="753">
        <f t="shared" si="83"/>
        <v>8</v>
      </c>
      <c r="AG169" s="505" t="s">
        <v>453</v>
      </c>
      <c r="AH169" s="753">
        <f t="shared" si="84"/>
        <v>0</v>
      </c>
      <c r="AI169" s="753">
        <f t="shared" si="85"/>
        <v>4</v>
      </c>
      <c r="AJ169" s="753">
        <f t="shared" si="86"/>
        <v>0</v>
      </c>
      <c r="AK169" s="753">
        <f t="shared" si="87"/>
        <v>0</v>
      </c>
      <c r="AL169" s="753">
        <f t="shared" si="88"/>
        <v>2</v>
      </c>
      <c r="AM169" s="753">
        <f t="shared" si="89"/>
        <v>8</v>
      </c>
      <c r="AO169" s="505" t="s">
        <v>453</v>
      </c>
      <c r="AP169" s="753">
        <f t="shared" si="90"/>
        <v>0</v>
      </c>
      <c r="AQ169" s="753">
        <f t="shared" si="91"/>
        <v>4</v>
      </c>
      <c r="AR169" s="753">
        <f t="shared" si="92"/>
        <v>0</v>
      </c>
      <c r="AS169" s="753">
        <f t="shared" si="93"/>
        <v>0</v>
      </c>
      <c r="AT169" s="753">
        <f t="shared" si="94"/>
        <v>2</v>
      </c>
      <c r="AU169" s="753">
        <f t="shared" si="95"/>
        <v>8</v>
      </c>
      <c r="AW169" s="505" t="s">
        <v>453</v>
      </c>
      <c r="AX169" s="753">
        <f t="shared" si="96"/>
        <v>0</v>
      </c>
      <c r="AY169" s="753">
        <f t="shared" si="97"/>
        <v>4</v>
      </c>
      <c r="AZ169" s="753">
        <f t="shared" si="98"/>
        <v>0</v>
      </c>
      <c r="BA169" s="753">
        <f t="shared" si="99"/>
        <v>0</v>
      </c>
      <c r="BB169" s="753">
        <f t="shared" si="100"/>
        <v>2</v>
      </c>
      <c r="BC169" s="753">
        <f t="shared" si="101"/>
        <v>8</v>
      </c>
      <c r="BE169" s="505" t="s">
        <v>453</v>
      </c>
      <c r="BF169" s="753">
        <f t="shared" si="102"/>
        <v>0</v>
      </c>
      <c r="BG169" s="753">
        <f t="shared" si="103"/>
        <v>4</v>
      </c>
      <c r="BH169" s="753">
        <f t="shared" si="104"/>
        <v>0</v>
      </c>
      <c r="BI169" s="753">
        <f t="shared" si="105"/>
        <v>0</v>
      </c>
      <c r="BJ169" s="753">
        <f t="shared" si="106"/>
        <v>2</v>
      </c>
      <c r="BK169" s="753">
        <f t="shared" si="107"/>
        <v>8</v>
      </c>
      <c r="BM169" s="505" t="s">
        <v>453</v>
      </c>
      <c r="BN169" s="753">
        <f t="shared" si="108"/>
        <v>0</v>
      </c>
      <c r="BO169" s="753">
        <f t="shared" si="109"/>
        <v>4</v>
      </c>
      <c r="BP169" s="753">
        <f t="shared" si="110"/>
        <v>0</v>
      </c>
      <c r="BQ169" s="753">
        <f t="shared" si="111"/>
        <v>0</v>
      </c>
      <c r="BR169" s="753">
        <f t="shared" si="112"/>
        <v>2</v>
      </c>
      <c r="BS169" s="753">
        <f t="shared" si="113"/>
        <v>8</v>
      </c>
      <c r="BU169" s="505" t="s">
        <v>453</v>
      </c>
      <c r="BV169" s="753">
        <f t="shared" si="114"/>
        <v>0</v>
      </c>
      <c r="BW169" s="753">
        <f t="shared" si="115"/>
        <v>4</v>
      </c>
      <c r="BX169" s="753">
        <f t="shared" si="116"/>
        <v>0</v>
      </c>
      <c r="BY169" s="753">
        <f t="shared" si="117"/>
        <v>0</v>
      </c>
      <c r="BZ169" s="753">
        <f t="shared" si="118"/>
        <v>2</v>
      </c>
      <c r="CA169" s="753">
        <f t="shared" si="119"/>
        <v>8</v>
      </c>
      <c r="CC169" s="505" t="s">
        <v>453</v>
      </c>
      <c r="CD169" s="753">
        <f t="shared" si="120"/>
        <v>0</v>
      </c>
      <c r="CE169" s="753">
        <f t="shared" si="121"/>
        <v>4</v>
      </c>
      <c r="CF169" s="753">
        <f t="shared" si="122"/>
        <v>0</v>
      </c>
      <c r="CG169" s="753">
        <f t="shared" si="123"/>
        <v>0</v>
      </c>
      <c r="CH169" s="753">
        <f t="shared" si="124"/>
        <v>2</v>
      </c>
      <c r="CI169" s="753">
        <f t="shared" si="125"/>
        <v>8</v>
      </c>
      <c r="CK169" s="505" t="s">
        <v>453</v>
      </c>
      <c r="CL169" s="753">
        <f t="shared" si="126"/>
        <v>0</v>
      </c>
      <c r="CM169" s="753">
        <f t="shared" si="127"/>
        <v>4</v>
      </c>
      <c r="CN169" s="753">
        <f t="shared" si="128"/>
        <v>0</v>
      </c>
      <c r="CO169" s="753">
        <f t="shared" si="129"/>
        <v>0</v>
      </c>
      <c r="CP169" s="753">
        <f t="shared" si="130"/>
        <v>2</v>
      </c>
      <c r="CQ169" s="753">
        <f t="shared" si="131"/>
        <v>8</v>
      </c>
    </row>
    <row r="170" spans="1:95">
      <c r="A170" s="505" t="s">
        <v>435</v>
      </c>
      <c r="B170" s="753">
        <f t="shared" ref="B170:G170" si="140">IF(B108&gt;0,INDEX($D$54:$D$94,B108,1),"")</f>
        <v>0</v>
      </c>
      <c r="C170" s="753">
        <f t="shared" si="140"/>
        <v>0</v>
      </c>
      <c r="D170" s="753" t="str">
        <f t="shared" si="140"/>
        <v/>
      </c>
      <c r="E170" s="753" t="str">
        <f t="shared" si="140"/>
        <v/>
      </c>
      <c r="F170" s="753" t="str">
        <f t="shared" si="140"/>
        <v/>
      </c>
      <c r="G170" s="753" t="str">
        <f t="shared" si="140"/>
        <v/>
      </c>
      <c r="I170" s="505" t="s">
        <v>435</v>
      </c>
      <c r="J170" s="753">
        <f t="shared" si="66"/>
        <v>0</v>
      </c>
      <c r="K170" s="753">
        <f t="shared" si="67"/>
        <v>0</v>
      </c>
      <c r="L170" s="753" t="str">
        <f t="shared" si="68"/>
        <v/>
      </c>
      <c r="M170" s="753" t="str">
        <f t="shared" si="69"/>
        <v/>
      </c>
      <c r="N170" s="753" t="str">
        <f t="shared" si="70"/>
        <v/>
      </c>
      <c r="O170" s="753" t="str">
        <f t="shared" si="71"/>
        <v/>
      </c>
      <c r="Q170" s="505" t="s">
        <v>435</v>
      </c>
      <c r="R170" s="753">
        <f t="shared" si="72"/>
        <v>0</v>
      </c>
      <c r="S170" s="753">
        <f t="shared" si="73"/>
        <v>0</v>
      </c>
      <c r="T170" s="753" t="str">
        <f t="shared" si="74"/>
        <v/>
      </c>
      <c r="U170" s="753" t="str">
        <f t="shared" si="75"/>
        <v/>
      </c>
      <c r="V170" s="753" t="str">
        <f t="shared" si="76"/>
        <v/>
      </c>
      <c r="W170" s="753" t="str">
        <f t="shared" si="77"/>
        <v/>
      </c>
      <c r="Y170" s="505" t="s">
        <v>435</v>
      </c>
      <c r="Z170" s="753">
        <f t="shared" si="78"/>
        <v>0</v>
      </c>
      <c r="AA170" s="753">
        <f t="shared" si="79"/>
        <v>0</v>
      </c>
      <c r="AB170" s="753" t="str">
        <f t="shared" si="80"/>
        <v/>
      </c>
      <c r="AC170" s="753" t="str">
        <f t="shared" si="81"/>
        <v/>
      </c>
      <c r="AD170" s="753" t="str">
        <f t="shared" si="82"/>
        <v/>
      </c>
      <c r="AE170" s="753" t="str">
        <f t="shared" si="83"/>
        <v/>
      </c>
      <c r="AG170" s="505" t="s">
        <v>435</v>
      </c>
      <c r="AH170" s="753">
        <f t="shared" si="84"/>
        <v>0</v>
      </c>
      <c r="AI170" s="753">
        <f t="shared" si="85"/>
        <v>0</v>
      </c>
      <c r="AJ170" s="753" t="str">
        <f t="shared" si="86"/>
        <v/>
      </c>
      <c r="AK170" s="753" t="str">
        <f t="shared" si="87"/>
        <v/>
      </c>
      <c r="AL170" s="753" t="str">
        <f t="shared" si="88"/>
        <v/>
      </c>
      <c r="AM170" s="753" t="str">
        <f t="shared" si="89"/>
        <v/>
      </c>
      <c r="AO170" s="505" t="s">
        <v>435</v>
      </c>
      <c r="AP170" s="753">
        <f t="shared" si="90"/>
        <v>0</v>
      </c>
      <c r="AQ170" s="753">
        <f t="shared" si="91"/>
        <v>0</v>
      </c>
      <c r="AR170" s="753" t="str">
        <f t="shared" si="92"/>
        <v/>
      </c>
      <c r="AS170" s="753" t="str">
        <f t="shared" si="93"/>
        <v/>
      </c>
      <c r="AT170" s="753" t="str">
        <f t="shared" si="94"/>
        <v/>
      </c>
      <c r="AU170" s="753" t="str">
        <f t="shared" si="95"/>
        <v/>
      </c>
      <c r="AW170" s="505" t="s">
        <v>435</v>
      </c>
      <c r="AX170" s="753">
        <f t="shared" si="96"/>
        <v>0</v>
      </c>
      <c r="AY170" s="753">
        <f t="shared" si="97"/>
        <v>0</v>
      </c>
      <c r="AZ170" s="753" t="str">
        <f t="shared" si="98"/>
        <v/>
      </c>
      <c r="BA170" s="753" t="str">
        <f t="shared" si="99"/>
        <v/>
      </c>
      <c r="BB170" s="753" t="str">
        <f t="shared" si="100"/>
        <v/>
      </c>
      <c r="BC170" s="753" t="str">
        <f t="shared" si="101"/>
        <v/>
      </c>
      <c r="BE170" s="505" t="s">
        <v>435</v>
      </c>
      <c r="BF170" s="753">
        <f t="shared" si="102"/>
        <v>0</v>
      </c>
      <c r="BG170" s="753">
        <f t="shared" si="103"/>
        <v>0</v>
      </c>
      <c r="BH170" s="753" t="str">
        <f t="shared" si="104"/>
        <v/>
      </c>
      <c r="BI170" s="753" t="str">
        <f t="shared" si="105"/>
        <v/>
      </c>
      <c r="BJ170" s="753" t="str">
        <f t="shared" si="106"/>
        <v/>
      </c>
      <c r="BK170" s="753" t="str">
        <f t="shared" si="107"/>
        <v/>
      </c>
      <c r="BM170" s="505" t="s">
        <v>435</v>
      </c>
      <c r="BN170" s="753">
        <f t="shared" si="108"/>
        <v>0</v>
      </c>
      <c r="BO170" s="753">
        <f t="shared" si="109"/>
        <v>0</v>
      </c>
      <c r="BP170" s="753" t="str">
        <f t="shared" si="110"/>
        <v/>
      </c>
      <c r="BQ170" s="753" t="str">
        <f t="shared" si="111"/>
        <v/>
      </c>
      <c r="BR170" s="753" t="str">
        <f t="shared" si="112"/>
        <v/>
      </c>
      <c r="BS170" s="753" t="str">
        <f t="shared" si="113"/>
        <v/>
      </c>
      <c r="BU170" s="505" t="s">
        <v>435</v>
      </c>
      <c r="BV170" s="753">
        <f t="shared" si="114"/>
        <v>0</v>
      </c>
      <c r="BW170" s="753">
        <f t="shared" si="115"/>
        <v>0</v>
      </c>
      <c r="BX170" s="753" t="str">
        <f t="shared" si="116"/>
        <v/>
      </c>
      <c r="BY170" s="753" t="str">
        <f t="shared" si="117"/>
        <v/>
      </c>
      <c r="BZ170" s="753" t="str">
        <f t="shared" si="118"/>
        <v/>
      </c>
      <c r="CA170" s="753" t="str">
        <f t="shared" si="119"/>
        <v/>
      </c>
      <c r="CC170" s="505" t="s">
        <v>435</v>
      </c>
      <c r="CD170" s="753">
        <f t="shared" si="120"/>
        <v>0</v>
      </c>
      <c r="CE170" s="753">
        <f t="shared" si="121"/>
        <v>0</v>
      </c>
      <c r="CF170" s="753" t="str">
        <f t="shared" si="122"/>
        <v/>
      </c>
      <c r="CG170" s="753" t="str">
        <f t="shared" si="123"/>
        <v/>
      </c>
      <c r="CH170" s="753" t="str">
        <f t="shared" si="124"/>
        <v/>
      </c>
      <c r="CI170" s="753" t="str">
        <f t="shared" si="125"/>
        <v/>
      </c>
      <c r="CK170" s="505" t="s">
        <v>435</v>
      </c>
      <c r="CL170" s="753">
        <f t="shared" si="126"/>
        <v>0</v>
      </c>
      <c r="CM170" s="753">
        <f t="shared" si="127"/>
        <v>0</v>
      </c>
      <c r="CN170" s="753" t="str">
        <f t="shared" si="128"/>
        <v/>
      </c>
      <c r="CO170" s="753" t="str">
        <f t="shared" si="129"/>
        <v/>
      </c>
      <c r="CP170" s="753" t="str">
        <f t="shared" si="130"/>
        <v/>
      </c>
      <c r="CQ170" s="753" t="str">
        <f t="shared" si="131"/>
        <v/>
      </c>
    </row>
    <row r="171" spans="1:95">
      <c r="A171" s="505" t="s">
        <v>281</v>
      </c>
      <c r="B171" s="753">
        <f t="shared" ref="B171:G171" si="141">IF(B109&gt;0,INDEX($D$54:$D$94,B109,1),"")</f>
        <v>0</v>
      </c>
      <c r="C171" s="753" t="str">
        <f t="shared" si="141"/>
        <v/>
      </c>
      <c r="D171" s="753" t="str">
        <f t="shared" si="141"/>
        <v/>
      </c>
      <c r="E171" s="753" t="str">
        <f t="shared" si="141"/>
        <v/>
      </c>
      <c r="F171" s="753" t="str">
        <f t="shared" si="141"/>
        <v/>
      </c>
      <c r="G171" s="753" t="str">
        <f t="shared" si="141"/>
        <v/>
      </c>
      <c r="I171" s="505" t="s">
        <v>281</v>
      </c>
      <c r="J171" s="753">
        <f t="shared" si="66"/>
        <v>0</v>
      </c>
      <c r="K171" s="753" t="str">
        <f t="shared" si="67"/>
        <v/>
      </c>
      <c r="L171" s="753" t="str">
        <f t="shared" si="68"/>
        <v/>
      </c>
      <c r="M171" s="753" t="str">
        <f t="shared" si="69"/>
        <v/>
      </c>
      <c r="N171" s="753" t="str">
        <f t="shared" si="70"/>
        <v/>
      </c>
      <c r="O171" s="753" t="str">
        <f t="shared" si="71"/>
        <v/>
      </c>
      <c r="Q171" s="505" t="s">
        <v>281</v>
      </c>
      <c r="R171" s="753">
        <f t="shared" si="72"/>
        <v>0</v>
      </c>
      <c r="S171" s="753" t="str">
        <f t="shared" si="73"/>
        <v/>
      </c>
      <c r="T171" s="753" t="str">
        <f t="shared" si="74"/>
        <v/>
      </c>
      <c r="U171" s="753" t="str">
        <f t="shared" si="75"/>
        <v/>
      </c>
      <c r="V171" s="753" t="str">
        <f t="shared" si="76"/>
        <v/>
      </c>
      <c r="W171" s="753" t="str">
        <f t="shared" si="77"/>
        <v/>
      </c>
      <c r="Y171" s="505" t="s">
        <v>281</v>
      </c>
      <c r="Z171" s="753">
        <f t="shared" si="78"/>
        <v>0</v>
      </c>
      <c r="AA171" s="753" t="str">
        <f t="shared" si="79"/>
        <v/>
      </c>
      <c r="AB171" s="753" t="str">
        <f t="shared" si="80"/>
        <v/>
      </c>
      <c r="AC171" s="753" t="str">
        <f t="shared" si="81"/>
        <v/>
      </c>
      <c r="AD171" s="753" t="str">
        <f t="shared" si="82"/>
        <v/>
      </c>
      <c r="AE171" s="753" t="str">
        <f t="shared" si="83"/>
        <v/>
      </c>
      <c r="AG171" s="505" t="s">
        <v>281</v>
      </c>
      <c r="AH171" s="753">
        <f t="shared" si="84"/>
        <v>0</v>
      </c>
      <c r="AI171" s="753" t="str">
        <f t="shared" si="85"/>
        <v/>
      </c>
      <c r="AJ171" s="753" t="str">
        <f t="shared" si="86"/>
        <v/>
      </c>
      <c r="AK171" s="753" t="str">
        <f t="shared" si="87"/>
        <v/>
      </c>
      <c r="AL171" s="753" t="str">
        <f t="shared" si="88"/>
        <v/>
      </c>
      <c r="AM171" s="753" t="str">
        <f t="shared" si="89"/>
        <v/>
      </c>
      <c r="AO171" s="505" t="s">
        <v>281</v>
      </c>
      <c r="AP171" s="753">
        <f t="shared" si="90"/>
        <v>0</v>
      </c>
      <c r="AQ171" s="753" t="str">
        <f t="shared" si="91"/>
        <v/>
      </c>
      <c r="AR171" s="753" t="str">
        <f t="shared" si="92"/>
        <v/>
      </c>
      <c r="AS171" s="753" t="str">
        <f t="shared" si="93"/>
        <v/>
      </c>
      <c r="AT171" s="753" t="str">
        <f t="shared" si="94"/>
        <v/>
      </c>
      <c r="AU171" s="753" t="str">
        <f t="shared" si="95"/>
        <v/>
      </c>
      <c r="AW171" s="505" t="s">
        <v>281</v>
      </c>
      <c r="AX171" s="753">
        <f t="shared" si="96"/>
        <v>0</v>
      </c>
      <c r="AY171" s="753" t="str">
        <f t="shared" si="97"/>
        <v/>
      </c>
      <c r="AZ171" s="753" t="str">
        <f t="shared" si="98"/>
        <v/>
      </c>
      <c r="BA171" s="753" t="str">
        <f t="shared" si="99"/>
        <v/>
      </c>
      <c r="BB171" s="753" t="str">
        <f t="shared" si="100"/>
        <v/>
      </c>
      <c r="BC171" s="753" t="str">
        <f t="shared" si="101"/>
        <v/>
      </c>
      <c r="BE171" s="505" t="s">
        <v>281</v>
      </c>
      <c r="BF171" s="753">
        <f t="shared" si="102"/>
        <v>0</v>
      </c>
      <c r="BG171" s="753" t="str">
        <f t="shared" si="103"/>
        <v/>
      </c>
      <c r="BH171" s="753" t="str">
        <f t="shared" si="104"/>
        <v/>
      </c>
      <c r="BI171" s="753" t="str">
        <f t="shared" si="105"/>
        <v/>
      </c>
      <c r="BJ171" s="753" t="str">
        <f t="shared" si="106"/>
        <v/>
      </c>
      <c r="BK171" s="753" t="str">
        <f t="shared" si="107"/>
        <v/>
      </c>
      <c r="BM171" s="505" t="s">
        <v>281</v>
      </c>
      <c r="BN171" s="753">
        <f t="shared" si="108"/>
        <v>0</v>
      </c>
      <c r="BO171" s="753" t="str">
        <f t="shared" si="109"/>
        <v/>
      </c>
      <c r="BP171" s="753" t="str">
        <f t="shared" si="110"/>
        <v/>
      </c>
      <c r="BQ171" s="753" t="str">
        <f t="shared" si="111"/>
        <v/>
      </c>
      <c r="BR171" s="753" t="str">
        <f t="shared" si="112"/>
        <v/>
      </c>
      <c r="BS171" s="753" t="str">
        <f t="shared" si="113"/>
        <v/>
      </c>
      <c r="BU171" s="505" t="s">
        <v>281</v>
      </c>
      <c r="BV171" s="753">
        <f t="shared" si="114"/>
        <v>0</v>
      </c>
      <c r="BW171" s="753" t="str">
        <f t="shared" si="115"/>
        <v/>
      </c>
      <c r="BX171" s="753" t="str">
        <f t="shared" si="116"/>
        <v/>
      </c>
      <c r="BY171" s="753" t="str">
        <f t="shared" si="117"/>
        <v/>
      </c>
      <c r="BZ171" s="753" t="str">
        <f t="shared" si="118"/>
        <v/>
      </c>
      <c r="CA171" s="753" t="str">
        <f t="shared" si="119"/>
        <v/>
      </c>
      <c r="CC171" s="505" t="s">
        <v>281</v>
      </c>
      <c r="CD171" s="753">
        <f t="shared" si="120"/>
        <v>0</v>
      </c>
      <c r="CE171" s="753" t="str">
        <f t="shared" si="121"/>
        <v/>
      </c>
      <c r="CF171" s="753" t="str">
        <f t="shared" si="122"/>
        <v/>
      </c>
      <c r="CG171" s="753" t="str">
        <f t="shared" si="123"/>
        <v/>
      </c>
      <c r="CH171" s="753" t="str">
        <f t="shared" si="124"/>
        <v/>
      </c>
      <c r="CI171" s="753" t="str">
        <f t="shared" si="125"/>
        <v/>
      </c>
      <c r="CK171" s="505" t="s">
        <v>281</v>
      </c>
      <c r="CL171" s="753">
        <f t="shared" si="126"/>
        <v>0</v>
      </c>
      <c r="CM171" s="753" t="str">
        <f t="shared" si="127"/>
        <v/>
      </c>
      <c r="CN171" s="753" t="str">
        <f t="shared" si="128"/>
        <v/>
      </c>
      <c r="CO171" s="753" t="str">
        <f t="shared" si="129"/>
        <v/>
      </c>
      <c r="CP171" s="753" t="str">
        <f t="shared" si="130"/>
        <v/>
      </c>
      <c r="CQ171" s="753" t="str">
        <f t="shared" si="131"/>
        <v/>
      </c>
    </row>
    <row r="172" spans="1:95">
      <c r="A172" s="505" t="s">
        <v>436</v>
      </c>
      <c r="B172" s="753">
        <f t="shared" ref="B172:G172" si="142">IF(B110&gt;0,INDEX($D$54:$D$94,B110,1),"")</f>
        <v>0</v>
      </c>
      <c r="C172" s="753">
        <f t="shared" si="142"/>
        <v>0</v>
      </c>
      <c r="D172" s="753" t="str">
        <f t="shared" si="142"/>
        <v/>
      </c>
      <c r="E172" s="753" t="str">
        <f t="shared" si="142"/>
        <v/>
      </c>
      <c r="F172" s="753" t="str">
        <f t="shared" si="142"/>
        <v/>
      </c>
      <c r="G172" s="753" t="str">
        <f t="shared" si="142"/>
        <v/>
      </c>
      <c r="I172" s="505" t="s">
        <v>436</v>
      </c>
      <c r="J172" s="753">
        <f t="shared" si="66"/>
        <v>0</v>
      </c>
      <c r="K172" s="753">
        <f t="shared" si="67"/>
        <v>0</v>
      </c>
      <c r="L172" s="753" t="str">
        <f t="shared" si="68"/>
        <v/>
      </c>
      <c r="M172" s="753" t="str">
        <f t="shared" si="69"/>
        <v/>
      </c>
      <c r="N172" s="753" t="str">
        <f t="shared" si="70"/>
        <v/>
      </c>
      <c r="O172" s="753" t="str">
        <f t="shared" si="71"/>
        <v/>
      </c>
      <c r="Q172" s="505" t="s">
        <v>436</v>
      </c>
      <c r="R172" s="753">
        <f t="shared" si="72"/>
        <v>0</v>
      </c>
      <c r="S172" s="753">
        <f t="shared" si="73"/>
        <v>0</v>
      </c>
      <c r="T172" s="753" t="str">
        <f t="shared" si="74"/>
        <v/>
      </c>
      <c r="U172" s="753" t="str">
        <f t="shared" si="75"/>
        <v/>
      </c>
      <c r="V172" s="753" t="str">
        <f t="shared" si="76"/>
        <v/>
      </c>
      <c r="W172" s="753" t="str">
        <f t="shared" si="77"/>
        <v/>
      </c>
      <c r="Y172" s="505" t="s">
        <v>436</v>
      </c>
      <c r="Z172" s="753">
        <f t="shared" si="78"/>
        <v>0</v>
      </c>
      <c r="AA172" s="753">
        <f t="shared" si="79"/>
        <v>0</v>
      </c>
      <c r="AB172" s="753" t="str">
        <f t="shared" si="80"/>
        <v/>
      </c>
      <c r="AC172" s="753" t="str">
        <f t="shared" si="81"/>
        <v/>
      </c>
      <c r="AD172" s="753" t="str">
        <f t="shared" si="82"/>
        <v/>
      </c>
      <c r="AE172" s="753" t="str">
        <f t="shared" si="83"/>
        <v/>
      </c>
      <c r="AG172" s="505" t="s">
        <v>436</v>
      </c>
      <c r="AH172" s="753">
        <f t="shared" si="84"/>
        <v>0</v>
      </c>
      <c r="AI172" s="753">
        <f t="shared" si="85"/>
        <v>0</v>
      </c>
      <c r="AJ172" s="753" t="str">
        <f t="shared" si="86"/>
        <v/>
      </c>
      <c r="AK172" s="753" t="str">
        <f t="shared" si="87"/>
        <v/>
      </c>
      <c r="AL172" s="753" t="str">
        <f t="shared" si="88"/>
        <v/>
      </c>
      <c r="AM172" s="753" t="str">
        <f t="shared" si="89"/>
        <v/>
      </c>
      <c r="AO172" s="505" t="s">
        <v>436</v>
      </c>
      <c r="AP172" s="753">
        <f t="shared" si="90"/>
        <v>0</v>
      </c>
      <c r="AQ172" s="753">
        <f t="shared" si="91"/>
        <v>0</v>
      </c>
      <c r="AR172" s="753" t="str">
        <f t="shared" si="92"/>
        <v/>
      </c>
      <c r="AS172" s="753" t="str">
        <f t="shared" si="93"/>
        <v/>
      </c>
      <c r="AT172" s="753" t="str">
        <f t="shared" si="94"/>
        <v/>
      </c>
      <c r="AU172" s="753" t="str">
        <f t="shared" si="95"/>
        <v/>
      </c>
      <c r="AW172" s="505" t="s">
        <v>436</v>
      </c>
      <c r="AX172" s="753">
        <f t="shared" si="96"/>
        <v>0</v>
      </c>
      <c r="AY172" s="753">
        <f t="shared" si="97"/>
        <v>0</v>
      </c>
      <c r="AZ172" s="753" t="str">
        <f t="shared" si="98"/>
        <v/>
      </c>
      <c r="BA172" s="753" t="str">
        <f t="shared" si="99"/>
        <v/>
      </c>
      <c r="BB172" s="753" t="str">
        <f t="shared" si="100"/>
        <v/>
      </c>
      <c r="BC172" s="753" t="str">
        <f t="shared" si="101"/>
        <v/>
      </c>
      <c r="BE172" s="505" t="s">
        <v>436</v>
      </c>
      <c r="BF172" s="753">
        <f t="shared" si="102"/>
        <v>0</v>
      </c>
      <c r="BG172" s="753">
        <f t="shared" si="103"/>
        <v>0</v>
      </c>
      <c r="BH172" s="753" t="str">
        <f t="shared" si="104"/>
        <v/>
      </c>
      <c r="BI172" s="753" t="str">
        <f t="shared" si="105"/>
        <v/>
      </c>
      <c r="BJ172" s="753" t="str">
        <f t="shared" si="106"/>
        <v/>
      </c>
      <c r="BK172" s="753" t="str">
        <f t="shared" si="107"/>
        <v/>
      </c>
      <c r="BM172" s="505" t="s">
        <v>436</v>
      </c>
      <c r="BN172" s="753">
        <f t="shared" si="108"/>
        <v>0</v>
      </c>
      <c r="BO172" s="753">
        <f t="shared" si="109"/>
        <v>0</v>
      </c>
      <c r="BP172" s="753" t="str">
        <f t="shared" si="110"/>
        <v/>
      </c>
      <c r="BQ172" s="753" t="str">
        <f t="shared" si="111"/>
        <v/>
      </c>
      <c r="BR172" s="753" t="str">
        <f t="shared" si="112"/>
        <v/>
      </c>
      <c r="BS172" s="753" t="str">
        <f t="shared" si="113"/>
        <v/>
      </c>
      <c r="BU172" s="505" t="s">
        <v>436</v>
      </c>
      <c r="BV172" s="753">
        <f t="shared" si="114"/>
        <v>0</v>
      </c>
      <c r="BW172" s="753">
        <f t="shared" si="115"/>
        <v>0</v>
      </c>
      <c r="BX172" s="753" t="str">
        <f t="shared" si="116"/>
        <v/>
      </c>
      <c r="BY172" s="753" t="str">
        <f t="shared" si="117"/>
        <v/>
      </c>
      <c r="BZ172" s="753" t="str">
        <f t="shared" si="118"/>
        <v/>
      </c>
      <c r="CA172" s="753" t="str">
        <f t="shared" si="119"/>
        <v/>
      </c>
      <c r="CC172" s="505" t="s">
        <v>436</v>
      </c>
      <c r="CD172" s="753">
        <f t="shared" si="120"/>
        <v>0</v>
      </c>
      <c r="CE172" s="753">
        <f t="shared" si="121"/>
        <v>0</v>
      </c>
      <c r="CF172" s="753" t="str">
        <f t="shared" si="122"/>
        <v/>
      </c>
      <c r="CG172" s="753" t="str">
        <f t="shared" si="123"/>
        <v/>
      </c>
      <c r="CH172" s="753" t="str">
        <f t="shared" si="124"/>
        <v/>
      </c>
      <c r="CI172" s="753" t="str">
        <f t="shared" si="125"/>
        <v/>
      </c>
      <c r="CK172" s="505" t="s">
        <v>436</v>
      </c>
      <c r="CL172" s="753">
        <f t="shared" si="126"/>
        <v>0</v>
      </c>
      <c r="CM172" s="753">
        <f t="shared" si="127"/>
        <v>0</v>
      </c>
      <c r="CN172" s="753" t="str">
        <f t="shared" si="128"/>
        <v/>
      </c>
      <c r="CO172" s="753" t="str">
        <f t="shared" si="129"/>
        <v/>
      </c>
      <c r="CP172" s="753" t="str">
        <f t="shared" si="130"/>
        <v/>
      </c>
      <c r="CQ172" s="753" t="str">
        <f t="shared" si="131"/>
        <v/>
      </c>
    </row>
    <row r="173" spans="1:95">
      <c r="A173" s="505" t="s">
        <v>451</v>
      </c>
      <c r="B173" s="753">
        <f t="shared" ref="B173:G173" si="143">IF(B111&gt;0,INDEX($D$54:$D$94,B111,1),"")</f>
        <v>0</v>
      </c>
      <c r="C173" s="753">
        <f t="shared" si="143"/>
        <v>2</v>
      </c>
      <c r="D173" s="753" t="str">
        <f t="shared" si="143"/>
        <v/>
      </c>
      <c r="E173" s="753" t="str">
        <f t="shared" si="143"/>
        <v/>
      </c>
      <c r="F173" s="753" t="str">
        <f t="shared" si="143"/>
        <v/>
      </c>
      <c r="G173" s="753" t="str">
        <f t="shared" si="143"/>
        <v/>
      </c>
      <c r="I173" s="505" t="s">
        <v>451</v>
      </c>
      <c r="J173" s="753">
        <f t="shared" si="66"/>
        <v>0</v>
      </c>
      <c r="K173" s="753">
        <f t="shared" si="67"/>
        <v>2</v>
      </c>
      <c r="L173" s="753" t="str">
        <f t="shared" si="68"/>
        <v/>
      </c>
      <c r="M173" s="753" t="str">
        <f t="shared" si="69"/>
        <v/>
      </c>
      <c r="N173" s="753" t="str">
        <f t="shared" si="70"/>
        <v/>
      </c>
      <c r="O173" s="753" t="str">
        <f t="shared" si="71"/>
        <v/>
      </c>
      <c r="Q173" s="505" t="s">
        <v>451</v>
      </c>
      <c r="R173" s="753">
        <f t="shared" si="72"/>
        <v>0</v>
      </c>
      <c r="S173" s="753">
        <f t="shared" si="73"/>
        <v>2</v>
      </c>
      <c r="T173" s="753" t="str">
        <f t="shared" si="74"/>
        <v/>
      </c>
      <c r="U173" s="753" t="str">
        <f t="shared" si="75"/>
        <v/>
      </c>
      <c r="V173" s="753" t="str">
        <f t="shared" si="76"/>
        <v/>
      </c>
      <c r="W173" s="753" t="str">
        <f t="shared" si="77"/>
        <v/>
      </c>
      <c r="Y173" s="505" t="s">
        <v>451</v>
      </c>
      <c r="Z173" s="753">
        <f t="shared" si="78"/>
        <v>0</v>
      </c>
      <c r="AA173" s="753">
        <f t="shared" si="79"/>
        <v>2</v>
      </c>
      <c r="AB173" s="753" t="str">
        <f t="shared" si="80"/>
        <v/>
      </c>
      <c r="AC173" s="753" t="str">
        <f t="shared" si="81"/>
        <v/>
      </c>
      <c r="AD173" s="753" t="str">
        <f t="shared" si="82"/>
        <v/>
      </c>
      <c r="AE173" s="753" t="str">
        <f t="shared" si="83"/>
        <v/>
      </c>
      <c r="AG173" s="505" t="s">
        <v>451</v>
      </c>
      <c r="AH173" s="753">
        <f t="shared" si="84"/>
        <v>0</v>
      </c>
      <c r="AI173" s="753">
        <f t="shared" si="85"/>
        <v>2</v>
      </c>
      <c r="AJ173" s="753" t="str">
        <f t="shared" si="86"/>
        <v/>
      </c>
      <c r="AK173" s="753" t="str">
        <f t="shared" si="87"/>
        <v/>
      </c>
      <c r="AL173" s="753" t="str">
        <f t="shared" si="88"/>
        <v/>
      </c>
      <c r="AM173" s="753" t="str">
        <f t="shared" si="89"/>
        <v/>
      </c>
      <c r="AO173" s="505" t="s">
        <v>451</v>
      </c>
      <c r="AP173" s="753">
        <f t="shared" si="90"/>
        <v>0</v>
      </c>
      <c r="AQ173" s="753">
        <f t="shared" si="91"/>
        <v>2</v>
      </c>
      <c r="AR173" s="753" t="str">
        <f t="shared" si="92"/>
        <v/>
      </c>
      <c r="AS173" s="753" t="str">
        <f t="shared" si="93"/>
        <v/>
      </c>
      <c r="AT173" s="753" t="str">
        <f t="shared" si="94"/>
        <v/>
      </c>
      <c r="AU173" s="753" t="str">
        <f t="shared" si="95"/>
        <v/>
      </c>
      <c r="AW173" s="505" t="s">
        <v>451</v>
      </c>
      <c r="AX173" s="753">
        <f t="shared" si="96"/>
        <v>0</v>
      </c>
      <c r="AY173" s="753">
        <f t="shared" si="97"/>
        <v>2</v>
      </c>
      <c r="AZ173" s="753" t="str">
        <f t="shared" si="98"/>
        <v/>
      </c>
      <c r="BA173" s="753" t="str">
        <f t="shared" si="99"/>
        <v/>
      </c>
      <c r="BB173" s="753" t="str">
        <f t="shared" si="100"/>
        <v/>
      </c>
      <c r="BC173" s="753" t="str">
        <f t="shared" si="101"/>
        <v/>
      </c>
      <c r="BE173" s="505" t="s">
        <v>451</v>
      </c>
      <c r="BF173" s="753">
        <f t="shared" si="102"/>
        <v>0</v>
      </c>
      <c r="BG173" s="753">
        <f t="shared" si="103"/>
        <v>2</v>
      </c>
      <c r="BH173" s="753" t="str">
        <f t="shared" si="104"/>
        <v/>
      </c>
      <c r="BI173" s="753" t="str">
        <f t="shared" si="105"/>
        <v/>
      </c>
      <c r="BJ173" s="753" t="str">
        <f t="shared" si="106"/>
        <v/>
      </c>
      <c r="BK173" s="753" t="str">
        <f t="shared" si="107"/>
        <v/>
      </c>
      <c r="BM173" s="505" t="s">
        <v>451</v>
      </c>
      <c r="BN173" s="753">
        <f t="shared" si="108"/>
        <v>0</v>
      </c>
      <c r="BO173" s="753">
        <f t="shared" si="109"/>
        <v>2</v>
      </c>
      <c r="BP173" s="753" t="str">
        <f t="shared" si="110"/>
        <v/>
      </c>
      <c r="BQ173" s="753" t="str">
        <f t="shared" si="111"/>
        <v/>
      </c>
      <c r="BR173" s="753" t="str">
        <f t="shared" si="112"/>
        <v/>
      </c>
      <c r="BS173" s="753" t="str">
        <f t="shared" si="113"/>
        <v/>
      </c>
      <c r="BU173" s="505" t="s">
        <v>451</v>
      </c>
      <c r="BV173" s="753">
        <f t="shared" si="114"/>
        <v>0</v>
      </c>
      <c r="BW173" s="753">
        <f t="shared" si="115"/>
        <v>2</v>
      </c>
      <c r="BX173" s="753" t="str">
        <f t="shared" si="116"/>
        <v/>
      </c>
      <c r="BY173" s="753" t="str">
        <f t="shared" si="117"/>
        <v/>
      </c>
      <c r="BZ173" s="753" t="str">
        <f t="shared" si="118"/>
        <v/>
      </c>
      <c r="CA173" s="753" t="str">
        <f t="shared" si="119"/>
        <v/>
      </c>
      <c r="CC173" s="505" t="s">
        <v>451</v>
      </c>
      <c r="CD173" s="753">
        <f t="shared" si="120"/>
        <v>0</v>
      </c>
      <c r="CE173" s="753">
        <f t="shared" si="121"/>
        <v>2</v>
      </c>
      <c r="CF173" s="753" t="str">
        <f t="shared" si="122"/>
        <v/>
      </c>
      <c r="CG173" s="753" t="str">
        <f t="shared" si="123"/>
        <v/>
      </c>
      <c r="CH173" s="753" t="str">
        <f t="shared" si="124"/>
        <v/>
      </c>
      <c r="CI173" s="753" t="str">
        <f t="shared" si="125"/>
        <v/>
      </c>
      <c r="CK173" s="505" t="s">
        <v>451</v>
      </c>
      <c r="CL173" s="753">
        <f t="shared" si="126"/>
        <v>0</v>
      </c>
      <c r="CM173" s="753">
        <f t="shared" si="127"/>
        <v>2</v>
      </c>
      <c r="CN173" s="753" t="str">
        <f t="shared" si="128"/>
        <v/>
      </c>
      <c r="CO173" s="753" t="str">
        <f t="shared" si="129"/>
        <v/>
      </c>
      <c r="CP173" s="753" t="str">
        <f t="shared" si="130"/>
        <v/>
      </c>
      <c r="CQ173" s="753" t="str">
        <f t="shared" si="131"/>
        <v/>
      </c>
    </row>
    <row r="174" spans="1:95">
      <c r="A174" s="505" t="s">
        <v>450</v>
      </c>
      <c r="B174" s="753">
        <f t="shared" ref="B174:G174" si="144">IF(B112&gt;0,INDEX($D$54:$D$94,B112,1),"")</f>
        <v>0</v>
      </c>
      <c r="C174" s="753">
        <f t="shared" si="144"/>
        <v>2</v>
      </c>
      <c r="D174" s="753" t="str">
        <f t="shared" si="144"/>
        <v/>
      </c>
      <c r="E174" s="753" t="str">
        <f t="shared" si="144"/>
        <v/>
      </c>
      <c r="F174" s="753" t="str">
        <f t="shared" si="144"/>
        <v/>
      </c>
      <c r="G174" s="753" t="str">
        <f t="shared" si="144"/>
        <v/>
      </c>
      <c r="I174" s="505" t="s">
        <v>450</v>
      </c>
      <c r="J174" s="753">
        <f t="shared" si="66"/>
        <v>0</v>
      </c>
      <c r="K174" s="753">
        <f t="shared" si="67"/>
        <v>2</v>
      </c>
      <c r="L174" s="753" t="str">
        <f t="shared" si="68"/>
        <v/>
      </c>
      <c r="M174" s="753" t="str">
        <f t="shared" si="69"/>
        <v/>
      </c>
      <c r="N174" s="753" t="str">
        <f t="shared" si="70"/>
        <v/>
      </c>
      <c r="O174" s="753" t="str">
        <f t="shared" si="71"/>
        <v/>
      </c>
      <c r="Q174" s="505" t="s">
        <v>450</v>
      </c>
      <c r="R174" s="753">
        <f t="shared" si="72"/>
        <v>0</v>
      </c>
      <c r="S174" s="753">
        <f t="shared" si="73"/>
        <v>2</v>
      </c>
      <c r="T174" s="753" t="str">
        <f t="shared" si="74"/>
        <v/>
      </c>
      <c r="U174" s="753" t="str">
        <f t="shared" si="75"/>
        <v/>
      </c>
      <c r="V174" s="753" t="str">
        <f t="shared" si="76"/>
        <v/>
      </c>
      <c r="W174" s="753" t="str">
        <f t="shared" si="77"/>
        <v/>
      </c>
      <c r="Y174" s="505" t="s">
        <v>450</v>
      </c>
      <c r="Z174" s="753">
        <f t="shared" si="78"/>
        <v>0</v>
      </c>
      <c r="AA174" s="753">
        <f t="shared" si="79"/>
        <v>2</v>
      </c>
      <c r="AB174" s="753" t="str">
        <f t="shared" si="80"/>
        <v/>
      </c>
      <c r="AC174" s="753" t="str">
        <f t="shared" si="81"/>
        <v/>
      </c>
      <c r="AD174" s="753" t="str">
        <f t="shared" si="82"/>
        <v/>
      </c>
      <c r="AE174" s="753" t="str">
        <f t="shared" si="83"/>
        <v/>
      </c>
      <c r="AG174" s="505" t="s">
        <v>450</v>
      </c>
      <c r="AH174" s="753">
        <f t="shared" si="84"/>
        <v>0</v>
      </c>
      <c r="AI174" s="753">
        <f t="shared" si="85"/>
        <v>2</v>
      </c>
      <c r="AJ174" s="753" t="str">
        <f t="shared" si="86"/>
        <v/>
      </c>
      <c r="AK174" s="753" t="str">
        <f t="shared" si="87"/>
        <v/>
      </c>
      <c r="AL174" s="753" t="str">
        <f t="shared" si="88"/>
        <v/>
      </c>
      <c r="AM174" s="753" t="str">
        <f t="shared" si="89"/>
        <v/>
      </c>
      <c r="AO174" s="505" t="s">
        <v>450</v>
      </c>
      <c r="AP174" s="753">
        <f t="shared" si="90"/>
        <v>0</v>
      </c>
      <c r="AQ174" s="753">
        <f t="shared" si="91"/>
        <v>2</v>
      </c>
      <c r="AR174" s="753" t="str">
        <f t="shared" si="92"/>
        <v/>
      </c>
      <c r="AS174" s="753" t="str">
        <f t="shared" si="93"/>
        <v/>
      </c>
      <c r="AT174" s="753" t="str">
        <f t="shared" si="94"/>
        <v/>
      </c>
      <c r="AU174" s="753" t="str">
        <f t="shared" si="95"/>
        <v/>
      </c>
      <c r="AW174" s="505" t="s">
        <v>450</v>
      </c>
      <c r="AX174" s="753">
        <f t="shared" si="96"/>
        <v>0</v>
      </c>
      <c r="AY174" s="753">
        <f t="shared" si="97"/>
        <v>2</v>
      </c>
      <c r="AZ174" s="753" t="str">
        <f t="shared" si="98"/>
        <v/>
      </c>
      <c r="BA174" s="753" t="str">
        <f t="shared" si="99"/>
        <v/>
      </c>
      <c r="BB174" s="753" t="str">
        <f t="shared" si="100"/>
        <v/>
      </c>
      <c r="BC174" s="753" t="str">
        <f t="shared" si="101"/>
        <v/>
      </c>
      <c r="BE174" s="505" t="s">
        <v>450</v>
      </c>
      <c r="BF174" s="753">
        <f t="shared" si="102"/>
        <v>0</v>
      </c>
      <c r="BG174" s="753">
        <f t="shared" si="103"/>
        <v>2</v>
      </c>
      <c r="BH174" s="753" t="str">
        <f t="shared" si="104"/>
        <v/>
      </c>
      <c r="BI174" s="753" t="str">
        <f t="shared" si="105"/>
        <v/>
      </c>
      <c r="BJ174" s="753" t="str">
        <f t="shared" si="106"/>
        <v/>
      </c>
      <c r="BK174" s="753" t="str">
        <f t="shared" si="107"/>
        <v/>
      </c>
      <c r="BM174" s="505" t="s">
        <v>450</v>
      </c>
      <c r="BN174" s="753">
        <f t="shared" si="108"/>
        <v>0</v>
      </c>
      <c r="BO174" s="753">
        <f t="shared" si="109"/>
        <v>2</v>
      </c>
      <c r="BP174" s="753" t="str">
        <f t="shared" si="110"/>
        <v/>
      </c>
      <c r="BQ174" s="753" t="str">
        <f t="shared" si="111"/>
        <v/>
      </c>
      <c r="BR174" s="753" t="str">
        <f t="shared" si="112"/>
        <v/>
      </c>
      <c r="BS174" s="753" t="str">
        <f t="shared" si="113"/>
        <v/>
      </c>
      <c r="BU174" s="505" t="s">
        <v>450</v>
      </c>
      <c r="BV174" s="753">
        <f t="shared" si="114"/>
        <v>0</v>
      </c>
      <c r="BW174" s="753">
        <f t="shared" si="115"/>
        <v>2</v>
      </c>
      <c r="BX174" s="753" t="str">
        <f t="shared" si="116"/>
        <v/>
      </c>
      <c r="BY174" s="753" t="str">
        <f t="shared" si="117"/>
        <v/>
      </c>
      <c r="BZ174" s="753" t="str">
        <f t="shared" si="118"/>
        <v/>
      </c>
      <c r="CA174" s="753" t="str">
        <f t="shared" si="119"/>
        <v/>
      </c>
      <c r="CC174" s="505" t="s">
        <v>450</v>
      </c>
      <c r="CD174" s="753">
        <f t="shared" si="120"/>
        <v>0</v>
      </c>
      <c r="CE174" s="753">
        <f t="shared" si="121"/>
        <v>2</v>
      </c>
      <c r="CF174" s="753" t="str">
        <f t="shared" si="122"/>
        <v/>
      </c>
      <c r="CG174" s="753" t="str">
        <f t="shared" si="123"/>
        <v/>
      </c>
      <c r="CH174" s="753" t="str">
        <f t="shared" si="124"/>
        <v/>
      </c>
      <c r="CI174" s="753" t="str">
        <f t="shared" si="125"/>
        <v/>
      </c>
      <c r="CK174" s="505" t="s">
        <v>450</v>
      </c>
      <c r="CL174" s="753">
        <f t="shared" si="126"/>
        <v>0</v>
      </c>
      <c r="CM174" s="753">
        <f t="shared" si="127"/>
        <v>2</v>
      </c>
      <c r="CN174" s="753" t="str">
        <f t="shared" si="128"/>
        <v/>
      </c>
      <c r="CO174" s="753" t="str">
        <f t="shared" si="129"/>
        <v/>
      </c>
      <c r="CP174" s="753" t="str">
        <f t="shared" si="130"/>
        <v/>
      </c>
      <c r="CQ174" s="753" t="str">
        <f t="shared" si="131"/>
        <v/>
      </c>
    </row>
    <row r="175" spans="1:95">
      <c r="A175" s="505" t="s">
        <v>276</v>
      </c>
      <c r="B175" s="753">
        <f t="shared" ref="B175:G175" si="145">IF(B113&gt;0,INDEX($D$54:$D$94,B113,1),"")</f>
        <v>0</v>
      </c>
      <c r="C175" s="753" t="str">
        <f t="shared" si="145"/>
        <v/>
      </c>
      <c r="D175" s="753" t="str">
        <f t="shared" si="145"/>
        <v/>
      </c>
      <c r="E175" s="753" t="str">
        <f t="shared" si="145"/>
        <v/>
      </c>
      <c r="F175" s="753" t="str">
        <f t="shared" si="145"/>
        <v/>
      </c>
      <c r="G175" s="753" t="str">
        <f t="shared" si="145"/>
        <v/>
      </c>
      <c r="I175" s="505" t="s">
        <v>276</v>
      </c>
      <c r="J175" s="753">
        <f t="shared" si="66"/>
        <v>0</v>
      </c>
      <c r="K175" s="753" t="str">
        <f t="shared" si="67"/>
        <v/>
      </c>
      <c r="L175" s="753" t="str">
        <f t="shared" si="68"/>
        <v/>
      </c>
      <c r="M175" s="753" t="str">
        <f t="shared" si="69"/>
        <v/>
      </c>
      <c r="N175" s="753" t="str">
        <f t="shared" si="70"/>
        <v/>
      </c>
      <c r="O175" s="753" t="str">
        <f t="shared" si="71"/>
        <v/>
      </c>
      <c r="Q175" s="505" t="s">
        <v>276</v>
      </c>
      <c r="R175" s="753">
        <f t="shared" si="72"/>
        <v>0</v>
      </c>
      <c r="S175" s="753" t="str">
        <f t="shared" si="73"/>
        <v/>
      </c>
      <c r="T175" s="753" t="str">
        <f t="shared" si="74"/>
        <v/>
      </c>
      <c r="U175" s="753" t="str">
        <f t="shared" si="75"/>
        <v/>
      </c>
      <c r="V175" s="753" t="str">
        <f t="shared" si="76"/>
        <v/>
      </c>
      <c r="W175" s="753" t="str">
        <f t="shared" si="77"/>
        <v/>
      </c>
      <c r="Y175" s="505" t="s">
        <v>276</v>
      </c>
      <c r="Z175" s="753">
        <f t="shared" si="78"/>
        <v>0</v>
      </c>
      <c r="AA175" s="753" t="str">
        <f t="shared" si="79"/>
        <v/>
      </c>
      <c r="AB175" s="753" t="str">
        <f t="shared" si="80"/>
        <v/>
      </c>
      <c r="AC175" s="753" t="str">
        <f t="shared" si="81"/>
        <v/>
      </c>
      <c r="AD175" s="753" t="str">
        <f t="shared" si="82"/>
        <v/>
      </c>
      <c r="AE175" s="753" t="str">
        <f t="shared" si="83"/>
        <v/>
      </c>
      <c r="AG175" s="505" t="s">
        <v>276</v>
      </c>
      <c r="AH175" s="753">
        <f t="shared" si="84"/>
        <v>0</v>
      </c>
      <c r="AI175" s="753" t="str">
        <f t="shared" si="85"/>
        <v/>
      </c>
      <c r="AJ175" s="753" t="str">
        <f t="shared" si="86"/>
        <v/>
      </c>
      <c r="AK175" s="753" t="str">
        <f t="shared" si="87"/>
        <v/>
      </c>
      <c r="AL175" s="753" t="str">
        <f t="shared" si="88"/>
        <v/>
      </c>
      <c r="AM175" s="753" t="str">
        <f t="shared" si="89"/>
        <v/>
      </c>
      <c r="AO175" s="505" t="s">
        <v>276</v>
      </c>
      <c r="AP175" s="753">
        <f t="shared" si="90"/>
        <v>0</v>
      </c>
      <c r="AQ175" s="753" t="str">
        <f t="shared" si="91"/>
        <v/>
      </c>
      <c r="AR175" s="753" t="str">
        <f t="shared" si="92"/>
        <v/>
      </c>
      <c r="AS175" s="753" t="str">
        <f t="shared" si="93"/>
        <v/>
      </c>
      <c r="AT175" s="753" t="str">
        <f t="shared" si="94"/>
        <v/>
      </c>
      <c r="AU175" s="753" t="str">
        <f t="shared" si="95"/>
        <v/>
      </c>
      <c r="AW175" s="505" t="s">
        <v>276</v>
      </c>
      <c r="AX175" s="753">
        <f t="shared" si="96"/>
        <v>0</v>
      </c>
      <c r="AY175" s="753" t="str">
        <f t="shared" si="97"/>
        <v/>
      </c>
      <c r="AZ175" s="753" t="str">
        <f t="shared" si="98"/>
        <v/>
      </c>
      <c r="BA175" s="753" t="str">
        <f t="shared" si="99"/>
        <v/>
      </c>
      <c r="BB175" s="753" t="str">
        <f t="shared" si="100"/>
        <v/>
      </c>
      <c r="BC175" s="753" t="str">
        <f t="shared" si="101"/>
        <v/>
      </c>
      <c r="BE175" s="505" t="s">
        <v>276</v>
      </c>
      <c r="BF175" s="753">
        <f t="shared" si="102"/>
        <v>0</v>
      </c>
      <c r="BG175" s="753" t="str">
        <f t="shared" si="103"/>
        <v/>
      </c>
      <c r="BH175" s="753" t="str">
        <f t="shared" si="104"/>
        <v/>
      </c>
      <c r="BI175" s="753" t="str">
        <f t="shared" si="105"/>
        <v/>
      </c>
      <c r="BJ175" s="753" t="str">
        <f t="shared" si="106"/>
        <v/>
      </c>
      <c r="BK175" s="753" t="str">
        <f t="shared" si="107"/>
        <v/>
      </c>
      <c r="BM175" s="505" t="s">
        <v>276</v>
      </c>
      <c r="BN175" s="753">
        <f t="shared" si="108"/>
        <v>0</v>
      </c>
      <c r="BO175" s="753" t="str">
        <f t="shared" si="109"/>
        <v/>
      </c>
      <c r="BP175" s="753" t="str">
        <f t="shared" si="110"/>
        <v/>
      </c>
      <c r="BQ175" s="753" t="str">
        <f t="shared" si="111"/>
        <v/>
      </c>
      <c r="BR175" s="753" t="str">
        <f t="shared" si="112"/>
        <v/>
      </c>
      <c r="BS175" s="753" t="str">
        <f t="shared" si="113"/>
        <v/>
      </c>
      <c r="BU175" s="505" t="s">
        <v>276</v>
      </c>
      <c r="BV175" s="753">
        <f t="shared" si="114"/>
        <v>0</v>
      </c>
      <c r="BW175" s="753" t="str">
        <f t="shared" si="115"/>
        <v/>
      </c>
      <c r="BX175" s="753" t="str">
        <f t="shared" si="116"/>
        <v/>
      </c>
      <c r="BY175" s="753" t="str">
        <f t="shared" si="117"/>
        <v/>
      </c>
      <c r="BZ175" s="753" t="str">
        <f t="shared" si="118"/>
        <v/>
      </c>
      <c r="CA175" s="753" t="str">
        <f t="shared" si="119"/>
        <v/>
      </c>
      <c r="CC175" s="505" t="s">
        <v>276</v>
      </c>
      <c r="CD175" s="753">
        <f t="shared" si="120"/>
        <v>0</v>
      </c>
      <c r="CE175" s="753" t="str">
        <f t="shared" si="121"/>
        <v/>
      </c>
      <c r="CF175" s="753" t="str">
        <f t="shared" si="122"/>
        <v/>
      </c>
      <c r="CG175" s="753" t="str">
        <f t="shared" si="123"/>
        <v/>
      </c>
      <c r="CH175" s="753" t="str">
        <f t="shared" si="124"/>
        <v/>
      </c>
      <c r="CI175" s="753" t="str">
        <f t="shared" si="125"/>
        <v/>
      </c>
      <c r="CK175" s="505" t="s">
        <v>276</v>
      </c>
      <c r="CL175" s="753">
        <f t="shared" si="126"/>
        <v>0</v>
      </c>
      <c r="CM175" s="753" t="str">
        <f t="shared" si="127"/>
        <v/>
      </c>
      <c r="CN175" s="753" t="str">
        <f t="shared" si="128"/>
        <v/>
      </c>
      <c r="CO175" s="753" t="str">
        <f t="shared" si="129"/>
        <v/>
      </c>
      <c r="CP175" s="753" t="str">
        <f t="shared" si="130"/>
        <v/>
      </c>
      <c r="CQ175" s="753" t="str">
        <f t="shared" si="131"/>
        <v/>
      </c>
    </row>
    <row r="176" spans="1:95">
      <c r="A176" s="505" t="s">
        <v>274</v>
      </c>
      <c r="B176" s="753">
        <f t="shared" ref="B176:G176" si="146">IF(B114&gt;0,INDEX($D$54:$D$94,B114,1),"")</f>
        <v>0</v>
      </c>
      <c r="C176" s="753" t="str">
        <f t="shared" si="146"/>
        <v/>
      </c>
      <c r="D176" s="753" t="str">
        <f t="shared" si="146"/>
        <v/>
      </c>
      <c r="E176" s="753" t="str">
        <f t="shared" si="146"/>
        <v/>
      </c>
      <c r="F176" s="753" t="str">
        <f t="shared" si="146"/>
        <v/>
      </c>
      <c r="G176" s="753" t="str">
        <f t="shared" si="146"/>
        <v/>
      </c>
      <c r="I176" s="505" t="s">
        <v>274</v>
      </c>
      <c r="J176" s="753">
        <f t="shared" si="66"/>
        <v>0</v>
      </c>
      <c r="K176" s="753" t="str">
        <f t="shared" si="67"/>
        <v/>
      </c>
      <c r="L176" s="753" t="str">
        <f t="shared" si="68"/>
        <v/>
      </c>
      <c r="M176" s="753" t="str">
        <f t="shared" si="69"/>
        <v/>
      </c>
      <c r="N176" s="753" t="str">
        <f t="shared" si="70"/>
        <v/>
      </c>
      <c r="O176" s="753" t="str">
        <f t="shared" si="71"/>
        <v/>
      </c>
      <c r="Q176" s="505" t="s">
        <v>274</v>
      </c>
      <c r="R176" s="753">
        <f t="shared" si="72"/>
        <v>0</v>
      </c>
      <c r="S176" s="753" t="str">
        <f t="shared" si="73"/>
        <v/>
      </c>
      <c r="T176" s="753" t="str">
        <f t="shared" si="74"/>
        <v/>
      </c>
      <c r="U176" s="753" t="str">
        <f t="shared" si="75"/>
        <v/>
      </c>
      <c r="V176" s="753" t="str">
        <f t="shared" si="76"/>
        <v/>
      </c>
      <c r="W176" s="753" t="str">
        <f t="shared" si="77"/>
        <v/>
      </c>
      <c r="Y176" s="505" t="s">
        <v>274</v>
      </c>
      <c r="Z176" s="753">
        <f t="shared" si="78"/>
        <v>0</v>
      </c>
      <c r="AA176" s="753" t="str">
        <f t="shared" si="79"/>
        <v/>
      </c>
      <c r="AB176" s="753" t="str">
        <f t="shared" si="80"/>
        <v/>
      </c>
      <c r="AC176" s="753" t="str">
        <f t="shared" si="81"/>
        <v/>
      </c>
      <c r="AD176" s="753" t="str">
        <f t="shared" si="82"/>
        <v/>
      </c>
      <c r="AE176" s="753" t="str">
        <f t="shared" si="83"/>
        <v/>
      </c>
      <c r="AG176" s="505" t="s">
        <v>274</v>
      </c>
      <c r="AH176" s="753">
        <f t="shared" si="84"/>
        <v>0</v>
      </c>
      <c r="AI176" s="753" t="str">
        <f t="shared" si="85"/>
        <v/>
      </c>
      <c r="AJ176" s="753" t="str">
        <f t="shared" si="86"/>
        <v/>
      </c>
      <c r="AK176" s="753" t="str">
        <f t="shared" si="87"/>
        <v/>
      </c>
      <c r="AL176" s="753" t="str">
        <f t="shared" si="88"/>
        <v/>
      </c>
      <c r="AM176" s="753" t="str">
        <f t="shared" si="89"/>
        <v/>
      </c>
      <c r="AO176" s="505" t="s">
        <v>274</v>
      </c>
      <c r="AP176" s="753">
        <f t="shared" si="90"/>
        <v>0</v>
      </c>
      <c r="AQ176" s="753" t="str">
        <f t="shared" si="91"/>
        <v/>
      </c>
      <c r="AR176" s="753" t="str">
        <f t="shared" si="92"/>
        <v/>
      </c>
      <c r="AS176" s="753" t="str">
        <f t="shared" si="93"/>
        <v/>
      </c>
      <c r="AT176" s="753" t="str">
        <f t="shared" si="94"/>
        <v/>
      </c>
      <c r="AU176" s="753" t="str">
        <f t="shared" si="95"/>
        <v/>
      </c>
      <c r="AW176" s="505" t="s">
        <v>274</v>
      </c>
      <c r="AX176" s="753">
        <f t="shared" si="96"/>
        <v>0</v>
      </c>
      <c r="AY176" s="753" t="str">
        <f t="shared" si="97"/>
        <v/>
      </c>
      <c r="AZ176" s="753" t="str">
        <f t="shared" si="98"/>
        <v/>
      </c>
      <c r="BA176" s="753" t="str">
        <f t="shared" si="99"/>
        <v/>
      </c>
      <c r="BB176" s="753" t="str">
        <f t="shared" si="100"/>
        <v/>
      </c>
      <c r="BC176" s="753" t="str">
        <f t="shared" si="101"/>
        <v/>
      </c>
      <c r="BE176" s="505" t="s">
        <v>274</v>
      </c>
      <c r="BF176" s="753">
        <f t="shared" si="102"/>
        <v>0</v>
      </c>
      <c r="BG176" s="753" t="str">
        <f t="shared" si="103"/>
        <v/>
      </c>
      <c r="BH176" s="753" t="str">
        <f t="shared" si="104"/>
        <v/>
      </c>
      <c r="BI176" s="753" t="str">
        <f t="shared" si="105"/>
        <v/>
      </c>
      <c r="BJ176" s="753" t="str">
        <f t="shared" si="106"/>
        <v/>
      </c>
      <c r="BK176" s="753" t="str">
        <f t="shared" si="107"/>
        <v/>
      </c>
      <c r="BM176" s="505" t="s">
        <v>274</v>
      </c>
      <c r="BN176" s="753">
        <f t="shared" si="108"/>
        <v>0</v>
      </c>
      <c r="BO176" s="753" t="str">
        <f t="shared" si="109"/>
        <v/>
      </c>
      <c r="BP176" s="753" t="str">
        <f t="shared" si="110"/>
        <v/>
      </c>
      <c r="BQ176" s="753" t="str">
        <f t="shared" si="111"/>
        <v/>
      </c>
      <c r="BR176" s="753" t="str">
        <f t="shared" si="112"/>
        <v/>
      </c>
      <c r="BS176" s="753" t="str">
        <f t="shared" si="113"/>
        <v/>
      </c>
      <c r="BU176" s="505" t="s">
        <v>274</v>
      </c>
      <c r="BV176" s="753">
        <f t="shared" si="114"/>
        <v>0</v>
      </c>
      <c r="BW176" s="753" t="str">
        <f t="shared" si="115"/>
        <v/>
      </c>
      <c r="BX176" s="753" t="str">
        <f t="shared" si="116"/>
        <v/>
      </c>
      <c r="BY176" s="753" t="str">
        <f t="shared" si="117"/>
        <v/>
      </c>
      <c r="BZ176" s="753" t="str">
        <f t="shared" si="118"/>
        <v/>
      </c>
      <c r="CA176" s="753" t="str">
        <f t="shared" si="119"/>
        <v/>
      </c>
      <c r="CC176" s="505" t="s">
        <v>274</v>
      </c>
      <c r="CD176" s="753">
        <f t="shared" si="120"/>
        <v>0</v>
      </c>
      <c r="CE176" s="753" t="str">
        <f t="shared" si="121"/>
        <v/>
      </c>
      <c r="CF176" s="753" t="str">
        <f t="shared" si="122"/>
        <v/>
      </c>
      <c r="CG176" s="753" t="str">
        <f t="shared" si="123"/>
        <v/>
      </c>
      <c r="CH176" s="753" t="str">
        <f t="shared" si="124"/>
        <v/>
      </c>
      <c r="CI176" s="753" t="str">
        <f t="shared" si="125"/>
        <v/>
      </c>
      <c r="CK176" s="505" t="s">
        <v>274</v>
      </c>
      <c r="CL176" s="753">
        <f t="shared" si="126"/>
        <v>0</v>
      </c>
      <c r="CM176" s="753" t="str">
        <f t="shared" si="127"/>
        <v/>
      </c>
      <c r="CN176" s="753" t="str">
        <f t="shared" si="128"/>
        <v/>
      </c>
      <c r="CO176" s="753" t="str">
        <f t="shared" si="129"/>
        <v/>
      </c>
      <c r="CP176" s="753" t="str">
        <f t="shared" si="130"/>
        <v/>
      </c>
      <c r="CQ176" s="753" t="str">
        <f t="shared" si="131"/>
        <v/>
      </c>
    </row>
    <row r="177" spans="1:95">
      <c r="A177" s="505" t="s">
        <v>263</v>
      </c>
      <c r="B177" s="753">
        <f t="shared" ref="B177:G177" si="147">IF(B115&gt;0,INDEX($D$54:$D$94,B115,1),"")</f>
        <v>0</v>
      </c>
      <c r="C177" s="753" t="str">
        <f t="shared" si="147"/>
        <v/>
      </c>
      <c r="D177" s="753" t="str">
        <f t="shared" si="147"/>
        <v/>
      </c>
      <c r="E177" s="753" t="str">
        <f t="shared" si="147"/>
        <v/>
      </c>
      <c r="F177" s="753" t="str">
        <f t="shared" si="147"/>
        <v/>
      </c>
      <c r="G177" s="753" t="str">
        <f t="shared" si="147"/>
        <v/>
      </c>
      <c r="I177" s="505" t="s">
        <v>263</v>
      </c>
      <c r="J177" s="753">
        <f t="shared" si="66"/>
        <v>0</v>
      </c>
      <c r="K177" s="753" t="str">
        <f t="shared" si="67"/>
        <v/>
      </c>
      <c r="L177" s="753" t="str">
        <f t="shared" si="68"/>
        <v/>
      </c>
      <c r="M177" s="753" t="str">
        <f t="shared" si="69"/>
        <v/>
      </c>
      <c r="N177" s="753" t="str">
        <f t="shared" si="70"/>
        <v/>
      </c>
      <c r="O177" s="753" t="str">
        <f t="shared" si="71"/>
        <v/>
      </c>
      <c r="Q177" s="505" t="s">
        <v>263</v>
      </c>
      <c r="R177" s="753">
        <f t="shared" si="72"/>
        <v>0</v>
      </c>
      <c r="S177" s="753" t="str">
        <f t="shared" si="73"/>
        <v/>
      </c>
      <c r="T177" s="753" t="str">
        <f t="shared" si="74"/>
        <v/>
      </c>
      <c r="U177" s="753" t="str">
        <f t="shared" si="75"/>
        <v/>
      </c>
      <c r="V177" s="753" t="str">
        <f t="shared" si="76"/>
        <v/>
      </c>
      <c r="W177" s="753" t="str">
        <f t="shared" si="77"/>
        <v/>
      </c>
      <c r="Y177" s="505" t="s">
        <v>263</v>
      </c>
      <c r="Z177" s="753">
        <f t="shared" si="78"/>
        <v>0</v>
      </c>
      <c r="AA177" s="753" t="str">
        <f t="shared" si="79"/>
        <v/>
      </c>
      <c r="AB177" s="753" t="str">
        <f t="shared" si="80"/>
        <v/>
      </c>
      <c r="AC177" s="753" t="str">
        <f t="shared" si="81"/>
        <v/>
      </c>
      <c r="AD177" s="753" t="str">
        <f t="shared" si="82"/>
        <v/>
      </c>
      <c r="AE177" s="753" t="str">
        <f t="shared" si="83"/>
        <v/>
      </c>
      <c r="AG177" s="505" t="s">
        <v>263</v>
      </c>
      <c r="AH177" s="753">
        <f t="shared" si="84"/>
        <v>0</v>
      </c>
      <c r="AI177" s="753" t="str">
        <f t="shared" si="85"/>
        <v/>
      </c>
      <c r="AJ177" s="753" t="str">
        <f t="shared" si="86"/>
        <v/>
      </c>
      <c r="AK177" s="753" t="str">
        <f t="shared" si="87"/>
        <v/>
      </c>
      <c r="AL177" s="753" t="str">
        <f t="shared" si="88"/>
        <v/>
      </c>
      <c r="AM177" s="753" t="str">
        <f t="shared" si="89"/>
        <v/>
      </c>
      <c r="AO177" s="505" t="s">
        <v>263</v>
      </c>
      <c r="AP177" s="753">
        <f t="shared" si="90"/>
        <v>0</v>
      </c>
      <c r="AQ177" s="753" t="str">
        <f t="shared" si="91"/>
        <v/>
      </c>
      <c r="AR177" s="753" t="str">
        <f t="shared" si="92"/>
        <v/>
      </c>
      <c r="AS177" s="753" t="str">
        <f t="shared" si="93"/>
        <v/>
      </c>
      <c r="AT177" s="753" t="str">
        <f t="shared" si="94"/>
        <v/>
      </c>
      <c r="AU177" s="753" t="str">
        <f t="shared" si="95"/>
        <v/>
      </c>
      <c r="AW177" s="505" t="s">
        <v>263</v>
      </c>
      <c r="AX177" s="753">
        <f t="shared" si="96"/>
        <v>0</v>
      </c>
      <c r="AY177" s="753" t="str">
        <f t="shared" si="97"/>
        <v/>
      </c>
      <c r="AZ177" s="753" t="str">
        <f t="shared" si="98"/>
        <v/>
      </c>
      <c r="BA177" s="753" t="str">
        <f t="shared" si="99"/>
        <v/>
      </c>
      <c r="BB177" s="753" t="str">
        <f t="shared" si="100"/>
        <v/>
      </c>
      <c r="BC177" s="753" t="str">
        <f t="shared" si="101"/>
        <v/>
      </c>
      <c r="BE177" s="505" t="s">
        <v>263</v>
      </c>
      <c r="BF177" s="753">
        <f t="shared" si="102"/>
        <v>0</v>
      </c>
      <c r="BG177" s="753" t="str">
        <f t="shared" si="103"/>
        <v/>
      </c>
      <c r="BH177" s="753" t="str">
        <f t="shared" si="104"/>
        <v/>
      </c>
      <c r="BI177" s="753" t="str">
        <f t="shared" si="105"/>
        <v/>
      </c>
      <c r="BJ177" s="753" t="str">
        <f t="shared" si="106"/>
        <v/>
      </c>
      <c r="BK177" s="753" t="str">
        <f t="shared" si="107"/>
        <v/>
      </c>
      <c r="BM177" s="505" t="s">
        <v>263</v>
      </c>
      <c r="BN177" s="753">
        <f t="shared" si="108"/>
        <v>0</v>
      </c>
      <c r="BO177" s="753" t="str">
        <f t="shared" si="109"/>
        <v/>
      </c>
      <c r="BP177" s="753" t="str">
        <f t="shared" si="110"/>
        <v/>
      </c>
      <c r="BQ177" s="753" t="str">
        <f t="shared" si="111"/>
        <v/>
      </c>
      <c r="BR177" s="753" t="str">
        <f t="shared" si="112"/>
        <v/>
      </c>
      <c r="BS177" s="753" t="str">
        <f t="shared" si="113"/>
        <v/>
      </c>
      <c r="BU177" s="505" t="s">
        <v>263</v>
      </c>
      <c r="BV177" s="753">
        <f t="shared" si="114"/>
        <v>0</v>
      </c>
      <c r="BW177" s="753" t="str">
        <f t="shared" si="115"/>
        <v/>
      </c>
      <c r="BX177" s="753" t="str">
        <f t="shared" si="116"/>
        <v/>
      </c>
      <c r="BY177" s="753" t="str">
        <f t="shared" si="117"/>
        <v/>
      </c>
      <c r="BZ177" s="753" t="str">
        <f t="shared" si="118"/>
        <v/>
      </c>
      <c r="CA177" s="753" t="str">
        <f t="shared" si="119"/>
        <v/>
      </c>
      <c r="CC177" s="505" t="s">
        <v>263</v>
      </c>
      <c r="CD177" s="753">
        <f t="shared" si="120"/>
        <v>0</v>
      </c>
      <c r="CE177" s="753" t="str">
        <f t="shared" si="121"/>
        <v/>
      </c>
      <c r="CF177" s="753" t="str">
        <f t="shared" si="122"/>
        <v/>
      </c>
      <c r="CG177" s="753" t="str">
        <f t="shared" si="123"/>
        <v/>
      </c>
      <c r="CH177" s="753" t="str">
        <f t="shared" si="124"/>
        <v/>
      </c>
      <c r="CI177" s="753" t="str">
        <f t="shared" si="125"/>
        <v/>
      </c>
      <c r="CK177" s="505" t="s">
        <v>263</v>
      </c>
      <c r="CL177" s="753">
        <f t="shared" si="126"/>
        <v>0</v>
      </c>
      <c r="CM177" s="753" t="str">
        <f t="shared" si="127"/>
        <v/>
      </c>
      <c r="CN177" s="753" t="str">
        <f t="shared" si="128"/>
        <v/>
      </c>
      <c r="CO177" s="753" t="str">
        <f t="shared" si="129"/>
        <v/>
      </c>
      <c r="CP177" s="753" t="str">
        <f t="shared" si="130"/>
        <v/>
      </c>
      <c r="CQ177" s="753" t="str">
        <f t="shared" si="131"/>
        <v/>
      </c>
    </row>
    <row r="178" spans="1:95">
      <c r="A178" s="505" t="s">
        <v>449</v>
      </c>
      <c r="B178" s="753">
        <f t="shared" ref="B178:G178" si="148">IF(B116&gt;0,INDEX($D$54:$D$94,B116,1),"")</f>
        <v>0</v>
      </c>
      <c r="C178" s="753">
        <f t="shared" si="148"/>
        <v>0</v>
      </c>
      <c r="D178" s="753" t="str">
        <f t="shared" si="148"/>
        <v/>
      </c>
      <c r="E178" s="753" t="str">
        <f t="shared" si="148"/>
        <v/>
      </c>
      <c r="F178" s="753" t="str">
        <f t="shared" si="148"/>
        <v/>
      </c>
      <c r="G178" s="753" t="str">
        <f t="shared" si="148"/>
        <v/>
      </c>
      <c r="I178" s="505" t="s">
        <v>449</v>
      </c>
      <c r="J178" s="753">
        <f t="shared" si="66"/>
        <v>0</v>
      </c>
      <c r="K178" s="753">
        <f t="shared" si="67"/>
        <v>0</v>
      </c>
      <c r="L178" s="753" t="str">
        <f t="shared" si="68"/>
        <v/>
      </c>
      <c r="M178" s="753" t="str">
        <f t="shared" si="69"/>
        <v/>
      </c>
      <c r="N178" s="753" t="str">
        <f t="shared" si="70"/>
        <v/>
      </c>
      <c r="O178" s="753" t="str">
        <f t="shared" si="71"/>
        <v/>
      </c>
      <c r="Q178" s="505" t="s">
        <v>449</v>
      </c>
      <c r="R178" s="753">
        <f t="shared" si="72"/>
        <v>0</v>
      </c>
      <c r="S178" s="753">
        <f t="shared" si="73"/>
        <v>0</v>
      </c>
      <c r="T178" s="753" t="str">
        <f t="shared" si="74"/>
        <v/>
      </c>
      <c r="U178" s="753" t="str">
        <f t="shared" si="75"/>
        <v/>
      </c>
      <c r="V178" s="753" t="str">
        <f t="shared" si="76"/>
        <v/>
      </c>
      <c r="W178" s="753" t="str">
        <f t="shared" si="77"/>
        <v/>
      </c>
      <c r="Y178" s="505" t="s">
        <v>449</v>
      </c>
      <c r="Z178" s="753">
        <f t="shared" si="78"/>
        <v>0</v>
      </c>
      <c r="AA178" s="753">
        <f t="shared" si="79"/>
        <v>0</v>
      </c>
      <c r="AB178" s="753" t="str">
        <f t="shared" si="80"/>
        <v/>
      </c>
      <c r="AC178" s="753" t="str">
        <f t="shared" si="81"/>
        <v/>
      </c>
      <c r="AD178" s="753" t="str">
        <f t="shared" si="82"/>
        <v/>
      </c>
      <c r="AE178" s="753" t="str">
        <f t="shared" si="83"/>
        <v/>
      </c>
      <c r="AG178" s="505" t="s">
        <v>449</v>
      </c>
      <c r="AH178" s="753">
        <f t="shared" si="84"/>
        <v>0</v>
      </c>
      <c r="AI178" s="753">
        <f t="shared" si="85"/>
        <v>0</v>
      </c>
      <c r="AJ178" s="753" t="str">
        <f t="shared" si="86"/>
        <v/>
      </c>
      <c r="AK178" s="753" t="str">
        <f t="shared" si="87"/>
        <v/>
      </c>
      <c r="AL178" s="753" t="str">
        <f t="shared" si="88"/>
        <v/>
      </c>
      <c r="AM178" s="753" t="str">
        <f t="shared" si="89"/>
        <v/>
      </c>
      <c r="AO178" s="505" t="s">
        <v>449</v>
      </c>
      <c r="AP178" s="753">
        <f t="shared" si="90"/>
        <v>0</v>
      </c>
      <c r="AQ178" s="753">
        <f t="shared" si="91"/>
        <v>0</v>
      </c>
      <c r="AR178" s="753" t="str">
        <f t="shared" si="92"/>
        <v/>
      </c>
      <c r="AS178" s="753" t="str">
        <f t="shared" si="93"/>
        <v/>
      </c>
      <c r="AT178" s="753" t="str">
        <f t="shared" si="94"/>
        <v/>
      </c>
      <c r="AU178" s="753" t="str">
        <f t="shared" si="95"/>
        <v/>
      </c>
      <c r="AW178" s="505" t="s">
        <v>449</v>
      </c>
      <c r="AX178" s="753">
        <f t="shared" si="96"/>
        <v>0</v>
      </c>
      <c r="AY178" s="753">
        <f t="shared" si="97"/>
        <v>0</v>
      </c>
      <c r="AZ178" s="753" t="str">
        <f t="shared" si="98"/>
        <v/>
      </c>
      <c r="BA178" s="753" t="str">
        <f t="shared" si="99"/>
        <v/>
      </c>
      <c r="BB178" s="753" t="str">
        <f t="shared" si="100"/>
        <v/>
      </c>
      <c r="BC178" s="753" t="str">
        <f t="shared" si="101"/>
        <v/>
      </c>
      <c r="BE178" s="505" t="s">
        <v>449</v>
      </c>
      <c r="BF178" s="753">
        <f t="shared" si="102"/>
        <v>0</v>
      </c>
      <c r="BG178" s="753">
        <f t="shared" si="103"/>
        <v>0</v>
      </c>
      <c r="BH178" s="753" t="str">
        <f t="shared" si="104"/>
        <v/>
      </c>
      <c r="BI178" s="753" t="str">
        <f t="shared" si="105"/>
        <v/>
      </c>
      <c r="BJ178" s="753" t="str">
        <f t="shared" si="106"/>
        <v/>
      </c>
      <c r="BK178" s="753" t="str">
        <f t="shared" si="107"/>
        <v/>
      </c>
      <c r="BM178" s="505" t="s">
        <v>449</v>
      </c>
      <c r="BN178" s="753">
        <f t="shared" si="108"/>
        <v>0</v>
      </c>
      <c r="BO178" s="753">
        <f t="shared" si="109"/>
        <v>0</v>
      </c>
      <c r="BP178" s="753" t="str">
        <f t="shared" si="110"/>
        <v/>
      </c>
      <c r="BQ178" s="753" t="str">
        <f t="shared" si="111"/>
        <v/>
      </c>
      <c r="BR178" s="753" t="str">
        <f t="shared" si="112"/>
        <v/>
      </c>
      <c r="BS178" s="753" t="str">
        <f t="shared" si="113"/>
        <v/>
      </c>
      <c r="BU178" s="505" t="s">
        <v>449</v>
      </c>
      <c r="BV178" s="753">
        <f t="shared" si="114"/>
        <v>0</v>
      </c>
      <c r="BW178" s="753">
        <f t="shared" si="115"/>
        <v>0</v>
      </c>
      <c r="BX178" s="753" t="str">
        <f t="shared" si="116"/>
        <v/>
      </c>
      <c r="BY178" s="753" t="str">
        <f t="shared" si="117"/>
        <v/>
      </c>
      <c r="BZ178" s="753" t="str">
        <f t="shared" si="118"/>
        <v/>
      </c>
      <c r="CA178" s="753" t="str">
        <f t="shared" si="119"/>
        <v/>
      </c>
      <c r="CC178" s="505" t="s">
        <v>449</v>
      </c>
      <c r="CD178" s="753">
        <f t="shared" si="120"/>
        <v>0</v>
      </c>
      <c r="CE178" s="753">
        <f t="shared" si="121"/>
        <v>0</v>
      </c>
      <c r="CF178" s="753" t="str">
        <f t="shared" si="122"/>
        <v/>
      </c>
      <c r="CG178" s="753" t="str">
        <f t="shared" si="123"/>
        <v/>
      </c>
      <c r="CH178" s="753" t="str">
        <f t="shared" si="124"/>
        <v/>
      </c>
      <c r="CI178" s="753" t="str">
        <f t="shared" si="125"/>
        <v/>
      </c>
      <c r="CK178" s="505" t="s">
        <v>449</v>
      </c>
      <c r="CL178" s="753">
        <f t="shared" si="126"/>
        <v>0</v>
      </c>
      <c r="CM178" s="753">
        <f t="shared" si="127"/>
        <v>0</v>
      </c>
      <c r="CN178" s="753" t="str">
        <f t="shared" si="128"/>
        <v/>
      </c>
      <c r="CO178" s="753" t="str">
        <f t="shared" si="129"/>
        <v/>
      </c>
      <c r="CP178" s="753" t="str">
        <f t="shared" si="130"/>
        <v/>
      </c>
      <c r="CQ178" s="753" t="str">
        <f t="shared" si="131"/>
        <v/>
      </c>
    </row>
    <row r="179" spans="1:95">
      <c r="A179" s="505" t="s">
        <v>434</v>
      </c>
      <c r="B179" s="753">
        <f t="shared" ref="B179:G179" si="149">IF(B117&gt;0,INDEX($D$54:$D$94,B117,1),"")</f>
        <v>0</v>
      </c>
      <c r="C179" s="753" t="str">
        <f t="shared" si="149"/>
        <v/>
      </c>
      <c r="D179" s="753" t="str">
        <f t="shared" si="149"/>
        <v/>
      </c>
      <c r="E179" s="753" t="str">
        <f t="shared" si="149"/>
        <v/>
      </c>
      <c r="F179" s="753" t="str">
        <f t="shared" si="149"/>
        <v/>
      </c>
      <c r="G179" s="753" t="str">
        <f t="shared" si="149"/>
        <v/>
      </c>
      <c r="I179" s="505" t="s">
        <v>434</v>
      </c>
      <c r="J179" s="753">
        <f t="shared" si="66"/>
        <v>0</v>
      </c>
      <c r="K179" s="753" t="str">
        <f t="shared" si="67"/>
        <v/>
      </c>
      <c r="L179" s="753" t="str">
        <f t="shared" si="68"/>
        <v/>
      </c>
      <c r="M179" s="753" t="str">
        <f t="shared" si="69"/>
        <v/>
      </c>
      <c r="N179" s="753" t="str">
        <f t="shared" si="70"/>
        <v/>
      </c>
      <c r="O179" s="753" t="str">
        <f t="shared" si="71"/>
        <v/>
      </c>
      <c r="Q179" s="505" t="s">
        <v>434</v>
      </c>
      <c r="R179" s="753">
        <f t="shared" si="72"/>
        <v>0</v>
      </c>
      <c r="S179" s="753" t="str">
        <f t="shared" si="73"/>
        <v/>
      </c>
      <c r="T179" s="753" t="str">
        <f t="shared" si="74"/>
        <v/>
      </c>
      <c r="U179" s="753" t="str">
        <f t="shared" si="75"/>
        <v/>
      </c>
      <c r="V179" s="753" t="str">
        <f t="shared" si="76"/>
        <v/>
      </c>
      <c r="W179" s="753" t="str">
        <f t="shared" si="77"/>
        <v/>
      </c>
      <c r="Y179" s="505" t="s">
        <v>434</v>
      </c>
      <c r="Z179" s="753">
        <f t="shared" si="78"/>
        <v>0</v>
      </c>
      <c r="AA179" s="753" t="str">
        <f t="shared" si="79"/>
        <v/>
      </c>
      <c r="AB179" s="753" t="str">
        <f t="shared" si="80"/>
        <v/>
      </c>
      <c r="AC179" s="753" t="str">
        <f t="shared" si="81"/>
        <v/>
      </c>
      <c r="AD179" s="753" t="str">
        <f t="shared" si="82"/>
        <v/>
      </c>
      <c r="AE179" s="753" t="str">
        <f t="shared" si="83"/>
        <v/>
      </c>
      <c r="AG179" s="505" t="s">
        <v>434</v>
      </c>
      <c r="AH179" s="753">
        <f t="shared" si="84"/>
        <v>0</v>
      </c>
      <c r="AI179" s="753" t="str">
        <f t="shared" si="85"/>
        <v/>
      </c>
      <c r="AJ179" s="753" t="str">
        <f t="shared" si="86"/>
        <v/>
      </c>
      <c r="AK179" s="753" t="str">
        <f t="shared" si="87"/>
        <v/>
      </c>
      <c r="AL179" s="753" t="str">
        <f t="shared" si="88"/>
        <v/>
      </c>
      <c r="AM179" s="753" t="str">
        <f t="shared" si="89"/>
        <v/>
      </c>
      <c r="AO179" s="505" t="s">
        <v>434</v>
      </c>
      <c r="AP179" s="753">
        <f t="shared" si="90"/>
        <v>0</v>
      </c>
      <c r="AQ179" s="753" t="str">
        <f t="shared" si="91"/>
        <v/>
      </c>
      <c r="AR179" s="753" t="str">
        <f t="shared" si="92"/>
        <v/>
      </c>
      <c r="AS179" s="753" t="str">
        <f t="shared" si="93"/>
        <v/>
      </c>
      <c r="AT179" s="753" t="str">
        <f t="shared" si="94"/>
        <v/>
      </c>
      <c r="AU179" s="753" t="str">
        <f t="shared" si="95"/>
        <v/>
      </c>
      <c r="AW179" s="505" t="s">
        <v>434</v>
      </c>
      <c r="AX179" s="753">
        <f t="shared" si="96"/>
        <v>0</v>
      </c>
      <c r="AY179" s="753" t="str">
        <f t="shared" si="97"/>
        <v/>
      </c>
      <c r="AZ179" s="753" t="str">
        <f t="shared" si="98"/>
        <v/>
      </c>
      <c r="BA179" s="753" t="str">
        <f t="shared" si="99"/>
        <v/>
      </c>
      <c r="BB179" s="753" t="str">
        <f t="shared" si="100"/>
        <v/>
      </c>
      <c r="BC179" s="753" t="str">
        <f t="shared" si="101"/>
        <v/>
      </c>
      <c r="BE179" s="505" t="s">
        <v>434</v>
      </c>
      <c r="BF179" s="753">
        <f t="shared" si="102"/>
        <v>0</v>
      </c>
      <c r="BG179" s="753" t="str">
        <f t="shared" si="103"/>
        <v/>
      </c>
      <c r="BH179" s="753" t="str">
        <f t="shared" si="104"/>
        <v/>
      </c>
      <c r="BI179" s="753" t="str">
        <f t="shared" si="105"/>
        <v/>
      </c>
      <c r="BJ179" s="753" t="str">
        <f t="shared" si="106"/>
        <v/>
      </c>
      <c r="BK179" s="753" t="str">
        <f t="shared" si="107"/>
        <v/>
      </c>
      <c r="BM179" s="505" t="s">
        <v>434</v>
      </c>
      <c r="BN179" s="753">
        <f t="shared" si="108"/>
        <v>0</v>
      </c>
      <c r="BO179" s="753" t="str">
        <f t="shared" si="109"/>
        <v/>
      </c>
      <c r="BP179" s="753" t="str">
        <f t="shared" si="110"/>
        <v/>
      </c>
      <c r="BQ179" s="753" t="str">
        <f t="shared" si="111"/>
        <v/>
      </c>
      <c r="BR179" s="753" t="str">
        <f t="shared" si="112"/>
        <v/>
      </c>
      <c r="BS179" s="753" t="str">
        <f t="shared" si="113"/>
        <v/>
      </c>
      <c r="BU179" s="505" t="s">
        <v>434</v>
      </c>
      <c r="BV179" s="753">
        <f t="shared" si="114"/>
        <v>0</v>
      </c>
      <c r="BW179" s="753" t="str">
        <f t="shared" si="115"/>
        <v/>
      </c>
      <c r="BX179" s="753" t="str">
        <f t="shared" si="116"/>
        <v/>
      </c>
      <c r="BY179" s="753" t="str">
        <f t="shared" si="117"/>
        <v/>
      </c>
      <c r="BZ179" s="753" t="str">
        <f t="shared" si="118"/>
        <v/>
      </c>
      <c r="CA179" s="753" t="str">
        <f t="shared" si="119"/>
        <v/>
      </c>
      <c r="CC179" s="505" t="s">
        <v>434</v>
      </c>
      <c r="CD179" s="753">
        <f t="shared" si="120"/>
        <v>0</v>
      </c>
      <c r="CE179" s="753" t="str">
        <f t="shared" si="121"/>
        <v/>
      </c>
      <c r="CF179" s="753" t="str">
        <f t="shared" si="122"/>
        <v/>
      </c>
      <c r="CG179" s="753" t="str">
        <f t="shared" si="123"/>
        <v/>
      </c>
      <c r="CH179" s="753" t="str">
        <f t="shared" si="124"/>
        <v/>
      </c>
      <c r="CI179" s="753" t="str">
        <f t="shared" si="125"/>
        <v/>
      </c>
      <c r="CK179" s="505" t="s">
        <v>434</v>
      </c>
      <c r="CL179" s="753">
        <f t="shared" si="126"/>
        <v>0</v>
      </c>
      <c r="CM179" s="753" t="str">
        <f t="shared" si="127"/>
        <v/>
      </c>
      <c r="CN179" s="753" t="str">
        <f t="shared" si="128"/>
        <v/>
      </c>
      <c r="CO179" s="753" t="str">
        <f t="shared" si="129"/>
        <v/>
      </c>
      <c r="CP179" s="753" t="str">
        <f t="shared" si="130"/>
        <v/>
      </c>
      <c r="CQ179" s="753" t="str">
        <f t="shared" si="131"/>
        <v/>
      </c>
    </row>
    <row r="180" spans="1:95">
      <c r="A180" s="505" t="s">
        <v>454</v>
      </c>
      <c r="B180" s="753">
        <f t="shared" ref="B180:G180" si="150">IF(B118&gt;0,INDEX($D$54:$D$94,B118,1),"")</f>
        <v>0</v>
      </c>
      <c r="C180" s="753">
        <f t="shared" si="150"/>
        <v>0</v>
      </c>
      <c r="D180" s="753">
        <f t="shared" si="150"/>
        <v>0</v>
      </c>
      <c r="E180" s="753">
        <f t="shared" si="150"/>
        <v>0</v>
      </c>
      <c r="F180" s="753">
        <f t="shared" si="150"/>
        <v>2</v>
      </c>
      <c r="G180" s="753" t="str">
        <f t="shared" si="150"/>
        <v/>
      </c>
      <c r="I180" s="505" t="s">
        <v>454</v>
      </c>
      <c r="J180" s="753">
        <f t="shared" si="66"/>
        <v>0</v>
      </c>
      <c r="K180" s="753">
        <f t="shared" si="67"/>
        <v>0</v>
      </c>
      <c r="L180" s="753">
        <f t="shared" si="68"/>
        <v>0</v>
      </c>
      <c r="M180" s="753">
        <f t="shared" si="69"/>
        <v>0</v>
      </c>
      <c r="N180" s="753">
        <f t="shared" si="70"/>
        <v>2</v>
      </c>
      <c r="O180" s="753" t="str">
        <f t="shared" si="71"/>
        <v/>
      </c>
      <c r="Q180" s="505" t="s">
        <v>454</v>
      </c>
      <c r="R180" s="753">
        <f t="shared" si="72"/>
        <v>0</v>
      </c>
      <c r="S180" s="753">
        <f t="shared" si="73"/>
        <v>0</v>
      </c>
      <c r="T180" s="753">
        <f t="shared" si="74"/>
        <v>0</v>
      </c>
      <c r="U180" s="753">
        <f t="shared" si="75"/>
        <v>0</v>
      </c>
      <c r="V180" s="753">
        <f t="shared" si="76"/>
        <v>2</v>
      </c>
      <c r="W180" s="753" t="str">
        <f t="shared" si="77"/>
        <v/>
      </c>
      <c r="Y180" s="505" t="s">
        <v>454</v>
      </c>
      <c r="Z180" s="753">
        <f t="shared" si="78"/>
        <v>0</v>
      </c>
      <c r="AA180" s="753">
        <f t="shared" si="79"/>
        <v>0</v>
      </c>
      <c r="AB180" s="753">
        <f t="shared" si="80"/>
        <v>0</v>
      </c>
      <c r="AC180" s="753">
        <f t="shared" si="81"/>
        <v>0</v>
      </c>
      <c r="AD180" s="753">
        <f t="shared" si="82"/>
        <v>2</v>
      </c>
      <c r="AE180" s="753" t="str">
        <f t="shared" si="83"/>
        <v/>
      </c>
      <c r="AG180" s="505" t="s">
        <v>454</v>
      </c>
      <c r="AH180" s="753">
        <f t="shared" si="84"/>
        <v>0</v>
      </c>
      <c r="AI180" s="753">
        <f t="shared" si="85"/>
        <v>0</v>
      </c>
      <c r="AJ180" s="753">
        <f t="shared" si="86"/>
        <v>0</v>
      </c>
      <c r="AK180" s="753">
        <f t="shared" si="87"/>
        <v>0</v>
      </c>
      <c r="AL180" s="753">
        <f t="shared" si="88"/>
        <v>2</v>
      </c>
      <c r="AM180" s="753" t="str">
        <f t="shared" si="89"/>
        <v/>
      </c>
      <c r="AO180" s="505" t="s">
        <v>454</v>
      </c>
      <c r="AP180" s="753">
        <f t="shared" si="90"/>
        <v>0</v>
      </c>
      <c r="AQ180" s="753">
        <f t="shared" si="91"/>
        <v>0</v>
      </c>
      <c r="AR180" s="753">
        <f t="shared" si="92"/>
        <v>0</v>
      </c>
      <c r="AS180" s="753">
        <f t="shared" si="93"/>
        <v>0</v>
      </c>
      <c r="AT180" s="753">
        <f t="shared" si="94"/>
        <v>2</v>
      </c>
      <c r="AU180" s="753" t="str">
        <f t="shared" si="95"/>
        <v/>
      </c>
      <c r="AW180" s="505" t="s">
        <v>454</v>
      </c>
      <c r="AX180" s="753">
        <f t="shared" si="96"/>
        <v>0</v>
      </c>
      <c r="AY180" s="753">
        <f t="shared" si="97"/>
        <v>0</v>
      </c>
      <c r="AZ180" s="753">
        <f t="shared" si="98"/>
        <v>0</v>
      </c>
      <c r="BA180" s="753">
        <f t="shared" si="99"/>
        <v>0</v>
      </c>
      <c r="BB180" s="753">
        <f t="shared" si="100"/>
        <v>2</v>
      </c>
      <c r="BC180" s="753" t="str">
        <f t="shared" si="101"/>
        <v/>
      </c>
      <c r="BE180" s="505" t="s">
        <v>454</v>
      </c>
      <c r="BF180" s="753">
        <f t="shared" si="102"/>
        <v>0</v>
      </c>
      <c r="BG180" s="753">
        <f t="shared" si="103"/>
        <v>0</v>
      </c>
      <c r="BH180" s="753">
        <f t="shared" si="104"/>
        <v>0</v>
      </c>
      <c r="BI180" s="753">
        <f t="shared" si="105"/>
        <v>0</v>
      </c>
      <c r="BJ180" s="753">
        <f t="shared" si="106"/>
        <v>2</v>
      </c>
      <c r="BK180" s="753" t="str">
        <f t="shared" si="107"/>
        <v/>
      </c>
      <c r="BM180" s="505" t="s">
        <v>454</v>
      </c>
      <c r="BN180" s="753">
        <f t="shared" si="108"/>
        <v>0</v>
      </c>
      <c r="BO180" s="753">
        <f t="shared" si="109"/>
        <v>0</v>
      </c>
      <c r="BP180" s="753">
        <f t="shared" si="110"/>
        <v>0</v>
      </c>
      <c r="BQ180" s="753">
        <f t="shared" si="111"/>
        <v>0</v>
      </c>
      <c r="BR180" s="753">
        <f t="shared" si="112"/>
        <v>2</v>
      </c>
      <c r="BS180" s="753" t="str">
        <f t="shared" si="113"/>
        <v/>
      </c>
      <c r="BU180" s="505" t="s">
        <v>454</v>
      </c>
      <c r="BV180" s="753">
        <f t="shared" si="114"/>
        <v>0</v>
      </c>
      <c r="BW180" s="753">
        <f t="shared" si="115"/>
        <v>0</v>
      </c>
      <c r="BX180" s="753">
        <f t="shared" si="116"/>
        <v>0</v>
      </c>
      <c r="BY180" s="753">
        <f t="shared" si="117"/>
        <v>0</v>
      </c>
      <c r="BZ180" s="753">
        <f t="shared" si="118"/>
        <v>2</v>
      </c>
      <c r="CA180" s="753" t="str">
        <f t="shared" si="119"/>
        <v/>
      </c>
      <c r="CC180" s="505" t="s">
        <v>454</v>
      </c>
      <c r="CD180" s="753">
        <f t="shared" si="120"/>
        <v>0</v>
      </c>
      <c r="CE180" s="753">
        <f t="shared" si="121"/>
        <v>0</v>
      </c>
      <c r="CF180" s="753">
        <f t="shared" si="122"/>
        <v>0</v>
      </c>
      <c r="CG180" s="753">
        <f t="shared" si="123"/>
        <v>0</v>
      </c>
      <c r="CH180" s="753">
        <f t="shared" si="124"/>
        <v>2</v>
      </c>
      <c r="CI180" s="753" t="str">
        <f t="shared" si="125"/>
        <v/>
      </c>
      <c r="CK180" s="505" t="s">
        <v>454</v>
      </c>
      <c r="CL180" s="753">
        <f t="shared" si="126"/>
        <v>0</v>
      </c>
      <c r="CM180" s="753">
        <f t="shared" si="127"/>
        <v>0</v>
      </c>
      <c r="CN180" s="753">
        <f t="shared" si="128"/>
        <v>0</v>
      </c>
      <c r="CO180" s="753">
        <f t="shared" si="129"/>
        <v>0</v>
      </c>
      <c r="CP180" s="753">
        <f t="shared" si="130"/>
        <v>2</v>
      </c>
      <c r="CQ180" s="753" t="str">
        <f t="shared" si="131"/>
        <v/>
      </c>
    </row>
    <row r="181" spans="1:95">
      <c r="A181" s="505" t="s">
        <v>452</v>
      </c>
      <c r="B181" s="753">
        <f t="shared" ref="B181:G181" si="151">IF(B119&gt;0,INDEX($D$54:$D$94,B119,1),"")</f>
        <v>0</v>
      </c>
      <c r="C181" s="753" t="str">
        <f t="shared" si="151"/>
        <v/>
      </c>
      <c r="D181" s="753" t="str">
        <f t="shared" si="151"/>
        <v/>
      </c>
      <c r="E181" s="753" t="str">
        <f t="shared" si="151"/>
        <v/>
      </c>
      <c r="F181" s="753" t="str">
        <f t="shared" si="151"/>
        <v/>
      </c>
      <c r="G181" s="753" t="str">
        <f t="shared" si="151"/>
        <v/>
      </c>
      <c r="I181" s="505" t="s">
        <v>452</v>
      </c>
      <c r="J181" s="753">
        <f t="shared" si="66"/>
        <v>0</v>
      </c>
      <c r="K181" s="753" t="str">
        <f t="shared" si="67"/>
        <v/>
      </c>
      <c r="L181" s="753" t="str">
        <f t="shared" si="68"/>
        <v/>
      </c>
      <c r="M181" s="753" t="str">
        <f t="shared" si="69"/>
        <v/>
      </c>
      <c r="N181" s="753" t="str">
        <f t="shared" si="70"/>
        <v/>
      </c>
      <c r="O181" s="753" t="str">
        <f t="shared" si="71"/>
        <v/>
      </c>
      <c r="Q181" s="505" t="s">
        <v>452</v>
      </c>
      <c r="R181" s="753">
        <f t="shared" si="72"/>
        <v>0</v>
      </c>
      <c r="S181" s="753" t="str">
        <f t="shared" si="73"/>
        <v/>
      </c>
      <c r="T181" s="753" t="str">
        <f t="shared" si="74"/>
        <v/>
      </c>
      <c r="U181" s="753" t="str">
        <f t="shared" si="75"/>
        <v/>
      </c>
      <c r="V181" s="753" t="str">
        <f t="shared" si="76"/>
        <v/>
      </c>
      <c r="W181" s="753" t="str">
        <f t="shared" si="77"/>
        <v/>
      </c>
      <c r="Y181" s="505" t="s">
        <v>452</v>
      </c>
      <c r="Z181" s="753">
        <f t="shared" si="78"/>
        <v>0</v>
      </c>
      <c r="AA181" s="753" t="str">
        <f t="shared" si="79"/>
        <v/>
      </c>
      <c r="AB181" s="753" t="str">
        <f t="shared" si="80"/>
        <v/>
      </c>
      <c r="AC181" s="753" t="str">
        <f t="shared" si="81"/>
        <v/>
      </c>
      <c r="AD181" s="753" t="str">
        <f t="shared" si="82"/>
        <v/>
      </c>
      <c r="AE181" s="753" t="str">
        <f t="shared" si="83"/>
        <v/>
      </c>
      <c r="AG181" s="505" t="s">
        <v>452</v>
      </c>
      <c r="AH181" s="753">
        <f t="shared" si="84"/>
        <v>0</v>
      </c>
      <c r="AI181" s="753" t="str">
        <f t="shared" si="85"/>
        <v/>
      </c>
      <c r="AJ181" s="753" t="str">
        <f t="shared" si="86"/>
        <v/>
      </c>
      <c r="AK181" s="753" t="str">
        <f t="shared" si="87"/>
        <v/>
      </c>
      <c r="AL181" s="753" t="str">
        <f t="shared" si="88"/>
        <v/>
      </c>
      <c r="AM181" s="753" t="str">
        <f t="shared" si="89"/>
        <v/>
      </c>
      <c r="AO181" s="505" t="s">
        <v>452</v>
      </c>
      <c r="AP181" s="753">
        <f t="shared" si="90"/>
        <v>0</v>
      </c>
      <c r="AQ181" s="753" t="str">
        <f t="shared" si="91"/>
        <v/>
      </c>
      <c r="AR181" s="753" t="str">
        <f t="shared" si="92"/>
        <v/>
      </c>
      <c r="AS181" s="753" t="str">
        <f t="shared" si="93"/>
        <v/>
      </c>
      <c r="AT181" s="753" t="str">
        <f t="shared" si="94"/>
        <v/>
      </c>
      <c r="AU181" s="753" t="str">
        <f t="shared" si="95"/>
        <v/>
      </c>
      <c r="AW181" s="505" t="s">
        <v>452</v>
      </c>
      <c r="AX181" s="753">
        <f t="shared" si="96"/>
        <v>0</v>
      </c>
      <c r="AY181" s="753" t="str">
        <f t="shared" si="97"/>
        <v/>
      </c>
      <c r="AZ181" s="753" t="str">
        <f t="shared" si="98"/>
        <v/>
      </c>
      <c r="BA181" s="753" t="str">
        <f t="shared" si="99"/>
        <v/>
      </c>
      <c r="BB181" s="753" t="str">
        <f t="shared" si="100"/>
        <v/>
      </c>
      <c r="BC181" s="753" t="str">
        <f t="shared" si="101"/>
        <v/>
      </c>
      <c r="BE181" s="505" t="s">
        <v>452</v>
      </c>
      <c r="BF181" s="753">
        <f t="shared" si="102"/>
        <v>0</v>
      </c>
      <c r="BG181" s="753" t="str">
        <f t="shared" si="103"/>
        <v/>
      </c>
      <c r="BH181" s="753" t="str">
        <f t="shared" si="104"/>
        <v/>
      </c>
      <c r="BI181" s="753" t="str">
        <f t="shared" si="105"/>
        <v/>
      </c>
      <c r="BJ181" s="753" t="str">
        <f t="shared" si="106"/>
        <v/>
      </c>
      <c r="BK181" s="753" t="str">
        <f t="shared" si="107"/>
        <v/>
      </c>
      <c r="BM181" s="505" t="s">
        <v>452</v>
      </c>
      <c r="BN181" s="753">
        <f t="shared" si="108"/>
        <v>0</v>
      </c>
      <c r="BO181" s="753" t="str">
        <f t="shared" si="109"/>
        <v/>
      </c>
      <c r="BP181" s="753" t="str">
        <f t="shared" si="110"/>
        <v/>
      </c>
      <c r="BQ181" s="753" t="str">
        <f t="shared" si="111"/>
        <v/>
      </c>
      <c r="BR181" s="753" t="str">
        <f t="shared" si="112"/>
        <v/>
      </c>
      <c r="BS181" s="753" t="str">
        <f t="shared" si="113"/>
        <v/>
      </c>
      <c r="BU181" s="505" t="s">
        <v>452</v>
      </c>
      <c r="BV181" s="753">
        <f t="shared" si="114"/>
        <v>0</v>
      </c>
      <c r="BW181" s="753" t="str">
        <f t="shared" si="115"/>
        <v/>
      </c>
      <c r="BX181" s="753" t="str">
        <f t="shared" si="116"/>
        <v/>
      </c>
      <c r="BY181" s="753" t="str">
        <f t="shared" si="117"/>
        <v/>
      </c>
      <c r="BZ181" s="753" t="str">
        <f t="shared" si="118"/>
        <v/>
      </c>
      <c r="CA181" s="753" t="str">
        <f t="shared" si="119"/>
        <v/>
      </c>
      <c r="CC181" s="505" t="s">
        <v>452</v>
      </c>
      <c r="CD181" s="753">
        <f t="shared" si="120"/>
        <v>0</v>
      </c>
      <c r="CE181" s="753" t="str">
        <f t="shared" si="121"/>
        <v/>
      </c>
      <c r="CF181" s="753" t="str">
        <f t="shared" si="122"/>
        <v/>
      </c>
      <c r="CG181" s="753" t="str">
        <f t="shared" si="123"/>
        <v/>
      </c>
      <c r="CH181" s="753" t="str">
        <f t="shared" si="124"/>
        <v/>
      </c>
      <c r="CI181" s="753" t="str">
        <f t="shared" si="125"/>
        <v/>
      </c>
      <c r="CK181" s="505" t="s">
        <v>452</v>
      </c>
      <c r="CL181" s="753">
        <f t="shared" si="126"/>
        <v>0</v>
      </c>
      <c r="CM181" s="753" t="str">
        <f t="shared" si="127"/>
        <v/>
      </c>
      <c r="CN181" s="753" t="str">
        <f t="shared" si="128"/>
        <v/>
      </c>
      <c r="CO181" s="753" t="str">
        <f t="shared" si="129"/>
        <v/>
      </c>
      <c r="CP181" s="753" t="str">
        <f t="shared" si="130"/>
        <v/>
      </c>
      <c r="CQ181" s="753" t="str">
        <f t="shared" si="131"/>
        <v/>
      </c>
    </row>
    <row r="182" spans="1:95">
      <c r="A182" s="505" t="s">
        <v>615</v>
      </c>
      <c r="B182" s="753">
        <f t="shared" ref="B182:G182" si="152">IF(B120&gt;0,INDEX($D$54:$D$94,B120,1),"")</f>
        <v>0</v>
      </c>
      <c r="C182" s="753">
        <f t="shared" si="152"/>
        <v>0</v>
      </c>
      <c r="D182" s="753">
        <f t="shared" si="152"/>
        <v>0</v>
      </c>
      <c r="E182" s="753" t="str">
        <f t="shared" si="152"/>
        <v/>
      </c>
      <c r="F182" s="753" t="str">
        <f t="shared" si="152"/>
        <v/>
      </c>
      <c r="G182" s="753" t="str">
        <f t="shared" si="152"/>
        <v/>
      </c>
      <c r="I182" s="505" t="s">
        <v>615</v>
      </c>
      <c r="J182" s="753">
        <f t="shared" si="66"/>
        <v>0</v>
      </c>
      <c r="K182" s="753">
        <f t="shared" si="67"/>
        <v>0</v>
      </c>
      <c r="L182" s="753">
        <f t="shared" si="68"/>
        <v>0</v>
      </c>
      <c r="M182" s="753" t="str">
        <f t="shared" si="69"/>
        <v/>
      </c>
      <c r="N182" s="753" t="str">
        <f t="shared" si="70"/>
        <v/>
      </c>
      <c r="O182" s="753" t="str">
        <f t="shared" si="71"/>
        <v/>
      </c>
      <c r="Q182" s="505" t="s">
        <v>615</v>
      </c>
      <c r="R182" s="753">
        <f t="shared" si="72"/>
        <v>0</v>
      </c>
      <c r="S182" s="753">
        <f t="shared" si="73"/>
        <v>0</v>
      </c>
      <c r="T182" s="753">
        <f t="shared" si="74"/>
        <v>0</v>
      </c>
      <c r="U182" s="753" t="str">
        <f t="shared" si="75"/>
        <v/>
      </c>
      <c r="V182" s="753" t="str">
        <f t="shared" si="76"/>
        <v/>
      </c>
      <c r="W182" s="753" t="str">
        <f t="shared" si="77"/>
        <v/>
      </c>
      <c r="Y182" s="505" t="s">
        <v>615</v>
      </c>
      <c r="Z182" s="753">
        <f t="shared" si="78"/>
        <v>0</v>
      </c>
      <c r="AA182" s="753">
        <f t="shared" si="79"/>
        <v>0</v>
      </c>
      <c r="AB182" s="753">
        <f t="shared" si="80"/>
        <v>0</v>
      </c>
      <c r="AC182" s="753" t="str">
        <f t="shared" si="81"/>
        <v/>
      </c>
      <c r="AD182" s="753" t="str">
        <f t="shared" si="82"/>
        <v/>
      </c>
      <c r="AE182" s="753" t="str">
        <f t="shared" si="83"/>
        <v/>
      </c>
      <c r="AG182" s="505" t="s">
        <v>615</v>
      </c>
      <c r="AH182" s="753">
        <f t="shared" si="84"/>
        <v>0</v>
      </c>
      <c r="AI182" s="753">
        <f t="shared" si="85"/>
        <v>0</v>
      </c>
      <c r="AJ182" s="753">
        <f t="shared" si="86"/>
        <v>0</v>
      </c>
      <c r="AK182" s="753" t="str">
        <f t="shared" si="87"/>
        <v/>
      </c>
      <c r="AL182" s="753" t="str">
        <f t="shared" si="88"/>
        <v/>
      </c>
      <c r="AM182" s="753" t="str">
        <f t="shared" si="89"/>
        <v/>
      </c>
      <c r="AO182" s="505" t="s">
        <v>615</v>
      </c>
      <c r="AP182" s="753">
        <f t="shared" si="90"/>
        <v>0</v>
      </c>
      <c r="AQ182" s="753">
        <f t="shared" si="91"/>
        <v>0</v>
      </c>
      <c r="AR182" s="753">
        <f t="shared" si="92"/>
        <v>0</v>
      </c>
      <c r="AS182" s="753" t="str">
        <f t="shared" si="93"/>
        <v/>
      </c>
      <c r="AT182" s="753" t="str">
        <f t="shared" si="94"/>
        <v/>
      </c>
      <c r="AU182" s="753" t="str">
        <f t="shared" si="95"/>
        <v/>
      </c>
      <c r="AW182" s="505" t="s">
        <v>615</v>
      </c>
      <c r="AX182" s="753">
        <f t="shared" si="96"/>
        <v>0</v>
      </c>
      <c r="AY182" s="753">
        <f t="shared" si="97"/>
        <v>0</v>
      </c>
      <c r="AZ182" s="753">
        <f t="shared" si="98"/>
        <v>0</v>
      </c>
      <c r="BA182" s="753" t="str">
        <f t="shared" si="99"/>
        <v/>
      </c>
      <c r="BB182" s="753" t="str">
        <f t="shared" si="100"/>
        <v/>
      </c>
      <c r="BC182" s="753" t="str">
        <f t="shared" si="101"/>
        <v/>
      </c>
      <c r="BE182" s="505" t="s">
        <v>615</v>
      </c>
      <c r="BF182" s="753">
        <f t="shared" si="102"/>
        <v>0</v>
      </c>
      <c r="BG182" s="753">
        <f t="shared" si="103"/>
        <v>0</v>
      </c>
      <c r="BH182" s="753">
        <f t="shared" si="104"/>
        <v>0</v>
      </c>
      <c r="BI182" s="753" t="str">
        <f t="shared" si="105"/>
        <v/>
      </c>
      <c r="BJ182" s="753" t="str">
        <f t="shared" si="106"/>
        <v/>
      </c>
      <c r="BK182" s="753" t="str">
        <f t="shared" si="107"/>
        <v/>
      </c>
      <c r="BM182" s="505" t="s">
        <v>615</v>
      </c>
      <c r="BN182" s="753">
        <f t="shared" si="108"/>
        <v>0</v>
      </c>
      <c r="BO182" s="753">
        <f t="shared" si="109"/>
        <v>0</v>
      </c>
      <c r="BP182" s="753">
        <f t="shared" si="110"/>
        <v>0</v>
      </c>
      <c r="BQ182" s="753" t="str">
        <f t="shared" si="111"/>
        <v/>
      </c>
      <c r="BR182" s="753" t="str">
        <f t="shared" si="112"/>
        <v/>
      </c>
      <c r="BS182" s="753" t="str">
        <f t="shared" si="113"/>
        <v/>
      </c>
      <c r="BU182" s="505" t="s">
        <v>615</v>
      </c>
      <c r="BV182" s="753">
        <f t="shared" si="114"/>
        <v>0</v>
      </c>
      <c r="BW182" s="753">
        <f t="shared" si="115"/>
        <v>0</v>
      </c>
      <c r="BX182" s="753">
        <f t="shared" si="116"/>
        <v>0</v>
      </c>
      <c r="BY182" s="753" t="str">
        <f t="shared" si="117"/>
        <v/>
      </c>
      <c r="BZ182" s="753" t="str">
        <f t="shared" si="118"/>
        <v/>
      </c>
      <c r="CA182" s="753" t="str">
        <f t="shared" si="119"/>
        <v/>
      </c>
      <c r="CC182" s="505" t="s">
        <v>615</v>
      </c>
      <c r="CD182" s="753">
        <f t="shared" si="120"/>
        <v>0</v>
      </c>
      <c r="CE182" s="753">
        <f t="shared" si="121"/>
        <v>0</v>
      </c>
      <c r="CF182" s="753">
        <f t="shared" si="122"/>
        <v>0</v>
      </c>
      <c r="CG182" s="753" t="str">
        <f t="shared" si="123"/>
        <v/>
      </c>
      <c r="CH182" s="753" t="str">
        <f t="shared" si="124"/>
        <v/>
      </c>
      <c r="CI182" s="753" t="str">
        <f t="shared" si="125"/>
        <v/>
      </c>
      <c r="CK182" s="505" t="s">
        <v>615</v>
      </c>
      <c r="CL182" s="753">
        <f t="shared" si="126"/>
        <v>0</v>
      </c>
      <c r="CM182" s="753">
        <f t="shared" si="127"/>
        <v>0</v>
      </c>
      <c r="CN182" s="753">
        <f t="shared" si="128"/>
        <v>0</v>
      </c>
      <c r="CO182" s="753" t="str">
        <f t="shared" si="129"/>
        <v/>
      </c>
      <c r="CP182" s="753" t="str">
        <f t="shared" si="130"/>
        <v/>
      </c>
      <c r="CQ182" s="753" t="str">
        <f t="shared" si="131"/>
        <v/>
      </c>
    </row>
    <row r="183" spans="1:95">
      <c r="A183" s="505" t="s">
        <v>431</v>
      </c>
      <c r="B183" s="753">
        <f t="shared" ref="B183:G183" si="153">IF(B121&gt;0,INDEX($D$54:$D$94,B121,1),"")</f>
        <v>0</v>
      </c>
      <c r="C183" s="753">
        <f t="shared" si="153"/>
        <v>2</v>
      </c>
      <c r="D183" s="753">
        <f t="shared" si="153"/>
        <v>0</v>
      </c>
      <c r="E183" s="753">
        <f t="shared" si="153"/>
        <v>8</v>
      </c>
      <c r="F183" s="753" t="str">
        <f t="shared" si="153"/>
        <v/>
      </c>
      <c r="G183" s="753" t="str">
        <f t="shared" si="153"/>
        <v/>
      </c>
      <c r="I183" s="505" t="s">
        <v>431</v>
      </c>
      <c r="J183" s="753">
        <f t="shared" si="66"/>
        <v>0</v>
      </c>
      <c r="K183" s="753">
        <f t="shared" si="67"/>
        <v>2</v>
      </c>
      <c r="L183" s="753">
        <f t="shared" si="68"/>
        <v>0</v>
      </c>
      <c r="M183" s="753">
        <f t="shared" si="69"/>
        <v>8</v>
      </c>
      <c r="N183" s="753" t="str">
        <f t="shared" si="70"/>
        <v/>
      </c>
      <c r="O183" s="753" t="str">
        <f t="shared" si="71"/>
        <v/>
      </c>
      <c r="Q183" s="505" t="s">
        <v>431</v>
      </c>
      <c r="R183" s="753">
        <f t="shared" si="72"/>
        <v>0</v>
      </c>
      <c r="S183" s="753">
        <f t="shared" si="73"/>
        <v>2</v>
      </c>
      <c r="T183" s="753">
        <f t="shared" si="74"/>
        <v>0</v>
      </c>
      <c r="U183" s="753">
        <f t="shared" si="75"/>
        <v>8</v>
      </c>
      <c r="V183" s="753" t="str">
        <f t="shared" si="76"/>
        <v/>
      </c>
      <c r="W183" s="753" t="str">
        <f t="shared" si="77"/>
        <v/>
      </c>
      <c r="Y183" s="505" t="s">
        <v>431</v>
      </c>
      <c r="Z183" s="753">
        <f t="shared" si="78"/>
        <v>0</v>
      </c>
      <c r="AA183" s="753">
        <f t="shared" si="79"/>
        <v>2</v>
      </c>
      <c r="AB183" s="753">
        <f t="shared" si="80"/>
        <v>0</v>
      </c>
      <c r="AC183" s="753">
        <f t="shared" si="81"/>
        <v>8</v>
      </c>
      <c r="AD183" s="753" t="str">
        <f t="shared" si="82"/>
        <v/>
      </c>
      <c r="AE183" s="753" t="str">
        <f t="shared" si="83"/>
        <v/>
      </c>
      <c r="AG183" s="505" t="s">
        <v>431</v>
      </c>
      <c r="AH183" s="753">
        <f t="shared" si="84"/>
        <v>0</v>
      </c>
      <c r="AI183" s="753">
        <f t="shared" si="85"/>
        <v>2</v>
      </c>
      <c r="AJ183" s="753">
        <f t="shared" si="86"/>
        <v>0</v>
      </c>
      <c r="AK183" s="753">
        <f t="shared" si="87"/>
        <v>8</v>
      </c>
      <c r="AL183" s="753" t="str">
        <f t="shared" si="88"/>
        <v/>
      </c>
      <c r="AM183" s="753" t="str">
        <f t="shared" si="89"/>
        <v/>
      </c>
      <c r="AO183" s="505" t="s">
        <v>431</v>
      </c>
      <c r="AP183" s="753">
        <f t="shared" si="90"/>
        <v>0</v>
      </c>
      <c r="AQ183" s="753">
        <f t="shared" si="91"/>
        <v>2</v>
      </c>
      <c r="AR183" s="753">
        <f t="shared" si="92"/>
        <v>0</v>
      </c>
      <c r="AS183" s="753">
        <f t="shared" si="93"/>
        <v>8</v>
      </c>
      <c r="AT183" s="753" t="str">
        <f t="shared" si="94"/>
        <v/>
      </c>
      <c r="AU183" s="753" t="str">
        <f t="shared" si="95"/>
        <v/>
      </c>
      <c r="AW183" s="505" t="s">
        <v>431</v>
      </c>
      <c r="AX183" s="753">
        <f t="shared" si="96"/>
        <v>0</v>
      </c>
      <c r="AY183" s="753">
        <f t="shared" si="97"/>
        <v>2</v>
      </c>
      <c r="AZ183" s="753">
        <f t="shared" si="98"/>
        <v>0</v>
      </c>
      <c r="BA183" s="753">
        <f t="shared" si="99"/>
        <v>8</v>
      </c>
      <c r="BB183" s="753" t="str">
        <f t="shared" si="100"/>
        <v/>
      </c>
      <c r="BC183" s="753" t="str">
        <f t="shared" si="101"/>
        <v/>
      </c>
      <c r="BE183" s="505" t="s">
        <v>431</v>
      </c>
      <c r="BF183" s="753">
        <f t="shared" si="102"/>
        <v>0</v>
      </c>
      <c r="BG183" s="753">
        <f t="shared" si="103"/>
        <v>2</v>
      </c>
      <c r="BH183" s="753">
        <f t="shared" si="104"/>
        <v>0</v>
      </c>
      <c r="BI183" s="753">
        <f t="shared" si="105"/>
        <v>8</v>
      </c>
      <c r="BJ183" s="753" t="str">
        <f t="shared" si="106"/>
        <v/>
      </c>
      <c r="BK183" s="753" t="str">
        <f t="shared" si="107"/>
        <v/>
      </c>
      <c r="BM183" s="505" t="s">
        <v>431</v>
      </c>
      <c r="BN183" s="753">
        <f t="shared" si="108"/>
        <v>0</v>
      </c>
      <c r="BO183" s="753">
        <f t="shared" si="109"/>
        <v>2</v>
      </c>
      <c r="BP183" s="753">
        <f t="shared" si="110"/>
        <v>0</v>
      </c>
      <c r="BQ183" s="753">
        <f t="shared" si="111"/>
        <v>8</v>
      </c>
      <c r="BR183" s="753" t="str">
        <f t="shared" si="112"/>
        <v/>
      </c>
      <c r="BS183" s="753" t="str">
        <f t="shared" si="113"/>
        <v/>
      </c>
      <c r="BU183" s="505" t="s">
        <v>431</v>
      </c>
      <c r="BV183" s="753">
        <f t="shared" si="114"/>
        <v>0</v>
      </c>
      <c r="BW183" s="753">
        <f t="shared" si="115"/>
        <v>2</v>
      </c>
      <c r="BX183" s="753">
        <f t="shared" si="116"/>
        <v>0</v>
      </c>
      <c r="BY183" s="753">
        <f t="shared" si="117"/>
        <v>8</v>
      </c>
      <c r="BZ183" s="753" t="str">
        <f t="shared" si="118"/>
        <v/>
      </c>
      <c r="CA183" s="753" t="str">
        <f t="shared" si="119"/>
        <v/>
      </c>
      <c r="CC183" s="505" t="s">
        <v>431</v>
      </c>
      <c r="CD183" s="753">
        <f t="shared" si="120"/>
        <v>0</v>
      </c>
      <c r="CE183" s="753">
        <f t="shared" si="121"/>
        <v>2</v>
      </c>
      <c r="CF183" s="753">
        <f t="shared" si="122"/>
        <v>0</v>
      </c>
      <c r="CG183" s="753">
        <f t="shared" si="123"/>
        <v>8</v>
      </c>
      <c r="CH183" s="753" t="str">
        <f t="shared" si="124"/>
        <v/>
      </c>
      <c r="CI183" s="753" t="str">
        <f t="shared" si="125"/>
        <v/>
      </c>
      <c r="CK183" s="505" t="s">
        <v>431</v>
      </c>
      <c r="CL183" s="753">
        <f t="shared" si="126"/>
        <v>0</v>
      </c>
      <c r="CM183" s="753">
        <f t="shared" si="127"/>
        <v>2</v>
      </c>
      <c r="CN183" s="753">
        <f t="shared" si="128"/>
        <v>0</v>
      </c>
      <c r="CO183" s="753">
        <f t="shared" si="129"/>
        <v>8</v>
      </c>
      <c r="CP183" s="753" t="str">
        <f t="shared" si="130"/>
        <v/>
      </c>
      <c r="CQ183" s="753" t="str">
        <f t="shared" si="131"/>
        <v/>
      </c>
    </row>
    <row r="184" spans="1:95">
      <c r="A184" s="505" t="s">
        <v>432</v>
      </c>
      <c r="B184" s="753">
        <f t="shared" ref="B184:G184" si="154">IF(B122&gt;0,INDEX($D$54:$D$94,B122,1),"")</f>
        <v>0</v>
      </c>
      <c r="C184" s="753" t="str">
        <f t="shared" si="154"/>
        <v/>
      </c>
      <c r="D184" s="753" t="str">
        <f t="shared" si="154"/>
        <v/>
      </c>
      <c r="E184" s="753" t="str">
        <f t="shared" si="154"/>
        <v/>
      </c>
      <c r="F184" s="753" t="str">
        <f t="shared" si="154"/>
        <v/>
      </c>
      <c r="G184" s="753" t="str">
        <f t="shared" si="154"/>
        <v/>
      </c>
      <c r="I184" s="505" t="s">
        <v>432</v>
      </c>
      <c r="J184" s="753">
        <f t="shared" si="66"/>
        <v>0</v>
      </c>
      <c r="K184" s="753" t="str">
        <f t="shared" si="67"/>
        <v/>
      </c>
      <c r="L184" s="753" t="str">
        <f t="shared" si="68"/>
        <v/>
      </c>
      <c r="M184" s="753" t="str">
        <f t="shared" si="69"/>
        <v/>
      </c>
      <c r="N184" s="753" t="str">
        <f t="shared" si="70"/>
        <v/>
      </c>
      <c r="O184" s="753" t="str">
        <f t="shared" si="71"/>
        <v/>
      </c>
      <c r="Q184" s="505" t="s">
        <v>432</v>
      </c>
      <c r="R184" s="753">
        <f t="shared" si="72"/>
        <v>0</v>
      </c>
      <c r="S184" s="753" t="str">
        <f t="shared" si="73"/>
        <v/>
      </c>
      <c r="T184" s="753" t="str">
        <f t="shared" si="74"/>
        <v/>
      </c>
      <c r="U184" s="753" t="str">
        <f t="shared" si="75"/>
        <v/>
      </c>
      <c r="V184" s="753" t="str">
        <f t="shared" si="76"/>
        <v/>
      </c>
      <c r="W184" s="753" t="str">
        <f t="shared" si="77"/>
        <v/>
      </c>
      <c r="Y184" s="505" t="s">
        <v>432</v>
      </c>
      <c r="Z184" s="753">
        <f t="shared" si="78"/>
        <v>0</v>
      </c>
      <c r="AA184" s="753" t="str">
        <f t="shared" si="79"/>
        <v/>
      </c>
      <c r="AB184" s="753" t="str">
        <f t="shared" si="80"/>
        <v/>
      </c>
      <c r="AC184" s="753" t="str">
        <f t="shared" si="81"/>
        <v/>
      </c>
      <c r="AD184" s="753" t="str">
        <f t="shared" si="82"/>
        <v/>
      </c>
      <c r="AE184" s="753" t="str">
        <f t="shared" si="83"/>
        <v/>
      </c>
      <c r="AG184" s="505" t="s">
        <v>432</v>
      </c>
      <c r="AH184" s="753">
        <f t="shared" si="84"/>
        <v>0</v>
      </c>
      <c r="AI184" s="753" t="str">
        <f t="shared" si="85"/>
        <v/>
      </c>
      <c r="AJ184" s="753" t="str">
        <f t="shared" si="86"/>
        <v/>
      </c>
      <c r="AK184" s="753" t="str">
        <f t="shared" si="87"/>
        <v/>
      </c>
      <c r="AL184" s="753" t="str">
        <f t="shared" si="88"/>
        <v/>
      </c>
      <c r="AM184" s="753" t="str">
        <f t="shared" si="89"/>
        <v/>
      </c>
      <c r="AO184" s="505" t="s">
        <v>432</v>
      </c>
      <c r="AP184" s="753">
        <f t="shared" si="90"/>
        <v>0</v>
      </c>
      <c r="AQ184" s="753" t="str">
        <f t="shared" si="91"/>
        <v/>
      </c>
      <c r="AR184" s="753" t="str">
        <f t="shared" si="92"/>
        <v/>
      </c>
      <c r="AS184" s="753" t="str">
        <f t="shared" si="93"/>
        <v/>
      </c>
      <c r="AT184" s="753" t="str">
        <f t="shared" si="94"/>
        <v/>
      </c>
      <c r="AU184" s="753" t="str">
        <f t="shared" si="95"/>
        <v/>
      </c>
      <c r="AW184" s="505" t="s">
        <v>432</v>
      </c>
      <c r="AX184" s="753">
        <f t="shared" si="96"/>
        <v>0</v>
      </c>
      <c r="AY184" s="753" t="str">
        <f t="shared" si="97"/>
        <v/>
      </c>
      <c r="AZ184" s="753" t="str">
        <f t="shared" si="98"/>
        <v/>
      </c>
      <c r="BA184" s="753" t="str">
        <f t="shared" si="99"/>
        <v/>
      </c>
      <c r="BB184" s="753" t="str">
        <f t="shared" si="100"/>
        <v/>
      </c>
      <c r="BC184" s="753" t="str">
        <f t="shared" si="101"/>
        <v/>
      </c>
      <c r="BE184" s="505" t="s">
        <v>432</v>
      </c>
      <c r="BF184" s="753">
        <f t="shared" si="102"/>
        <v>0</v>
      </c>
      <c r="BG184" s="753" t="str">
        <f t="shared" si="103"/>
        <v/>
      </c>
      <c r="BH184" s="753" t="str">
        <f t="shared" si="104"/>
        <v/>
      </c>
      <c r="BI184" s="753" t="str">
        <f t="shared" si="105"/>
        <v/>
      </c>
      <c r="BJ184" s="753" t="str">
        <f t="shared" si="106"/>
        <v/>
      </c>
      <c r="BK184" s="753" t="str">
        <f t="shared" si="107"/>
        <v/>
      </c>
      <c r="BM184" s="505" t="s">
        <v>432</v>
      </c>
      <c r="BN184" s="753">
        <f t="shared" si="108"/>
        <v>0</v>
      </c>
      <c r="BO184" s="753" t="str">
        <f t="shared" si="109"/>
        <v/>
      </c>
      <c r="BP184" s="753" t="str">
        <f t="shared" si="110"/>
        <v/>
      </c>
      <c r="BQ184" s="753" t="str">
        <f t="shared" si="111"/>
        <v/>
      </c>
      <c r="BR184" s="753" t="str">
        <f t="shared" si="112"/>
        <v/>
      </c>
      <c r="BS184" s="753" t="str">
        <f t="shared" si="113"/>
        <v/>
      </c>
      <c r="BU184" s="505" t="s">
        <v>432</v>
      </c>
      <c r="BV184" s="753">
        <f t="shared" si="114"/>
        <v>0</v>
      </c>
      <c r="BW184" s="753" t="str">
        <f t="shared" si="115"/>
        <v/>
      </c>
      <c r="BX184" s="753" t="str">
        <f t="shared" si="116"/>
        <v/>
      </c>
      <c r="BY184" s="753" t="str">
        <f t="shared" si="117"/>
        <v/>
      </c>
      <c r="BZ184" s="753" t="str">
        <f t="shared" si="118"/>
        <v/>
      </c>
      <c r="CA184" s="753" t="str">
        <f t="shared" si="119"/>
        <v/>
      </c>
      <c r="CC184" s="505" t="s">
        <v>432</v>
      </c>
      <c r="CD184" s="753">
        <f t="shared" si="120"/>
        <v>0</v>
      </c>
      <c r="CE184" s="753" t="str">
        <f t="shared" si="121"/>
        <v/>
      </c>
      <c r="CF184" s="753" t="str">
        <f t="shared" si="122"/>
        <v/>
      </c>
      <c r="CG184" s="753" t="str">
        <f t="shared" si="123"/>
        <v/>
      </c>
      <c r="CH184" s="753" t="str">
        <f t="shared" si="124"/>
        <v/>
      </c>
      <c r="CI184" s="753" t="str">
        <f t="shared" si="125"/>
        <v/>
      </c>
      <c r="CK184" s="505" t="s">
        <v>432</v>
      </c>
      <c r="CL184" s="753">
        <f t="shared" si="126"/>
        <v>0</v>
      </c>
      <c r="CM184" s="753" t="str">
        <f t="shared" si="127"/>
        <v/>
      </c>
      <c r="CN184" s="753" t="str">
        <f t="shared" si="128"/>
        <v/>
      </c>
      <c r="CO184" s="753" t="str">
        <f t="shared" si="129"/>
        <v/>
      </c>
      <c r="CP184" s="753" t="str">
        <f t="shared" si="130"/>
        <v/>
      </c>
      <c r="CQ184" s="753" t="str">
        <f t="shared" si="131"/>
        <v/>
      </c>
    </row>
    <row r="185" spans="1:95">
      <c r="A185" s="505" t="s">
        <v>433</v>
      </c>
      <c r="B185" s="753">
        <f t="shared" ref="B185:G185" si="155">IF(B123&gt;0,INDEX($D$54:$D$94,B123,1),"")</f>
        <v>0</v>
      </c>
      <c r="C185" s="753" t="str">
        <f t="shared" si="155"/>
        <v/>
      </c>
      <c r="D185" s="753" t="str">
        <f t="shared" si="155"/>
        <v/>
      </c>
      <c r="E185" s="753" t="str">
        <f t="shared" si="155"/>
        <v/>
      </c>
      <c r="F185" s="753" t="str">
        <f t="shared" si="155"/>
        <v/>
      </c>
      <c r="G185" s="753" t="str">
        <f t="shared" si="155"/>
        <v/>
      </c>
      <c r="I185" s="505" t="s">
        <v>433</v>
      </c>
      <c r="J185" s="753">
        <f t="shared" si="66"/>
        <v>0</v>
      </c>
      <c r="K185" s="753" t="str">
        <f t="shared" si="67"/>
        <v/>
      </c>
      <c r="L185" s="753" t="str">
        <f t="shared" si="68"/>
        <v/>
      </c>
      <c r="M185" s="753" t="str">
        <f t="shared" si="69"/>
        <v/>
      </c>
      <c r="N185" s="753" t="str">
        <f t="shared" si="70"/>
        <v/>
      </c>
      <c r="O185" s="753" t="str">
        <f t="shared" si="71"/>
        <v/>
      </c>
      <c r="Q185" s="505" t="s">
        <v>433</v>
      </c>
      <c r="R185" s="753">
        <f t="shared" si="72"/>
        <v>0</v>
      </c>
      <c r="S185" s="753" t="str">
        <f t="shared" si="73"/>
        <v/>
      </c>
      <c r="T185" s="753" t="str">
        <f t="shared" si="74"/>
        <v/>
      </c>
      <c r="U185" s="753" t="str">
        <f t="shared" si="75"/>
        <v/>
      </c>
      <c r="V185" s="753" t="str">
        <f t="shared" si="76"/>
        <v/>
      </c>
      <c r="W185" s="753" t="str">
        <f t="shared" si="77"/>
        <v/>
      </c>
      <c r="Y185" s="505" t="s">
        <v>433</v>
      </c>
      <c r="Z185" s="753">
        <f t="shared" si="78"/>
        <v>0</v>
      </c>
      <c r="AA185" s="753" t="str">
        <f t="shared" si="79"/>
        <v/>
      </c>
      <c r="AB185" s="753" t="str">
        <f t="shared" si="80"/>
        <v/>
      </c>
      <c r="AC185" s="753" t="str">
        <f t="shared" si="81"/>
        <v/>
      </c>
      <c r="AD185" s="753" t="str">
        <f t="shared" si="82"/>
        <v/>
      </c>
      <c r="AE185" s="753" t="str">
        <f t="shared" si="83"/>
        <v/>
      </c>
      <c r="AG185" s="505" t="s">
        <v>433</v>
      </c>
      <c r="AH185" s="753">
        <f t="shared" si="84"/>
        <v>0</v>
      </c>
      <c r="AI185" s="753" t="str">
        <f t="shared" si="85"/>
        <v/>
      </c>
      <c r="AJ185" s="753" t="str">
        <f t="shared" si="86"/>
        <v/>
      </c>
      <c r="AK185" s="753" t="str">
        <f t="shared" si="87"/>
        <v/>
      </c>
      <c r="AL185" s="753" t="str">
        <f t="shared" si="88"/>
        <v/>
      </c>
      <c r="AM185" s="753" t="str">
        <f t="shared" si="89"/>
        <v/>
      </c>
      <c r="AO185" s="505" t="s">
        <v>433</v>
      </c>
      <c r="AP185" s="753">
        <f t="shared" si="90"/>
        <v>0</v>
      </c>
      <c r="AQ185" s="753" t="str">
        <f t="shared" si="91"/>
        <v/>
      </c>
      <c r="AR185" s="753" t="str">
        <f t="shared" si="92"/>
        <v/>
      </c>
      <c r="AS185" s="753" t="str">
        <f t="shared" si="93"/>
        <v/>
      </c>
      <c r="AT185" s="753" t="str">
        <f t="shared" si="94"/>
        <v/>
      </c>
      <c r="AU185" s="753" t="str">
        <f t="shared" si="95"/>
        <v/>
      </c>
      <c r="AW185" s="505" t="s">
        <v>433</v>
      </c>
      <c r="AX185" s="753">
        <f t="shared" si="96"/>
        <v>0</v>
      </c>
      <c r="AY185" s="753" t="str">
        <f t="shared" si="97"/>
        <v/>
      </c>
      <c r="AZ185" s="753" t="str">
        <f t="shared" si="98"/>
        <v/>
      </c>
      <c r="BA185" s="753" t="str">
        <f t="shared" si="99"/>
        <v/>
      </c>
      <c r="BB185" s="753" t="str">
        <f t="shared" si="100"/>
        <v/>
      </c>
      <c r="BC185" s="753" t="str">
        <f t="shared" si="101"/>
        <v/>
      </c>
      <c r="BE185" s="505" t="s">
        <v>433</v>
      </c>
      <c r="BF185" s="753">
        <f t="shared" si="102"/>
        <v>0</v>
      </c>
      <c r="BG185" s="753" t="str">
        <f t="shared" si="103"/>
        <v/>
      </c>
      <c r="BH185" s="753" t="str">
        <f t="shared" si="104"/>
        <v/>
      </c>
      <c r="BI185" s="753" t="str">
        <f t="shared" si="105"/>
        <v/>
      </c>
      <c r="BJ185" s="753" t="str">
        <f t="shared" si="106"/>
        <v/>
      </c>
      <c r="BK185" s="753" t="str">
        <f t="shared" si="107"/>
        <v/>
      </c>
      <c r="BM185" s="505" t="s">
        <v>433</v>
      </c>
      <c r="BN185" s="753">
        <f t="shared" si="108"/>
        <v>0</v>
      </c>
      <c r="BO185" s="753" t="str">
        <f t="shared" si="109"/>
        <v/>
      </c>
      <c r="BP185" s="753" t="str">
        <f t="shared" si="110"/>
        <v/>
      </c>
      <c r="BQ185" s="753" t="str">
        <f t="shared" si="111"/>
        <v/>
      </c>
      <c r="BR185" s="753" t="str">
        <f t="shared" si="112"/>
        <v/>
      </c>
      <c r="BS185" s="753" t="str">
        <f t="shared" si="113"/>
        <v/>
      </c>
      <c r="BU185" s="505" t="s">
        <v>433</v>
      </c>
      <c r="BV185" s="753">
        <f t="shared" si="114"/>
        <v>0</v>
      </c>
      <c r="BW185" s="753" t="str">
        <f t="shared" si="115"/>
        <v/>
      </c>
      <c r="BX185" s="753" t="str">
        <f t="shared" si="116"/>
        <v/>
      </c>
      <c r="BY185" s="753" t="str">
        <f t="shared" si="117"/>
        <v/>
      </c>
      <c r="BZ185" s="753" t="str">
        <f t="shared" si="118"/>
        <v/>
      </c>
      <c r="CA185" s="753" t="str">
        <f t="shared" si="119"/>
        <v/>
      </c>
      <c r="CC185" s="505" t="s">
        <v>433</v>
      </c>
      <c r="CD185" s="753">
        <f t="shared" si="120"/>
        <v>0</v>
      </c>
      <c r="CE185" s="753" t="str">
        <f t="shared" si="121"/>
        <v/>
      </c>
      <c r="CF185" s="753" t="str">
        <f t="shared" si="122"/>
        <v/>
      </c>
      <c r="CG185" s="753" t="str">
        <f t="shared" si="123"/>
        <v/>
      </c>
      <c r="CH185" s="753" t="str">
        <f t="shared" si="124"/>
        <v/>
      </c>
      <c r="CI185" s="753" t="str">
        <f t="shared" si="125"/>
        <v/>
      </c>
      <c r="CK185" s="505" t="s">
        <v>433</v>
      </c>
      <c r="CL185" s="753">
        <f t="shared" si="126"/>
        <v>0</v>
      </c>
      <c r="CM185" s="753" t="str">
        <f t="shared" si="127"/>
        <v/>
      </c>
      <c r="CN185" s="753" t="str">
        <f t="shared" si="128"/>
        <v/>
      </c>
      <c r="CO185" s="753" t="str">
        <f t="shared" si="129"/>
        <v/>
      </c>
      <c r="CP185" s="753" t="str">
        <f t="shared" si="130"/>
        <v/>
      </c>
      <c r="CQ185" s="753" t="str">
        <f t="shared" si="131"/>
        <v/>
      </c>
    </row>
    <row r="186" spans="1:95">
      <c r="A186" s="505" t="s">
        <v>616</v>
      </c>
      <c r="B186" s="753">
        <f t="shared" ref="B186:G186" si="156">IF(B124&gt;0,INDEX($D$54:$D$94,B124,1),"")</f>
        <v>0</v>
      </c>
      <c r="C186" s="753">
        <f t="shared" si="156"/>
        <v>2</v>
      </c>
      <c r="D186" s="753" t="str">
        <f t="shared" si="156"/>
        <v/>
      </c>
      <c r="E186" s="753" t="str">
        <f t="shared" si="156"/>
        <v/>
      </c>
      <c r="F186" s="753" t="str">
        <f t="shared" si="156"/>
        <v/>
      </c>
      <c r="G186" s="753" t="str">
        <f t="shared" si="156"/>
        <v/>
      </c>
      <c r="I186" s="505" t="s">
        <v>616</v>
      </c>
      <c r="J186" s="753">
        <f t="shared" si="66"/>
        <v>0</v>
      </c>
      <c r="K186" s="753">
        <f t="shared" si="67"/>
        <v>2</v>
      </c>
      <c r="L186" s="753" t="str">
        <f t="shared" si="68"/>
        <v/>
      </c>
      <c r="M186" s="753" t="str">
        <f t="shared" si="69"/>
        <v/>
      </c>
      <c r="N186" s="753" t="str">
        <f t="shared" si="70"/>
        <v/>
      </c>
      <c r="O186" s="753" t="str">
        <f t="shared" si="71"/>
        <v/>
      </c>
      <c r="Q186" s="505" t="s">
        <v>616</v>
      </c>
      <c r="R186" s="753">
        <f t="shared" si="72"/>
        <v>0</v>
      </c>
      <c r="S186" s="753">
        <f t="shared" si="73"/>
        <v>2</v>
      </c>
      <c r="T186" s="753" t="str">
        <f t="shared" si="74"/>
        <v/>
      </c>
      <c r="U186" s="753" t="str">
        <f t="shared" si="75"/>
        <v/>
      </c>
      <c r="V186" s="753" t="str">
        <f t="shared" si="76"/>
        <v/>
      </c>
      <c r="W186" s="753" t="str">
        <f t="shared" si="77"/>
        <v/>
      </c>
      <c r="Y186" s="505" t="s">
        <v>616</v>
      </c>
      <c r="Z186" s="753">
        <f t="shared" si="78"/>
        <v>0</v>
      </c>
      <c r="AA186" s="753">
        <f t="shared" si="79"/>
        <v>2</v>
      </c>
      <c r="AB186" s="753" t="str">
        <f t="shared" si="80"/>
        <v/>
      </c>
      <c r="AC186" s="753" t="str">
        <f t="shared" si="81"/>
        <v/>
      </c>
      <c r="AD186" s="753" t="str">
        <f t="shared" si="82"/>
        <v/>
      </c>
      <c r="AE186" s="753" t="str">
        <f t="shared" si="83"/>
        <v/>
      </c>
      <c r="AG186" s="505" t="s">
        <v>616</v>
      </c>
      <c r="AH186" s="753">
        <f t="shared" si="84"/>
        <v>0</v>
      </c>
      <c r="AI186" s="753">
        <f t="shared" si="85"/>
        <v>2</v>
      </c>
      <c r="AJ186" s="753" t="str">
        <f t="shared" si="86"/>
        <v/>
      </c>
      <c r="AK186" s="753" t="str">
        <f t="shared" si="87"/>
        <v/>
      </c>
      <c r="AL186" s="753" t="str">
        <f t="shared" si="88"/>
        <v/>
      </c>
      <c r="AM186" s="753" t="str">
        <f t="shared" si="89"/>
        <v/>
      </c>
      <c r="AO186" s="505" t="s">
        <v>616</v>
      </c>
      <c r="AP186" s="753">
        <f t="shared" si="90"/>
        <v>0</v>
      </c>
      <c r="AQ186" s="753">
        <f t="shared" si="91"/>
        <v>2</v>
      </c>
      <c r="AR186" s="753" t="str">
        <f t="shared" si="92"/>
        <v/>
      </c>
      <c r="AS186" s="753" t="str">
        <f t="shared" si="93"/>
        <v/>
      </c>
      <c r="AT186" s="753" t="str">
        <f t="shared" si="94"/>
        <v/>
      </c>
      <c r="AU186" s="753" t="str">
        <f t="shared" si="95"/>
        <v/>
      </c>
      <c r="AW186" s="505" t="s">
        <v>616</v>
      </c>
      <c r="AX186" s="753">
        <f t="shared" si="96"/>
        <v>0</v>
      </c>
      <c r="AY186" s="753">
        <f t="shared" si="97"/>
        <v>2</v>
      </c>
      <c r="AZ186" s="753" t="str">
        <f t="shared" si="98"/>
        <v/>
      </c>
      <c r="BA186" s="753" t="str">
        <f t="shared" si="99"/>
        <v/>
      </c>
      <c r="BB186" s="753" t="str">
        <f t="shared" si="100"/>
        <v/>
      </c>
      <c r="BC186" s="753" t="str">
        <f t="shared" si="101"/>
        <v/>
      </c>
      <c r="BE186" s="505" t="s">
        <v>616</v>
      </c>
      <c r="BF186" s="753">
        <f t="shared" si="102"/>
        <v>0</v>
      </c>
      <c r="BG186" s="753">
        <f t="shared" si="103"/>
        <v>2</v>
      </c>
      <c r="BH186" s="753" t="str">
        <f t="shared" si="104"/>
        <v/>
      </c>
      <c r="BI186" s="753" t="str">
        <f t="shared" si="105"/>
        <v/>
      </c>
      <c r="BJ186" s="753" t="str">
        <f t="shared" si="106"/>
        <v/>
      </c>
      <c r="BK186" s="753" t="str">
        <f t="shared" si="107"/>
        <v/>
      </c>
      <c r="BM186" s="505" t="s">
        <v>616</v>
      </c>
      <c r="BN186" s="753">
        <f t="shared" si="108"/>
        <v>0</v>
      </c>
      <c r="BO186" s="753">
        <f t="shared" si="109"/>
        <v>2</v>
      </c>
      <c r="BP186" s="753" t="str">
        <f t="shared" si="110"/>
        <v/>
      </c>
      <c r="BQ186" s="753" t="str">
        <f t="shared" si="111"/>
        <v/>
      </c>
      <c r="BR186" s="753" t="str">
        <f t="shared" si="112"/>
        <v/>
      </c>
      <c r="BS186" s="753" t="str">
        <f t="shared" si="113"/>
        <v/>
      </c>
      <c r="BU186" s="505" t="s">
        <v>616</v>
      </c>
      <c r="BV186" s="753">
        <f t="shared" si="114"/>
        <v>0</v>
      </c>
      <c r="BW186" s="753">
        <f t="shared" si="115"/>
        <v>2</v>
      </c>
      <c r="BX186" s="753" t="str">
        <f t="shared" si="116"/>
        <v/>
      </c>
      <c r="BY186" s="753" t="str">
        <f t="shared" si="117"/>
        <v/>
      </c>
      <c r="BZ186" s="753" t="str">
        <f t="shared" si="118"/>
        <v/>
      </c>
      <c r="CA186" s="753" t="str">
        <f t="shared" si="119"/>
        <v/>
      </c>
      <c r="CC186" s="505" t="s">
        <v>616</v>
      </c>
      <c r="CD186" s="753">
        <f t="shared" si="120"/>
        <v>0</v>
      </c>
      <c r="CE186" s="753">
        <f t="shared" si="121"/>
        <v>2</v>
      </c>
      <c r="CF186" s="753" t="str">
        <f t="shared" si="122"/>
        <v/>
      </c>
      <c r="CG186" s="753" t="str">
        <f t="shared" si="123"/>
        <v/>
      </c>
      <c r="CH186" s="753" t="str">
        <f t="shared" si="124"/>
        <v/>
      </c>
      <c r="CI186" s="753" t="str">
        <f t="shared" si="125"/>
        <v/>
      </c>
      <c r="CK186" s="505" t="s">
        <v>616</v>
      </c>
      <c r="CL186" s="753">
        <f t="shared" si="126"/>
        <v>0</v>
      </c>
      <c r="CM186" s="753">
        <f t="shared" si="127"/>
        <v>2</v>
      </c>
      <c r="CN186" s="753" t="str">
        <f t="shared" si="128"/>
        <v/>
      </c>
      <c r="CO186" s="753" t="str">
        <f t="shared" si="129"/>
        <v/>
      </c>
      <c r="CP186" s="753" t="str">
        <f t="shared" si="130"/>
        <v/>
      </c>
      <c r="CQ186" s="753" t="str">
        <f t="shared" si="131"/>
        <v/>
      </c>
    </row>
    <row r="187" spans="1:95">
      <c r="A187" s="506" t="s">
        <v>547</v>
      </c>
      <c r="B187" s="706"/>
      <c r="C187" s="706"/>
      <c r="D187" s="706"/>
      <c r="E187" s="521"/>
      <c r="F187" s="706"/>
      <c r="G187" s="49"/>
      <c r="I187" s="506" t="s">
        <v>547</v>
      </c>
      <c r="J187" s="706"/>
      <c r="K187" s="706"/>
      <c r="L187" s="706"/>
      <c r="M187" s="521"/>
      <c r="N187" s="706"/>
      <c r="O187" s="49"/>
      <c r="Q187" s="506" t="s">
        <v>547</v>
      </c>
      <c r="R187" s="706"/>
      <c r="S187" s="706"/>
      <c r="T187" s="706"/>
      <c r="U187" s="521"/>
      <c r="V187" s="706"/>
      <c r="W187" s="49"/>
      <c r="Y187" s="506" t="s">
        <v>547</v>
      </c>
      <c r="Z187" s="706"/>
      <c r="AA187" s="706"/>
      <c r="AB187" s="706"/>
      <c r="AC187" s="521"/>
      <c r="AD187" s="706"/>
      <c r="AE187" s="49"/>
      <c r="AG187" s="506" t="s">
        <v>547</v>
      </c>
      <c r="AH187" s="706"/>
      <c r="AI187" s="706"/>
      <c r="AJ187" s="706"/>
      <c r="AK187" s="521"/>
      <c r="AL187" s="706"/>
      <c r="AM187" s="49"/>
      <c r="AO187" s="506" t="s">
        <v>547</v>
      </c>
      <c r="AP187" s="706"/>
      <c r="AQ187" s="706"/>
      <c r="AR187" s="706"/>
      <c r="AS187" s="521"/>
      <c r="AT187" s="706"/>
      <c r="AU187" s="49"/>
      <c r="AW187" s="506" t="s">
        <v>547</v>
      </c>
      <c r="AX187" s="706"/>
      <c r="AY187" s="706"/>
      <c r="AZ187" s="706"/>
      <c r="BA187" s="521"/>
      <c r="BB187" s="706"/>
      <c r="BC187" s="49"/>
      <c r="BE187" s="506" t="s">
        <v>547</v>
      </c>
      <c r="BF187" s="706"/>
      <c r="BG187" s="706"/>
      <c r="BH187" s="706"/>
      <c r="BI187" s="521"/>
      <c r="BJ187" s="706"/>
      <c r="BK187" s="49"/>
      <c r="BM187" s="506" t="s">
        <v>547</v>
      </c>
      <c r="BN187" s="706"/>
      <c r="BO187" s="706"/>
      <c r="BP187" s="706"/>
      <c r="BQ187" s="521"/>
      <c r="BR187" s="706"/>
      <c r="BS187" s="49"/>
      <c r="BU187" s="506" t="s">
        <v>547</v>
      </c>
      <c r="BV187" s="706"/>
      <c r="BW187" s="706"/>
      <c r="BX187" s="706"/>
      <c r="BY187" s="521"/>
      <c r="BZ187" s="706"/>
      <c r="CA187" s="49"/>
      <c r="CC187" s="506" t="s">
        <v>547</v>
      </c>
      <c r="CD187" s="706"/>
      <c r="CE187" s="706"/>
      <c r="CF187" s="706"/>
      <c r="CG187" s="521"/>
      <c r="CH187" s="706"/>
      <c r="CI187" s="49"/>
      <c r="CK187" s="506" t="s">
        <v>547</v>
      </c>
      <c r="CL187" s="706"/>
      <c r="CM187" s="706"/>
      <c r="CN187" s="706"/>
      <c r="CO187" s="521"/>
      <c r="CP187" s="706"/>
      <c r="CQ187" s="49"/>
    </row>
    <row r="188" spans="1:95">
      <c r="A188" s="501"/>
      <c r="R188" s="27"/>
      <c r="S188" s="27"/>
      <c r="T188" s="27"/>
      <c r="U188" s="27"/>
      <c r="V188" s="27"/>
    </row>
    <row r="189" spans="1:95">
      <c r="A189" s="501"/>
    </row>
    <row r="190" spans="1:95">
      <c r="A190" s="501"/>
    </row>
    <row r="191" spans="1:95">
      <c r="A191" s="501"/>
    </row>
    <row r="192" spans="1:95">
      <c r="A192" s="501"/>
    </row>
    <row r="193" spans="1:14">
      <c r="A193" s="501"/>
    </row>
    <row r="194" spans="1:14">
      <c r="A194" s="501"/>
    </row>
    <row r="195" spans="1:14">
      <c r="A195" s="501"/>
    </row>
    <row r="196" spans="1:14">
      <c r="A196" s="501"/>
    </row>
    <row r="197" spans="1:14">
      <c r="A197" s="501"/>
    </row>
    <row r="199" spans="1:14" ht="12.75" customHeight="1">
      <c r="A199" s="1592" t="s">
        <v>719</v>
      </c>
      <c r="B199" s="135" t="str">
        <f>IF(OR(Entrées!I14=" ",Entrées!I14=""),"",VLOOKUP(Entrées!I14,$A$201:$B$240,2,FALSE))</f>
        <v/>
      </c>
      <c r="C199" s="135" t="s">
        <v>3803</v>
      </c>
      <c r="D199" s="135" t="s">
        <v>3798</v>
      </c>
      <c r="I199" s="1680"/>
      <c r="J199" s="820"/>
      <c r="K199" s="3061" t="s">
        <v>3255</v>
      </c>
      <c r="L199" s="3064" t="s">
        <v>3256</v>
      </c>
      <c r="M199" s="3067" t="s">
        <v>3257</v>
      </c>
      <c r="N199" s="1840" t="s">
        <v>3258</v>
      </c>
    </row>
    <row r="200" spans="1:14">
      <c r="A200" s="1680" t="str">
        <f>A54</f>
        <v xml:space="preserve"> </v>
      </c>
      <c r="B200" s="1682"/>
      <c r="C200" s="1682" t="b">
        <v>1</v>
      </c>
      <c r="D200" s="120" t="b">
        <v>0</v>
      </c>
      <c r="I200" s="43"/>
      <c r="J200" s="3068" t="s">
        <v>3259</v>
      </c>
      <c r="K200" s="3062"/>
      <c r="L200" s="3065"/>
      <c r="M200" s="3065"/>
      <c r="N200" s="1841"/>
    </row>
    <row r="201" spans="1:14">
      <c r="A201" s="43" t="str">
        <f>A55</f>
        <v>Adelboden</v>
      </c>
      <c r="B201" s="808" t="s">
        <v>3250</v>
      </c>
      <c r="C201" s="45" t="b">
        <v>1</v>
      </c>
      <c r="D201" s="120" t="b">
        <v>0</v>
      </c>
      <c r="I201" s="43"/>
      <c r="J201" s="3068"/>
      <c r="K201" s="3062"/>
      <c r="L201" s="3065"/>
      <c r="M201" s="3065"/>
      <c r="N201" s="1841"/>
    </row>
    <row r="202" spans="1:14">
      <c r="A202" s="43" t="str">
        <f t="shared" ref="A202:A239" si="157">A56</f>
        <v>Aigle</v>
      </c>
      <c r="B202" s="808" t="s">
        <v>3251</v>
      </c>
      <c r="C202" s="120" t="b">
        <v>0</v>
      </c>
      <c r="D202" s="120" t="b">
        <v>0</v>
      </c>
      <c r="I202" s="43"/>
      <c r="J202" s="3068"/>
      <c r="K202" s="3062"/>
      <c r="L202" s="3065"/>
      <c r="M202" s="3065"/>
      <c r="N202" s="1841"/>
    </row>
    <row r="203" spans="1:14">
      <c r="A203" s="43" t="str">
        <f t="shared" si="157"/>
        <v>Altdorf</v>
      </c>
      <c r="B203" s="808" t="s">
        <v>3251</v>
      </c>
      <c r="C203" s="45" t="b">
        <v>1</v>
      </c>
      <c r="D203" s="120" t="b">
        <v>0</v>
      </c>
      <c r="I203" s="94"/>
      <c r="J203" s="3069"/>
      <c r="K203" s="3063"/>
      <c r="L203" s="3066"/>
      <c r="M203" s="3066"/>
      <c r="N203" s="1842"/>
    </row>
    <row r="204" spans="1:14" ht="12.75" customHeight="1">
      <c r="A204" s="43" t="str">
        <f t="shared" si="157"/>
        <v>Basel-Binningen</v>
      </c>
      <c r="B204" s="808" t="s">
        <v>3251</v>
      </c>
      <c r="C204" s="120" t="b">
        <v>0</v>
      </c>
      <c r="D204" s="120" t="b">
        <v>0</v>
      </c>
      <c r="I204" s="3058" t="s">
        <v>3260</v>
      </c>
      <c r="J204" s="820" t="str">
        <f>""</f>
        <v/>
      </c>
      <c r="K204" s="1680" t="str">
        <f>""</f>
        <v/>
      </c>
      <c r="L204" s="820" t="str">
        <f>""</f>
        <v/>
      </c>
      <c r="M204" s="820" t="str">
        <f>""</f>
        <v/>
      </c>
      <c r="N204" s="1681" t="str">
        <f>""</f>
        <v/>
      </c>
    </row>
    <row r="205" spans="1:14">
      <c r="A205" s="43" t="str">
        <f t="shared" si="157"/>
        <v>Bern  Liebefeld</v>
      </c>
      <c r="B205" s="808" t="s">
        <v>3251</v>
      </c>
      <c r="C205" s="120" t="b">
        <v>0</v>
      </c>
      <c r="D205" s="120" t="b">
        <v>0</v>
      </c>
      <c r="I205" s="3059"/>
      <c r="J205" s="1641" t="s">
        <v>3254</v>
      </c>
      <c r="K205" s="1678">
        <v>0.17</v>
      </c>
      <c r="L205" s="84">
        <v>0.11</v>
      </c>
      <c r="M205" s="84">
        <v>0.22</v>
      </c>
      <c r="N205" s="1843">
        <v>0.13</v>
      </c>
    </row>
    <row r="206" spans="1:14">
      <c r="A206" s="43" t="str">
        <f t="shared" si="157"/>
        <v>Buchs Aarau</v>
      </c>
      <c r="B206" s="808" t="s">
        <v>3251</v>
      </c>
      <c r="C206" s="120" t="b">
        <v>0</v>
      </c>
      <c r="D206" s="120" t="b">
        <v>0</v>
      </c>
      <c r="I206" s="3059"/>
      <c r="J206" s="1641" t="s">
        <v>3253</v>
      </c>
      <c r="K206" s="1678">
        <v>0.19</v>
      </c>
      <c r="L206" s="84">
        <v>0.14000000000000001</v>
      </c>
      <c r="M206" s="84">
        <v>0.24</v>
      </c>
      <c r="N206" s="1843">
        <v>0.17</v>
      </c>
    </row>
    <row r="207" spans="1:14">
      <c r="A207" s="43" t="str">
        <f t="shared" si="157"/>
        <v>Chur</v>
      </c>
      <c r="B207" s="808" t="s">
        <v>3251</v>
      </c>
      <c r="C207" s="45" t="b">
        <v>1</v>
      </c>
      <c r="D207" s="120" t="b">
        <v>0</v>
      </c>
      <c r="I207" s="3059"/>
      <c r="J207" s="1641" t="s">
        <v>3251</v>
      </c>
      <c r="K207" s="1678">
        <v>0.24</v>
      </c>
      <c r="L207" s="84">
        <v>0.18</v>
      </c>
      <c r="M207" s="84">
        <v>0.3</v>
      </c>
      <c r="N207" s="1843">
        <v>0.23</v>
      </c>
    </row>
    <row r="208" spans="1:14">
      <c r="A208" s="43" t="str">
        <f t="shared" si="157"/>
        <v>Davos</v>
      </c>
      <c r="B208" s="808" t="s">
        <v>3252</v>
      </c>
      <c r="C208" s="45" t="b">
        <v>1</v>
      </c>
      <c r="D208" s="120" t="b">
        <v>0</v>
      </c>
      <c r="I208" s="3059"/>
      <c r="J208" s="1641" t="s">
        <v>3250</v>
      </c>
      <c r="K208" s="1678">
        <v>0.36</v>
      </c>
      <c r="L208" s="84">
        <v>0.3</v>
      </c>
      <c r="M208" s="84">
        <v>0.44</v>
      </c>
      <c r="N208" s="1843">
        <v>0.4</v>
      </c>
    </row>
    <row r="209" spans="1:14" ht="12.75" customHeight="1">
      <c r="A209" s="43" t="str">
        <f t="shared" si="157"/>
        <v>Disentis</v>
      </c>
      <c r="B209" s="808" t="s">
        <v>3250</v>
      </c>
      <c r="C209" s="45" t="b">
        <v>1</v>
      </c>
      <c r="D209" s="120" t="b">
        <v>0</v>
      </c>
      <c r="I209" s="3060"/>
      <c r="J209" s="1157" t="s">
        <v>3252</v>
      </c>
      <c r="K209" s="1678">
        <v>0.4</v>
      </c>
      <c r="L209" s="84">
        <v>0.34</v>
      </c>
      <c r="M209" s="84">
        <v>0.46</v>
      </c>
      <c r="N209" s="1843">
        <v>0.44</v>
      </c>
    </row>
    <row r="210" spans="1:14">
      <c r="A210" s="43" t="str">
        <f t="shared" si="157"/>
        <v>Engelberg</v>
      </c>
      <c r="B210" s="808" t="s">
        <v>3250</v>
      </c>
      <c r="C210" s="45" t="b">
        <v>1</v>
      </c>
      <c r="D210" s="120" t="b">
        <v>0</v>
      </c>
      <c r="I210" s="1592" t="s">
        <v>177</v>
      </c>
      <c r="J210" s="964" t="str">
        <f>B199</f>
        <v/>
      </c>
      <c r="K210" s="963" t="str">
        <f>VLOOKUP($B$199,$J$204:$N$209,2,FALSE)</f>
        <v/>
      </c>
      <c r="L210" s="964" t="str">
        <f>VLOOKUP($B$199,$J$204:$N$209,3,FALSE)</f>
        <v/>
      </c>
      <c r="M210" s="964" t="str">
        <f>VLOOKUP($B$199,$J$204:$N$209,4,FALSE)</f>
        <v/>
      </c>
      <c r="N210" s="427" t="str">
        <f>VLOOKUP($B$199,$J$204:$N$209,5,FALSE)</f>
        <v/>
      </c>
    </row>
    <row r="211" spans="1:14">
      <c r="A211" s="43" t="str">
        <f t="shared" si="157"/>
        <v>Genève</v>
      </c>
      <c r="B211" s="808" t="s">
        <v>3253</v>
      </c>
      <c r="C211" s="120" t="b">
        <v>0</v>
      </c>
      <c r="D211" s="120" t="b">
        <v>0</v>
      </c>
    </row>
    <row r="212" spans="1:14">
      <c r="A212" s="43" t="str">
        <f t="shared" si="157"/>
        <v>Glarus</v>
      </c>
      <c r="B212" s="808" t="s">
        <v>3251</v>
      </c>
      <c r="C212" s="45" t="b">
        <v>1</v>
      </c>
      <c r="D212" s="120" t="b">
        <v>0</v>
      </c>
    </row>
    <row r="213" spans="1:14">
      <c r="A213" s="43" t="str">
        <f t="shared" si="157"/>
        <v>Gr. St. Bernhard</v>
      </c>
      <c r="B213" s="808" t="s">
        <v>3252</v>
      </c>
      <c r="C213" s="45" t="b">
        <v>1</v>
      </c>
      <c r="D213" s="120" t="b">
        <v>0</v>
      </c>
    </row>
    <row r="214" spans="1:14">
      <c r="A214" s="43" t="str">
        <f t="shared" si="157"/>
        <v>Güttingen</v>
      </c>
      <c r="B214" s="808" t="s">
        <v>3251</v>
      </c>
      <c r="C214" s="120" t="b">
        <v>0</v>
      </c>
      <c r="D214" s="120" t="b">
        <v>0</v>
      </c>
    </row>
    <row r="215" spans="1:14">
      <c r="A215" s="43" t="str">
        <f t="shared" si="157"/>
        <v>Interlaken</v>
      </c>
      <c r="B215" s="808" t="s">
        <v>3251</v>
      </c>
      <c r="C215" s="45" t="b">
        <v>1</v>
      </c>
      <c r="D215" s="120" t="b">
        <v>0</v>
      </c>
    </row>
    <row r="216" spans="1:14">
      <c r="A216" s="43" t="str">
        <f t="shared" si="157"/>
        <v>La Chaux-de-Fonds</v>
      </c>
      <c r="B216" s="808" t="s">
        <v>3250</v>
      </c>
      <c r="C216" s="120" t="b">
        <v>0</v>
      </c>
      <c r="D216" s="120" t="b">
        <v>0</v>
      </c>
    </row>
    <row r="217" spans="1:14">
      <c r="A217" s="43" t="str">
        <f t="shared" si="157"/>
        <v>La Frêtaz</v>
      </c>
      <c r="B217" s="808" t="s">
        <v>3250</v>
      </c>
      <c r="C217" s="120" t="b">
        <v>0</v>
      </c>
      <c r="D217" s="120" t="b">
        <v>0</v>
      </c>
    </row>
    <row r="218" spans="1:14">
      <c r="A218" s="43" t="str">
        <f t="shared" si="157"/>
        <v>Locarno-Monti</v>
      </c>
      <c r="B218" s="808" t="s">
        <v>3254</v>
      </c>
      <c r="C218" s="45" t="b">
        <v>1</v>
      </c>
      <c r="D218" s="120" t="b">
        <v>1</v>
      </c>
    </row>
    <row r="219" spans="1:14">
      <c r="A219" s="43" t="str">
        <f t="shared" si="157"/>
        <v>Lugano</v>
      </c>
      <c r="B219" s="808" t="s">
        <v>3254</v>
      </c>
      <c r="C219" s="120" t="b">
        <v>0</v>
      </c>
      <c r="D219" s="120" t="b">
        <v>1</v>
      </c>
    </row>
    <row r="220" spans="1:14">
      <c r="A220" s="43" t="str">
        <f t="shared" si="157"/>
        <v>Luzern</v>
      </c>
      <c r="B220" s="808" t="s">
        <v>3251</v>
      </c>
      <c r="C220" s="120" t="b">
        <v>0</v>
      </c>
      <c r="D220" s="120" t="b">
        <v>0</v>
      </c>
    </row>
    <row r="221" spans="1:14">
      <c r="A221" s="43" t="str">
        <f t="shared" si="157"/>
        <v>Magadino</v>
      </c>
      <c r="B221" s="808" t="s">
        <v>3254</v>
      </c>
      <c r="C221" s="45" t="b">
        <v>1</v>
      </c>
      <c r="D221" s="120" t="b">
        <v>1</v>
      </c>
    </row>
    <row r="222" spans="1:14">
      <c r="A222" s="43" t="str">
        <f t="shared" si="157"/>
        <v>Montana</v>
      </c>
      <c r="B222" s="808" t="s">
        <v>3250</v>
      </c>
      <c r="C222" s="45" t="b">
        <v>1</v>
      </c>
      <c r="D222" s="120" t="b">
        <v>0</v>
      </c>
    </row>
    <row r="223" spans="1:14">
      <c r="A223" s="43" t="str">
        <f t="shared" si="157"/>
        <v>Neuchâtel</v>
      </c>
      <c r="B223" s="808" t="s">
        <v>3253</v>
      </c>
      <c r="C223" s="120" t="b">
        <v>0</v>
      </c>
      <c r="D223" s="120" t="b">
        <v>0</v>
      </c>
    </row>
    <row r="224" spans="1:14">
      <c r="A224" s="43" t="str">
        <f t="shared" si="157"/>
        <v>Payerne</v>
      </c>
      <c r="B224" s="808" t="s">
        <v>3251</v>
      </c>
      <c r="C224" s="120" t="b">
        <v>0</v>
      </c>
      <c r="D224" s="120" t="b">
        <v>0</v>
      </c>
    </row>
    <row r="225" spans="1:4">
      <c r="A225" s="43" t="str">
        <f t="shared" si="157"/>
        <v>Piotta</v>
      </c>
      <c r="B225" s="808" t="s">
        <v>3250</v>
      </c>
      <c r="C225" s="45" t="b">
        <v>1</v>
      </c>
      <c r="D225" s="120" t="b">
        <v>1</v>
      </c>
    </row>
    <row r="226" spans="1:4">
      <c r="A226" s="43" t="str">
        <f t="shared" si="157"/>
        <v>Pully</v>
      </c>
      <c r="B226" s="808" t="s">
        <v>3253</v>
      </c>
      <c r="C226" s="120" t="b">
        <v>0</v>
      </c>
      <c r="D226" s="120" t="b">
        <v>0</v>
      </c>
    </row>
    <row r="227" spans="1:4">
      <c r="A227" s="43" t="str">
        <f t="shared" si="157"/>
        <v>Robbia</v>
      </c>
      <c r="B227" s="808" t="s">
        <v>3250</v>
      </c>
      <c r="C227" s="45" t="b">
        <v>1</v>
      </c>
      <c r="D227" s="120" t="b">
        <v>1</v>
      </c>
    </row>
    <row r="228" spans="1:4">
      <c r="A228" s="43" t="str">
        <f t="shared" si="157"/>
        <v>Rünenberg</v>
      </c>
      <c r="B228" s="808" t="s">
        <v>3251</v>
      </c>
      <c r="C228" s="120" t="b">
        <v>0</v>
      </c>
      <c r="D228" s="120" t="b">
        <v>0</v>
      </c>
    </row>
    <row r="229" spans="1:4">
      <c r="A229" s="43" t="str">
        <f t="shared" si="157"/>
        <v>Samedan</v>
      </c>
      <c r="B229" s="808" t="s">
        <v>3252</v>
      </c>
      <c r="C229" s="45" t="b">
        <v>1</v>
      </c>
      <c r="D229" s="120" t="b">
        <v>0</v>
      </c>
    </row>
    <row r="230" spans="1:4">
      <c r="A230" s="43" t="str">
        <f t="shared" si="157"/>
        <v>San Bernardino</v>
      </c>
      <c r="B230" s="808" t="s">
        <v>3252</v>
      </c>
      <c r="C230" s="45" t="b">
        <v>1</v>
      </c>
      <c r="D230" s="120" t="b">
        <v>1</v>
      </c>
    </row>
    <row r="231" spans="1:4">
      <c r="A231" s="43" t="str">
        <f t="shared" si="157"/>
        <v>St. Gallen</v>
      </c>
      <c r="B231" s="808" t="s">
        <v>3251</v>
      </c>
      <c r="C231" s="120" t="b">
        <v>0</v>
      </c>
      <c r="D231" s="120" t="b">
        <v>0</v>
      </c>
    </row>
    <row r="232" spans="1:4">
      <c r="A232" s="43" t="str">
        <f t="shared" si="157"/>
        <v>Schaffhausen</v>
      </c>
      <c r="B232" s="808" t="s">
        <v>3251</v>
      </c>
      <c r="C232" s="120" t="b">
        <v>0</v>
      </c>
      <c r="D232" s="120" t="b">
        <v>0</v>
      </c>
    </row>
    <row r="233" spans="1:4">
      <c r="A233" s="43" t="str">
        <f t="shared" si="157"/>
        <v>Schuls</v>
      </c>
      <c r="B233" s="808" t="s">
        <v>3252</v>
      </c>
      <c r="C233" s="45" t="b">
        <v>1</v>
      </c>
      <c r="D233" s="120" t="b">
        <v>0</v>
      </c>
    </row>
    <row r="234" spans="1:4">
      <c r="A234" s="43" t="str">
        <f t="shared" si="157"/>
        <v>Sion</v>
      </c>
      <c r="B234" s="808" t="s">
        <v>3253</v>
      </c>
      <c r="C234" s="45" t="b">
        <v>1</v>
      </c>
      <c r="D234" s="120" t="b">
        <v>0</v>
      </c>
    </row>
    <row r="235" spans="1:4">
      <c r="A235" s="43" t="str">
        <f t="shared" si="157"/>
        <v>Ulrichen</v>
      </c>
      <c r="B235" s="808" t="s">
        <v>3252</v>
      </c>
      <c r="C235" s="45" t="b">
        <v>1</v>
      </c>
      <c r="D235" s="120" t="b">
        <v>0</v>
      </c>
    </row>
    <row r="236" spans="1:4">
      <c r="A236" s="43" t="str">
        <f t="shared" si="157"/>
        <v>Vaduz</v>
      </c>
      <c r="B236" s="808" t="s">
        <v>3251</v>
      </c>
      <c r="C236" s="45" t="b">
        <v>1</v>
      </c>
      <c r="D236" s="120" t="b">
        <v>0</v>
      </c>
    </row>
    <row r="237" spans="1:4">
      <c r="A237" s="43" t="str">
        <f t="shared" si="157"/>
        <v>Wynau</v>
      </c>
      <c r="B237" s="808" t="s">
        <v>3251</v>
      </c>
      <c r="C237" s="120" t="b">
        <v>0</v>
      </c>
      <c r="D237" s="120" t="b">
        <v>0</v>
      </c>
    </row>
    <row r="238" spans="1:4">
      <c r="A238" s="43" t="str">
        <f t="shared" si="157"/>
        <v>Zermatt</v>
      </c>
      <c r="B238" s="808" t="s">
        <v>3252</v>
      </c>
      <c r="C238" s="45" t="b">
        <v>1</v>
      </c>
      <c r="D238" s="120" t="b">
        <v>0</v>
      </c>
    </row>
    <row r="239" spans="1:4">
      <c r="A239" s="43" t="str">
        <f t="shared" si="157"/>
        <v>Zürich-Kloten</v>
      </c>
      <c r="B239" s="808" t="s">
        <v>3251</v>
      </c>
      <c r="C239" s="120" t="b">
        <v>0</v>
      </c>
      <c r="D239" s="120" t="b">
        <v>0</v>
      </c>
    </row>
    <row r="240" spans="1:4">
      <c r="A240" s="94" t="str">
        <f>A94</f>
        <v>Zürich SMA</v>
      </c>
      <c r="B240" s="809" t="s">
        <v>3251</v>
      </c>
      <c r="C240" s="120" t="b">
        <v>0</v>
      </c>
      <c r="D240" s="142" t="b">
        <v>0</v>
      </c>
    </row>
    <row r="241" spans="1:4">
      <c r="A241" s="127" t="s">
        <v>3799</v>
      </c>
      <c r="B241" s="126"/>
      <c r="C241" s="126"/>
      <c r="D241" s="1846" t="b">
        <f>IF(B51=0,FALSE,INDEX(D200:D240,B51,1))</f>
        <v>0</v>
      </c>
    </row>
    <row r="242" spans="1:4">
      <c r="A242" s="94" t="s">
        <v>3800</v>
      </c>
      <c r="B242" s="60"/>
      <c r="C242" s="60"/>
      <c r="D242" s="1847" t="b">
        <f>AND(IF(B51=0,FALSE,INDEX(C200:C240,B51,1)),IF(Hoehe=0,TRUE,IF(Hoehe&lt;=800,FALSE,TRUE)))</f>
        <v>1</v>
      </c>
    </row>
  </sheetData>
  <sheetProtection password="C616" sheet="1" objects="1" scenarios="1"/>
  <mergeCells count="67">
    <mergeCell ref="P66:S66"/>
    <mergeCell ref="I204:I209"/>
    <mergeCell ref="K199:K203"/>
    <mergeCell ref="L199:L203"/>
    <mergeCell ref="M199:M203"/>
    <mergeCell ref="J200:J203"/>
    <mergeCell ref="N122:Q122"/>
    <mergeCell ref="O83:P83"/>
    <mergeCell ref="U23:X23"/>
    <mergeCell ref="AI33:AJ33"/>
    <mergeCell ref="AK33:AL33"/>
    <mergeCell ref="X65:AC65"/>
    <mergeCell ref="AM33:AN33"/>
    <mergeCell ref="AI43:AJ43"/>
    <mergeCell ref="AI44:AJ44"/>
    <mergeCell ref="AI42:AJ42"/>
    <mergeCell ref="AM49:AN49"/>
    <mergeCell ref="AM43:AN43"/>
    <mergeCell ref="AM44:AN44"/>
    <mergeCell ref="AM45:AN45"/>
    <mergeCell ref="BQ40:BR40"/>
    <mergeCell ref="AK35:AL35"/>
    <mergeCell ref="AV21:AW21"/>
    <mergeCell ref="AA34:AC34"/>
    <mergeCell ref="AG38:AH38"/>
    <mergeCell ref="AG37:AH37"/>
    <mergeCell ref="AI36:AJ36"/>
    <mergeCell ref="AI35:AJ35"/>
    <mergeCell ref="AG36:AH36"/>
    <mergeCell ref="AM37:AN37"/>
    <mergeCell ref="AM38:AN38"/>
    <mergeCell ref="AK37:AL37"/>
    <mergeCell ref="AI38:AJ38"/>
    <mergeCell ref="AK38:AL38"/>
    <mergeCell ref="AO49:AP49"/>
    <mergeCell ref="AG33:AH33"/>
    <mergeCell ref="BI28:BJ28"/>
    <mergeCell ref="AM36:AN36"/>
    <mergeCell ref="AM35:AN35"/>
    <mergeCell ref="AG35:AH35"/>
    <mergeCell ref="AK36:AL36"/>
    <mergeCell ref="AG42:AH42"/>
    <mergeCell ref="AG43:AH43"/>
    <mergeCell ref="AK43:AL43"/>
    <mergeCell ref="AK44:AL44"/>
    <mergeCell ref="AK45:AL45"/>
    <mergeCell ref="AG49:AH49"/>
    <mergeCell ref="AI45:AJ45"/>
    <mergeCell ref="AI37:AJ37"/>
    <mergeCell ref="AK49:AL49"/>
    <mergeCell ref="AO50:AP50"/>
    <mergeCell ref="AG50:AH50"/>
    <mergeCell ref="AI50:AJ50"/>
    <mergeCell ref="AK50:AL50"/>
    <mergeCell ref="AM50:AN50"/>
    <mergeCell ref="AB94:AC94"/>
    <mergeCell ref="AM42:AN42"/>
    <mergeCell ref="U54:V54"/>
    <mergeCell ref="AI49:AJ49"/>
    <mergeCell ref="AK42:AL42"/>
    <mergeCell ref="AG44:AH44"/>
    <mergeCell ref="AG45:AH45"/>
    <mergeCell ref="AD69:AF69"/>
    <mergeCell ref="X66:Y66"/>
    <mergeCell ref="Z66:AA66"/>
    <mergeCell ref="AB66:AC66"/>
    <mergeCell ref="AL68:AM68"/>
  </mergeCells>
  <phoneticPr fontId="7" type="noConversion"/>
  <pageMargins left="0.28000000000000003" right="0.31" top="1.0236220472440944" bottom="0.98425196850393704" header="0.51181102362204722" footer="0.51181102362204722"/>
  <pageSetup paperSize="9" scale="33" orientation="landscape" r:id="rId1"/>
  <headerFooter alignWithMargins="0">
    <oddHeader>&amp;L&amp;"Arial,Fett Kursiv"&amp;18Tabellen für den MINERGIE-Nachweis</oddHeader>
    <oddFooter>&amp;L&amp;8&amp;F / &amp;A / &amp;D / MINERGIE-Nachweis</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53" r:id="rId4" name="Drop Down 17">
              <controlPr defaultSize="0" print="0" autoLine="0" autoPict="0">
                <anchor moveWithCells="1">
                  <from>
                    <xdr:col>63</xdr:col>
                    <xdr:colOff>0</xdr:colOff>
                    <xdr:row>26</xdr:row>
                    <xdr:rowOff>0</xdr:rowOff>
                  </from>
                  <to>
                    <xdr:col>66</xdr:col>
                    <xdr:colOff>0</xdr:colOff>
                    <xdr:row>27</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1A9E30EE20F8A40AC50A8E7D6173A6E" ma:contentTypeVersion="13" ma:contentTypeDescription="Ein neues Dokument erstellen." ma:contentTypeScope="" ma:versionID="e36124beb853bcfec44f6fbcfe8edb93">
  <xsd:schema xmlns:xsd="http://www.w3.org/2001/XMLSchema" xmlns:xs="http://www.w3.org/2001/XMLSchema" xmlns:p="http://schemas.microsoft.com/office/2006/metadata/properties" xmlns:ns2="3bc25d8c-f2cb-4657-bbff-0721a7ee4f5f" xmlns:ns3="6e297851-079f-43c9-a3f3-89647c6de2fd" targetNamespace="http://schemas.microsoft.com/office/2006/metadata/properties" ma:root="true" ma:fieldsID="f316dfe4ee818f2d543e2f06e00db535" ns2:_="" ns3:_="">
    <xsd:import namespace="3bc25d8c-f2cb-4657-bbff-0721a7ee4f5f"/>
    <xsd:import namespace="6e297851-079f-43c9-a3f3-89647c6de2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c25d8c-f2cb-4657-bbff-0721a7ee4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7df0651-af24-4848-bc93-d34168a0b60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297851-079f-43c9-a3f3-89647c6de2f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c0cb18a-1f67-4288-866c-c19c7775cf6b}" ma:internalName="TaxCatchAll" ma:showField="CatchAllData" ma:web="6e297851-079f-43c9-a3f3-89647c6de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c25d8c-f2cb-4657-bbff-0721a7ee4f5f">
      <Terms xmlns="http://schemas.microsoft.com/office/infopath/2007/PartnerControls"/>
    </lcf76f155ced4ddcb4097134ff3c332f>
    <TaxCatchAll xmlns="6e297851-079f-43c9-a3f3-89647c6de2fd" xsi:nil="true"/>
  </documentManagement>
</p:properties>
</file>

<file path=customXml/itemProps1.xml><?xml version="1.0" encoding="utf-8"?>
<ds:datastoreItem xmlns:ds="http://schemas.openxmlformats.org/officeDocument/2006/customXml" ds:itemID="{AC4099C6-13FB-4D29-89AC-4368362C8C79}"/>
</file>

<file path=customXml/itemProps2.xml><?xml version="1.0" encoding="utf-8"?>
<ds:datastoreItem xmlns:ds="http://schemas.openxmlformats.org/officeDocument/2006/customXml" ds:itemID="{0BE6ACBC-0F0A-406F-9B85-EDFF5172A73E}"/>
</file>

<file path=customXml/itemProps3.xml><?xml version="1.0" encoding="utf-8"?>
<ds:datastoreItem xmlns:ds="http://schemas.openxmlformats.org/officeDocument/2006/customXml" ds:itemID="{2BA4F9E2-86F9-4B8B-A785-93EBF50E110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432</vt:i4>
      </vt:variant>
    </vt:vector>
  </HeadingPairs>
  <TitlesOfParts>
    <vt:vector size="446" baseType="lpstr">
      <vt:lpstr>Entrées</vt:lpstr>
      <vt:lpstr>MINERGIE</vt:lpstr>
      <vt:lpstr>Justificatif</vt:lpstr>
      <vt:lpstr>Eté</vt:lpstr>
      <vt:lpstr>Aperçu</vt:lpstr>
      <vt:lpstr>MOP</vt:lpstr>
      <vt:lpstr>Solaire_BE</vt:lpstr>
      <vt:lpstr>Aperçu_BE</vt:lpstr>
      <vt:lpstr>Standardwerte</vt:lpstr>
      <vt:lpstr>PVopti</vt:lpstr>
      <vt:lpstr>Log</vt:lpstr>
      <vt:lpstr>Construction</vt:lpstr>
      <vt:lpstr>Uebersetzung</vt:lpstr>
      <vt:lpstr>Oeko</vt:lpstr>
      <vt:lpstr>_a0</vt:lpstr>
      <vt:lpstr>_a0WP</vt:lpstr>
      <vt:lpstr>_a10</vt:lpstr>
      <vt:lpstr>_a10WP</vt:lpstr>
      <vt:lpstr>_a5</vt:lpstr>
      <vt:lpstr>_a5WP</vt:lpstr>
      <vt:lpstr>_b0</vt:lpstr>
      <vt:lpstr>_b0WP</vt:lpstr>
      <vt:lpstr>_b10</vt:lpstr>
      <vt:lpstr>_b10WP</vt:lpstr>
      <vt:lpstr>_b5</vt:lpstr>
      <vt:lpstr>_b5WP</vt:lpstr>
      <vt:lpstr>_EBF1</vt:lpstr>
      <vt:lpstr>_EBF2</vt:lpstr>
      <vt:lpstr>_EBF3</vt:lpstr>
      <vt:lpstr>_EBF4</vt:lpstr>
      <vt:lpstr>_gew1</vt:lpstr>
      <vt:lpstr>_gew2</vt:lpstr>
      <vt:lpstr>_gew3</vt:lpstr>
      <vt:lpstr>_gew4</vt:lpstr>
      <vt:lpstr>_gew5</vt:lpstr>
      <vt:lpstr>_LER1</vt:lpstr>
      <vt:lpstr>_LER2</vt:lpstr>
      <vt:lpstr>_LER3</vt:lpstr>
      <vt:lpstr>_LER4</vt:lpstr>
      <vt:lpstr>_neu1</vt:lpstr>
      <vt:lpstr>_neu2</vt:lpstr>
      <vt:lpstr>_neu3</vt:lpstr>
      <vt:lpstr>_neu4</vt:lpstr>
      <vt:lpstr>_Neubau</vt:lpstr>
      <vt:lpstr>_nL1</vt:lpstr>
      <vt:lpstr>_nL2</vt:lpstr>
      <vt:lpstr>_nL3</vt:lpstr>
      <vt:lpstr>_nL4</vt:lpstr>
      <vt:lpstr>_nL50</vt:lpstr>
      <vt:lpstr>_Qe1</vt:lpstr>
      <vt:lpstr>_Qe2</vt:lpstr>
      <vt:lpstr>_Qe3</vt:lpstr>
      <vt:lpstr>_Qe4</vt:lpstr>
      <vt:lpstr>_Qel1</vt:lpstr>
      <vt:lpstr>_Qel2</vt:lpstr>
      <vt:lpstr>_Qel3</vt:lpstr>
      <vt:lpstr>_Qel4</vt:lpstr>
      <vt:lpstr>_qh1</vt:lpstr>
      <vt:lpstr>_qh2</vt:lpstr>
      <vt:lpstr>_qh3</vt:lpstr>
      <vt:lpstr>_qh4</vt:lpstr>
      <vt:lpstr>_qhs1</vt:lpstr>
      <vt:lpstr>_qhs2</vt:lpstr>
      <vt:lpstr>_qhs3</vt:lpstr>
      <vt:lpstr>_qhs4</vt:lpstr>
      <vt:lpstr>_qw1</vt:lpstr>
      <vt:lpstr>_qw2</vt:lpstr>
      <vt:lpstr>_qw3</vt:lpstr>
      <vt:lpstr>_qw4</vt:lpstr>
      <vt:lpstr>_SIA2009</vt:lpstr>
      <vt:lpstr>_typ1</vt:lpstr>
      <vt:lpstr>_typ2</vt:lpstr>
      <vt:lpstr>_typ3</vt:lpstr>
      <vt:lpstr>_typ4</vt:lpstr>
      <vt:lpstr>_vo</vt:lpstr>
      <vt:lpstr>_Vth1</vt:lpstr>
      <vt:lpstr>_Vth2</vt:lpstr>
      <vt:lpstr>_Vth3</vt:lpstr>
      <vt:lpstr>_Vth4</vt:lpstr>
      <vt:lpstr>_WRG1</vt:lpstr>
      <vt:lpstr>_WRG2</vt:lpstr>
      <vt:lpstr>_WRG3</vt:lpstr>
      <vt:lpstr>_WRG4</vt:lpstr>
      <vt:lpstr>_WW1</vt:lpstr>
      <vt:lpstr>_WW2</vt:lpstr>
      <vt:lpstr>_WW3</vt:lpstr>
      <vt:lpstr>_WW4</vt:lpstr>
      <vt:lpstr>_x0</vt:lpstr>
      <vt:lpstr>_x0WP</vt:lpstr>
      <vt:lpstr>_x10</vt:lpstr>
      <vt:lpstr>_x10WP</vt:lpstr>
      <vt:lpstr>_x5</vt:lpstr>
      <vt:lpstr>_x5WP</vt:lpstr>
      <vt:lpstr>abgabe1</vt:lpstr>
      <vt:lpstr>abgabe2</vt:lpstr>
      <vt:lpstr>abgabe3</vt:lpstr>
      <vt:lpstr>abgabe4</vt:lpstr>
      <vt:lpstr>AbluftWP</vt:lpstr>
      <vt:lpstr>ACDC1</vt:lpstr>
      <vt:lpstr>ACDC2</vt:lpstr>
      <vt:lpstr>ACDC3</vt:lpstr>
      <vt:lpstr>ACDC4</vt:lpstr>
      <vt:lpstr>AEBF</vt:lpstr>
      <vt:lpstr>AEBF1</vt:lpstr>
      <vt:lpstr>AEBF2</vt:lpstr>
      <vt:lpstr>AEBF3</vt:lpstr>
      <vt:lpstr>AEBF4</vt:lpstr>
      <vt:lpstr>AlleZonenNeu</vt:lpstr>
      <vt:lpstr>alpensued</vt:lpstr>
      <vt:lpstr>alpin</vt:lpstr>
      <vt:lpstr>Anetto_AEBF1</vt:lpstr>
      <vt:lpstr>Anetto_AEBF2</vt:lpstr>
      <vt:lpstr>Anetto_AEBF3</vt:lpstr>
      <vt:lpstr>Anetto_AEBF4</vt:lpstr>
      <vt:lpstr>Anteil_WP</vt:lpstr>
      <vt:lpstr>auswahl1</vt:lpstr>
      <vt:lpstr>auswahl10</vt:lpstr>
      <vt:lpstr>auswahl2</vt:lpstr>
      <vt:lpstr>auswahl3</vt:lpstr>
      <vt:lpstr>auswahl4</vt:lpstr>
      <vt:lpstr>auswahl5</vt:lpstr>
      <vt:lpstr>auswahl6</vt:lpstr>
      <vt:lpstr>auswahl7</vt:lpstr>
      <vt:lpstr>auswahl8</vt:lpstr>
      <vt:lpstr>auswahl9</vt:lpstr>
      <vt:lpstr>BadMisch</vt:lpstr>
      <vt:lpstr>bern</vt:lpstr>
      <vt:lpstr>beta</vt:lpstr>
      <vt:lpstr>beta1</vt:lpstr>
      <vt:lpstr>beta2</vt:lpstr>
      <vt:lpstr>beta3</vt:lpstr>
      <vt:lpstr>beta4</vt:lpstr>
      <vt:lpstr>BioSolar</vt:lpstr>
      <vt:lpstr>Bueronutzung</vt:lpstr>
      <vt:lpstr>C_Bat</vt:lpstr>
      <vt:lpstr>CO2_erdwaermesonde</vt:lpstr>
      <vt:lpstr>CO2_PV</vt:lpstr>
      <vt:lpstr>DeckungsgradHeizung</vt:lpstr>
      <vt:lpstr>DeckungsgradWW</vt:lpstr>
      <vt:lpstr>Aperçu!Druckbereich</vt:lpstr>
      <vt:lpstr>Aperçu_BE!Druckbereich</vt:lpstr>
      <vt:lpstr>Construction!Druckbereich</vt:lpstr>
      <vt:lpstr>Entrées!Druckbereich</vt:lpstr>
      <vt:lpstr>Eté!Druckbereich</vt:lpstr>
      <vt:lpstr>Justificatif!Druckbereich</vt:lpstr>
      <vt:lpstr>MINERGIE!Druckbereich</vt:lpstr>
      <vt:lpstr>Solaire_BE!Druckbereich</vt:lpstr>
      <vt:lpstr>Standardwerte!Druckbereich</vt:lpstr>
      <vt:lpstr>e_1</vt:lpstr>
      <vt:lpstr>e_2</vt:lpstr>
      <vt:lpstr>e_3</vt:lpstr>
      <vt:lpstr>e_4</vt:lpstr>
      <vt:lpstr>E_Qk</vt:lpstr>
      <vt:lpstr>E_Qk1</vt:lpstr>
      <vt:lpstr>E_Qk11</vt:lpstr>
      <vt:lpstr>E_Qk2</vt:lpstr>
      <vt:lpstr>E_Qk22</vt:lpstr>
      <vt:lpstr>E_Qk3</vt:lpstr>
      <vt:lpstr>E_Qk33</vt:lpstr>
      <vt:lpstr>E_Qk4</vt:lpstr>
      <vt:lpstr>E_Qk44</vt:lpstr>
      <vt:lpstr>EBF</vt:lpstr>
      <vt:lpstr>ebf_1</vt:lpstr>
      <vt:lpstr>ebf_2</vt:lpstr>
      <vt:lpstr>ebf_3</vt:lpstr>
      <vt:lpstr>ebf_4</vt:lpstr>
      <vt:lpstr>EBF_MUKEN</vt:lpstr>
      <vt:lpstr>EBF_neu</vt:lpstr>
      <vt:lpstr>EBF_wohnen_neu</vt:lpstr>
      <vt:lpstr>EBF_wohnen_neu1</vt:lpstr>
      <vt:lpstr>EBF_wohnen_neu2</vt:lpstr>
      <vt:lpstr>EBF_wohnen_neu3</vt:lpstr>
      <vt:lpstr>EBF_wohnen_neu4</vt:lpstr>
      <vt:lpstr>EBF_Zweckneubau</vt:lpstr>
      <vt:lpstr>EBFo</vt:lpstr>
      <vt:lpstr>EBFo1</vt:lpstr>
      <vt:lpstr>EBFo2</vt:lpstr>
      <vt:lpstr>EBFo3</vt:lpstr>
      <vt:lpstr>EBFo4</vt:lpstr>
      <vt:lpstr>ECAC1</vt:lpstr>
      <vt:lpstr>ECAC2</vt:lpstr>
      <vt:lpstr>ECAC3</vt:lpstr>
      <vt:lpstr>ECAC4</vt:lpstr>
      <vt:lpstr>EFH</vt:lpstr>
      <vt:lpstr>Einheit</vt:lpstr>
      <vt:lpstr>Einheiten</vt:lpstr>
      <vt:lpstr>Einwirkseiten1</vt:lpstr>
      <vt:lpstr>Einwirkseiten2</vt:lpstr>
      <vt:lpstr>Einwirkseiten3</vt:lpstr>
      <vt:lpstr>Einwirkseiten4</vt:lpstr>
      <vt:lpstr>einzel1</vt:lpstr>
      <vt:lpstr>Einzelanwendung</vt:lpstr>
      <vt:lpstr>En_Standard</vt:lpstr>
      <vt:lpstr>EndenergieA</vt:lpstr>
      <vt:lpstr>EndenergieB</vt:lpstr>
      <vt:lpstr>EndenergieC</vt:lpstr>
      <vt:lpstr>EndenergieD</vt:lpstr>
      <vt:lpstr>EndenergieE</vt:lpstr>
      <vt:lpstr>Erzeugung</vt:lpstr>
      <vt:lpstr>f_fr_PV</vt:lpstr>
      <vt:lpstr>F_s1</vt:lpstr>
      <vt:lpstr>F_s2</vt:lpstr>
      <vt:lpstr>F_s3</vt:lpstr>
      <vt:lpstr>F_s4</vt:lpstr>
      <vt:lpstr>FaktorPE_TH_ECO_N</vt:lpstr>
      <vt:lpstr>Fehler_Neuzertifizierung</vt:lpstr>
      <vt:lpstr>Fehler1</vt:lpstr>
      <vt:lpstr>Fehler2</vt:lpstr>
      <vt:lpstr>Fehler3</vt:lpstr>
      <vt:lpstr>FehlerLüftung1</vt:lpstr>
      <vt:lpstr>FehlerLüftung2</vt:lpstr>
      <vt:lpstr>FehlerLüftung3</vt:lpstr>
      <vt:lpstr>flaeche_pro_kW_PV</vt:lpstr>
      <vt:lpstr>Gebäudekategorie</vt:lpstr>
      <vt:lpstr>GebKat1</vt:lpstr>
      <vt:lpstr>GebKat2</vt:lpstr>
      <vt:lpstr>GebKat3</vt:lpstr>
      <vt:lpstr>GebKat4</vt:lpstr>
      <vt:lpstr>Gebuehr</vt:lpstr>
      <vt:lpstr>GF_1</vt:lpstr>
      <vt:lpstr>Grau</vt:lpstr>
      <vt:lpstr>Grau_Grenz</vt:lpstr>
      <vt:lpstr>GrenzwertMINERGIE</vt:lpstr>
      <vt:lpstr>GWPE1unbeh</vt:lpstr>
      <vt:lpstr>GWPE2unbeh</vt:lpstr>
      <vt:lpstr>GWPEerdsonde1</vt:lpstr>
      <vt:lpstr>GWPEerdsonde2</vt:lpstr>
      <vt:lpstr>GWPEpv</vt:lpstr>
      <vt:lpstr>GWTH1unbeh</vt:lpstr>
      <vt:lpstr>GWTH2unbeh</vt:lpstr>
      <vt:lpstr>GWTHerdsonde1</vt:lpstr>
      <vt:lpstr>GWTHerdsonde2</vt:lpstr>
      <vt:lpstr>GWTHpv</vt:lpstr>
      <vt:lpstr>hlicht1</vt:lpstr>
      <vt:lpstr>hlicht2</vt:lpstr>
      <vt:lpstr>hlicht3</vt:lpstr>
      <vt:lpstr>hlicht4</vt:lpstr>
      <vt:lpstr>Hoehe</vt:lpstr>
      <vt:lpstr>Industrienutzung</vt:lpstr>
      <vt:lpstr>JaNein</vt:lpstr>
      <vt:lpstr>Kanton</vt:lpstr>
      <vt:lpstr>Kanton1</vt:lpstr>
      <vt:lpstr>Kategorie0</vt:lpstr>
      <vt:lpstr>Kategorie1</vt:lpstr>
      <vt:lpstr>Kategorie2</vt:lpstr>
      <vt:lpstr>Kategorie3</vt:lpstr>
      <vt:lpstr>Kategorie4</vt:lpstr>
      <vt:lpstr>KategorieEFH</vt:lpstr>
      <vt:lpstr>Kleinanlagen1</vt:lpstr>
      <vt:lpstr>Kleinanlagen2</vt:lpstr>
      <vt:lpstr>Kleinanlagen3</vt:lpstr>
      <vt:lpstr>Kleinanlagen4</vt:lpstr>
      <vt:lpstr>Klima</vt:lpstr>
      <vt:lpstr>klima1</vt:lpstr>
      <vt:lpstr>klima2</vt:lpstr>
      <vt:lpstr>klima3</vt:lpstr>
      <vt:lpstr>klima4</vt:lpstr>
      <vt:lpstr>Klimastation</vt:lpstr>
      <vt:lpstr>Komfort1</vt:lpstr>
      <vt:lpstr>Komfort2</vt:lpstr>
      <vt:lpstr>Komfort3</vt:lpstr>
      <vt:lpstr>Komfort4</vt:lpstr>
      <vt:lpstr>Kompensation_PV</vt:lpstr>
      <vt:lpstr>Laenge_Erdsonde</vt:lpstr>
      <vt:lpstr>Lebensdauer_erdwaermesonde</vt:lpstr>
      <vt:lpstr>Lebensdauer_PV</vt:lpstr>
      <vt:lpstr>LER_Reduktion1</vt:lpstr>
      <vt:lpstr>LER_Reduktion2</vt:lpstr>
      <vt:lpstr>LER_Reduktion3</vt:lpstr>
      <vt:lpstr>LER_Reduktion4</vt:lpstr>
      <vt:lpstr>LER_Text0</vt:lpstr>
      <vt:lpstr>LER_Text1</vt:lpstr>
      <vt:lpstr>LER_Text2</vt:lpstr>
      <vt:lpstr>LER_Text3</vt:lpstr>
      <vt:lpstr>LER_Text4</vt:lpstr>
      <vt:lpstr>LER_Text5</vt:lpstr>
      <vt:lpstr>LER_Text6</vt:lpstr>
      <vt:lpstr>LER_Text7</vt:lpstr>
      <vt:lpstr>Luftheizung</vt:lpstr>
      <vt:lpstr>Lüftung1</vt:lpstr>
      <vt:lpstr>Lüftung2</vt:lpstr>
      <vt:lpstr>Lüftung3</vt:lpstr>
      <vt:lpstr>Lüftung4</vt:lpstr>
      <vt:lpstr>Lüftungstyp</vt:lpstr>
      <vt:lpstr>Lüftungstyp1</vt:lpstr>
      <vt:lpstr>Lüftungstyp2</vt:lpstr>
      <vt:lpstr>Lüftungstyp3</vt:lpstr>
      <vt:lpstr>Lüftungstyp4</vt:lpstr>
      <vt:lpstr>mehr1</vt:lpstr>
      <vt:lpstr>Mehrfachanwendung</vt:lpstr>
      <vt:lpstr>Mieter1</vt:lpstr>
      <vt:lpstr>Mieter2</vt:lpstr>
      <vt:lpstr>Mieter3</vt:lpstr>
      <vt:lpstr>Mieter4</vt:lpstr>
      <vt:lpstr>mineco</vt:lpstr>
      <vt:lpstr>MINERGIE_Wert</vt:lpstr>
      <vt:lpstr>minergiea</vt:lpstr>
      <vt:lpstr>minergiep</vt:lpstr>
      <vt:lpstr>Mischnutzung</vt:lpstr>
      <vt:lpstr>MUKEN</vt:lpstr>
      <vt:lpstr>mx_basiswert_neubau</vt:lpstr>
      <vt:lpstr>mx_matrixbezeichnungen</vt:lpstr>
      <vt:lpstr>mx_matrixbezeichnungen_c_speicherung</vt:lpstr>
      <vt:lpstr>mx_spannweite</vt:lpstr>
      <vt:lpstr>MxEcoGWPE_N</vt:lpstr>
      <vt:lpstr>MxEcoGWTH_N</vt:lpstr>
      <vt:lpstr>Nachweistyp</vt:lpstr>
      <vt:lpstr>Nachzertifizierung</vt:lpstr>
      <vt:lpstr>Neubau</vt:lpstr>
      <vt:lpstr>Neubau1</vt:lpstr>
      <vt:lpstr>Neubau2</vt:lpstr>
      <vt:lpstr>Neubau3</vt:lpstr>
      <vt:lpstr>Neubau4</vt:lpstr>
      <vt:lpstr>nL50_1</vt:lpstr>
      <vt:lpstr>nL50_2</vt:lpstr>
      <vt:lpstr>nL50_3</vt:lpstr>
      <vt:lpstr>nL50_4</vt:lpstr>
      <vt:lpstr>NRE_erdwaermesonde</vt:lpstr>
      <vt:lpstr>NRE_PV</vt:lpstr>
      <vt:lpstr>nurBadnutzung</vt:lpstr>
      <vt:lpstr>Nutzung1</vt:lpstr>
      <vt:lpstr>Oekostrom</vt:lpstr>
      <vt:lpstr>Primaer1</vt:lpstr>
      <vt:lpstr>Primaer2</vt:lpstr>
      <vt:lpstr>Primaer3</vt:lpstr>
      <vt:lpstr>Primaer4</vt:lpstr>
      <vt:lpstr>Primaeranf</vt:lpstr>
      <vt:lpstr>Primaeranf1</vt:lpstr>
      <vt:lpstr>Primaeranf2</vt:lpstr>
      <vt:lpstr>Primaeranf3</vt:lpstr>
      <vt:lpstr>Primaeranf4</vt:lpstr>
      <vt:lpstr>Primaeranforderung</vt:lpstr>
      <vt:lpstr>Projekt1</vt:lpstr>
      <vt:lpstr>Projekt2</vt:lpstr>
      <vt:lpstr>Projekt3</vt:lpstr>
      <vt:lpstr>Projekt4</vt:lpstr>
      <vt:lpstr>PVflaeche</vt:lpstr>
      <vt:lpstr>Qe</vt:lpstr>
      <vt:lpstr>Qe_vollständig</vt:lpstr>
      <vt:lpstr>qh</vt:lpstr>
      <vt:lpstr>qh_vollständig</vt:lpstr>
      <vt:lpstr>qhmax</vt:lpstr>
      <vt:lpstr>qhmax1</vt:lpstr>
      <vt:lpstr>qhmax2</vt:lpstr>
      <vt:lpstr>qhmax3</vt:lpstr>
      <vt:lpstr>qhmax4</vt:lpstr>
      <vt:lpstr>qhs</vt:lpstr>
      <vt:lpstr>qhs_vollständig</vt:lpstr>
      <vt:lpstr>qw</vt:lpstr>
      <vt:lpstr>Raum1</vt:lpstr>
      <vt:lpstr>Raum2</vt:lpstr>
      <vt:lpstr>Raum3</vt:lpstr>
      <vt:lpstr>Raum4</vt:lpstr>
      <vt:lpstr>Reduktion</vt:lpstr>
      <vt:lpstr>Reduktionsfaktor_CO2_Beton</vt:lpstr>
      <vt:lpstr>REFH</vt:lpstr>
      <vt:lpstr>Sanierung</vt:lpstr>
      <vt:lpstr>Schulnutzung</vt:lpstr>
      <vt:lpstr>solar_erfüllt</vt:lpstr>
      <vt:lpstr>Solarpflicht</vt:lpstr>
      <vt:lpstr>Standardlüftung</vt:lpstr>
      <vt:lpstr>Standardlüftung1</vt:lpstr>
      <vt:lpstr>Standardlüftung2</vt:lpstr>
      <vt:lpstr>Standardlüftung3</vt:lpstr>
      <vt:lpstr>Standardlüftung4</vt:lpstr>
      <vt:lpstr>Steigungsfaktor_Einlagen_EPnren</vt:lpstr>
      <vt:lpstr>Steigungsfaktor_Einlagen_MGHG</vt:lpstr>
      <vt:lpstr>StrombedarfE</vt:lpstr>
      <vt:lpstr>summe_ebf</vt:lpstr>
      <vt:lpstr>tab_eingriffstiefe_ausbau</vt:lpstr>
      <vt:lpstr>tab_eingriffstiefe_baulich</vt:lpstr>
      <vt:lpstr>tab_eingriffstiefe_technik</vt:lpstr>
      <vt:lpstr>tab_hgt</vt:lpstr>
      <vt:lpstr>tab_ug</vt:lpstr>
      <vt:lpstr>Thetaea</vt:lpstr>
      <vt:lpstr>THG_andere</vt:lpstr>
      <vt:lpstr>THG_PV</vt:lpstr>
      <vt:lpstr>THG_Scope1</vt:lpstr>
      <vt:lpstr>THG_Strom</vt:lpstr>
      <vt:lpstr>VEBFo1</vt:lpstr>
      <vt:lpstr>VEBFo2</vt:lpstr>
      <vt:lpstr>VEBFo3</vt:lpstr>
      <vt:lpstr>VEBFo4</vt:lpstr>
      <vt:lpstr>Verkaufsnutzung</vt:lpstr>
      <vt:lpstr>vo</vt:lpstr>
      <vt:lpstr>VSup1</vt:lpstr>
      <vt:lpstr>VSup2</vt:lpstr>
      <vt:lpstr>VSup3</vt:lpstr>
      <vt:lpstr>VSup4</vt:lpstr>
      <vt:lpstr>Vth</vt:lpstr>
      <vt:lpstr>vx</vt:lpstr>
      <vt:lpstr>WaermebedarfA</vt:lpstr>
      <vt:lpstr>WaermebedarfB</vt:lpstr>
      <vt:lpstr>WaermebedarfC</vt:lpstr>
      <vt:lpstr>WaermebedarfD</vt:lpstr>
      <vt:lpstr>WaermebedarfE</vt:lpstr>
      <vt:lpstr>Waermepumpe</vt:lpstr>
      <vt:lpstr>Warmwasser</vt:lpstr>
      <vt:lpstr>WirkungsgradA</vt:lpstr>
      <vt:lpstr>WirkungsgradB</vt:lpstr>
      <vt:lpstr>WirkungsgradC</vt:lpstr>
      <vt:lpstr>WirkungsgradD</vt:lpstr>
      <vt:lpstr>WirkungsgradE</vt:lpstr>
      <vt:lpstr>wkk</vt:lpstr>
      <vt:lpstr>wohnen1</vt:lpstr>
      <vt:lpstr>wohnen2</vt:lpstr>
      <vt:lpstr>wohnen3</vt:lpstr>
      <vt:lpstr>wohnen4</vt:lpstr>
      <vt:lpstr>wohnnutzung</vt:lpstr>
      <vt:lpstr>Wohnstrommodell</vt:lpstr>
      <vt:lpstr>WRG</vt:lpstr>
      <vt:lpstr>WRG_1</vt:lpstr>
      <vt:lpstr>WRG_2</vt:lpstr>
      <vt:lpstr>WRG_3</vt:lpstr>
      <vt:lpstr>WRG_4</vt:lpstr>
      <vt:lpstr>WRG0</vt:lpstr>
      <vt:lpstr>WRGtyp1</vt:lpstr>
      <vt:lpstr>WRGtyp2</vt:lpstr>
      <vt:lpstr>WRGtyp3</vt:lpstr>
      <vt:lpstr>WRGtyp4</vt:lpstr>
      <vt:lpstr>ww_1</vt:lpstr>
      <vt:lpstr>ww_2</vt:lpstr>
      <vt:lpstr>ww_3</vt:lpstr>
      <vt:lpstr>ww_4</vt:lpstr>
      <vt:lpstr>ww_erneuerbar</vt:lpstr>
      <vt:lpstr>ww_erneuerbar_BE</vt:lpstr>
      <vt:lpstr>WWBonus</vt:lpstr>
      <vt:lpstr>WWBonus1</vt:lpstr>
      <vt:lpstr>WWBonus2</vt:lpstr>
      <vt:lpstr>WWBonus3</vt:lpstr>
      <vt:lpstr>WWBonus4</vt:lpstr>
      <vt:lpstr>WWMIN1</vt:lpstr>
      <vt:lpstr>WWMIN2</vt:lpstr>
      <vt:lpstr>WWMIN3</vt:lpstr>
      <vt:lpstr>WWMIN4</vt:lpstr>
      <vt:lpstr>WWSoll</vt:lpstr>
      <vt:lpstr>Zertifikat1</vt:lpstr>
      <vt:lpstr>Zertifikat2</vt:lpstr>
      <vt:lpstr>Zertifikat3</vt:lpstr>
      <vt:lpstr>Zertifikat4</vt:lpstr>
      <vt:lpstr>Zone1</vt:lpstr>
      <vt:lpstr>Zone2</vt:lpstr>
      <vt:lpstr>Zone3</vt:lpstr>
      <vt:lpstr>Zone4</vt:lpstr>
      <vt:lpstr>Zonen</vt:lpstr>
      <vt:lpstr>Zonen_vollständig</vt:lpstr>
    </vt:vector>
  </TitlesOfParts>
  <Manager>Christoph Gmür / Christian Stünzi / Imelda Greber / Arthur Huber</Manager>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EN 101b, V2.95</dc:title>
  <dc:subject>Rechnerischer Nachweis EN101b / MINERGIE-Nachweis</dc:subject>
  <dc:creator>ENDK / MINERGIE / Kanton Bern</dc:creator>
  <dc:description>Anpassungen gemäss Minergie-Reglement 2022.1_x000d_
Ergänzung Berner Energiegesetz 2023</dc:description>
  <cp:lastModifiedBy>arthur</cp:lastModifiedBy>
  <cp:lastPrinted>2026-01-12T11:17:49Z</cp:lastPrinted>
  <dcterms:created xsi:type="dcterms:W3CDTF">1998-04-16T12:19:12Z</dcterms:created>
  <dcterms:modified xsi:type="dcterms:W3CDTF">2026-01-12T16:15:52Z</dcterms:modified>
  <cp:category>Energienachweis MUKEN 2014 / MINERGIE-Nachweis 2022 / Berner Energiegesetz 2023</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fdd986-87d9-48c6-acda-407b1ab5fef0_Enabled">
    <vt:lpwstr>true</vt:lpwstr>
  </property>
  <property fmtid="{D5CDD505-2E9C-101B-9397-08002B2CF9AE}" pid="3" name="MSIP_Label_74fdd986-87d9-48c6-acda-407b1ab5fef0_SetDate">
    <vt:lpwstr>2026-01-12T06:41:02Z</vt:lpwstr>
  </property>
  <property fmtid="{D5CDD505-2E9C-101B-9397-08002B2CF9AE}" pid="4" name="MSIP_Label_74fdd986-87d9-48c6-acda-407b1ab5fef0_Method">
    <vt:lpwstr>Standard</vt:lpwstr>
  </property>
  <property fmtid="{D5CDD505-2E9C-101B-9397-08002B2CF9AE}" pid="5" name="MSIP_Label_74fdd986-87d9-48c6-acda-407b1ab5fef0_Name">
    <vt:lpwstr>NICHT KLASSIFIZIERT</vt:lpwstr>
  </property>
  <property fmtid="{D5CDD505-2E9C-101B-9397-08002B2CF9AE}" pid="6" name="MSIP_Label_74fdd986-87d9-48c6-acda-407b1ab5fef0_SiteId">
    <vt:lpwstr>cb96f99a-a111-42d7-9f65-e111197ba4bb</vt:lpwstr>
  </property>
  <property fmtid="{D5CDD505-2E9C-101B-9397-08002B2CF9AE}" pid="7" name="MSIP_Label_74fdd986-87d9-48c6-acda-407b1ab5fef0_ActionId">
    <vt:lpwstr>001d07cc-4d6b-40f1-bc6a-be83bfb917b4</vt:lpwstr>
  </property>
  <property fmtid="{D5CDD505-2E9C-101B-9397-08002B2CF9AE}" pid="8" name="MSIP_Label_74fdd986-87d9-48c6-acda-407b1ab5fef0_ContentBits">
    <vt:lpwstr>0</vt:lpwstr>
  </property>
  <property fmtid="{D5CDD505-2E9C-101B-9397-08002B2CF9AE}" pid="9" name="MSIP_Label_74fdd986-87d9-48c6-acda-407b1ab5fef0_Tag">
    <vt:lpwstr>10, 3, 0, 1</vt:lpwstr>
  </property>
  <property fmtid="{D5CDD505-2E9C-101B-9397-08002B2CF9AE}" pid="10" name="ContentTypeId">
    <vt:lpwstr>0x01010061A9E30EE20F8A40AC50A8E7D6173A6E</vt:lpwstr>
  </property>
</Properties>
</file>